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tables/table14.xml" ContentType="application/vnd.openxmlformats-officedocument.spreadsheetml.table+xml"/>
  <Override PartName="/xl/comments14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5.xml" ContentType="application/vnd.openxmlformats-officedocument.spreadsheetml.comments+xml"/>
  <Override PartName="/xl/tables/table17.xml" ContentType="application/vnd.openxmlformats-officedocument.spreadsheetml.table+xml"/>
  <Override PartName="/xl/comments16.xml" ContentType="application/vnd.openxmlformats-officedocument.spreadsheetml.comments+xml"/>
  <Override PartName="/xl/tables/table18.xml" ContentType="application/vnd.openxmlformats-officedocument.spreadsheetml.table+xml"/>
  <Override PartName="/xl/comments17.xml" ContentType="application/vnd.openxmlformats-officedocument.spreadsheetml.comments+xml"/>
  <Override PartName="/xl/tables/table19.xml" ContentType="application/vnd.openxmlformats-officedocument.spreadsheetml.table+xml"/>
  <Override PartName="/xl/comments18.xml" ContentType="application/vnd.openxmlformats-officedocument.spreadsheetml.comments+xml"/>
  <Override PartName="/xl/tables/table20.xml" ContentType="application/vnd.openxmlformats-officedocument.spreadsheetml.table+xml"/>
  <Override PartName="/xl/comments19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20.xml" ContentType="application/vnd.openxmlformats-officedocument.spreadsheetml.comments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21.xml" ContentType="application/vnd.openxmlformats-officedocument.spreadsheetml.comments+xml"/>
  <Override PartName="/xl/tables/table25.xml" ContentType="application/vnd.openxmlformats-officedocument.spreadsheetml.table+xml"/>
  <Override PartName="/xl/comments22.xml" ContentType="application/vnd.openxmlformats-officedocument.spreadsheetml.comments+xml"/>
  <Override PartName="/xl/tables/table26.xml" ContentType="application/vnd.openxmlformats-officedocument.spreadsheetml.table+xml"/>
  <Override PartName="/xl/comments23.xml" ContentType="application/vnd.openxmlformats-officedocument.spreadsheetml.comments+xml"/>
  <Override PartName="/xl/tables/table27.xml" ContentType="application/vnd.openxmlformats-officedocument.spreadsheetml.table+xml"/>
  <Override PartName="/xl/comments24.xml" ContentType="application/vnd.openxmlformats-officedocument.spreadsheetml.comments+xml"/>
  <Override PartName="/xl/tables/table28.xml" ContentType="application/vnd.openxmlformats-officedocument.spreadsheetml.table+xml"/>
  <Override PartName="/xl/comments25.xml" ContentType="application/vnd.openxmlformats-officedocument.spreadsheetml.comments+xml"/>
  <Override PartName="/xl/tables/table29.xml" ContentType="application/vnd.openxmlformats-officedocument.spreadsheetml.table+xml"/>
  <Override PartName="/xl/comments26.xml" ContentType="application/vnd.openxmlformats-officedocument.spreadsheetml.comments+xml"/>
  <Override PartName="/xl/tables/table30.xml" ContentType="application/vnd.openxmlformats-officedocument.spreadsheetml.table+xml"/>
  <Override PartName="/xl/comments27.xml" ContentType="application/vnd.openxmlformats-officedocument.spreadsheetml.comments+xml"/>
  <Override PartName="/xl/tables/table31.xml" ContentType="application/vnd.openxmlformats-officedocument.spreadsheetml.table+xml"/>
  <Override PartName="/xl/comments28.xml" ContentType="application/vnd.openxmlformats-officedocument.spreadsheetml.comments+xml"/>
  <Override PartName="/xl/tables/table32.xml" ContentType="application/vnd.openxmlformats-officedocument.spreadsheetml.table+xml"/>
  <Override PartName="/xl/comments29.xml" ContentType="application/vnd.openxmlformats-officedocument.spreadsheetml.comments+xml"/>
  <Override PartName="/xl/tables/table33.xml" ContentType="application/vnd.openxmlformats-officedocument.spreadsheetml.table+xml"/>
  <Override PartName="/xl/comments30.xml" ContentType="application/vnd.openxmlformats-officedocument.spreadsheetml.comments+xml"/>
  <Override PartName="/xl/tables/table34.xml" ContentType="application/vnd.openxmlformats-officedocument.spreadsheetml.table+xml"/>
  <Override PartName="/xl/comments31.xml" ContentType="application/vnd.openxmlformats-officedocument.spreadsheetml.comments+xml"/>
  <Override PartName="/xl/tables/table35.xml" ContentType="application/vnd.openxmlformats-officedocument.spreadsheetml.table+xml"/>
  <Override PartName="/xl/comments32.xml" ContentType="application/vnd.openxmlformats-officedocument.spreadsheetml.comments+xml"/>
  <Override PartName="/xl/tables/table36.xml" ContentType="application/vnd.openxmlformats-officedocument.spreadsheetml.table+xml"/>
  <Override PartName="/xl/comments33.xml" ContentType="application/vnd.openxmlformats-officedocument.spreadsheetml.comments+xml"/>
  <Override PartName="/xl/tables/table37.xml" ContentType="application/vnd.openxmlformats-officedocument.spreadsheetml.table+xml"/>
  <Override PartName="/xl/comments34.xml" ContentType="application/vnd.openxmlformats-officedocument.spreadsheetml.comments+xml"/>
  <Override PartName="/xl/tables/table38.xml" ContentType="application/vnd.openxmlformats-officedocument.spreadsheetml.table+xml"/>
  <Override PartName="/xl/comments35.xml" ContentType="application/vnd.openxmlformats-officedocument.spreadsheetml.comments+xml"/>
  <Override PartName="/xl/tables/table39.xml" ContentType="application/vnd.openxmlformats-officedocument.spreadsheetml.table+xml"/>
  <Override PartName="/xl/comments36.xml" ContentType="application/vnd.openxmlformats-officedocument.spreadsheetml.comments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omments37.xml" ContentType="application/vnd.openxmlformats-officedocument.spreadsheetml.comments+xml"/>
  <Override PartName="/xl/tables/table42.xml" ContentType="application/vnd.openxmlformats-officedocument.spreadsheetml.table+xml"/>
  <Override PartName="/xl/comments38.xml" ContentType="application/vnd.openxmlformats-officedocument.spreadsheetml.comments+xml"/>
  <Override PartName="/xl/tables/table43.xml" ContentType="application/vnd.openxmlformats-officedocument.spreadsheetml.table+xml"/>
  <Override PartName="/xl/comments39.xml" ContentType="application/vnd.openxmlformats-officedocument.spreadsheetml.comments+xml"/>
  <Override PartName="/xl/tables/table44.xml" ContentType="application/vnd.openxmlformats-officedocument.spreadsheetml.table+xml"/>
  <Override PartName="/xl/comments40.xml" ContentType="application/vnd.openxmlformats-officedocument.spreadsheetml.comments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  <Override PartName="/xl/threadedComments/threadedComment12.xml" ContentType="application/vnd.ms-excel.threadedcomments+xml"/>
  <Override PartName="/xl/threadedComments/threadedComment13.xml" ContentType="application/vnd.ms-excel.threadedcomments+xml"/>
  <Override PartName="/xl/threadedComments/threadedComment14.xml" ContentType="application/vnd.ms-excel.threadedcomments+xml"/>
  <Override PartName="/xl/threadedComments/threadedComment15.xml" ContentType="application/vnd.ms-excel.threadedcomments+xml"/>
  <Override PartName="/xl/threadedComments/threadedComment16.xml" ContentType="application/vnd.ms-excel.threadedcomments+xml"/>
  <Override PartName="/xl/threadedComments/threadedComment17.xml" ContentType="application/vnd.ms-excel.threadedcomments+xml"/>
  <Override PartName="/xl/threadedComments/threadedComment18.xml" ContentType="application/vnd.ms-excel.threadedcomments+xml"/>
  <Override PartName="/xl/threadedComments/threadedComment19.xml" ContentType="application/vnd.ms-excel.threadedcomments+xml"/>
  <Override PartName="/xl/threadedComments/threadedComment20.xml" ContentType="application/vnd.ms-excel.threadedcomments+xml"/>
  <Override PartName="/xl/threadedComments/threadedComment21.xml" ContentType="application/vnd.ms-excel.threadedcomments+xml"/>
  <Override PartName="/xl/threadedComments/threadedComment22.xml" ContentType="application/vnd.ms-excel.threadedcomments+xml"/>
  <Override PartName="/xl/threadedComments/threadedComment23.xml" ContentType="application/vnd.ms-excel.threadedcomments+xml"/>
  <Override PartName="/xl/threadedComments/threadedComment24.xml" ContentType="application/vnd.ms-excel.threadedcomments+xml"/>
  <Override PartName="/xl/threadedComments/threadedComment25.xml" ContentType="application/vnd.ms-excel.threadedcomments+xml"/>
  <Override PartName="/xl/threadedComments/threadedComment26.xml" ContentType="application/vnd.ms-excel.threadedcomments+xml"/>
  <Override PartName="/xl/threadedComments/threadedComment27.xml" ContentType="application/vnd.ms-excel.threadedcomments+xml"/>
  <Override PartName="/xl/threadedComments/threadedComment28.xml" ContentType="application/vnd.ms-excel.threadedcomments+xml"/>
  <Override PartName="/xl/threadedComments/threadedComment29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R_mod\DR_Potentials\inputs\"/>
    </mc:Choice>
  </mc:AlternateContent>
  <xr:revisionPtr revIDLastSave="0" documentId="13_ncr:1_{1FE39EFC-B1FF-4D4F-A076-8D06129EC900}" xr6:coauthVersionLast="36" xr6:coauthVersionMax="45" xr10:uidLastSave="{00000000-0000-0000-0000-000000000000}"/>
  <bookViews>
    <workbookView xWindow="-120" yWindow="-120" windowWidth="19440" windowHeight="15000" tabRatio="657" xr2:uid="{00000000-000D-0000-FFFF-FFFF00000000}"/>
  </bookViews>
  <sheets>
    <sheet name="Ape12" sheetId="14" r:id="rId1"/>
    <sheet name="Ary17" sheetId="48" r:id="rId2"/>
    <sheet name="Blu13" sheetId="44" r:id="rId3"/>
    <sheet name="Bel15" sheetId="27" state="hidden" r:id="rId4"/>
    <sheet name="Foc11" sheetId="29" r:id="rId5"/>
    <sheet name="Gil15" sheetId="16" r:id="rId6"/>
    <sheet name="Gob12" sheetId="43" r:id="rId7"/>
    <sheet name="Gro13" sheetId="47" r:id="rId8"/>
    <sheet name="Gru17" sheetId="23" r:id="rId9"/>
    <sheet name="Haa17" sheetId="46" r:id="rId10"/>
    <sheet name="Hei21" sheetId="57" r:id="rId11"/>
    <sheet name="Hen15" sheetId="45" r:id="rId12"/>
    <sheet name="Jet21" sheetId="60" r:id="rId13"/>
    <sheet name="Klo09" sheetId="4" r:id="rId14"/>
    <sheet name="Herleitung_Klo09" sheetId="5" state="hidden" r:id="rId15"/>
    <sheet name="Klo13" sheetId="15" r:id="rId16"/>
    <sheet name="Krz13" sheetId="32" r:id="rId17"/>
    <sheet name="Lad18" sheetId="41" r:id="rId18"/>
    <sheet name="Lan15" sheetId="19" r:id="rId19"/>
    <sheet name="Lie15" sheetId="33" r:id="rId20"/>
    <sheet name="Mae18" sheetId="58" r:id="rId21"/>
    <sheet name="Mol10" sheetId="8" r:id="rId22"/>
    <sheet name="Mue19" sheetId="56" r:id="rId23"/>
    <sheet name="Herleitung_Mol10" sheetId="11" state="hidden" r:id="rId24"/>
    <sheet name="Pau11" sheetId="13" r:id="rId25"/>
    <sheet name="Pel16" sheetId="22" r:id="rId26"/>
    <sheet name="r2b14" sheetId="18" r:id="rId27"/>
    <sheet name="Roo10" sheetId="10" r:id="rId28"/>
    <sheet name="Herleitung_Sch14" sheetId="36" state="hidden" r:id="rId29"/>
    <sheet name="Herleitung_Gil15" sheetId="38" state="hidden" r:id="rId30"/>
    <sheet name="Sau19" sheetId="55" r:id="rId31"/>
    <sheet name="Sta06" sheetId="42" r:id="rId32"/>
    <sheet name="Ste17" sheetId="24" r:id="rId33"/>
    <sheet name="Stoe12" sheetId="34" state="hidden" r:id="rId34"/>
    <sheet name="Sty15" sheetId="20" r:id="rId35"/>
    <sheet name="Herleitung_Pel16" sheetId="39" state="hidden" r:id="rId36"/>
    <sheet name="Ste17_detailliert" sheetId="50" state="hidden" r:id="rId37"/>
    <sheet name="Woh20" sheetId="59" r:id="rId38"/>
    <sheet name="LMM_Gruppen_Sch14" sheetId="37" r:id="rId39"/>
    <sheet name="Kuerzel" sheetId="17" r:id="rId40"/>
    <sheet name="Dropdown" sheetId="9" r:id="rId41"/>
    <sheet name="Kategorien_neu" sheetId="53" r:id="rId42"/>
    <sheet name="Farben" sheetId="54" r:id="rId43"/>
    <sheet name="Kategorien" sheetId="49" r:id="rId44"/>
    <sheet name="Studie_XY" sheetId="1" r:id="rId45"/>
    <sheet name="Herleitung_Studie_XY" sheetId="3" r:id="rId46"/>
    <sheet name="Pivot_Example_Pel16" sheetId="40" r:id="rId47"/>
    <sheet name="Umrechnungsfaktoren" sheetId="2" r:id="rId48"/>
    <sheet name="Methode" sheetId="25" r:id="rId49"/>
  </sheets>
  <definedNames>
    <definedName name="Alumi2005" localSheetId="12">'Jet21'!#REF!</definedName>
    <definedName name="Alumi2005">'Klo09'!$A$6:$AU$6</definedName>
    <definedName name="Chlor2005">Herleitung_Klo09!$A$2:$Q$5</definedName>
    <definedName name="Chlor2020">Herleitung_Klo09!$A$6:$Q$9</definedName>
    <definedName name="Luft2005">Herleitung_Klo09!$A$10:$Q$10</definedName>
    <definedName name="Luft2020">Herleitung_Klo09!$A$11:$Q$11</definedName>
  </definedNames>
  <calcPr calcId="191029"/>
  <pivotCaches>
    <pivotCache cacheId="0" r:id="rId5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3" l="1"/>
  <c r="C3" i="53"/>
  <c r="C4" i="53"/>
  <c r="C5" i="53"/>
  <c r="C6" i="53"/>
  <c r="C7" i="53"/>
  <c r="C8" i="53"/>
  <c r="C9" i="53"/>
  <c r="C10" i="53"/>
  <c r="C11" i="53"/>
  <c r="C12" i="53"/>
  <c r="C13" i="53"/>
  <c r="C14" i="53"/>
  <c r="C15" i="53"/>
  <c r="C16" i="53"/>
  <c r="C17" i="53"/>
  <c r="C18" i="53"/>
  <c r="C19" i="53"/>
  <c r="C20" i="53"/>
  <c r="C21" i="53"/>
  <c r="C22" i="53"/>
  <c r="C23" i="53"/>
  <c r="C24" i="53"/>
  <c r="C25" i="53"/>
  <c r="C26" i="53"/>
  <c r="C27" i="53"/>
  <c r="C28" i="53"/>
  <c r="C29" i="53"/>
  <c r="C30" i="53"/>
  <c r="C31" i="53"/>
  <c r="C32" i="53"/>
  <c r="C33" i="53"/>
  <c r="C34" i="53"/>
  <c r="C35" i="53"/>
  <c r="C36" i="53"/>
  <c r="C37" i="53"/>
  <c r="C38" i="53"/>
  <c r="C39" i="53"/>
  <c r="C40" i="53"/>
  <c r="C41" i="53"/>
  <c r="C42" i="53"/>
  <c r="C43" i="53"/>
  <c r="C44" i="53"/>
  <c r="C45" i="53"/>
  <c r="C46" i="53"/>
  <c r="C47" i="53"/>
  <c r="C48" i="53"/>
  <c r="C49" i="53"/>
  <c r="C50" i="53"/>
  <c r="C51" i="53"/>
  <c r="C52" i="53"/>
  <c r="C53" i="53"/>
  <c r="C54" i="53"/>
  <c r="C55" i="53"/>
  <c r="C56" i="53"/>
  <c r="C57" i="53"/>
  <c r="C58" i="53"/>
  <c r="C59" i="53"/>
  <c r="C60" i="53"/>
  <c r="C61" i="53"/>
  <c r="C62" i="53"/>
  <c r="C63" i="53"/>
  <c r="C64" i="53"/>
  <c r="C65" i="53"/>
  <c r="C66" i="53"/>
  <c r="C67" i="53"/>
  <c r="C68" i="53"/>
  <c r="C69" i="53"/>
  <c r="C70" i="53"/>
  <c r="C71" i="53"/>
  <c r="C72" i="53"/>
  <c r="C73" i="53"/>
  <c r="C74" i="53"/>
  <c r="C75" i="53"/>
  <c r="C76" i="53"/>
  <c r="C77" i="53"/>
  <c r="C78" i="53"/>
  <c r="C79" i="53"/>
  <c r="C80" i="53"/>
  <c r="C81" i="53"/>
  <c r="C82" i="53"/>
  <c r="C83" i="53"/>
  <c r="C84" i="53"/>
  <c r="C85" i="53"/>
  <c r="C86" i="53"/>
  <c r="C87" i="53"/>
  <c r="C88" i="53"/>
  <c r="C89" i="53"/>
  <c r="C90" i="53"/>
  <c r="C91" i="53"/>
  <c r="C92" i="53"/>
  <c r="C93" i="53"/>
  <c r="C94" i="53"/>
  <c r="C95" i="53"/>
  <c r="C96" i="53"/>
  <c r="C97" i="53"/>
  <c r="C98" i="53"/>
  <c r="C99" i="53"/>
  <c r="C100" i="53"/>
  <c r="C101" i="53"/>
  <c r="AE13" i="60" l="1"/>
  <c r="AE12" i="60"/>
  <c r="AE11" i="60"/>
  <c r="AE10" i="60"/>
  <c r="AE14" i="60"/>
  <c r="AE15" i="60"/>
  <c r="AE16" i="60"/>
  <c r="AE17" i="60"/>
  <c r="AE9" i="60"/>
  <c r="AE8" i="60"/>
  <c r="AD17" i="60"/>
  <c r="AD16" i="60"/>
  <c r="AD15" i="60"/>
  <c r="AD14" i="60"/>
  <c r="AD13" i="60"/>
  <c r="AD12" i="60"/>
  <c r="AD11" i="60"/>
  <c r="AD10" i="60"/>
  <c r="AD9" i="60"/>
  <c r="AD2" i="60"/>
  <c r="AC12" i="60"/>
  <c r="AC11" i="60"/>
  <c r="AC10" i="60"/>
  <c r="AC13" i="60"/>
  <c r="AC14" i="60"/>
  <c r="AC15" i="60"/>
  <c r="AC16" i="60"/>
  <c r="AC17" i="60"/>
  <c r="AC9" i="60"/>
  <c r="AB8" i="60"/>
  <c r="AA13" i="60"/>
  <c r="AA12" i="60"/>
  <c r="AA11" i="60"/>
  <c r="AC8" i="60"/>
  <c r="AA8" i="60"/>
  <c r="AA6" i="60"/>
  <c r="AE7" i="60"/>
  <c r="AD7" i="60"/>
  <c r="AC7" i="60"/>
  <c r="AB7" i="60"/>
  <c r="AB6" i="60"/>
  <c r="W7" i="60"/>
  <c r="AE6" i="60"/>
  <c r="AD6" i="60"/>
  <c r="AC6" i="60"/>
  <c r="AB5" i="60"/>
  <c r="AE5" i="60"/>
  <c r="AD5" i="60"/>
  <c r="AC5" i="60"/>
  <c r="W5" i="60"/>
  <c r="AE2" i="60"/>
  <c r="AE3" i="60"/>
  <c r="AE4" i="60"/>
  <c r="AD4" i="60"/>
  <c r="AD3" i="60"/>
  <c r="AC4" i="60"/>
  <c r="AB4" i="60"/>
  <c r="AA4" i="60"/>
  <c r="AC3" i="60"/>
  <c r="AC2" i="60"/>
  <c r="AB2" i="60"/>
  <c r="AA3" i="60"/>
  <c r="AA2" i="60"/>
  <c r="X4" i="60"/>
  <c r="O31" i="57" l="1"/>
  <c r="O30" i="57"/>
  <c r="O29" i="57"/>
  <c r="O28" i="57"/>
  <c r="O27" i="57"/>
  <c r="O25" i="57"/>
  <c r="O24" i="57"/>
  <c r="O23" i="57"/>
  <c r="O22" i="57"/>
  <c r="O21" i="57"/>
  <c r="O20" i="57"/>
  <c r="O17" i="57"/>
  <c r="O16" i="57" l="1"/>
  <c r="O15" i="57"/>
  <c r="O14" i="57"/>
  <c r="O13" i="57"/>
  <c r="O12" i="57"/>
  <c r="O10" i="57"/>
  <c r="O9" i="57"/>
  <c r="O8" i="57"/>
  <c r="O7" i="57"/>
  <c r="O6" i="57"/>
  <c r="O5" i="57"/>
  <c r="O2" i="57"/>
  <c r="G4" i="57" l="1"/>
  <c r="X6" i="55" l="1"/>
  <c r="M2" i="55"/>
  <c r="J2" i="55"/>
  <c r="Q2" i="55"/>
  <c r="L3" i="55" l="1"/>
  <c r="J3" i="55"/>
  <c r="M3" i="55" s="1"/>
  <c r="V6" i="55"/>
  <c r="U6" i="55"/>
  <c r="AQ8" i="22"/>
  <c r="O2" i="55" l="1"/>
  <c r="H2" i="55"/>
  <c r="G2" i="55"/>
  <c r="AF16" i="29" l="1"/>
  <c r="G31" i="8" l="1"/>
  <c r="G30" i="8"/>
  <c r="AF3" i="19"/>
  <c r="Y8" i="13" l="1"/>
  <c r="Y9" i="13"/>
  <c r="AG23" i="8"/>
  <c r="AG22" i="8"/>
  <c r="AJ2" i="19"/>
  <c r="AK4" i="19"/>
  <c r="AK3" i="19"/>
  <c r="AO33" i="16" l="1"/>
  <c r="AO32" i="16"/>
  <c r="AO31" i="16"/>
  <c r="AO30" i="16"/>
  <c r="AO2" i="16"/>
  <c r="AO3" i="16"/>
  <c r="AO4" i="16"/>
  <c r="AO5" i="16"/>
  <c r="AO6" i="16"/>
  <c r="AO7" i="16"/>
  <c r="AO8" i="16"/>
  <c r="AO9" i="16"/>
  <c r="AO10" i="16"/>
  <c r="AO11" i="16"/>
  <c r="AO12" i="16"/>
  <c r="AO13" i="16"/>
  <c r="AO14" i="16"/>
  <c r="AO15" i="16"/>
  <c r="AO16" i="16"/>
  <c r="AO17" i="16"/>
  <c r="B68" i="49" l="1"/>
  <c r="Q2" i="29" l="1"/>
  <c r="T3" i="29"/>
  <c r="Z4" i="29"/>
  <c r="M8" i="44"/>
  <c r="M7" i="44"/>
  <c r="M6" i="44"/>
  <c r="M5" i="44"/>
  <c r="M4" i="44"/>
  <c r="M3" i="44"/>
  <c r="T47" i="4"/>
  <c r="T46" i="4"/>
  <c r="S54" i="4" l="1"/>
  <c r="U57" i="16"/>
  <c r="Q2" i="19"/>
  <c r="Q3" i="19"/>
  <c r="Q4" i="19"/>
  <c r="Q5" i="19"/>
  <c r="Q6" i="19"/>
  <c r="R3" i="19"/>
  <c r="S3" i="19" s="1"/>
  <c r="R4" i="19"/>
  <c r="R5" i="19"/>
  <c r="R6" i="19"/>
  <c r="S6" i="19" s="1"/>
  <c r="R2" i="19"/>
  <c r="AC2" i="41"/>
  <c r="AC5" i="41"/>
  <c r="AC8" i="41"/>
  <c r="AC9" i="41"/>
  <c r="AC10" i="41"/>
  <c r="AC11" i="41"/>
  <c r="AC12" i="41"/>
  <c r="AC15" i="41"/>
  <c r="AC18" i="41"/>
  <c r="AC21" i="41"/>
  <c r="AC24" i="41"/>
  <c r="AC27" i="41"/>
  <c r="AC30" i="41"/>
  <c r="AC33" i="41"/>
  <c r="AC36" i="41"/>
  <c r="AC37" i="41"/>
  <c r="AC38" i="41"/>
  <c r="AC39" i="41"/>
  <c r="AC40" i="41"/>
  <c r="AB2" i="41"/>
  <c r="AB5" i="41"/>
  <c r="AB8" i="41"/>
  <c r="AB9" i="41"/>
  <c r="AB11" i="41"/>
  <c r="AB12" i="41"/>
  <c r="AB15" i="41"/>
  <c r="AB18" i="41"/>
  <c r="AB21" i="41"/>
  <c r="AB24" i="41"/>
  <c r="AB27" i="41"/>
  <c r="AB30" i="41"/>
  <c r="AB33" i="41"/>
  <c r="AB36" i="41"/>
  <c r="AB37" i="41"/>
  <c r="AB38" i="41"/>
  <c r="AB39" i="41"/>
  <c r="AB40" i="41"/>
  <c r="AA2" i="41"/>
  <c r="AA5" i="41"/>
  <c r="AA8" i="41"/>
  <c r="AA9" i="41"/>
  <c r="AA10" i="41"/>
  <c r="AA11" i="41"/>
  <c r="AA12" i="41"/>
  <c r="AA15" i="41"/>
  <c r="AA18" i="41"/>
  <c r="AA21" i="41"/>
  <c r="AA24" i="41"/>
  <c r="AA27" i="41"/>
  <c r="AA30" i="41"/>
  <c r="AA33" i="41"/>
  <c r="AA36" i="41"/>
  <c r="AA37" i="41"/>
  <c r="AA38" i="41"/>
  <c r="AA39" i="41"/>
  <c r="AA40" i="41"/>
  <c r="AH2" i="41"/>
  <c r="AH14" i="41"/>
  <c r="AH15" i="41"/>
  <c r="AH16" i="41"/>
  <c r="AH17" i="41"/>
  <c r="AH18" i="41"/>
  <c r="AH19" i="41"/>
  <c r="AH20" i="41"/>
  <c r="AH21" i="41"/>
  <c r="AH22" i="41"/>
  <c r="AH23" i="41"/>
  <c r="AH24" i="41"/>
  <c r="AH25" i="41"/>
  <c r="AH26" i="41"/>
  <c r="AH27" i="41"/>
  <c r="AH28" i="41"/>
  <c r="AH29" i="41"/>
  <c r="AH30" i="41"/>
  <c r="AH31" i="41"/>
  <c r="AH32" i="41"/>
  <c r="AH33" i="41"/>
  <c r="AI33" i="41" s="1"/>
  <c r="AH34" i="41"/>
  <c r="AH35" i="41"/>
  <c r="AH36" i="41"/>
  <c r="AH37" i="41"/>
  <c r="AH38" i="41"/>
  <c r="AH39" i="41"/>
  <c r="AH40" i="41"/>
  <c r="AH13" i="41"/>
  <c r="AD2" i="15"/>
  <c r="AC2" i="15"/>
  <c r="P7" i="15"/>
  <c r="O7" i="15"/>
  <c r="M3" i="15"/>
  <c r="N3" i="15"/>
  <c r="M4" i="15"/>
  <c r="N4" i="15"/>
  <c r="M5" i="15"/>
  <c r="N5" i="15"/>
  <c r="M6" i="15"/>
  <c r="N6" i="15"/>
  <c r="M8" i="15"/>
  <c r="N8" i="15"/>
  <c r="M9" i="15"/>
  <c r="N9" i="15"/>
  <c r="M10" i="15"/>
  <c r="N10" i="15"/>
  <c r="M11" i="15"/>
  <c r="N11" i="15"/>
  <c r="M12" i="15"/>
  <c r="N12" i="15"/>
  <c r="M13" i="15"/>
  <c r="N2" i="15"/>
  <c r="M2" i="15"/>
  <c r="K13" i="15" l="1"/>
  <c r="R13" i="15"/>
  <c r="Q13" i="15" s="1"/>
  <c r="K2" i="15"/>
  <c r="K3" i="15"/>
  <c r="K4" i="15"/>
  <c r="K5" i="15"/>
  <c r="K6" i="15"/>
  <c r="K7" i="15"/>
  <c r="K8" i="15"/>
  <c r="K9" i="15"/>
  <c r="K10" i="15"/>
  <c r="K11" i="15"/>
  <c r="K12" i="15"/>
  <c r="R2" i="15"/>
  <c r="R4" i="15"/>
  <c r="Q4" i="15" s="1"/>
  <c r="R5" i="15"/>
  <c r="Q5" i="15" s="1"/>
  <c r="R6" i="15"/>
  <c r="R7" i="15"/>
  <c r="R8" i="15"/>
  <c r="Q8" i="15" s="1"/>
  <c r="R9" i="15"/>
  <c r="Q9" i="15" s="1"/>
  <c r="R10" i="15"/>
  <c r="Q10" i="15" s="1"/>
  <c r="R11" i="15"/>
  <c r="Q11" i="15" s="1"/>
  <c r="R12" i="15"/>
  <c r="Q12" i="15" s="1"/>
  <c r="O4" i="4"/>
  <c r="O14" i="4"/>
  <c r="O15" i="4"/>
  <c r="O16" i="4"/>
  <c r="O17" i="4"/>
  <c r="O18" i="4"/>
  <c r="O19" i="4"/>
  <c r="O22" i="4"/>
  <c r="O23" i="4"/>
  <c r="O24" i="4"/>
  <c r="O25" i="4"/>
  <c r="O26" i="4"/>
  <c r="O27" i="4"/>
  <c r="O28" i="4"/>
  <c r="O30" i="4"/>
  <c r="O31" i="4"/>
  <c r="O32" i="4"/>
  <c r="O33" i="4"/>
  <c r="O34" i="4"/>
  <c r="O36" i="4"/>
  <c r="O38" i="4"/>
  <c r="O40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Q25" i="4"/>
  <c r="Q24" i="4"/>
  <c r="Q2" i="15" l="1"/>
  <c r="V38" i="4"/>
  <c r="J29" i="4"/>
  <c r="O29" i="4" s="1"/>
  <c r="N23" i="4" l="1"/>
  <c r="N22" i="4"/>
  <c r="J2" i="4"/>
  <c r="J3" i="4"/>
  <c r="O3" i="4" s="1"/>
  <c r="K7" i="4"/>
  <c r="K21" i="4"/>
  <c r="N24" i="4"/>
  <c r="N25" i="4"/>
  <c r="O2" i="4" l="1"/>
  <c r="J10" i="23"/>
  <c r="J6" i="23"/>
  <c r="H22" i="23"/>
  <c r="H10" i="23"/>
  <c r="H6" i="23"/>
  <c r="M3" i="43"/>
  <c r="N3" i="43"/>
  <c r="M4" i="43"/>
  <c r="N4" i="43"/>
  <c r="M5" i="43"/>
  <c r="N5" i="43"/>
  <c r="M6" i="43"/>
  <c r="N6" i="43"/>
  <c r="M7" i="43"/>
  <c r="N7" i="43"/>
  <c r="M8" i="43"/>
  <c r="N8" i="43"/>
  <c r="M9" i="43"/>
  <c r="N9" i="43"/>
  <c r="M10" i="43"/>
  <c r="N10" i="43"/>
  <c r="M11" i="43"/>
  <c r="N11" i="43"/>
  <c r="M12" i="43"/>
  <c r="N12" i="43"/>
  <c r="M13" i="43"/>
  <c r="N13" i="43"/>
  <c r="M14" i="43"/>
  <c r="N14" i="43"/>
  <c r="M15" i="43"/>
  <c r="N15" i="43"/>
  <c r="M16" i="43"/>
  <c r="N16" i="43"/>
  <c r="M17" i="43"/>
  <c r="N17" i="43"/>
  <c r="M18" i="43"/>
  <c r="N18" i="43"/>
  <c r="M19" i="43"/>
  <c r="N19" i="43"/>
  <c r="M20" i="43"/>
  <c r="N20" i="43"/>
  <c r="M21" i="43"/>
  <c r="N21" i="43"/>
  <c r="M22" i="43"/>
  <c r="N22" i="43"/>
  <c r="M23" i="43"/>
  <c r="N23" i="43"/>
  <c r="N2" i="43"/>
  <c r="M2" i="43"/>
  <c r="U2" i="16" l="1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55" i="16"/>
  <c r="U56" i="16"/>
  <c r="U59" i="16"/>
  <c r="U60" i="16"/>
  <c r="U61" i="16"/>
  <c r="U63" i="16"/>
  <c r="U64" i="16"/>
  <c r="U65" i="16"/>
  <c r="U67" i="16"/>
  <c r="U68" i="16"/>
  <c r="U69" i="16"/>
  <c r="U70" i="16"/>
  <c r="U75" i="16"/>
  <c r="U76" i="16"/>
  <c r="U77" i="16"/>
  <c r="U79" i="16"/>
  <c r="U80" i="16"/>
  <c r="U81" i="16"/>
  <c r="U83" i="16"/>
  <c r="U84" i="16"/>
  <c r="U85" i="16"/>
  <c r="U87" i="16"/>
  <c r="U88" i="16"/>
  <c r="U89" i="16"/>
  <c r="U90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4" i="16"/>
  <c r="U115" i="16"/>
  <c r="U116" i="16"/>
  <c r="U117" i="16"/>
  <c r="U118" i="16"/>
  <c r="U119" i="16"/>
  <c r="U120" i="16"/>
  <c r="U121" i="16"/>
  <c r="L42" i="16"/>
  <c r="K42" i="16"/>
  <c r="K6" i="16"/>
  <c r="L6" i="16"/>
  <c r="P2" i="44"/>
  <c r="O2" i="44" s="1"/>
  <c r="M2" i="44"/>
  <c r="G2" i="44"/>
  <c r="AW4" i="14" l="1"/>
  <c r="AW3" i="14"/>
  <c r="AW2" i="14"/>
  <c r="AA19" i="14"/>
  <c r="AA18" i="14"/>
  <c r="AA17" i="14"/>
  <c r="AA11" i="14"/>
  <c r="AA12" i="14"/>
  <c r="AA13" i="14"/>
  <c r="I19" i="14"/>
  <c r="I18" i="14"/>
  <c r="I16" i="14"/>
  <c r="I15" i="14"/>
  <c r="G6" i="14"/>
  <c r="I6" i="14" s="1"/>
  <c r="G7" i="14"/>
  <c r="I7" i="14" s="1"/>
  <c r="P21" i="14"/>
  <c r="P22" i="14"/>
  <c r="P20" i="14"/>
  <c r="AB16" i="14"/>
  <c r="AB15" i="14"/>
  <c r="AB14" i="14"/>
  <c r="AD14" i="14" s="1"/>
  <c r="I14" i="14"/>
  <c r="AB10" i="14"/>
  <c r="AA10" i="14" s="1"/>
  <c r="AB9" i="14"/>
  <c r="AA9" i="14" s="1"/>
  <c r="EI3" i="24" l="1"/>
  <c r="EI4" i="24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20" i="24"/>
  <c r="EI21" i="24"/>
  <c r="EI22" i="24"/>
  <c r="EI23" i="24"/>
  <c r="EI24" i="24"/>
  <c r="EI25" i="24"/>
  <c r="EI26" i="24"/>
  <c r="EI27" i="24"/>
  <c r="EI28" i="24"/>
  <c r="EI29" i="24"/>
  <c r="EI30" i="24"/>
  <c r="EI31" i="24"/>
  <c r="EI32" i="24"/>
  <c r="EI33" i="24"/>
  <c r="EI34" i="24"/>
  <c r="EI35" i="24"/>
  <c r="EI36" i="24"/>
  <c r="EI37" i="24"/>
  <c r="EI38" i="24"/>
  <c r="EI39" i="24"/>
  <c r="EI40" i="24"/>
  <c r="EI41" i="24"/>
  <c r="EI42" i="24"/>
  <c r="EI43" i="24"/>
  <c r="EI44" i="24"/>
  <c r="EI45" i="24"/>
  <c r="EI46" i="24"/>
  <c r="EI47" i="24"/>
  <c r="EI48" i="24"/>
  <c r="EI49" i="24"/>
  <c r="EI50" i="24"/>
  <c r="EI51" i="24"/>
  <c r="EI52" i="24"/>
  <c r="EI53" i="24"/>
  <c r="EI54" i="24"/>
  <c r="EI55" i="24"/>
  <c r="EI56" i="24"/>
  <c r="EI57" i="24"/>
  <c r="EI58" i="24"/>
  <c r="EI59" i="24"/>
  <c r="EI60" i="24"/>
  <c r="EI61" i="24"/>
  <c r="EI62" i="24"/>
  <c r="EI63" i="24"/>
  <c r="EI64" i="24"/>
  <c r="EI65" i="24"/>
  <c r="EI66" i="24"/>
  <c r="EI67" i="24"/>
  <c r="EI68" i="24"/>
  <c r="EI69" i="24"/>
  <c r="EI70" i="24"/>
  <c r="EI71" i="24"/>
  <c r="EI72" i="24"/>
  <c r="EI73" i="24"/>
  <c r="EI74" i="24"/>
  <c r="EI75" i="24"/>
  <c r="EI76" i="24"/>
  <c r="EI77" i="24"/>
  <c r="EI78" i="24"/>
  <c r="EI79" i="24"/>
  <c r="EI80" i="24"/>
  <c r="EI81" i="24"/>
  <c r="EI82" i="24"/>
  <c r="EI83" i="24"/>
  <c r="EI84" i="24"/>
  <c r="EI85" i="24"/>
  <c r="EI86" i="24"/>
  <c r="EI87" i="24"/>
  <c r="EI88" i="24"/>
  <c r="EI89" i="24"/>
  <c r="EI90" i="24"/>
  <c r="EI91" i="24"/>
  <c r="EI92" i="24"/>
  <c r="EI93" i="24"/>
  <c r="EI94" i="24"/>
  <c r="EI95" i="24"/>
  <c r="EI96" i="24"/>
  <c r="EI97" i="24"/>
  <c r="EI98" i="24"/>
  <c r="EI99" i="24"/>
  <c r="EI100" i="24"/>
  <c r="EI101" i="24"/>
  <c r="EI102" i="24"/>
  <c r="EI103" i="24"/>
  <c r="EI104" i="24"/>
  <c r="EI105" i="24"/>
  <c r="EI106" i="24"/>
  <c r="EI107" i="24"/>
  <c r="EI108" i="24"/>
  <c r="EI109" i="24"/>
  <c r="EI110" i="24"/>
  <c r="EI111" i="24"/>
  <c r="EI112" i="24"/>
  <c r="EI113" i="24"/>
  <c r="EI114" i="24"/>
  <c r="EI115" i="24"/>
  <c r="EI116" i="24"/>
  <c r="EI117" i="24"/>
  <c r="EI118" i="24"/>
  <c r="EI119" i="24"/>
  <c r="EI120" i="24"/>
  <c r="EI121" i="24"/>
  <c r="EI122" i="24"/>
  <c r="EI123" i="24"/>
  <c r="EI124" i="24"/>
  <c r="EI125" i="24"/>
  <c r="EI126" i="24"/>
  <c r="EI127" i="24"/>
  <c r="EI128" i="24"/>
  <c r="EI129" i="24"/>
  <c r="EI130" i="24"/>
  <c r="EI131" i="24"/>
  <c r="EI132" i="24"/>
  <c r="EI133" i="24"/>
  <c r="EI134" i="24"/>
  <c r="EI135" i="24"/>
  <c r="EI136" i="24"/>
  <c r="EI137" i="24"/>
  <c r="EI138" i="24"/>
  <c r="EI139" i="24"/>
  <c r="EI140" i="24"/>
  <c r="EI141" i="24"/>
  <c r="EI142" i="24"/>
  <c r="EI143" i="24"/>
  <c r="EI144" i="24"/>
  <c r="EI145" i="24"/>
  <c r="EI146" i="24"/>
  <c r="EI147" i="24"/>
  <c r="EI148" i="24"/>
  <c r="EI149" i="24"/>
  <c r="EI150" i="24"/>
  <c r="EI151" i="24"/>
  <c r="EI152" i="24"/>
  <c r="EI153" i="24"/>
  <c r="EI154" i="24"/>
  <c r="EI155" i="24"/>
  <c r="EI156" i="24"/>
  <c r="EI157" i="24"/>
  <c r="EI158" i="24"/>
  <c r="EI159" i="24"/>
  <c r="EI160" i="24"/>
  <c r="EI161" i="24"/>
  <c r="EI162" i="24"/>
  <c r="EI163" i="24"/>
  <c r="EI164" i="24"/>
  <c r="EI165" i="24"/>
  <c r="EI166" i="24"/>
  <c r="EI167" i="24"/>
  <c r="EI168" i="24"/>
  <c r="EI169" i="24"/>
  <c r="EI170" i="24"/>
  <c r="EI171" i="24"/>
  <c r="EI172" i="24"/>
  <c r="EI173" i="24"/>
  <c r="EI174" i="24"/>
  <c r="EI175" i="24"/>
  <c r="EI176" i="24"/>
  <c r="EI177" i="24"/>
  <c r="EI178" i="24"/>
  <c r="EI179" i="24"/>
  <c r="EI180" i="24"/>
  <c r="EI181" i="24"/>
  <c r="EI182" i="24"/>
  <c r="EI183" i="24"/>
  <c r="EI184" i="24"/>
  <c r="EI185" i="24"/>
  <c r="EI186" i="24"/>
  <c r="EI187" i="24"/>
  <c r="EI188" i="24"/>
  <c r="EI189" i="24"/>
  <c r="EI190" i="24"/>
  <c r="EI191" i="24"/>
  <c r="EI192" i="24"/>
  <c r="EI193" i="24"/>
  <c r="EI194" i="24"/>
  <c r="EI195" i="24"/>
  <c r="EI196" i="24"/>
  <c r="EI197" i="24"/>
  <c r="EI198" i="24"/>
  <c r="EI199" i="24"/>
  <c r="EI200" i="24"/>
  <c r="EI201" i="24"/>
  <c r="EI202" i="24"/>
  <c r="EI203" i="24"/>
  <c r="EI204" i="24"/>
  <c r="EI205" i="24"/>
  <c r="EI206" i="24"/>
  <c r="EI207" i="24"/>
  <c r="EI208" i="24"/>
  <c r="EI209" i="24"/>
  <c r="EI210" i="24"/>
  <c r="EI211" i="24"/>
  <c r="EI212" i="24"/>
  <c r="EI213" i="24"/>
  <c r="EI214" i="24"/>
  <c r="EI215" i="24"/>
  <c r="EI216" i="24"/>
  <c r="EI217" i="24"/>
  <c r="EI218" i="24"/>
  <c r="EI219" i="24"/>
  <c r="EI220" i="24"/>
  <c r="EI221" i="24"/>
  <c r="EI222" i="24"/>
  <c r="EI223" i="24"/>
  <c r="EI224" i="24"/>
  <c r="EI225" i="24"/>
  <c r="EI226" i="24"/>
  <c r="EI227" i="24"/>
  <c r="EI228" i="24"/>
  <c r="EI229" i="24"/>
  <c r="EI230" i="24"/>
  <c r="EI231" i="24"/>
  <c r="EI232" i="24"/>
  <c r="EI233" i="24"/>
  <c r="EI234" i="24"/>
  <c r="EI235" i="24"/>
  <c r="EI236" i="24"/>
  <c r="EI237" i="24"/>
  <c r="EI238" i="24"/>
  <c r="EI239" i="24"/>
  <c r="EI240" i="24"/>
  <c r="EI241" i="24"/>
  <c r="EI242" i="24"/>
  <c r="EI243" i="24"/>
  <c r="EI244" i="24"/>
  <c r="EI245" i="24"/>
  <c r="EI246" i="24"/>
  <c r="EI247" i="24"/>
  <c r="EI248" i="24"/>
  <c r="EI249" i="24"/>
  <c r="EI2" i="24"/>
  <c r="CU2" i="24"/>
  <c r="CU3" i="24"/>
  <c r="CU4" i="24"/>
  <c r="CU5" i="24"/>
  <c r="CU6" i="24"/>
  <c r="CU7" i="24"/>
  <c r="CU8" i="24"/>
  <c r="CU9" i="24"/>
  <c r="CU10" i="24"/>
  <c r="CU11" i="24"/>
  <c r="CU12" i="24"/>
  <c r="CU13" i="24"/>
  <c r="CU14" i="24"/>
  <c r="CU15" i="24"/>
  <c r="CU16" i="24"/>
  <c r="CU17" i="24"/>
  <c r="CU18" i="24"/>
  <c r="CU19" i="24"/>
  <c r="CU20" i="24"/>
  <c r="CU21" i="24"/>
  <c r="CU22" i="24"/>
  <c r="CU23" i="24"/>
  <c r="CU24" i="24"/>
  <c r="CU25" i="24"/>
  <c r="CU26" i="24"/>
  <c r="CU27" i="24"/>
  <c r="CU28" i="24"/>
  <c r="CU29" i="24"/>
  <c r="CU30" i="24"/>
  <c r="CU31" i="24"/>
  <c r="CU32" i="24"/>
  <c r="CU33" i="24"/>
  <c r="CU34" i="24"/>
  <c r="CU35" i="24"/>
  <c r="CU36" i="24"/>
  <c r="CU37" i="24"/>
  <c r="CU38" i="24"/>
  <c r="CU39" i="24"/>
  <c r="CU40" i="24"/>
  <c r="CU41" i="24"/>
  <c r="CU42" i="24"/>
  <c r="CU43" i="24"/>
  <c r="CU44" i="24"/>
  <c r="CU45" i="24"/>
  <c r="CU46" i="24"/>
  <c r="CU47" i="24"/>
  <c r="CU48" i="24"/>
  <c r="CU49" i="24"/>
  <c r="CU50" i="24"/>
  <c r="CU51" i="24"/>
  <c r="CU52" i="24"/>
  <c r="CU53" i="24"/>
  <c r="CU54" i="24"/>
  <c r="CU55" i="24"/>
  <c r="CU56" i="24"/>
  <c r="CU57" i="24"/>
  <c r="CU58" i="24"/>
  <c r="CU59" i="24"/>
  <c r="CU60" i="24"/>
  <c r="CU61" i="24"/>
  <c r="CU62" i="24"/>
  <c r="CU63" i="24"/>
  <c r="CU64" i="24"/>
  <c r="CU65" i="24"/>
  <c r="CU66" i="24"/>
  <c r="CU67" i="24"/>
  <c r="CU68" i="24"/>
  <c r="CU69" i="24"/>
  <c r="CU70" i="24"/>
  <c r="CU71" i="24"/>
  <c r="CU72" i="24"/>
  <c r="CU73" i="24"/>
  <c r="CU74" i="24"/>
  <c r="CU75" i="24"/>
  <c r="CU76" i="24"/>
  <c r="CU77" i="24"/>
  <c r="CU78" i="24"/>
  <c r="CU79" i="24"/>
  <c r="CU80" i="24"/>
  <c r="CU81" i="24"/>
  <c r="CU82" i="24"/>
  <c r="CU83" i="24"/>
  <c r="CU84" i="24"/>
  <c r="CU85" i="24"/>
  <c r="CU86" i="24"/>
  <c r="CU87" i="24"/>
  <c r="CU88" i="24"/>
  <c r="CU89" i="24"/>
  <c r="CU90" i="24"/>
  <c r="CU91" i="24"/>
  <c r="CU92" i="24"/>
  <c r="CU93" i="24"/>
  <c r="CU94" i="24"/>
  <c r="CU95" i="24"/>
  <c r="CU96" i="24"/>
  <c r="CU97" i="24"/>
  <c r="CU98" i="24"/>
  <c r="CU99" i="24"/>
  <c r="CU100" i="24"/>
  <c r="CU101" i="24"/>
  <c r="CU102" i="24"/>
  <c r="CU103" i="24"/>
  <c r="CU104" i="24"/>
  <c r="CU105" i="24"/>
  <c r="CU106" i="24"/>
  <c r="CU107" i="24"/>
  <c r="CU108" i="24"/>
  <c r="CU109" i="24"/>
  <c r="CU110" i="24"/>
  <c r="CU111" i="24"/>
  <c r="CU112" i="24"/>
  <c r="CU113" i="24"/>
  <c r="CU114" i="24"/>
  <c r="CU115" i="24"/>
  <c r="CU116" i="24"/>
  <c r="CU117" i="24"/>
  <c r="CU118" i="24"/>
  <c r="CU119" i="24"/>
  <c r="CU120" i="24"/>
  <c r="CU121" i="24"/>
  <c r="CU122" i="24"/>
  <c r="CU123" i="24"/>
  <c r="CU124" i="24"/>
  <c r="CU125" i="24"/>
  <c r="CU126" i="24"/>
  <c r="CU127" i="24"/>
  <c r="CU128" i="24"/>
  <c r="CU129" i="24"/>
  <c r="CU130" i="24"/>
  <c r="CU131" i="24"/>
  <c r="CU132" i="24"/>
  <c r="CU133" i="24"/>
  <c r="CU134" i="24"/>
  <c r="CU135" i="24"/>
  <c r="CU136" i="24"/>
  <c r="CU137" i="24"/>
  <c r="CU138" i="24"/>
  <c r="CU139" i="24"/>
  <c r="CU140" i="24"/>
  <c r="CU141" i="24"/>
  <c r="CU142" i="24"/>
  <c r="CU143" i="24"/>
  <c r="CU144" i="24"/>
  <c r="CU145" i="24"/>
  <c r="CU146" i="24"/>
  <c r="CU147" i="24"/>
  <c r="CU148" i="24"/>
  <c r="CU149" i="24"/>
  <c r="CU150" i="24"/>
  <c r="CU151" i="24"/>
  <c r="CU152" i="24"/>
  <c r="CU153" i="24"/>
  <c r="CU154" i="24"/>
  <c r="CU155" i="24"/>
  <c r="CU156" i="24"/>
  <c r="CU157" i="24"/>
  <c r="CU158" i="24"/>
  <c r="CU159" i="24"/>
  <c r="CU160" i="24"/>
  <c r="CU161" i="24"/>
  <c r="CU162" i="24"/>
  <c r="CU163" i="24"/>
  <c r="CU164" i="24"/>
  <c r="CU165" i="24"/>
  <c r="CU166" i="24"/>
  <c r="CU167" i="24"/>
  <c r="CU168" i="24"/>
  <c r="CU169" i="24"/>
  <c r="CU170" i="24"/>
  <c r="CU171" i="24"/>
  <c r="CU172" i="24"/>
  <c r="CU173" i="24"/>
  <c r="CU174" i="24"/>
  <c r="CU175" i="24"/>
  <c r="CU176" i="24"/>
  <c r="CU177" i="24"/>
  <c r="CU178" i="24"/>
  <c r="CU179" i="24"/>
  <c r="CU180" i="24"/>
  <c r="CU181" i="24"/>
  <c r="CU182" i="24"/>
  <c r="CU183" i="24"/>
  <c r="CU184" i="24"/>
  <c r="CU185" i="24"/>
  <c r="CU186" i="24"/>
  <c r="CU187" i="24"/>
  <c r="CU188" i="24"/>
  <c r="CU189" i="24"/>
  <c r="CU190" i="24"/>
  <c r="CU191" i="24"/>
  <c r="CU192" i="24"/>
  <c r="CU193" i="24"/>
  <c r="CU194" i="24"/>
  <c r="CU195" i="24"/>
  <c r="CU196" i="24"/>
  <c r="CU197" i="24"/>
  <c r="CU198" i="24"/>
  <c r="CU199" i="24"/>
  <c r="CU200" i="24"/>
  <c r="CU201" i="24"/>
  <c r="CU202" i="24"/>
  <c r="CU203" i="24"/>
  <c r="CU204" i="24"/>
  <c r="CU205" i="24"/>
  <c r="CU206" i="24"/>
  <c r="CU207" i="24"/>
  <c r="CU208" i="24"/>
  <c r="CU209" i="24"/>
  <c r="CU210" i="24"/>
  <c r="CU211" i="24"/>
  <c r="CU212" i="24"/>
  <c r="CU213" i="24"/>
  <c r="CU214" i="24"/>
  <c r="CU215" i="24"/>
  <c r="CU216" i="24"/>
  <c r="CU217" i="24"/>
  <c r="CU218" i="24"/>
  <c r="CU219" i="24"/>
  <c r="CU220" i="24"/>
  <c r="CU221" i="24"/>
  <c r="CU222" i="24"/>
  <c r="CU223" i="24"/>
  <c r="CU224" i="24"/>
  <c r="CU225" i="24"/>
  <c r="CU226" i="24"/>
  <c r="CU227" i="24"/>
  <c r="CU228" i="24"/>
  <c r="CU229" i="24"/>
  <c r="CU230" i="24"/>
  <c r="CU231" i="24"/>
  <c r="CU232" i="24"/>
  <c r="CU233" i="24"/>
  <c r="CU234" i="24"/>
  <c r="CU235" i="24"/>
  <c r="CU236" i="24"/>
  <c r="CU237" i="24"/>
  <c r="CU238" i="24"/>
  <c r="CU239" i="24"/>
  <c r="CU240" i="24"/>
  <c r="CU241" i="24"/>
  <c r="CU242" i="24"/>
  <c r="CU243" i="24"/>
  <c r="CU244" i="24"/>
  <c r="CU245" i="24"/>
  <c r="CU246" i="24"/>
  <c r="CU247" i="24"/>
  <c r="CU248" i="24"/>
  <c r="CU249" i="24"/>
  <c r="EF2" i="24"/>
  <c r="EG2" i="24"/>
  <c r="EH2" i="24"/>
  <c r="EJ2" i="24"/>
  <c r="EK2" i="24"/>
  <c r="EF3" i="24"/>
  <c r="EG3" i="24"/>
  <c r="EH3" i="24"/>
  <c r="EJ3" i="24"/>
  <c r="EK3" i="24"/>
  <c r="EF4" i="24"/>
  <c r="EG4" i="24"/>
  <c r="EH4" i="24"/>
  <c r="EJ4" i="24"/>
  <c r="EK4" i="24"/>
  <c r="EF5" i="24"/>
  <c r="EG5" i="24"/>
  <c r="EH5" i="24"/>
  <c r="EJ5" i="24"/>
  <c r="EK5" i="24"/>
  <c r="EF6" i="24"/>
  <c r="EG6" i="24"/>
  <c r="EH6" i="24"/>
  <c r="EJ6" i="24"/>
  <c r="EK6" i="24"/>
  <c r="EF7" i="24"/>
  <c r="EG7" i="24"/>
  <c r="EH7" i="24"/>
  <c r="EJ7" i="24"/>
  <c r="EK7" i="24"/>
  <c r="EF8" i="24"/>
  <c r="EG8" i="24"/>
  <c r="EH8" i="24"/>
  <c r="EJ8" i="24"/>
  <c r="EK8" i="24"/>
  <c r="EF9" i="24"/>
  <c r="EG9" i="24"/>
  <c r="EH9" i="24"/>
  <c r="EJ9" i="24"/>
  <c r="EK9" i="24"/>
  <c r="EF10" i="24"/>
  <c r="EG10" i="24"/>
  <c r="EH10" i="24"/>
  <c r="EJ10" i="24"/>
  <c r="EK10" i="24"/>
  <c r="EF11" i="24"/>
  <c r="EG11" i="24"/>
  <c r="EH11" i="24"/>
  <c r="EJ11" i="24"/>
  <c r="EK11" i="24"/>
  <c r="EF12" i="24"/>
  <c r="EG12" i="24"/>
  <c r="EH12" i="24"/>
  <c r="EJ12" i="24"/>
  <c r="EK12" i="24"/>
  <c r="EF13" i="24"/>
  <c r="EG13" i="24"/>
  <c r="EH13" i="24"/>
  <c r="EJ13" i="24"/>
  <c r="EK13" i="24"/>
  <c r="EF14" i="24"/>
  <c r="EG14" i="24"/>
  <c r="EH14" i="24"/>
  <c r="EJ14" i="24"/>
  <c r="EK14" i="24"/>
  <c r="EF15" i="24"/>
  <c r="EG15" i="24"/>
  <c r="EH15" i="24"/>
  <c r="EJ15" i="24"/>
  <c r="EK15" i="24"/>
  <c r="EF16" i="24"/>
  <c r="EG16" i="24"/>
  <c r="EH16" i="24"/>
  <c r="EJ16" i="24"/>
  <c r="EK16" i="24"/>
  <c r="EF17" i="24"/>
  <c r="EG17" i="24"/>
  <c r="EH17" i="24"/>
  <c r="EJ17" i="24"/>
  <c r="EK17" i="24"/>
  <c r="EF18" i="24"/>
  <c r="EG18" i="24"/>
  <c r="EH18" i="24"/>
  <c r="EJ18" i="24"/>
  <c r="EK18" i="24"/>
  <c r="EF19" i="24"/>
  <c r="EG19" i="24"/>
  <c r="EH19" i="24"/>
  <c r="EJ19" i="24"/>
  <c r="EK19" i="24"/>
  <c r="EF20" i="24"/>
  <c r="EG20" i="24"/>
  <c r="EH20" i="24"/>
  <c r="EJ20" i="24"/>
  <c r="EK20" i="24"/>
  <c r="EF21" i="24"/>
  <c r="EG21" i="24"/>
  <c r="EH21" i="24"/>
  <c r="EJ21" i="24"/>
  <c r="EK21" i="24"/>
  <c r="EF22" i="24"/>
  <c r="EG22" i="24"/>
  <c r="EH22" i="24"/>
  <c r="EJ22" i="24"/>
  <c r="EK22" i="24"/>
  <c r="EF23" i="24"/>
  <c r="EG23" i="24"/>
  <c r="EH23" i="24"/>
  <c r="EJ23" i="24"/>
  <c r="EK23" i="24"/>
  <c r="EF24" i="24"/>
  <c r="EG24" i="24"/>
  <c r="EH24" i="24"/>
  <c r="EJ24" i="24"/>
  <c r="EK24" i="24"/>
  <c r="EF25" i="24"/>
  <c r="EG25" i="24"/>
  <c r="EH25" i="24"/>
  <c r="EJ25" i="24"/>
  <c r="EK25" i="24"/>
  <c r="EF26" i="24"/>
  <c r="EG26" i="24"/>
  <c r="EH26" i="24"/>
  <c r="EJ26" i="24"/>
  <c r="EK26" i="24"/>
  <c r="EF27" i="24"/>
  <c r="EG27" i="24"/>
  <c r="EH27" i="24"/>
  <c r="EJ27" i="24"/>
  <c r="EK27" i="24"/>
  <c r="EF28" i="24"/>
  <c r="EG28" i="24"/>
  <c r="EH28" i="24"/>
  <c r="EJ28" i="24"/>
  <c r="EK28" i="24"/>
  <c r="EF29" i="24"/>
  <c r="EG29" i="24"/>
  <c r="EH29" i="24"/>
  <c r="EJ29" i="24"/>
  <c r="EK29" i="24"/>
  <c r="EF30" i="24"/>
  <c r="EG30" i="24"/>
  <c r="EH30" i="24"/>
  <c r="EJ30" i="24"/>
  <c r="EK30" i="24"/>
  <c r="EF31" i="24"/>
  <c r="EG31" i="24"/>
  <c r="EH31" i="24"/>
  <c r="EJ31" i="24"/>
  <c r="EK31" i="24"/>
  <c r="EF32" i="24"/>
  <c r="EG32" i="24"/>
  <c r="EH32" i="24"/>
  <c r="EJ32" i="24"/>
  <c r="EK32" i="24"/>
  <c r="EF33" i="24"/>
  <c r="EG33" i="24"/>
  <c r="EH33" i="24"/>
  <c r="EJ33" i="24"/>
  <c r="EK33" i="24"/>
  <c r="EF34" i="24"/>
  <c r="EG34" i="24"/>
  <c r="EH34" i="24"/>
  <c r="EJ34" i="24"/>
  <c r="EK34" i="24"/>
  <c r="EF35" i="24"/>
  <c r="EG35" i="24"/>
  <c r="EH35" i="24"/>
  <c r="EJ35" i="24"/>
  <c r="EK35" i="24"/>
  <c r="EF36" i="24"/>
  <c r="EG36" i="24"/>
  <c r="EH36" i="24"/>
  <c r="EJ36" i="24"/>
  <c r="EK36" i="24"/>
  <c r="EF37" i="24"/>
  <c r="EG37" i="24"/>
  <c r="EH37" i="24"/>
  <c r="EJ37" i="24"/>
  <c r="EK37" i="24"/>
  <c r="EF38" i="24"/>
  <c r="EG38" i="24"/>
  <c r="EH38" i="24"/>
  <c r="EJ38" i="24"/>
  <c r="EK38" i="24"/>
  <c r="EF39" i="24"/>
  <c r="EG39" i="24"/>
  <c r="EH39" i="24"/>
  <c r="EJ39" i="24"/>
  <c r="EK39" i="24"/>
  <c r="EF40" i="24"/>
  <c r="EG40" i="24"/>
  <c r="EH40" i="24"/>
  <c r="EJ40" i="24"/>
  <c r="EK40" i="24"/>
  <c r="EF41" i="24"/>
  <c r="EG41" i="24"/>
  <c r="EH41" i="24"/>
  <c r="EJ41" i="24"/>
  <c r="EK41" i="24"/>
  <c r="EF42" i="24"/>
  <c r="EG42" i="24"/>
  <c r="EH42" i="24"/>
  <c r="EJ42" i="24"/>
  <c r="EK42" i="24"/>
  <c r="EF43" i="24"/>
  <c r="EG43" i="24"/>
  <c r="EH43" i="24"/>
  <c r="EJ43" i="24"/>
  <c r="EK43" i="24"/>
  <c r="EF44" i="24"/>
  <c r="EG44" i="24"/>
  <c r="EH44" i="24"/>
  <c r="EJ44" i="24"/>
  <c r="EK44" i="24"/>
  <c r="EF45" i="24"/>
  <c r="EG45" i="24"/>
  <c r="EH45" i="24"/>
  <c r="EJ45" i="24"/>
  <c r="EK45" i="24"/>
  <c r="EF46" i="24"/>
  <c r="EG46" i="24"/>
  <c r="EH46" i="24"/>
  <c r="EJ46" i="24"/>
  <c r="EK46" i="24"/>
  <c r="EF47" i="24"/>
  <c r="EG47" i="24"/>
  <c r="EH47" i="24"/>
  <c r="EJ47" i="24"/>
  <c r="EK47" i="24"/>
  <c r="EF48" i="24"/>
  <c r="EG48" i="24"/>
  <c r="EH48" i="24"/>
  <c r="EJ48" i="24"/>
  <c r="EK48" i="24"/>
  <c r="EF49" i="24"/>
  <c r="EG49" i="24"/>
  <c r="EH49" i="24"/>
  <c r="EJ49" i="24"/>
  <c r="EK49" i="24"/>
  <c r="EF50" i="24"/>
  <c r="EG50" i="24"/>
  <c r="EH50" i="24"/>
  <c r="EJ50" i="24"/>
  <c r="EK50" i="24"/>
  <c r="EF51" i="24"/>
  <c r="EG51" i="24"/>
  <c r="EH51" i="24"/>
  <c r="EJ51" i="24"/>
  <c r="EK51" i="24"/>
  <c r="EF52" i="24"/>
  <c r="EG52" i="24"/>
  <c r="EH52" i="24"/>
  <c r="EJ52" i="24"/>
  <c r="EK52" i="24"/>
  <c r="EF53" i="24"/>
  <c r="EG53" i="24"/>
  <c r="EH53" i="24"/>
  <c r="EJ53" i="24"/>
  <c r="EK53" i="24"/>
  <c r="EF54" i="24"/>
  <c r="EG54" i="24"/>
  <c r="EH54" i="24"/>
  <c r="EJ54" i="24"/>
  <c r="EK54" i="24"/>
  <c r="EF55" i="24"/>
  <c r="EG55" i="24"/>
  <c r="EH55" i="24"/>
  <c r="EJ55" i="24"/>
  <c r="EK55" i="24"/>
  <c r="EF56" i="24"/>
  <c r="EG56" i="24"/>
  <c r="EH56" i="24"/>
  <c r="EJ56" i="24"/>
  <c r="EK56" i="24"/>
  <c r="EF57" i="24"/>
  <c r="EG57" i="24"/>
  <c r="EH57" i="24"/>
  <c r="EJ57" i="24"/>
  <c r="EK57" i="24"/>
  <c r="EF58" i="24"/>
  <c r="EG58" i="24"/>
  <c r="EH58" i="24"/>
  <c r="EJ58" i="24"/>
  <c r="EK58" i="24"/>
  <c r="EF59" i="24"/>
  <c r="EG59" i="24"/>
  <c r="EH59" i="24"/>
  <c r="EJ59" i="24"/>
  <c r="EK59" i="24"/>
  <c r="EF60" i="24"/>
  <c r="EG60" i="24"/>
  <c r="EH60" i="24"/>
  <c r="EJ60" i="24"/>
  <c r="EK60" i="24"/>
  <c r="EF61" i="24"/>
  <c r="EG61" i="24"/>
  <c r="EH61" i="24"/>
  <c r="EJ61" i="24"/>
  <c r="EK61" i="24"/>
  <c r="EF62" i="24"/>
  <c r="EG62" i="24"/>
  <c r="EH62" i="24"/>
  <c r="EJ62" i="24"/>
  <c r="EK62" i="24"/>
  <c r="EF63" i="24"/>
  <c r="EG63" i="24"/>
  <c r="EH63" i="24"/>
  <c r="EJ63" i="24"/>
  <c r="EK63" i="24"/>
  <c r="EF64" i="24"/>
  <c r="EG64" i="24"/>
  <c r="EH64" i="24"/>
  <c r="EJ64" i="24"/>
  <c r="EK64" i="24"/>
  <c r="EF65" i="24"/>
  <c r="EG65" i="24"/>
  <c r="EH65" i="24"/>
  <c r="EJ65" i="24"/>
  <c r="EK65" i="24"/>
  <c r="EF66" i="24"/>
  <c r="EG66" i="24"/>
  <c r="EH66" i="24"/>
  <c r="EJ66" i="24"/>
  <c r="EK66" i="24"/>
  <c r="EF67" i="24"/>
  <c r="EG67" i="24"/>
  <c r="EH67" i="24"/>
  <c r="EJ67" i="24"/>
  <c r="EK67" i="24"/>
  <c r="EF68" i="24"/>
  <c r="EG68" i="24"/>
  <c r="EH68" i="24"/>
  <c r="EJ68" i="24"/>
  <c r="EK68" i="24"/>
  <c r="EF69" i="24"/>
  <c r="EG69" i="24"/>
  <c r="EH69" i="24"/>
  <c r="EJ69" i="24"/>
  <c r="EK69" i="24"/>
  <c r="EF70" i="24"/>
  <c r="EG70" i="24"/>
  <c r="EH70" i="24"/>
  <c r="EJ70" i="24"/>
  <c r="EK70" i="24"/>
  <c r="EF71" i="24"/>
  <c r="EG71" i="24"/>
  <c r="EH71" i="24"/>
  <c r="EJ71" i="24"/>
  <c r="EK71" i="24"/>
  <c r="EF72" i="24"/>
  <c r="EG72" i="24"/>
  <c r="EH72" i="24"/>
  <c r="EJ72" i="24"/>
  <c r="EK72" i="24"/>
  <c r="EF73" i="24"/>
  <c r="EG73" i="24"/>
  <c r="EH73" i="24"/>
  <c r="EJ73" i="24"/>
  <c r="EK73" i="24"/>
  <c r="EF74" i="24"/>
  <c r="EG74" i="24"/>
  <c r="EH74" i="24"/>
  <c r="EJ74" i="24"/>
  <c r="EK74" i="24"/>
  <c r="EF75" i="24"/>
  <c r="EG75" i="24"/>
  <c r="EH75" i="24"/>
  <c r="EJ75" i="24"/>
  <c r="EK75" i="24"/>
  <c r="EF76" i="24"/>
  <c r="EG76" i="24"/>
  <c r="EH76" i="24"/>
  <c r="EJ76" i="24"/>
  <c r="EK76" i="24"/>
  <c r="EF77" i="24"/>
  <c r="EG77" i="24"/>
  <c r="EH77" i="24"/>
  <c r="EJ77" i="24"/>
  <c r="EK77" i="24"/>
  <c r="EF78" i="24"/>
  <c r="EG78" i="24"/>
  <c r="EH78" i="24"/>
  <c r="EJ78" i="24"/>
  <c r="EK78" i="24"/>
  <c r="EF79" i="24"/>
  <c r="EG79" i="24"/>
  <c r="EH79" i="24"/>
  <c r="EJ79" i="24"/>
  <c r="EK79" i="24"/>
  <c r="EF80" i="24"/>
  <c r="EG80" i="24"/>
  <c r="EH80" i="24"/>
  <c r="EJ80" i="24"/>
  <c r="EK80" i="24"/>
  <c r="EF81" i="24"/>
  <c r="EG81" i="24"/>
  <c r="EH81" i="24"/>
  <c r="EJ81" i="24"/>
  <c r="EK81" i="24"/>
  <c r="EF82" i="24"/>
  <c r="EG82" i="24"/>
  <c r="EH82" i="24"/>
  <c r="EJ82" i="24"/>
  <c r="EK82" i="24"/>
  <c r="EF83" i="24"/>
  <c r="EG83" i="24"/>
  <c r="EH83" i="24"/>
  <c r="EJ83" i="24"/>
  <c r="EK83" i="24"/>
  <c r="EF84" i="24"/>
  <c r="EG84" i="24"/>
  <c r="EH84" i="24"/>
  <c r="EJ84" i="24"/>
  <c r="EK84" i="24"/>
  <c r="EF85" i="24"/>
  <c r="EG85" i="24"/>
  <c r="EH85" i="24"/>
  <c r="EJ85" i="24"/>
  <c r="EK85" i="24"/>
  <c r="EF86" i="24"/>
  <c r="EG86" i="24"/>
  <c r="EH86" i="24"/>
  <c r="EJ86" i="24"/>
  <c r="EK86" i="24"/>
  <c r="EF87" i="24"/>
  <c r="EG87" i="24"/>
  <c r="EH87" i="24"/>
  <c r="EJ87" i="24"/>
  <c r="EK87" i="24"/>
  <c r="EF88" i="24"/>
  <c r="EG88" i="24"/>
  <c r="EH88" i="24"/>
  <c r="EJ88" i="24"/>
  <c r="EK88" i="24"/>
  <c r="EF89" i="24"/>
  <c r="EG89" i="24"/>
  <c r="EH89" i="24"/>
  <c r="EJ89" i="24"/>
  <c r="EK89" i="24"/>
  <c r="EF90" i="24"/>
  <c r="EG90" i="24"/>
  <c r="EH90" i="24"/>
  <c r="EJ90" i="24"/>
  <c r="EK90" i="24"/>
  <c r="EF91" i="24"/>
  <c r="EG91" i="24"/>
  <c r="EH91" i="24"/>
  <c r="EJ91" i="24"/>
  <c r="EK91" i="24"/>
  <c r="EF92" i="24"/>
  <c r="EG92" i="24"/>
  <c r="EH92" i="24"/>
  <c r="EJ92" i="24"/>
  <c r="EK92" i="24"/>
  <c r="EF93" i="24"/>
  <c r="EG93" i="24"/>
  <c r="EH93" i="24"/>
  <c r="EJ93" i="24"/>
  <c r="EK93" i="24"/>
  <c r="EF94" i="24"/>
  <c r="EG94" i="24"/>
  <c r="EH94" i="24"/>
  <c r="EJ94" i="24"/>
  <c r="EK94" i="24"/>
  <c r="EF95" i="24"/>
  <c r="EG95" i="24"/>
  <c r="EH95" i="24"/>
  <c r="EJ95" i="24"/>
  <c r="EK95" i="24"/>
  <c r="EF96" i="24"/>
  <c r="EG96" i="24"/>
  <c r="EH96" i="24"/>
  <c r="EJ96" i="24"/>
  <c r="EK96" i="24"/>
  <c r="EF97" i="24"/>
  <c r="EG97" i="24"/>
  <c r="EH97" i="24"/>
  <c r="EJ97" i="24"/>
  <c r="EK97" i="24"/>
  <c r="EF98" i="24"/>
  <c r="EG98" i="24"/>
  <c r="EH98" i="24"/>
  <c r="EJ98" i="24"/>
  <c r="EK98" i="24"/>
  <c r="EF99" i="24"/>
  <c r="EG99" i="24"/>
  <c r="EH99" i="24"/>
  <c r="EJ99" i="24"/>
  <c r="EK99" i="24"/>
  <c r="EF100" i="24"/>
  <c r="EG100" i="24"/>
  <c r="EH100" i="24"/>
  <c r="EJ100" i="24"/>
  <c r="EK100" i="24"/>
  <c r="EF101" i="24"/>
  <c r="EG101" i="24"/>
  <c r="EH101" i="24"/>
  <c r="EJ101" i="24"/>
  <c r="EK101" i="24"/>
  <c r="EF102" i="24"/>
  <c r="EG102" i="24"/>
  <c r="EH102" i="24"/>
  <c r="EJ102" i="24"/>
  <c r="EK102" i="24"/>
  <c r="EF103" i="24"/>
  <c r="EG103" i="24"/>
  <c r="EH103" i="24"/>
  <c r="EJ103" i="24"/>
  <c r="EK103" i="24"/>
  <c r="EF104" i="24"/>
  <c r="EG104" i="24"/>
  <c r="EH104" i="24"/>
  <c r="EJ104" i="24"/>
  <c r="EK104" i="24"/>
  <c r="EF105" i="24"/>
  <c r="EG105" i="24"/>
  <c r="EH105" i="24"/>
  <c r="EJ105" i="24"/>
  <c r="EK105" i="24"/>
  <c r="EF106" i="24"/>
  <c r="EG106" i="24"/>
  <c r="EH106" i="24"/>
  <c r="EJ106" i="24"/>
  <c r="EK106" i="24"/>
  <c r="EF107" i="24"/>
  <c r="EG107" i="24"/>
  <c r="EH107" i="24"/>
  <c r="EJ107" i="24"/>
  <c r="EK107" i="24"/>
  <c r="EF108" i="24"/>
  <c r="EG108" i="24"/>
  <c r="EH108" i="24"/>
  <c r="EJ108" i="24"/>
  <c r="EK108" i="24"/>
  <c r="EF109" i="24"/>
  <c r="EG109" i="24"/>
  <c r="EH109" i="24"/>
  <c r="EJ109" i="24"/>
  <c r="EK109" i="24"/>
  <c r="EF110" i="24"/>
  <c r="EG110" i="24"/>
  <c r="EH110" i="24"/>
  <c r="EJ110" i="24"/>
  <c r="EK110" i="24"/>
  <c r="EF111" i="24"/>
  <c r="EG111" i="24"/>
  <c r="EH111" i="24"/>
  <c r="EJ111" i="24"/>
  <c r="EK111" i="24"/>
  <c r="EF112" i="24"/>
  <c r="EG112" i="24"/>
  <c r="EH112" i="24"/>
  <c r="EJ112" i="24"/>
  <c r="EK112" i="24"/>
  <c r="EF113" i="24"/>
  <c r="EG113" i="24"/>
  <c r="EH113" i="24"/>
  <c r="EJ113" i="24"/>
  <c r="EK113" i="24"/>
  <c r="EF114" i="24"/>
  <c r="EG114" i="24"/>
  <c r="EH114" i="24"/>
  <c r="EJ114" i="24"/>
  <c r="EK114" i="24"/>
  <c r="EF115" i="24"/>
  <c r="EG115" i="24"/>
  <c r="EH115" i="24"/>
  <c r="EJ115" i="24"/>
  <c r="EK115" i="24"/>
  <c r="EF116" i="24"/>
  <c r="EG116" i="24"/>
  <c r="EH116" i="24"/>
  <c r="EJ116" i="24"/>
  <c r="EK116" i="24"/>
  <c r="EF117" i="24"/>
  <c r="EG117" i="24"/>
  <c r="EH117" i="24"/>
  <c r="EJ117" i="24"/>
  <c r="EK117" i="24"/>
  <c r="EF118" i="24"/>
  <c r="EG118" i="24"/>
  <c r="EH118" i="24"/>
  <c r="EJ118" i="24"/>
  <c r="EK118" i="24"/>
  <c r="EF119" i="24"/>
  <c r="EG119" i="24"/>
  <c r="EH119" i="24"/>
  <c r="EJ119" i="24"/>
  <c r="EK119" i="24"/>
  <c r="EF120" i="24"/>
  <c r="EG120" i="24"/>
  <c r="EH120" i="24"/>
  <c r="EJ120" i="24"/>
  <c r="EK120" i="24"/>
  <c r="EF121" i="24"/>
  <c r="EG121" i="24"/>
  <c r="EH121" i="24"/>
  <c r="EJ121" i="24"/>
  <c r="EK121" i="24"/>
  <c r="EF122" i="24"/>
  <c r="EG122" i="24"/>
  <c r="EH122" i="24"/>
  <c r="EJ122" i="24"/>
  <c r="EK122" i="24"/>
  <c r="EF123" i="24"/>
  <c r="EG123" i="24"/>
  <c r="EH123" i="24"/>
  <c r="EJ123" i="24"/>
  <c r="EK123" i="24"/>
  <c r="EF124" i="24"/>
  <c r="EG124" i="24"/>
  <c r="EH124" i="24"/>
  <c r="EJ124" i="24"/>
  <c r="EK124" i="24"/>
  <c r="EF125" i="24"/>
  <c r="EG125" i="24"/>
  <c r="EH125" i="24"/>
  <c r="EJ125" i="24"/>
  <c r="EK125" i="24"/>
  <c r="EF126" i="24"/>
  <c r="EG126" i="24"/>
  <c r="EH126" i="24"/>
  <c r="EJ126" i="24"/>
  <c r="EK126" i="24"/>
  <c r="EF127" i="24"/>
  <c r="EG127" i="24"/>
  <c r="EH127" i="24"/>
  <c r="EJ127" i="24"/>
  <c r="EK127" i="24"/>
  <c r="EF128" i="24"/>
  <c r="EG128" i="24"/>
  <c r="EH128" i="24"/>
  <c r="EJ128" i="24"/>
  <c r="EK128" i="24"/>
  <c r="EF129" i="24"/>
  <c r="EG129" i="24"/>
  <c r="EH129" i="24"/>
  <c r="EJ129" i="24"/>
  <c r="EK129" i="24"/>
  <c r="EF130" i="24"/>
  <c r="EG130" i="24"/>
  <c r="EH130" i="24"/>
  <c r="EJ130" i="24"/>
  <c r="EK130" i="24"/>
  <c r="EF131" i="24"/>
  <c r="EG131" i="24"/>
  <c r="EH131" i="24"/>
  <c r="EJ131" i="24"/>
  <c r="EK131" i="24"/>
  <c r="EF132" i="24"/>
  <c r="EG132" i="24"/>
  <c r="EH132" i="24"/>
  <c r="EJ132" i="24"/>
  <c r="EK132" i="24"/>
  <c r="EF133" i="24"/>
  <c r="EG133" i="24"/>
  <c r="EH133" i="24"/>
  <c r="EJ133" i="24"/>
  <c r="EK133" i="24"/>
  <c r="EF134" i="24"/>
  <c r="EG134" i="24"/>
  <c r="EH134" i="24"/>
  <c r="EJ134" i="24"/>
  <c r="EK134" i="24"/>
  <c r="EF135" i="24"/>
  <c r="EG135" i="24"/>
  <c r="EH135" i="24"/>
  <c r="EJ135" i="24"/>
  <c r="EK135" i="24"/>
  <c r="EF136" i="24"/>
  <c r="EG136" i="24"/>
  <c r="EH136" i="24"/>
  <c r="EJ136" i="24"/>
  <c r="EK136" i="24"/>
  <c r="EF137" i="24"/>
  <c r="EG137" i="24"/>
  <c r="EH137" i="24"/>
  <c r="EJ137" i="24"/>
  <c r="EK137" i="24"/>
  <c r="EF138" i="24"/>
  <c r="EG138" i="24"/>
  <c r="EH138" i="24"/>
  <c r="EJ138" i="24"/>
  <c r="EK138" i="24"/>
  <c r="EF139" i="24"/>
  <c r="EG139" i="24"/>
  <c r="EH139" i="24"/>
  <c r="EJ139" i="24"/>
  <c r="EK139" i="24"/>
  <c r="EF140" i="24"/>
  <c r="EG140" i="24"/>
  <c r="EH140" i="24"/>
  <c r="EJ140" i="24"/>
  <c r="EK140" i="24"/>
  <c r="EF141" i="24"/>
  <c r="EG141" i="24"/>
  <c r="EH141" i="24"/>
  <c r="EJ141" i="24"/>
  <c r="EK141" i="24"/>
  <c r="EF142" i="24"/>
  <c r="EG142" i="24"/>
  <c r="EH142" i="24"/>
  <c r="EJ142" i="24"/>
  <c r="EK142" i="24"/>
  <c r="EF143" i="24"/>
  <c r="EG143" i="24"/>
  <c r="EH143" i="24"/>
  <c r="EJ143" i="24"/>
  <c r="EK143" i="24"/>
  <c r="EF144" i="24"/>
  <c r="EG144" i="24"/>
  <c r="EH144" i="24"/>
  <c r="EJ144" i="24"/>
  <c r="EK144" i="24"/>
  <c r="EF145" i="24"/>
  <c r="EG145" i="24"/>
  <c r="EH145" i="24"/>
  <c r="EJ145" i="24"/>
  <c r="EK145" i="24"/>
  <c r="EF146" i="24"/>
  <c r="EG146" i="24"/>
  <c r="EH146" i="24"/>
  <c r="EJ146" i="24"/>
  <c r="EK146" i="24"/>
  <c r="EF147" i="24"/>
  <c r="EG147" i="24"/>
  <c r="EH147" i="24"/>
  <c r="EJ147" i="24"/>
  <c r="EK147" i="24"/>
  <c r="EF148" i="24"/>
  <c r="EG148" i="24"/>
  <c r="EH148" i="24"/>
  <c r="EJ148" i="24"/>
  <c r="EK148" i="24"/>
  <c r="EF149" i="24"/>
  <c r="EG149" i="24"/>
  <c r="EH149" i="24"/>
  <c r="EJ149" i="24"/>
  <c r="EK149" i="24"/>
  <c r="EF150" i="24"/>
  <c r="EG150" i="24"/>
  <c r="EH150" i="24"/>
  <c r="EJ150" i="24"/>
  <c r="EK150" i="24"/>
  <c r="EF151" i="24"/>
  <c r="EG151" i="24"/>
  <c r="EH151" i="24"/>
  <c r="EJ151" i="24"/>
  <c r="EK151" i="24"/>
  <c r="EF152" i="24"/>
  <c r="EG152" i="24"/>
  <c r="EH152" i="24"/>
  <c r="EJ152" i="24"/>
  <c r="EK152" i="24"/>
  <c r="EF153" i="24"/>
  <c r="EG153" i="24"/>
  <c r="EH153" i="24"/>
  <c r="EJ153" i="24"/>
  <c r="EK153" i="24"/>
  <c r="I17" i="14" l="1"/>
  <c r="G5" i="14"/>
  <c r="I5" i="14" s="1"/>
  <c r="AD2" i="14"/>
  <c r="AD3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C106" i="16" l="1"/>
  <c r="T38" i="22" l="1"/>
  <c r="X38" i="22"/>
  <c r="DJ433" i="50"/>
  <c r="DI433" i="50"/>
  <c r="DH433" i="50"/>
  <c r="DG433" i="50"/>
  <c r="DF433" i="50"/>
  <c r="DE433" i="50"/>
  <c r="BV433" i="50"/>
  <c r="BU433" i="50"/>
  <c r="BT433" i="50"/>
  <c r="DJ432" i="50"/>
  <c r="DI432" i="50"/>
  <c r="DH432" i="50"/>
  <c r="DG432" i="50"/>
  <c r="DF432" i="50"/>
  <c r="DE432" i="50"/>
  <c r="BV432" i="50"/>
  <c r="BU432" i="50"/>
  <c r="BT432" i="50"/>
  <c r="DJ431" i="50"/>
  <c r="DI431" i="50"/>
  <c r="DH431" i="50"/>
  <c r="DG431" i="50"/>
  <c r="DF431" i="50"/>
  <c r="DE431" i="50"/>
  <c r="BV431" i="50"/>
  <c r="BU431" i="50"/>
  <c r="BT431" i="50"/>
  <c r="DJ430" i="50"/>
  <c r="DI430" i="50"/>
  <c r="DH430" i="50"/>
  <c r="DG430" i="50"/>
  <c r="DF430" i="50"/>
  <c r="DE430" i="50"/>
  <c r="BV430" i="50"/>
  <c r="BU430" i="50"/>
  <c r="BT430" i="50"/>
  <c r="DJ429" i="50"/>
  <c r="DI429" i="50"/>
  <c r="DH429" i="50"/>
  <c r="DG429" i="50"/>
  <c r="DF429" i="50"/>
  <c r="DE429" i="50"/>
  <c r="BV429" i="50"/>
  <c r="BU429" i="50"/>
  <c r="BT429" i="50"/>
  <c r="DJ428" i="50"/>
  <c r="DI428" i="50"/>
  <c r="DH428" i="50"/>
  <c r="DG428" i="50"/>
  <c r="DF428" i="50"/>
  <c r="DE428" i="50"/>
  <c r="BV428" i="50"/>
  <c r="BU428" i="50"/>
  <c r="BT428" i="50"/>
  <c r="DJ427" i="50"/>
  <c r="DI427" i="50"/>
  <c r="DH427" i="50"/>
  <c r="DG427" i="50"/>
  <c r="DF427" i="50"/>
  <c r="DE427" i="50"/>
  <c r="BV427" i="50"/>
  <c r="BU427" i="50"/>
  <c r="BT427" i="50"/>
  <c r="DJ426" i="50"/>
  <c r="DI426" i="50"/>
  <c r="DH426" i="50"/>
  <c r="DG426" i="50"/>
  <c r="DF426" i="50"/>
  <c r="DE426" i="50"/>
  <c r="BV426" i="50"/>
  <c r="BU426" i="50"/>
  <c r="BT426" i="50"/>
  <c r="DJ425" i="50"/>
  <c r="DI425" i="50"/>
  <c r="DH425" i="50"/>
  <c r="DG425" i="50"/>
  <c r="DF425" i="50"/>
  <c r="DE425" i="50"/>
  <c r="BV425" i="50"/>
  <c r="BU425" i="50"/>
  <c r="BT425" i="50"/>
  <c r="DJ424" i="50"/>
  <c r="DI424" i="50"/>
  <c r="DH424" i="50"/>
  <c r="DG424" i="50"/>
  <c r="DF424" i="50"/>
  <c r="DE424" i="50"/>
  <c r="BV424" i="50"/>
  <c r="BU424" i="50"/>
  <c r="BT424" i="50"/>
  <c r="DJ423" i="50"/>
  <c r="DI423" i="50"/>
  <c r="DH423" i="50"/>
  <c r="DG423" i="50"/>
  <c r="DF423" i="50"/>
  <c r="DE423" i="50"/>
  <c r="BV423" i="50"/>
  <c r="BU423" i="50"/>
  <c r="BT423" i="50"/>
  <c r="DJ422" i="50"/>
  <c r="DI422" i="50"/>
  <c r="DH422" i="50"/>
  <c r="DG422" i="50"/>
  <c r="DF422" i="50"/>
  <c r="DE422" i="50"/>
  <c r="BV422" i="50"/>
  <c r="BU422" i="50"/>
  <c r="BT422" i="50"/>
  <c r="DJ421" i="50"/>
  <c r="DI421" i="50"/>
  <c r="DH421" i="50"/>
  <c r="DG421" i="50"/>
  <c r="DF421" i="50"/>
  <c r="DE421" i="50"/>
  <c r="BV421" i="50"/>
  <c r="BU421" i="50"/>
  <c r="BT421" i="50"/>
  <c r="DJ420" i="50"/>
  <c r="DI420" i="50"/>
  <c r="DH420" i="50"/>
  <c r="DG420" i="50"/>
  <c r="DF420" i="50"/>
  <c r="DE420" i="50"/>
  <c r="BV420" i="50"/>
  <c r="BU420" i="50"/>
  <c r="BT420" i="50"/>
  <c r="DJ419" i="50"/>
  <c r="DI419" i="50"/>
  <c r="DH419" i="50"/>
  <c r="DG419" i="50"/>
  <c r="DF419" i="50"/>
  <c r="DE419" i="50"/>
  <c r="BV419" i="50"/>
  <c r="BU419" i="50"/>
  <c r="BT419" i="50"/>
  <c r="DJ418" i="50"/>
  <c r="DI418" i="50"/>
  <c r="DH418" i="50"/>
  <c r="DG418" i="50"/>
  <c r="DF418" i="50"/>
  <c r="DE418" i="50"/>
  <c r="BV418" i="50"/>
  <c r="BU418" i="50"/>
  <c r="BT418" i="50"/>
  <c r="DJ417" i="50"/>
  <c r="DI417" i="50"/>
  <c r="DH417" i="50"/>
  <c r="DG417" i="50"/>
  <c r="DF417" i="50"/>
  <c r="DE417" i="50"/>
  <c r="BV417" i="50"/>
  <c r="BU417" i="50"/>
  <c r="BT417" i="50"/>
  <c r="DJ416" i="50"/>
  <c r="DI416" i="50"/>
  <c r="DH416" i="50"/>
  <c r="DG416" i="50"/>
  <c r="DF416" i="50"/>
  <c r="DE416" i="50"/>
  <c r="BV416" i="50"/>
  <c r="BU416" i="50"/>
  <c r="BT416" i="50"/>
  <c r="DJ415" i="50"/>
  <c r="DI415" i="50"/>
  <c r="DH415" i="50"/>
  <c r="DG415" i="50"/>
  <c r="DF415" i="50"/>
  <c r="DE415" i="50"/>
  <c r="BV415" i="50"/>
  <c r="BU415" i="50"/>
  <c r="BT415" i="50"/>
  <c r="DJ414" i="50"/>
  <c r="DI414" i="50"/>
  <c r="DH414" i="50"/>
  <c r="DG414" i="50"/>
  <c r="DF414" i="50"/>
  <c r="DE414" i="50"/>
  <c r="BV414" i="50"/>
  <c r="BU414" i="50"/>
  <c r="BT414" i="50"/>
  <c r="DJ413" i="50"/>
  <c r="DI413" i="50"/>
  <c r="DH413" i="50"/>
  <c r="DG413" i="50"/>
  <c r="DF413" i="50"/>
  <c r="DE413" i="50"/>
  <c r="BV413" i="50"/>
  <c r="BU413" i="50"/>
  <c r="BT413" i="50"/>
  <c r="DJ412" i="50"/>
  <c r="DI412" i="50"/>
  <c r="DH412" i="50"/>
  <c r="DG412" i="50"/>
  <c r="DF412" i="50"/>
  <c r="DE412" i="50"/>
  <c r="BV412" i="50"/>
  <c r="BU412" i="50"/>
  <c r="BT412" i="50"/>
  <c r="DJ411" i="50"/>
  <c r="DI411" i="50"/>
  <c r="DH411" i="50"/>
  <c r="DG411" i="50"/>
  <c r="DF411" i="50"/>
  <c r="DE411" i="50"/>
  <c r="BV411" i="50"/>
  <c r="BU411" i="50"/>
  <c r="BT411" i="50"/>
  <c r="DJ410" i="50"/>
  <c r="DI410" i="50"/>
  <c r="DH410" i="50"/>
  <c r="DG410" i="50"/>
  <c r="DF410" i="50"/>
  <c r="DE410" i="50"/>
  <c r="BV410" i="50"/>
  <c r="BU410" i="50"/>
  <c r="BT410" i="50"/>
  <c r="DJ409" i="50"/>
  <c r="DI409" i="50"/>
  <c r="DH409" i="50"/>
  <c r="DG409" i="50"/>
  <c r="DF409" i="50"/>
  <c r="DE409" i="50"/>
  <c r="BV409" i="50"/>
  <c r="BU409" i="50"/>
  <c r="BT409" i="50"/>
  <c r="DJ408" i="50"/>
  <c r="DI408" i="50"/>
  <c r="DH408" i="50"/>
  <c r="DG408" i="50"/>
  <c r="DF408" i="50"/>
  <c r="DE408" i="50"/>
  <c r="BV408" i="50"/>
  <c r="BU408" i="50"/>
  <c r="BT408" i="50"/>
  <c r="DJ407" i="50"/>
  <c r="DI407" i="50"/>
  <c r="DH407" i="50"/>
  <c r="DG407" i="50"/>
  <c r="DF407" i="50"/>
  <c r="DE407" i="50"/>
  <c r="BV407" i="50"/>
  <c r="BU407" i="50"/>
  <c r="BT407" i="50"/>
  <c r="DJ406" i="50"/>
  <c r="DI406" i="50"/>
  <c r="DH406" i="50"/>
  <c r="DG406" i="50"/>
  <c r="DF406" i="50"/>
  <c r="DE406" i="50"/>
  <c r="BV406" i="50"/>
  <c r="BU406" i="50"/>
  <c r="BT406" i="50"/>
  <c r="DJ405" i="50"/>
  <c r="DI405" i="50"/>
  <c r="DH405" i="50"/>
  <c r="DG405" i="50"/>
  <c r="DF405" i="50"/>
  <c r="DE405" i="50"/>
  <c r="BV405" i="50"/>
  <c r="BU405" i="50"/>
  <c r="BT405" i="50"/>
  <c r="DJ404" i="50"/>
  <c r="DI404" i="50"/>
  <c r="DH404" i="50"/>
  <c r="DG404" i="50"/>
  <c r="DF404" i="50"/>
  <c r="DE404" i="50"/>
  <c r="BV404" i="50"/>
  <c r="BU404" i="50"/>
  <c r="BT404" i="50"/>
  <c r="DJ403" i="50"/>
  <c r="DI403" i="50"/>
  <c r="DH403" i="50"/>
  <c r="DG403" i="50"/>
  <c r="DF403" i="50"/>
  <c r="DE403" i="50"/>
  <c r="BV403" i="50"/>
  <c r="BU403" i="50"/>
  <c r="BT403" i="50"/>
  <c r="DJ402" i="50"/>
  <c r="DI402" i="50"/>
  <c r="DH402" i="50"/>
  <c r="DG402" i="50"/>
  <c r="DF402" i="50"/>
  <c r="DE402" i="50"/>
  <c r="BV402" i="50"/>
  <c r="BU402" i="50"/>
  <c r="BT402" i="50"/>
  <c r="DJ401" i="50"/>
  <c r="DI401" i="50"/>
  <c r="DH401" i="50"/>
  <c r="DG401" i="50"/>
  <c r="DF401" i="50"/>
  <c r="DE401" i="50"/>
  <c r="BV401" i="50"/>
  <c r="BU401" i="50"/>
  <c r="BT401" i="50"/>
  <c r="DJ400" i="50"/>
  <c r="DI400" i="50"/>
  <c r="DH400" i="50"/>
  <c r="DG400" i="50"/>
  <c r="DF400" i="50"/>
  <c r="DE400" i="50"/>
  <c r="BV400" i="50"/>
  <c r="BU400" i="50"/>
  <c r="BT400" i="50"/>
  <c r="DJ399" i="50"/>
  <c r="DI399" i="50"/>
  <c r="DH399" i="50"/>
  <c r="DG399" i="50"/>
  <c r="DF399" i="50"/>
  <c r="DE399" i="50"/>
  <c r="BV399" i="50"/>
  <c r="BU399" i="50"/>
  <c r="BT399" i="50"/>
  <c r="DJ398" i="50"/>
  <c r="DI398" i="50"/>
  <c r="DH398" i="50"/>
  <c r="DG398" i="50"/>
  <c r="DF398" i="50"/>
  <c r="DE398" i="50"/>
  <c r="BV398" i="50"/>
  <c r="BU398" i="50"/>
  <c r="BT398" i="50"/>
  <c r="DJ397" i="50"/>
  <c r="DI397" i="50"/>
  <c r="DH397" i="50"/>
  <c r="DG397" i="50"/>
  <c r="DF397" i="50"/>
  <c r="DE397" i="50"/>
  <c r="BV397" i="50"/>
  <c r="BU397" i="50"/>
  <c r="BT397" i="50"/>
  <c r="DJ396" i="50"/>
  <c r="DI396" i="50"/>
  <c r="DH396" i="50"/>
  <c r="DG396" i="50"/>
  <c r="DF396" i="50"/>
  <c r="DE396" i="50"/>
  <c r="BV396" i="50"/>
  <c r="BU396" i="50"/>
  <c r="BT396" i="50"/>
  <c r="DJ395" i="50"/>
  <c r="DI395" i="50"/>
  <c r="DH395" i="50"/>
  <c r="DG395" i="50"/>
  <c r="DF395" i="50"/>
  <c r="DE395" i="50"/>
  <c r="BV395" i="50"/>
  <c r="BU395" i="50"/>
  <c r="BT395" i="50"/>
  <c r="DJ394" i="50"/>
  <c r="DI394" i="50"/>
  <c r="DH394" i="50"/>
  <c r="DG394" i="50"/>
  <c r="DF394" i="50"/>
  <c r="DE394" i="50"/>
  <c r="BV394" i="50"/>
  <c r="BU394" i="50"/>
  <c r="BT394" i="50"/>
  <c r="DJ393" i="50"/>
  <c r="DI393" i="50"/>
  <c r="DH393" i="50"/>
  <c r="DG393" i="50"/>
  <c r="DF393" i="50"/>
  <c r="DE393" i="50"/>
  <c r="BV393" i="50"/>
  <c r="BU393" i="50"/>
  <c r="BT393" i="50"/>
  <c r="DJ392" i="50"/>
  <c r="DI392" i="50"/>
  <c r="DH392" i="50"/>
  <c r="DG392" i="50"/>
  <c r="DF392" i="50"/>
  <c r="DE392" i="50"/>
  <c r="BV392" i="50"/>
  <c r="BU392" i="50"/>
  <c r="BT392" i="50"/>
  <c r="DJ391" i="50"/>
  <c r="DI391" i="50"/>
  <c r="DH391" i="50"/>
  <c r="DG391" i="50"/>
  <c r="DF391" i="50"/>
  <c r="DE391" i="50"/>
  <c r="BV391" i="50"/>
  <c r="BU391" i="50"/>
  <c r="BT391" i="50"/>
  <c r="DJ390" i="50"/>
  <c r="DI390" i="50"/>
  <c r="DH390" i="50"/>
  <c r="DG390" i="50"/>
  <c r="DF390" i="50"/>
  <c r="DE390" i="50"/>
  <c r="BV390" i="50"/>
  <c r="BU390" i="50"/>
  <c r="BT390" i="50"/>
  <c r="DJ389" i="50"/>
  <c r="DI389" i="50"/>
  <c r="DH389" i="50"/>
  <c r="DG389" i="50"/>
  <c r="DF389" i="50"/>
  <c r="DE389" i="50"/>
  <c r="BV389" i="50"/>
  <c r="BU389" i="50"/>
  <c r="BT389" i="50"/>
  <c r="DJ388" i="50"/>
  <c r="DI388" i="50"/>
  <c r="DH388" i="50"/>
  <c r="DG388" i="50"/>
  <c r="DF388" i="50"/>
  <c r="DE388" i="50"/>
  <c r="BV388" i="50"/>
  <c r="BU388" i="50"/>
  <c r="BT388" i="50"/>
  <c r="DJ387" i="50"/>
  <c r="DI387" i="50"/>
  <c r="DH387" i="50"/>
  <c r="DG387" i="50"/>
  <c r="DF387" i="50"/>
  <c r="DE387" i="50"/>
  <c r="BV387" i="50"/>
  <c r="BU387" i="50"/>
  <c r="BT387" i="50"/>
  <c r="DJ386" i="50"/>
  <c r="DI386" i="50"/>
  <c r="DH386" i="50"/>
  <c r="DG386" i="50"/>
  <c r="DF386" i="50"/>
  <c r="DE386" i="50"/>
  <c r="BV386" i="50"/>
  <c r="BU386" i="50"/>
  <c r="BT386" i="50"/>
  <c r="DJ385" i="50"/>
  <c r="DI385" i="50"/>
  <c r="DH385" i="50"/>
  <c r="DG385" i="50"/>
  <c r="DF385" i="50"/>
  <c r="DE385" i="50"/>
  <c r="BV385" i="50"/>
  <c r="BU385" i="50"/>
  <c r="BT385" i="50"/>
  <c r="DJ384" i="50"/>
  <c r="DI384" i="50"/>
  <c r="DH384" i="50"/>
  <c r="DG384" i="50"/>
  <c r="DF384" i="50"/>
  <c r="DE384" i="50"/>
  <c r="BV384" i="50"/>
  <c r="BU384" i="50"/>
  <c r="BT384" i="50"/>
  <c r="DJ383" i="50"/>
  <c r="DI383" i="50"/>
  <c r="DH383" i="50"/>
  <c r="DG383" i="50"/>
  <c r="DF383" i="50"/>
  <c r="DE383" i="50"/>
  <c r="BV383" i="50"/>
  <c r="BU383" i="50"/>
  <c r="BT383" i="50"/>
  <c r="DJ382" i="50"/>
  <c r="DI382" i="50"/>
  <c r="DH382" i="50"/>
  <c r="DG382" i="50"/>
  <c r="DF382" i="50"/>
  <c r="DE382" i="50"/>
  <c r="BV382" i="50"/>
  <c r="BU382" i="50"/>
  <c r="BT382" i="50"/>
  <c r="DJ381" i="50"/>
  <c r="DI381" i="50"/>
  <c r="DH381" i="50"/>
  <c r="DG381" i="50"/>
  <c r="DF381" i="50"/>
  <c r="DE381" i="50"/>
  <c r="BV381" i="50"/>
  <c r="BU381" i="50"/>
  <c r="BT381" i="50"/>
  <c r="DJ380" i="50"/>
  <c r="DI380" i="50"/>
  <c r="DH380" i="50"/>
  <c r="DG380" i="50"/>
  <c r="DF380" i="50"/>
  <c r="DE380" i="50"/>
  <c r="BV380" i="50"/>
  <c r="BU380" i="50"/>
  <c r="BT380" i="50"/>
  <c r="DJ379" i="50"/>
  <c r="DI379" i="50"/>
  <c r="DH379" i="50"/>
  <c r="DG379" i="50"/>
  <c r="DF379" i="50"/>
  <c r="DE379" i="50"/>
  <c r="BV379" i="50"/>
  <c r="BU379" i="50"/>
  <c r="BT379" i="50"/>
  <c r="DJ378" i="50"/>
  <c r="DI378" i="50"/>
  <c r="DH378" i="50"/>
  <c r="DG378" i="50"/>
  <c r="DF378" i="50"/>
  <c r="DE378" i="50"/>
  <c r="BV378" i="50"/>
  <c r="BU378" i="50"/>
  <c r="BT378" i="50"/>
  <c r="DJ377" i="50"/>
  <c r="DI377" i="50"/>
  <c r="DH377" i="50"/>
  <c r="DG377" i="50"/>
  <c r="DF377" i="50"/>
  <c r="DE377" i="50"/>
  <c r="BV377" i="50"/>
  <c r="BU377" i="50"/>
  <c r="BT377" i="50"/>
  <c r="DJ376" i="50"/>
  <c r="DI376" i="50"/>
  <c r="DH376" i="50"/>
  <c r="DG376" i="50"/>
  <c r="DF376" i="50"/>
  <c r="DE376" i="50"/>
  <c r="BV376" i="50"/>
  <c r="BU376" i="50"/>
  <c r="BT376" i="50"/>
  <c r="DJ375" i="50"/>
  <c r="DI375" i="50"/>
  <c r="DH375" i="50"/>
  <c r="DG375" i="50"/>
  <c r="DF375" i="50"/>
  <c r="DE375" i="50"/>
  <c r="BV375" i="50"/>
  <c r="BU375" i="50"/>
  <c r="BT375" i="50"/>
  <c r="DJ374" i="50"/>
  <c r="DI374" i="50"/>
  <c r="DH374" i="50"/>
  <c r="DG374" i="50"/>
  <c r="DF374" i="50"/>
  <c r="DE374" i="50"/>
  <c r="BV374" i="50"/>
  <c r="BU374" i="50"/>
  <c r="BT374" i="50"/>
  <c r="DJ373" i="50"/>
  <c r="DI373" i="50"/>
  <c r="DH373" i="50"/>
  <c r="DG373" i="50"/>
  <c r="DF373" i="50"/>
  <c r="DE373" i="50"/>
  <c r="BV373" i="50"/>
  <c r="BU373" i="50"/>
  <c r="BT373" i="50"/>
  <c r="DJ372" i="50"/>
  <c r="DI372" i="50"/>
  <c r="DH372" i="50"/>
  <c r="DG372" i="50"/>
  <c r="DF372" i="50"/>
  <c r="DE372" i="50"/>
  <c r="BV372" i="50"/>
  <c r="BU372" i="50"/>
  <c r="BT372" i="50"/>
  <c r="DJ371" i="50"/>
  <c r="DI371" i="50"/>
  <c r="DH371" i="50"/>
  <c r="DG371" i="50"/>
  <c r="DF371" i="50"/>
  <c r="DE371" i="50"/>
  <c r="BV371" i="50"/>
  <c r="BU371" i="50"/>
  <c r="BT371" i="50"/>
  <c r="DJ370" i="50"/>
  <c r="DI370" i="50"/>
  <c r="DH370" i="50"/>
  <c r="DG370" i="50"/>
  <c r="DF370" i="50"/>
  <c r="DE370" i="50"/>
  <c r="BV370" i="50"/>
  <c r="BU370" i="50"/>
  <c r="BT370" i="50"/>
  <c r="DJ369" i="50"/>
  <c r="DI369" i="50"/>
  <c r="DH369" i="50"/>
  <c r="DG369" i="50"/>
  <c r="DF369" i="50"/>
  <c r="DE369" i="50"/>
  <c r="BV369" i="50"/>
  <c r="BU369" i="50"/>
  <c r="BT369" i="50"/>
  <c r="DJ368" i="50"/>
  <c r="DI368" i="50"/>
  <c r="DH368" i="50"/>
  <c r="DG368" i="50"/>
  <c r="DF368" i="50"/>
  <c r="DE368" i="50"/>
  <c r="BV368" i="50"/>
  <c r="BU368" i="50"/>
  <c r="BT368" i="50"/>
  <c r="DJ367" i="50"/>
  <c r="DI367" i="50"/>
  <c r="DH367" i="50"/>
  <c r="DG367" i="50"/>
  <c r="DF367" i="50"/>
  <c r="DE367" i="50"/>
  <c r="BV367" i="50"/>
  <c r="BU367" i="50"/>
  <c r="BT367" i="50"/>
  <c r="DJ366" i="50"/>
  <c r="DI366" i="50"/>
  <c r="DH366" i="50"/>
  <c r="DG366" i="50"/>
  <c r="DF366" i="50"/>
  <c r="DE366" i="50"/>
  <c r="BV366" i="50"/>
  <c r="BU366" i="50"/>
  <c r="BT366" i="50"/>
  <c r="DJ365" i="50"/>
  <c r="DI365" i="50"/>
  <c r="DH365" i="50"/>
  <c r="DG365" i="50"/>
  <c r="DF365" i="50"/>
  <c r="DE365" i="50"/>
  <c r="BV365" i="50"/>
  <c r="BU365" i="50"/>
  <c r="BT365" i="50"/>
  <c r="DJ364" i="50"/>
  <c r="DI364" i="50"/>
  <c r="DH364" i="50"/>
  <c r="DG364" i="50"/>
  <c r="DF364" i="50"/>
  <c r="DE364" i="50"/>
  <c r="BV364" i="50"/>
  <c r="BU364" i="50"/>
  <c r="BT364" i="50"/>
  <c r="DJ363" i="50"/>
  <c r="DI363" i="50"/>
  <c r="DH363" i="50"/>
  <c r="DG363" i="50"/>
  <c r="DF363" i="50"/>
  <c r="DE363" i="50"/>
  <c r="BV363" i="50"/>
  <c r="BU363" i="50"/>
  <c r="BT363" i="50"/>
  <c r="DJ362" i="50"/>
  <c r="DI362" i="50"/>
  <c r="DH362" i="50"/>
  <c r="DG362" i="50"/>
  <c r="DF362" i="50"/>
  <c r="DE362" i="50"/>
  <c r="BV362" i="50"/>
  <c r="BU362" i="50"/>
  <c r="BT362" i="50"/>
  <c r="DJ361" i="50"/>
  <c r="DI361" i="50"/>
  <c r="DH361" i="50"/>
  <c r="DG361" i="50"/>
  <c r="DF361" i="50"/>
  <c r="DE361" i="50"/>
  <c r="BV361" i="50"/>
  <c r="BU361" i="50"/>
  <c r="BT361" i="50"/>
  <c r="DJ360" i="50"/>
  <c r="DI360" i="50"/>
  <c r="DH360" i="50"/>
  <c r="DG360" i="50"/>
  <c r="DF360" i="50"/>
  <c r="DE360" i="50"/>
  <c r="BV360" i="50"/>
  <c r="BU360" i="50"/>
  <c r="BT360" i="50"/>
  <c r="DJ359" i="50"/>
  <c r="DI359" i="50"/>
  <c r="DH359" i="50"/>
  <c r="DG359" i="50"/>
  <c r="DF359" i="50"/>
  <c r="DE359" i="50"/>
  <c r="BV359" i="50"/>
  <c r="BU359" i="50"/>
  <c r="BT359" i="50"/>
  <c r="DJ358" i="50"/>
  <c r="DI358" i="50"/>
  <c r="DH358" i="50"/>
  <c r="DG358" i="50"/>
  <c r="DF358" i="50"/>
  <c r="DE358" i="50"/>
  <c r="BV358" i="50"/>
  <c r="BU358" i="50"/>
  <c r="BT358" i="50"/>
  <c r="DJ357" i="50"/>
  <c r="DI357" i="50"/>
  <c r="DH357" i="50"/>
  <c r="DG357" i="50"/>
  <c r="DF357" i="50"/>
  <c r="DE357" i="50"/>
  <c r="BV357" i="50"/>
  <c r="BU357" i="50"/>
  <c r="BT357" i="50"/>
  <c r="DJ356" i="50"/>
  <c r="DI356" i="50"/>
  <c r="DH356" i="50"/>
  <c r="DG356" i="50"/>
  <c r="DF356" i="50"/>
  <c r="DE356" i="50"/>
  <c r="BV356" i="50"/>
  <c r="BU356" i="50"/>
  <c r="BT356" i="50"/>
  <c r="DJ355" i="50"/>
  <c r="DI355" i="50"/>
  <c r="DH355" i="50"/>
  <c r="DG355" i="50"/>
  <c r="DF355" i="50"/>
  <c r="DE355" i="50"/>
  <c r="BV355" i="50"/>
  <c r="BU355" i="50"/>
  <c r="BT355" i="50"/>
  <c r="DJ354" i="50"/>
  <c r="DI354" i="50"/>
  <c r="DH354" i="50"/>
  <c r="DG354" i="50"/>
  <c r="DF354" i="50"/>
  <c r="DE354" i="50"/>
  <c r="BV354" i="50"/>
  <c r="BU354" i="50"/>
  <c r="BT354" i="50"/>
  <c r="DJ353" i="50"/>
  <c r="DI353" i="50"/>
  <c r="DH353" i="50"/>
  <c r="DG353" i="50"/>
  <c r="DF353" i="50"/>
  <c r="DE353" i="50"/>
  <c r="BV353" i="50"/>
  <c r="BU353" i="50"/>
  <c r="BT353" i="50"/>
  <c r="DJ352" i="50"/>
  <c r="DI352" i="50"/>
  <c r="DH352" i="50"/>
  <c r="DG352" i="50"/>
  <c r="DF352" i="50"/>
  <c r="DE352" i="50"/>
  <c r="BV352" i="50"/>
  <c r="BU352" i="50"/>
  <c r="BT352" i="50"/>
  <c r="DJ351" i="50"/>
  <c r="DI351" i="50"/>
  <c r="DH351" i="50"/>
  <c r="DG351" i="50"/>
  <c r="DF351" i="50"/>
  <c r="DE351" i="50"/>
  <c r="BV351" i="50"/>
  <c r="BU351" i="50"/>
  <c r="BT351" i="50"/>
  <c r="DJ350" i="50"/>
  <c r="DI350" i="50"/>
  <c r="DH350" i="50"/>
  <c r="DG350" i="50"/>
  <c r="DF350" i="50"/>
  <c r="DE350" i="50"/>
  <c r="BV350" i="50"/>
  <c r="BU350" i="50"/>
  <c r="BT350" i="50"/>
  <c r="DJ349" i="50"/>
  <c r="DI349" i="50"/>
  <c r="DH349" i="50"/>
  <c r="DG349" i="50"/>
  <c r="DF349" i="50"/>
  <c r="DE349" i="50"/>
  <c r="BV349" i="50"/>
  <c r="BU349" i="50"/>
  <c r="BT349" i="50"/>
  <c r="DJ348" i="50"/>
  <c r="DI348" i="50"/>
  <c r="DH348" i="50"/>
  <c r="DG348" i="50"/>
  <c r="DF348" i="50"/>
  <c r="DE348" i="50"/>
  <c r="BV348" i="50"/>
  <c r="BU348" i="50"/>
  <c r="BT348" i="50"/>
  <c r="DJ347" i="50"/>
  <c r="DI347" i="50"/>
  <c r="DH347" i="50"/>
  <c r="DG347" i="50"/>
  <c r="DF347" i="50"/>
  <c r="DE347" i="50"/>
  <c r="BV347" i="50"/>
  <c r="BU347" i="50"/>
  <c r="BT347" i="50"/>
  <c r="DJ346" i="50"/>
  <c r="DI346" i="50"/>
  <c r="DH346" i="50"/>
  <c r="DG346" i="50"/>
  <c r="DF346" i="50"/>
  <c r="DE346" i="50"/>
  <c r="BV346" i="50"/>
  <c r="BU346" i="50"/>
  <c r="BT346" i="50"/>
  <c r="DJ345" i="50"/>
  <c r="DI345" i="50"/>
  <c r="DH345" i="50"/>
  <c r="DG345" i="50"/>
  <c r="DF345" i="50"/>
  <c r="DE345" i="50"/>
  <c r="BV345" i="50"/>
  <c r="BU345" i="50"/>
  <c r="BT345" i="50"/>
  <c r="DJ344" i="50"/>
  <c r="DI344" i="50"/>
  <c r="DH344" i="50"/>
  <c r="DG344" i="50"/>
  <c r="DF344" i="50"/>
  <c r="DE344" i="50"/>
  <c r="BV344" i="50"/>
  <c r="BU344" i="50"/>
  <c r="BT344" i="50"/>
  <c r="DJ343" i="50"/>
  <c r="DI343" i="50"/>
  <c r="DH343" i="50"/>
  <c r="DG343" i="50"/>
  <c r="DF343" i="50"/>
  <c r="DE343" i="50"/>
  <c r="BV343" i="50"/>
  <c r="BU343" i="50"/>
  <c r="BT343" i="50"/>
  <c r="DJ342" i="50"/>
  <c r="DI342" i="50"/>
  <c r="DH342" i="50"/>
  <c r="DG342" i="50"/>
  <c r="DF342" i="50"/>
  <c r="DE342" i="50"/>
  <c r="BV342" i="50"/>
  <c r="BU342" i="50"/>
  <c r="BT342" i="50"/>
  <c r="DJ341" i="50"/>
  <c r="DI341" i="50"/>
  <c r="DH341" i="50"/>
  <c r="DG341" i="50"/>
  <c r="DF341" i="50"/>
  <c r="DE341" i="50"/>
  <c r="BV341" i="50"/>
  <c r="BU341" i="50"/>
  <c r="BT341" i="50"/>
  <c r="DJ340" i="50"/>
  <c r="DI340" i="50"/>
  <c r="DH340" i="50"/>
  <c r="DG340" i="50"/>
  <c r="DF340" i="50"/>
  <c r="DE340" i="50"/>
  <c r="BV340" i="50"/>
  <c r="BU340" i="50"/>
  <c r="BT340" i="50"/>
  <c r="DJ339" i="50"/>
  <c r="DI339" i="50"/>
  <c r="DH339" i="50"/>
  <c r="DG339" i="50"/>
  <c r="DF339" i="50"/>
  <c r="DE339" i="50"/>
  <c r="BV339" i="50"/>
  <c r="BU339" i="50"/>
  <c r="BT339" i="50"/>
  <c r="DJ338" i="50"/>
  <c r="DI338" i="50"/>
  <c r="DH338" i="50"/>
  <c r="DG338" i="50"/>
  <c r="DF338" i="50"/>
  <c r="DE338" i="50"/>
  <c r="BV338" i="50"/>
  <c r="BU338" i="50"/>
  <c r="BT338" i="50"/>
  <c r="DJ337" i="50"/>
  <c r="DI337" i="50"/>
  <c r="DH337" i="50"/>
  <c r="DD337" i="50"/>
  <c r="DG337" i="50" s="1"/>
  <c r="DC337" i="50"/>
  <c r="DF337" i="50" s="1"/>
  <c r="DB337" i="50"/>
  <c r="DE337" i="50" s="1"/>
  <c r="BV337" i="50"/>
  <c r="BU337" i="50"/>
  <c r="BT337" i="50"/>
  <c r="BS337" i="50"/>
  <c r="BR337" i="50"/>
  <c r="BQ337" i="50"/>
  <c r="M337" i="50"/>
  <c r="L337" i="50"/>
  <c r="K337" i="50"/>
  <c r="DJ336" i="50"/>
  <c r="DI336" i="50"/>
  <c r="DH336" i="50"/>
  <c r="DE336" i="50"/>
  <c r="DD336" i="50"/>
  <c r="DG336" i="50" s="1"/>
  <c r="DC336" i="50"/>
  <c r="DF336" i="50" s="1"/>
  <c r="DB336" i="50"/>
  <c r="BV336" i="50"/>
  <c r="BU336" i="50"/>
  <c r="BT336" i="50"/>
  <c r="BS336" i="50"/>
  <c r="BR336" i="50"/>
  <c r="BQ336" i="50"/>
  <c r="M336" i="50"/>
  <c r="L336" i="50"/>
  <c r="K336" i="50"/>
  <c r="DJ335" i="50"/>
  <c r="DI335" i="50"/>
  <c r="DH335" i="50"/>
  <c r="DG335" i="50"/>
  <c r="DD335" i="50"/>
  <c r="DC335" i="50"/>
  <c r="DF335" i="50" s="1"/>
  <c r="DB335" i="50"/>
  <c r="DE335" i="50" s="1"/>
  <c r="BV335" i="50"/>
  <c r="BU335" i="50"/>
  <c r="BT335" i="50"/>
  <c r="BS335" i="50"/>
  <c r="BR335" i="50"/>
  <c r="BQ335" i="50"/>
  <c r="M335" i="50"/>
  <c r="L335" i="50"/>
  <c r="K335" i="50"/>
  <c r="DJ334" i="50"/>
  <c r="DI334" i="50"/>
  <c r="DH334" i="50"/>
  <c r="DE334" i="50"/>
  <c r="DD334" i="50"/>
  <c r="DG334" i="50" s="1"/>
  <c r="DC334" i="50"/>
  <c r="DF334" i="50" s="1"/>
  <c r="DB334" i="50"/>
  <c r="BV334" i="50"/>
  <c r="BU334" i="50"/>
  <c r="BT334" i="50"/>
  <c r="BS334" i="50"/>
  <c r="BR334" i="50"/>
  <c r="BQ334" i="50"/>
  <c r="M334" i="50"/>
  <c r="L334" i="50"/>
  <c r="K334" i="50"/>
  <c r="DJ333" i="50"/>
  <c r="DI333" i="50"/>
  <c r="DH333" i="50"/>
  <c r="DE333" i="50"/>
  <c r="DD333" i="50"/>
  <c r="DG333" i="50" s="1"/>
  <c r="DC333" i="50"/>
  <c r="DF333" i="50" s="1"/>
  <c r="DB333" i="50"/>
  <c r="BV333" i="50"/>
  <c r="BU333" i="50"/>
  <c r="BT333" i="50"/>
  <c r="BS333" i="50"/>
  <c r="BR333" i="50"/>
  <c r="BQ333" i="50"/>
  <c r="M333" i="50"/>
  <c r="L333" i="50"/>
  <c r="K333" i="50"/>
  <c r="DJ332" i="50"/>
  <c r="DI332" i="50"/>
  <c r="DH332" i="50"/>
  <c r="DG332" i="50"/>
  <c r="DD332" i="50"/>
  <c r="DC332" i="50"/>
  <c r="DF332" i="50" s="1"/>
  <c r="DB332" i="50"/>
  <c r="DE332" i="50" s="1"/>
  <c r="BV332" i="50"/>
  <c r="BU332" i="50"/>
  <c r="BT332" i="50"/>
  <c r="BS332" i="50"/>
  <c r="BR332" i="50"/>
  <c r="BQ332" i="50"/>
  <c r="M332" i="50"/>
  <c r="L332" i="50"/>
  <c r="K332" i="50"/>
  <c r="DJ331" i="50"/>
  <c r="DI331" i="50"/>
  <c r="DH331" i="50"/>
  <c r="DD331" i="50"/>
  <c r="DG331" i="50" s="1"/>
  <c r="DC331" i="50"/>
  <c r="DF331" i="50" s="1"/>
  <c r="DB331" i="50"/>
  <c r="DE331" i="50" s="1"/>
  <c r="BV331" i="50"/>
  <c r="BU331" i="50"/>
  <c r="BT331" i="50"/>
  <c r="BS331" i="50"/>
  <c r="BR331" i="50"/>
  <c r="BQ331" i="50"/>
  <c r="M331" i="50"/>
  <c r="L331" i="50"/>
  <c r="K331" i="50"/>
  <c r="DJ330" i="50"/>
  <c r="DI330" i="50"/>
  <c r="DH330" i="50"/>
  <c r="DD330" i="50"/>
  <c r="DG330" i="50" s="1"/>
  <c r="DC330" i="50"/>
  <c r="DF330" i="50" s="1"/>
  <c r="DB330" i="50"/>
  <c r="DE330" i="50" s="1"/>
  <c r="BV330" i="50"/>
  <c r="BU330" i="50"/>
  <c r="BT330" i="50"/>
  <c r="BS330" i="50"/>
  <c r="BR330" i="50"/>
  <c r="BQ330" i="50"/>
  <c r="M330" i="50"/>
  <c r="L330" i="50"/>
  <c r="K330" i="50"/>
  <c r="DJ329" i="50"/>
  <c r="DI329" i="50"/>
  <c r="DH329" i="50"/>
  <c r="DD329" i="50"/>
  <c r="DG329" i="50" s="1"/>
  <c r="DC329" i="50"/>
  <c r="DF329" i="50" s="1"/>
  <c r="DB329" i="50"/>
  <c r="DE329" i="50" s="1"/>
  <c r="BV329" i="50"/>
  <c r="BU329" i="50"/>
  <c r="BT329" i="50"/>
  <c r="BS329" i="50"/>
  <c r="BR329" i="50"/>
  <c r="BQ329" i="50"/>
  <c r="M329" i="50"/>
  <c r="L329" i="50"/>
  <c r="K329" i="50"/>
  <c r="DJ328" i="50"/>
  <c r="DI328" i="50"/>
  <c r="DH328" i="50"/>
  <c r="DG328" i="50"/>
  <c r="DD328" i="50"/>
  <c r="DC328" i="50"/>
  <c r="DF328" i="50" s="1"/>
  <c r="DB328" i="50"/>
  <c r="DE328" i="50" s="1"/>
  <c r="BV328" i="50"/>
  <c r="BU328" i="50"/>
  <c r="BT328" i="50"/>
  <c r="BS328" i="50"/>
  <c r="BR328" i="50"/>
  <c r="BQ328" i="50"/>
  <c r="M328" i="50"/>
  <c r="L328" i="50"/>
  <c r="K328" i="50"/>
  <c r="DJ327" i="50"/>
  <c r="DI327" i="50"/>
  <c r="DH327" i="50"/>
  <c r="DD327" i="50"/>
  <c r="DG327" i="50" s="1"/>
  <c r="DC327" i="50"/>
  <c r="DF327" i="50" s="1"/>
  <c r="DB327" i="50"/>
  <c r="DE327" i="50" s="1"/>
  <c r="BV327" i="50"/>
  <c r="BU327" i="50"/>
  <c r="BT327" i="50"/>
  <c r="BS327" i="50"/>
  <c r="BR327" i="50"/>
  <c r="BQ327" i="50"/>
  <c r="M327" i="50"/>
  <c r="L327" i="50"/>
  <c r="K327" i="50"/>
  <c r="DJ326" i="50"/>
  <c r="DI326" i="50"/>
  <c r="DH326" i="50"/>
  <c r="DE326" i="50"/>
  <c r="DD326" i="50"/>
  <c r="DG326" i="50" s="1"/>
  <c r="DC326" i="50"/>
  <c r="DF326" i="50" s="1"/>
  <c r="DB326" i="50"/>
  <c r="BV326" i="50"/>
  <c r="BU326" i="50"/>
  <c r="BT326" i="50"/>
  <c r="BS326" i="50"/>
  <c r="BR326" i="50"/>
  <c r="BQ326" i="50"/>
  <c r="M326" i="50"/>
  <c r="L326" i="50"/>
  <c r="K326" i="50"/>
  <c r="DJ325" i="50"/>
  <c r="DI325" i="50"/>
  <c r="DH325" i="50"/>
  <c r="DD325" i="50"/>
  <c r="DG325" i="50" s="1"/>
  <c r="DC325" i="50"/>
  <c r="DF325" i="50" s="1"/>
  <c r="DB325" i="50"/>
  <c r="DE325" i="50" s="1"/>
  <c r="BV325" i="50"/>
  <c r="BU325" i="50"/>
  <c r="BT325" i="50"/>
  <c r="BS325" i="50"/>
  <c r="BR325" i="50"/>
  <c r="BQ325" i="50"/>
  <c r="M325" i="50"/>
  <c r="L325" i="50"/>
  <c r="K325" i="50"/>
  <c r="DJ324" i="50"/>
  <c r="DI324" i="50"/>
  <c r="DH324" i="50"/>
  <c r="DE324" i="50"/>
  <c r="DD324" i="50"/>
  <c r="DG324" i="50" s="1"/>
  <c r="DC324" i="50"/>
  <c r="DF324" i="50" s="1"/>
  <c r="DB324" i="50"/>
  <c r="BV324" i="50"/>
  <c r="BU324" i="50"/>
  <c r="BT324" i="50"/>
  <c r="BS324" i="50"/>
  <c r="BR324" i="50"/>
  <c r="BQ324" i="50"/>
  <c r="M324" i="50"/>
  <c r="L324" i="50"/>
  <c r="K324" i="50"/>
  <c r="DJ323" i="50"/>
  <c r="DI323" i="50"/>
  <c r="DH323" i="50"/>
  <c r="DE323" i="50"/>
  <c r="DD323" i="50"/>
  <c r="DG323" i="50" s="1"/>
  <c r="DC323" i="50"/>
  <c r="DF323" i="50" s="1"/>
  <c r="DB323" i="50"/>
  <c r="BV323" i="50"/>
  <c r="BU323" i="50"/>
  <c r="BT323" i="50"/>
  <c r="BS323" i="50"/>
  <c r="BR323" i="50"/>
  <c r="BQ323" i="50"/>
  <c r="M323" i="50"/>
  <c r="L323" i="50"/>
  <c r="K323" i="50"/>
  <c r="DJ322" i="50"/>
  <c r="DI322" i="50"/>
  <c r="DH322" i="50"/>
  <c r="DD322" i="50"/>
  <c r="DG322" i="50" s="1"/>
  <c r="DC322" i="50"/>
  <c r="DF322" i="50" s="1"/>
  <c r="DB322" i="50"/>
  <c r="DE322" i="50" s="1"/>
  <c r="BV322" i="50"/>
  <c r="BU322" i="50"/>
  <c r="BT322" i="50"/>
  <c r="BS322" i="50"/>
  <c r="BR322" i="50"/>
  <c r="BQ322" i="50"/>
  <c r="M322" i="50"/>
  <c r="L322" i="50"/>
  <c r="K322" i="50"/>
  <c r="DJ321" i="50"/>
  <c r="DI321" i="50"/>
  <c r="DH321" i="50"/>
  <c r="DE321" i="50"/>
  <c r="DD321" i="50"/>
  <c r="DG321" i="50" s="1"/>
  <c r="DC321" i="50"/>
  <c r="DF321" i="50" s="1"/>
  <c r="DB321" i="50"/>
  <c r="BV321" i="50"/>
  <c r="BU321" i="50"/>
  <c r="BT321" i="50"/>
  <c r="BS321" i="50"/>
  <c r="BR321" i="50"/>
  <c r="BQ321" i="50"/>
  <c r="M321" i="50"/>
  <c r="L321" i="50"/>
  <c r="K321" i="50"/>
  <c r="DJ320" i="50"/>
  <c r="DI320" i="50"/>
  <c r="DH320" i="50"/>
  <c r="DG320" i="50"/>
  <c r="DF320" i="50"/>
  <c r="DD320" i="50"/>
  <c r="DC320" i="50"/>
  <c r="DB320" i="50"/>
  <c r="DE320" i="50" s="1"/>
  <c r="BV320" i="50"/>
  <c r="BU320" i="50"/>
  <c r="BT320" i="50"/>
  <c r="BS320" i="50"/>
  <c r="BR320" i="50"/>
  <c r="BQ320" i="50"/>
  <c r="M320" i="50"/>
  <c r="L320" i="50"/>
  <c r="K320" i="50"/>
  <c r="DJ319" i="50"/>
  <c r="DI319" i="50"/>
  <c r="DH319" i="50"/>
  <c r="DG319" i="50"/>
  <c r="DD319" i="50"/>
  <c r="DC319" i="50"/>
  <c r="DF319" i="50" s="1"/>
  <c r="DB319" i="50"/>
  <c r="DE319" i="50" s="1"/>
  <c r="BV319" i="50"/>
  <c r="BU319" i="50"/>
  <c r="BT319" i="50"/>
  <c r="BS319" i="50"/>
  <c r="BR319" i="50"/>
  <c r="BQ319" i="50"/>
  <c r="M319" i="50"/>
  <c r="L319" i="50"/>
  <c r="K319" i="50"/>
  <c r="DJ318" i="50"/>
  <c r="DI318" i="50"/>
  <c r="DH318" i="50"/>
  <c r="DD318" i="50"/>
  <c r="DG318" i="50" s="1"/>
  <c r="DC318" i="50"/>
  <c r="DF318" i="50" s="1"/>
  <c r="DB318" i="50"/>
  <c r="DE318" i="50" s="1"/>
  <c r="BV318" i="50"/>
  <c r="BU318" i="50"/>
  <c r="BT318" i="50"/>
  <c r="BS318" i="50"/>
  <c r="BR318" i="50"/>
  <c r="BQ318" i="50"/>
  <c r="M318" i="50"/>
  <c r="L318" i="50"/>
  <c r="K318" i="50"/>
  <c r="DJ317" i="50"/>
  <c r="DI317" i="50"/>
  <c r="DH317" i="50"/>
  <c r="DE317" i="50"/>
  <c r="DD317" i="50"/>
  <c r="DG317" i="50" s="1"/>
  <c r="DC317" i="50"/>
  <c r="DF317" i="50" s="1"/>
  <c r="DB317" i="50"/>
  <c r="BV317" i="50"/>
  <c r="BU317" i="50"/>
  <c r="BT317" i="50"/>
  <c r="BS317" i="50"/>
  <c r="BR317" i="50"/>
  <c r="BQ317" i="50"/>
  <c r="M317" i="50"/>
  <c r="L317" i="50"/>
  <c r="K317" i="50"/>
  <c r="DJ316" i="50"/>
  <c r="DI316" i="50"/>
  <c r="DH316" i="50"/>
  <c r="DG316" i="50"/>
  <c r="DD316" i="50"/>
  <c r="DC316" i="50"/>
  <c r="DF316" i="50" s="1"/>
  <c r="DB316" i="50"/>
  <c r="DE316" i="50" s="1"/>
  <c r="BV316" i="50"/>
  <c r="BU316" i="50"/>
  <c r="BT316" i="50"/>
  <c r="BS316" i="50"/>
  <c r="BR316" i="50"/>
  <c r="BQ316" i="50"/>
  <c r="M316" i="50"/>
  <c r="L316" i="50"/>
  <c r="K316" i="50"/>
  <c r="DJ315" i="50"/>
  <c r="DI315" i="50"/>
  <c r="DH315" i="50"/>
  <c r="DD315" i="50"/>
  <c r="DG315" i="50" s="1"/>
  <c r="DC315" i="50"/>
  <c r="DF315" i="50" s="1"/>
  <c r="DB315" i="50"/>
  <c r="DE315" i="50" s="1"/>
  <c r="BV315" i="50"/>
  <c r="BU315" i="50"/>
  <c r="BT315" i="50"/>
  <c r="BS315" i="50"/>
  <c r="BR315" i="50"/>
  <c r="BQ315" i="50"/>
  <c r="M315" i="50"/>
  <c r="L315" i="50"/>
  <c r="K315" i="50"/>
  <c r="DJ314" i="50"/>
  <c r="DI314" i="50"/>
  <c r="DH314" i="50"/>
  <c r="DD314" i="50"/>
  <c r="DG314" i="50" s="1"/>
  <c r="DC314" i="50"/>
  <c r="DF314" i="50" s="1"/>
  <c r="DB314" i="50"/>
  <c r="DE314" i="50" s="1"/>
  <c r="BV314" i="50"/>
  <c r="BU314" i="50"/>
  <c r="BT314" i="50"/>
  <c r="BS314" i="50"/>
  <c r="BR314" i="50"/>
  <c r="BQ314" i="50"/>
  <c r="M314" i="50"/>
  <c r="L314" i="50"/>
  <c r="K314" i="50"/>
  <c r="DJ313" i="50"/>
  <c r="DI313" i="50"/>
  <c r="DH313" i="50"/>
  <c r="DD313" i="50"/>
  <c r="DG313" i="50" s="1"/>
  <c r="DC313" i="50"/>
  <c r="DF313" i="50" s="1"/>
  <c r="DB313" i="50"/>
  <c r="DE313" i="50" s="1"/>
  <c r="BV313" i="50"/>
  <c r="BU313" i="50"/>
  <c r="BT313" i="50"/>
  <c r="BS313" i="50"/>
  <c r="BR313" i="50"/>
  <c r="BQ313" i="50"/>
  <c r="M313" i="50"/>
  <c r="L313" i="50"/>
  <c r="K313" i="50"/>
  <c r="DJ312" i="50"/>
  <c r="DI312" i="50"/>
  <c r="DH312" i="50"/>
  <c r="DD312" i="50"/>
  <c r="DG312" i="50" s="1"/>
  <c r="DC312" i="50"/>
  <c r="DF312" i="50" s="1"/>
  <c r="DB312" i="50"/>
  <c r="DE312" i="50" s="1"/>
  <c r="BV312" i="50"/>
  <c r="BU312" i="50"/>
  <c r="BT312" i="50"/>
  <c r="BS312" i="50"/>
  <c r="BR312" i="50"/>
  <c r="BQ312" i="50"/>
  <c r="M312" i="50"/>
  <c r="L312" i="50"/>
  <c r="K312" i="50"/>
  <c r="DJ311" i="50"/>
  <c r="DI311" i="50"/>
  <c r="DH311" i="50"/>
  <c r="DD311" i="50"/>
  <c r="DG311" i="50" s="1"/>
  <c r="DC311" i="50"/>
  <c r="DF311" i="50" s="1"/>
  <c r="DB311" i="50"/>
  <c r="DE311" i="50" s="1"/>
  <c r="BV311" i="50"/>
  <c r="BU311" i="50"/>
  <c r="BT311" i="50"/>
  <c r="BS311" i="50"/>
  <c r="BR311" i="50"/>
  <c r="BQ311" i="50"/>
  <c r="M311" i="50"/>
  <c r="L311" i="50"/>
  <c r="K311" i="50"/>
  <c r="DJ310" i="50"/>
  <c r="DI310" i="50"/>
  <c r="DH310" i="50"/>
  <c r="DD310" i="50"/>
  <c r="DG310" i="50" s="1"/>
  <c r="DC310" i="50"/>
  <c r="DF310" i="50" s="1"/>
  <c r="DB310" i="50"/>
  <c r="DE310" i="50" s="1"/>
  <c r="BV310" i="50"/>
  <c r="BU310" i="50"/>
  <c r="BT310" i="50"/>
  <c r="BS310" i="50"/>
  <c r="BR310" i="50"/>
  <c r="BQ310" i="50"/>
  <c r="M310" i="50"/>
  <c r="L310" i="50"/>
  <c r="K310" i="50"/>
  <c r="DJ309" i="50"/>
  <c r="DI309" i="50"/>
  <c r="DH309" i="50"/>
  <c r="DD309" i="50"/>
  <c r="DG309" i="50" s="1"/>
  <c r="DC309" i="50"/>
  <c r="DF309" i="50" s="1"/>
  <c r="DB309" i="50"/>
  <c r="DE309" i="50" s="1"/>
  <c r="BV309" i="50"/>
  <c r="BU309" i="50"/>
  <c r="BT309" i="50"/>
  <c r="BS309" i="50"/>
  <c r="BR309" i="50"/>
  <c r="BQ309" i="50"/>
  <c r="M309" i="50"/>
  <c r="L309" i="50"/>
  <c r="K309" i="50"/>
  <c r="DJ308" i="50"/>
  <c r="DI308" i="50"/>
  <c r="DH308" i="50"/>
  <c r="DE308" i="50"/>
  <c r="DD308" i="50"/>
  <c r="DG308" i="50" s="1"/>
  <c r="DC308" i="50"/>
  <c r="DF308" i="50" s="1"/>
  <c r="DB308" i="50"/>
  <c r="BV308" i="50"/>
  <c r="BU308" i="50"/>
  <c r="BT308" i="50"/>
  <c r="BS308" i="50"/>
  <c r="BR308" i="50"/>
  <c r="BQ308" i="50"/>
  <c r="M308" i="50"/>
  <c r="L308" i="50"/>
  <c r="K308" i="50"/>
  <c r="DJ307" i="50"/>
  <c r="DI307" i="50"/>
  <c r="DH307" i="50"/>
  <c r="DG307" i="50"/>
  <c r="DE307" i="50"/>
  <c r="DD307" i="50"/>
  <c r="DC307" i="50"/>
  <c r="DF307" i="50" s="1"/>
  <c r="DB307" i="50"/>
  <c r="BV307" i="50"/>
  <c r="BU307" i="50"/>
  <c r="BT307" i="50"/>
  <c r="BS307" i="50"/>
  <c r="BR307" i="50"/>
  <c r="BQ307" i="50"/>
  <c r="M307" i="50"/>
  <c r="L307" i="50"/>
  <c r="K307" i="50"/>
  <c r="DJ306" i="50"/>
  <c r="DI306" i="50"/>
  <c r="DH306" i="50"/>
  <c r="DG306" i="50"/>
  <c r="DD306" i="50"/>
  <c r="DC306" i="50"/>
  <c r="DF306" i="50" s="1"/>
  <c r="DB306" i="50"/>
  <c r="DE306" i="50" s="1"/>
  <c r="BV306" i="50"/>
  <c r="BU306" i="50"/>
  <c r="BT306" i="50"/>
  <c r="BS306" i="50"/>
  <c r="BR306" i="50"/>
  <c r="BQ306" i="50"/>
  <c r="M306" i="50"/>
  <c r="L306" i="50"/>
  <c r="K306" i="50"/>
  <c r="DJ305" i="50"/>
  <c r="DI305" i="50"/>
  <c r="DH305" i="50"/>
  <c r="DE305" i="50"/>
  <c r="DD305" i="50"/>
  <c r="DG305" i="50" s="1"/>
  <c r="DC305" i="50"/>
  <c r="DF305" i="50" s="1"/>
  <c r="DB305" i="50"/>
  <c r="BV305" i="50"/>
  <c r="BU305" i="50"/>
  <c r="BT305" i="50"/>
  <c r="BS305" i="50"/>
  <c r="BR305" i="50"/>
  <c r="BQ305" i="50"/>
  <c r="M305" i="50"/>
  <c r="L305" i="50"/>
  <c r="K305" i="50"/>
  <c r="DJ304" i="50"/>
  <c r="DI304" i="50"/>
  <c r="DH304" i="50"/>
  <c r="DG304" i="50"/>
  <c r="DE304" i="50"/>
  <c r="DD304" i="50"/>
  <c r="DC304" i="50"/>
  <c r="DF304" i="50" s="1"/>
  <c r="DB304" i="50"/>
  <c r="BV304" i="50"/>
  <c r="BU304" i="50"/>
  <c r="BT304" i="50"/>
  <c r="BS304" i="50"/>
  <c r="BR304" i="50"/>
  <c r="BQ304" i="50"/>
  <c r="M304" i="50"/>
  <c r="L304" i="50"/>
  <c r="K304" i="50"/>
  <c r="DJ303" i="50"/>
  <c r="DI303" i="50"/>
  <c r="DH303" i="50"/>
  <c r="DD303" i="50"/>
  <c r="DG303" i="50" s="1"/>
  <c r="DC303" i="50"/>
  <c r="DF303" i="50" s="1"/>
  <c r="DB303" i="50"/>
  <c r="DE303" i="50" s="1"/>
  <c r="BV303" i="50"/>
  <c r="BU303" i="50"/>
  <c r="BT303" i="50"/>
  <c r="BS303" i="50"/>
  <c r="BR303" i="50"/>
  <c r="BQ303" i="50"/>
  <c r="M303" i="50"/>
  <c r="L303" i="50"/>
  <c r="K303" i="50"/>
  <c r="DJ302" i="50"/>
  <c r="DI302" i="50"/>
  <c r="DH302" i="50"/>
  <c r="DE302" i="50"/>
  <c r="DD302" i="50"/>
  <c r="DG302" i="50" s="1"/>
  <c r="DC302" i="50"/>
  <c r="DF302" i="50" s="1"/>
  <c r="DB302" i="50"/>
  <c r="BV302" i="50"/>
  <c r="BU302" i="50"/>
  <c r="BT302" i="50"/>
  <c r="BS302" i="50"/>
  <c r="BR302" i="50"/>
  <c r="BQ302" i="50"/>
  <c r="M302" i="50"/>
  <c r="L302" i="50"/>
  <c r="K302" i="50"/>
  <c r="DJ301" i="50"/>
  <c r="DI301" i="50"/>
  <c r="DH301" i="50"/>
  <c r="DE301" i="50"/>
  <c r="DD301" i="50"/>
  <c r="DG301" i="50" s="1"/>
  <c r="DC301" i="50"/>
  <c r="DF301" i="50" s="1"/>
  <c r="DB301" i="50"/>
  <c r="BV301" i="50"/>
  <c r="BU301" i="50"/>
  <c r="BT301" i="50"/>
  <c r="BS301" i="50"/>
  <c r="BR301" i="50"/>
  <c r="BQ301" i="50"/>
  <c r="M301" i="50"/>
  <c r="L301" i="50"/>
  <c r="K301" i="50"/>
  <c r="DJ300" i="50"/>
  <c r="DI300" i="50"/>
  <c r="DH300" i="50"/>
  <c r="DF300" i="50"/>
  <c r="DD300" i="50"/>
  <c r="DG300" i="50" s="1"/>
  <c r="DC300" i="50"/>
  <c r="DB300" i="50"/>
  <c r="DE300" i="50" s="1"/>
  <c r="BV300" i="50"/>
  <c r="BU300" i="50"/>
  <c r="BT300" i="50"/>
  <c r="BS300" i="50"/>
  <c r="BR300" i="50"/>
  <c r="BQ300" i="50"/>
  <c r="M300" i="50"/>
  <c r="L300" i="50"/>
  <c r="K300" i="50"/>
  <c r="DJ299" i="50"/>
  <c r="DI299" i="50"/>
  <c r="DH299" i="50"/>
  <c r="DD299" i="50"/>
  <c r="DG299" i="50" s="1"/>
  <c r="DC299" i="50"/>
  <c r="DF299" i="50" s="1"/>
  <c r="DB299" i="50"/>
  <c r="DE299" i="50" s="1"/>
  <c r="BV299" i="50"/>
  <c r="BU299" i="50"/>
  <c r="BT299" i="50"/>
  <c r="BS299" i="50"/>
  <c r="BR299" i="50"/>
  <c r="BQ299" i="50"/>
  <c r="M299" i="50"/>
  <c r="L299" i="50"/>
  <c r="K299" i="50"/>
  <c r="DJ298" i="50"/>
  <c r="DI298" i="50"/>
  <c r="DH298" i="50"/>
  <c r="DD298" i="50"/>
  <c r="DG298" i="50" s="1"/>
  <c r="DC298" i="50"/>
  <c r="DF298" i="50" s="1"/>
  <c r="DB298" i="50"/>
  <c r="DE298" i="50" s="1"/>
  <c r="BV298" i="50"/>
  <c r="BU298" i="50"/>
  <c r="BT298" i="50"/>
  <c r="BS298" i="50"/>
  <c r="BR298" i="50"/>
  <c r="BQ298" i="50"/>
  <c r="M298" i="50"/>
  <c r="L298" i="50"/>
  <c r="K298" i="50"/>
  <c r="DJ297" i="50"/>
  <c r="DI297" i="50"/>
  <c r="DH297" i="50"/>
  <c r="DE297" i="50"/>
  <c r="DD297" i="50"/>
  <c r="DG297" i="50" s="1"/>
  <c r="DC297" i="50"/>
  <c r="DF297" i="50" s="1"/>
  <c r="DB297" i="50"/>
  <c r="BV297" i="50"/>
  <c r="BU297" i="50"/>
  <c r="BT297" i="50"/>
  <c r="BS297" i="50"/>
  <c r="BR297" i="50"/>
  <c r="BQ297" i="50"/>
  <c r="M297" i="50"/>
  <c r="L297" i="50"/>
  <c r="K297" i="50"/>
  <c r="DJ296" i="50"/>
  <c r="DI296" i="50"/>
  <c r="DH296" i="50"/>
  <c r="DE296" i="50"/>
  <c r="DD296" i="50"/>
  <c r="DG296" i="50" s="1"/>
  <c r="DC296" i="50"/>
  <c r="DF296" i="50" s="1"/>
  <c r="DB296" i="50"/>
  <c r="BV296" i="50"/>
  <c r="BU296" i="50"/>
  <c r="BT296" i="50"/>
  <c r="BS296" i="50"/>
  <c r="BR296" i="50"/>
  <c r="BQ296" i="50"/>
  <c r="M296" i="50"/>
  <c r="L296" i="50"/>
  <c r="K296" i="50"/>
  <c r="DJ295" i="50"/>
  <c r="DI295" i="50"/>
  <c r="DH295" i="50"/>
  <c r="DE295" i="50"/>
  <c r="DD295" i="50"/>
  <c r="DG295" i="50" s="1"/>
  <c r="DC295" i="50"/>
  <c r="DF295" i="50" s="1"/>
  <c r="DB295" i="50"/>
  <c r="BV295" i="50"/>
  <c r="BU295" i="50"/>
  <c r="BT295" i="50"/>
  <c r="BS295" i="50"/>
  <c r="BR295" i="50"/>
  <c r="BQ295" i="50"/>
  <c r="M295" i="50"/>
  <c r="L295" i="50"/>
  <c r="K295" i="50"/>
  <c r="DJ294" i="50"/>
  <c r="DI294" i="50"/>
  <c r="DH294" i="50"/>
  <c r="DG294" i="50"/>
  <c r="DE294" i="50"/>
  <c r="DD294" i="50"/>
  <c r="DC294" i="50"/>
  <c r="DF294" i="50" s="1"/>
  <c r="DB294" i="50"/>
  <c r="BV294" i="50"/>
  <c r="BU294" i="50"/>
  <c r="BT294" i="50"/>
  <c r="BS294" i="50"/>
  <c r="BR294" i="50"/>
  <c r="BQ294" i="50"/>
  <c r="M294" i="50"/>
  <c r="L294" i="50"/>
  <c r="K294" i="50"/>
  <c r="DJ293" i="50"/>
  <c r="DI293" i="50"/>
  <c r="DH293" i="50"/>
  <c r="DG293" i="50"/>
  <c r="DD293" i="50"/>
  <c r="DC293" i="50"/>
  <c r="DF293" i="50" s="1"/>
  <c r="DB293" i="50"/>
  <c r="DE293" i="50" s="1"/>
  <c r="BV293" i="50"/>
  <c r="BU293" i="50"/>
  <c r="BT293" i="50"/>
  <c r="BS293" i="50"/>
  <c r="BR293" i="50"/>
  <c r="BQ293" i="50"/>
  <c r="M293" i="50"/>
  <c r="L293" i="50"/>
  <c r="K293" i="50"/>
  <c r="DJ292" i="50"/>
  <c r="DI292" i="50"/>
  <c r="DH292" i="50"/>
  <c r="DF292" i="50"/>
  <c r="DD292" i="50"/>
  <c r="DG292" i="50" s="1"/>
  <c r="DC292" i="50"/>
  <c r="DB292" i="50"/>
  <c r="DE292" i="50" s="1"/>
  <c r="BV292" i="50"/>
  <c r="BU292" i="50"/>
  <c r="BT292" i="50"/>
  <c r="BS292" i="50"/>
  <c r="BR292" i="50"/>
  <c r="BQ292" i="50"/>
  <c r="M292" i="50"/>
  <c r="L292" i="50"/>
  <c r="K292" i="50"/>
  <c r="DJ291" i="50"/>
  <c r="DI291" i="50"/>
  <c r="DH291" i="50"/>
  <c r="DD291" i="50"/>
  <c r="DG291" i="50" s="1"/>
  <c r="DC291" i="50"/>
  <c r="DF291" i="50" s="1"/>
  <c r="DB291" i="50"/>
  <c r="DE291" i="50" s="1"/>
  <c r="BV291" i="50"/>
  <c r="BU291" i="50"/>
  <c r="BT291" i="50"/>
  <c r="BS291" i="50"/>
  <c r="BR291" i="50"/>
  <c r="BQ291" i="50"/>
  <c r="M291" i="50"/>
  <c r="L291" i="50"/>
  <c r="K291" i="50"/>
  <c r="DJ290" i="50"/>
  <c r="DI290" i="50"/>
  <c r="DH290" i="50"/>
  <c r="DD290" i="50"/>
  <c r="DG290" i="50" s="1"/>
  <c r="DC290" i="50"/>
  <c r="DF290" i="50" s="1"/>
  <c r="DB290" i="50"/>
  <c r="DE290" i="50" s="1"/>
  <c r="BV290" i="50"/>
  <c r="BU290" i="50"/>
  <c r="BT290" i="50"/>
  <c r="BS290" i="50"/>
  <c r="BR290" i="50"/>
  <c r="BQ290" i="50"/>
  <c r="M290" i="50"/>
  <c r="L290" i="50"/>
  <c r="K290" i="50"/>
  <c r="DJ289" i="50"/>
  <c r="DI289" i="50"/>
  <c r="DH289" i="50"/>
  <c r="DD289" i="50"/>
  <c r="DG289" i="50" s="1"/>
  <c r="DC289" i="50"/>
  <c r="DF289" i="50" s="1"/>
  <c r="DB289" i="50"/>
  <c r="DE289" i="50" s="1"/>
  <c r="BV289" i="50"/>
  <c r="BU289" i="50"/>
  <c r="BT289" i="50"/>
  <c r="BS289" i="50"/>
  <c r="BR289" i="50"/>
  <c r="BQ289" i="50"/>
  <c r="M289" i="50"/>
  <c r="L289" i="50"/>
  <c r="K289" i="50"/>
  <c r="DJ288" i="50"/>
  <c r="DI288" i="50"/>
  <c r="DH288" i="50"/>
  <c r="DF288" i="50"/>
  <c r="DE288" i="50"/>
  <c r="DD288" i="50"/>
  <c r="DG288" i="50" s="1"/>
  <c r="DC288" i="50"/>
  <c r="DB288" i="50"/>
  <c r="BV288" i="50"/>
  <c r="BU288" i="50"/>
  <c r="BT288" i="50"/>
  <c r="BS288" i="50"/>
  <c r="BR288" i="50"/>
  <c r="BQ288" i="50"/>
  <c r="M288" i="50"/>
  <c r="L288" i="50"/>
  <c r="K288" i="50"/>
  <c r="DJ287" i="50"/>
  <c r="DI287" i="50"/>
  <c r="DH287" i="50"/>
  <c r="DG287" i="50"/>
  <c r="DD287" i="50"/>
  <c r="DC287" i="50"/>
  <c r="DF287" i="50" s="1"/>
  <c r="DB287" i="50"/>
  <c r="DE287" i="50" s="1"/>
  <c r="BV287" i="50"/>
  <c r="BU287" i="50"/>
  <c r="BT287" i="50"/>
  <c r="BS287" i="50"/>
  <c r="BR287" i="50"/>
  <c r="BQ287" i="50"/>
  <c r="M287" i="50"/>
  <c r="L287" i="50"/>
  <c r="K287" i="50"/>
  <c r="DJ286" i="50"/>
  <c r="DI286" i="50"/>
  <c r="DH286" i="50"/>
  <c r="DE286" i="50"/>
  <c r="DD286" i="50"/>
  <c r="DG286" i="50" s="1"/>
  <c r="DC286" i="50"/>
  <c r="DF286" i="50" s="1"/>
  <c r="DB286" i="50"/>
  <c r="BV286" i="50"/>
  <c r="BU286" i="50"/>
  <c r="BT286" i="50"/>
  <c r="BS286" i="50"/>
  <c r="BR286" i="50"/>
  <c r="BQ286" i="50"/>
  <c r="M286" i="50"/>
  <c r="L286" i="50"/>
  <c r="K286" i="50"/>
  <c r="DJ285" i="50"/>
  <c r="DI285" i="50"/>
  <c r="DH285" i="50"/>
  <c r="DE285" i="50"/>
  <c r="DD285" i="50"/>
  <c r="DG285" i="50" s="1"/>
  <c r="DC285" i="50"/>
  <c r="DF285" i="50" s="1"/>
  <c r="DB285" i="50"/>
  <c r="BV285" i="50"/>
  <c r="BU285" i="50"/>
  <c r="BT285" i="50"/>
  <c r="BS285" i="50"/>
  <c r="BR285" i="50"/>
  <c r="BQ285" i="50"/>
  <c r="M285" i="50"/>
  <c r="L285" i="50"/>
  <c r="K285" i="50"/>
  <c r="DJ284" i="50"/>
  <c r="DI284" i="50"/>
  <c r="DH284" i="50"/>
  <c r="DG284" i="50"/>
  <c r="DD284" i="50"/>
  <c r="DC284" i="50"/>
  <c r="DF284" i="50" s="1"/>
  <c r="DB284" i="50"/>
  <c r="DE284" i="50" s="1"/>
  <c r="BV284" i="50"/>
  <c r="BU284" i="50"/>
  <c r="BT284" i="50"/>
  <c r="BS284" i="50"/>
  <c r="BR284" i="50"/>
  <c r="BQ284" i="50"/>
  <c r="M284" i="50"/>
  <c r="L284" i="50"/>
  <c r="K284" i="50"/>
  <c r="DJ283" i="50"/>
  <c r="DI283" i="50"/>
  <c r="DH283" i="50"/>
  <c r="DD283" i="50"/>
  <c r="DG283" i="50" s="1"/>
  <c r="DC283" i="50"/>
  <c r="DF283" i="50" s="1"/>
  <c r="DB283" i="50"/>
  <c r="DE283" i="50" s="1"/>
  <c r="BV283" i="50"/>
  <c r="BU283" i="50"/>
  <c r="BT283" i="50"/>
  <c r="BS283" i="50"/>
  <c r="BR283" i="50"/>
  <c r="BQ283" i="50"/>
  <c r="M283" i="50"/>
  <c r="L283" i="50"/>
  <c r="K283" i="50"/>
  <c r="DJ282" i="50"/>
  <c r="DI282" i="50"/>
  <c r="DH282" i="50"/>
  <c r="DD282" i="50"/>
  <c r="DG282" i="50" s="1"/>
  <c r="DC282" i="50"/>
  <c r="DF282" i="50" s="1"/>
  <c r="DB282" i="50"/>
  <c r="DE282" i="50" s="1"/>
  <c r="BV282" i="50"/>
  <c r="BU282" i="50"/>
  <c r="BT282" i="50"/>
  <c r="BS282" i="50"/>
  <c r="BR282" i="50"/>
  <c r="BQ282" i="50"/>
  <c r="M282" i="50"/>
  <c r="L282" i="50"/>
  <c r="K282" i="50"/>
  <c r="DJ281" i="50"/>
  <c r="DI281" i="50"/>
  <c r="DH281" i="50"/>
  <c r="DE281" i="50"/>
  <c r="DD281" i="50"/>
  <c r="DG281" i="50" s="1"/>
  <c r="DC281" i="50"/>
  <c r="DF281" i="50" s="1"/>
  <c r="DB281" i="50"/>
  <c r="BV281" i="50"/>
  <c r="BU281" i="50"/>
  <c r="BT281" i="50"/>
  <c r="BS281" i="50"/>
  <c r="BR281" i="50"/>
  <c r="BQ281" i="50"/>
  <c r="M281" i="50"/>
  <c r="L281" i="50"/>
  <c r="K281" i="50"/>
  <c r="DJ280" i="50"/>
  <c r="DI280" i="50"/>
  <c r="DH280" i="50"/>
  <c r="DE280" i="50"/>
  <c r="DD280" i="50"/>
  <c r="DG280" i="50" s="1"/>
  <c r="DC280" i="50"/>
  <c r="DF280" i="50" s="1"/>
  <c r="DB280" i="50"/>
  <c r="BV280" i="50"/>
  <c r="BU280" i="50"/>
  <c r="BT280" i="50"/>
  <c r="BS280" i="50"/>
  <c r="BR280" i="50"/>
  <c r="BQ280" i="50"/>
  <c r="M280" i="50"/>
  <c r="L280" i="50"/>
  <c r="K280" i="50"/>
  <c r="DJ279" i="50"/>
  <c r="DI279" i="50"/>
  <c r="DH279" i="50"/>
  <c r="DD279" i="50"/>
  <c r="DG279" i="50" s="1"/>
  <c r="DC279" i="50"/>
  <c r="DF279" i="50" s="1"/>
  <c r="DB279" i="50"/>
  <c r="DE279" i="50" s="1"/>
  <c r="BV279" i="50"/>
  <c r="BU279" i="50"/>
  <c r="BT279" i="50"/>
  <c r="BS279" i="50"/>
  <c r="BR279" i="50"/>
  <c r="BQ279" i="50"/>
  <c r="M279" i="50"/>
  <c r="L279" i="50"/>
  <c r="K279" i="50"/>
  <c r="DJ278" i="50"/>
  <c r="DI278" i="50"/>
  <c r="DH278" i="50"/>
  <c r="DE278" i="50"/>
  <c r="DD278" i="50"/>
  <c r="DG278" i="50" s="1"/>
  <c r="DC278" i="50"/>
  <c r="DF278" i="50" s="1"/>
  <c r="DB278" i="50"/>
  <c r="BV278" i="50"/>
  <c r="BU278" i="50"/>
  <c r="BT278" i="50"/>
  <c r="BS278" i="50"/>
  <c r="BR278" i="50"/>
  <c r="BQ278" i="50"/>
  <c r="M278" i="50"/>
  <c r="L278" i="50"/>
  <c r="K278" i="50"/>
  <c r="DJ277" i="50"/>
  <c r="DI277" i="50"/>
  <c r="DH277" i="50"/>
  <c r="DD277" i="50"/>
  <c r="DG277" i="50" s="1"/>
  <c r="DC277" i="50"/>
  <c r="DF277" i="50" s="1"/>
  <c r="DB277" i="50"/>
  <c r="DE277" i="50" s="1"/>
  <c r="BV277" i="50"/>
  <c r="BU277" i="50"/>
  <c r="BT277" i="50"/>
  <c r="BS277" i="50"/>
  <c r="BR277" i="50"/>
  <c r="BQ277" i="50"/>
  <c r="M277" i="50"/>
  <c r="L277" i="50"/>
  <c r="K277" i="50"/>
  <c r="DJ276" i="50"/>
  <c r="DI276" i="50"/>
  <c r="DH276" i="50"/>
  <c r="DF276" i="50"/>
  <c r="DE276" i="50"/>
  <c r="DD276" i="50"/>
  <c r="DG276" i="50" s="1"/>
  <c r="DC276" i="50"/>
  <c r="DB276" i="50"/>
  <c r="BV276" i="50"/>
  <c r="BU276" i="50"/>
  <c r="BT276" i="50"/>
  <c r="BS276" i="50"/>
  <c r="BR276" i="50"/>
  <c r="BQ276" i="50"/>
  <c r="M276" i="50"/>
  <c r="L276" i="50"/>
  <c r="K276" i="50"/>
  <c r="DJ275" i="50"/>
  <c r="DI275" i="50"/>
  <c r="DH275" i="50"/>
  <c r="DG275" i="50"/>
  <c r="DD275" i="50"/>
  <c r="DC275" i="50"/>
  <c r="DF275" i="50" s="1"/>
  <c r="DB275" i="50"/>
  <c r="DE275" i="50" s="1"/>
  <c r="BV275" i="50"/>
  <c r="BU275" i="50"/>
  <c r="BT275" i="50"/>
  <c r="BS275" i="50"/>
  <c r="BR275" i="50"/>
  <c r="BQ275" i="50"/>
  <c r="M275" i="50"/>
  <c r="L275" i="50"/>
  <c r="K275" i="50"/>
  <c r="DJ274" i="50"/>
  <c r="DI274" i="50"/>
  <c r="DH274" i="50"/>
  <c r="DG274" i="50"/>
  <c r="DD274" i="50"/>
  <c r="DC274" i="50"/>
  <c r="DF274" i="50" s="1"/>
  <c r="DB274" i="50"/>
  <c r="DE274" i="50" s="1"/>
  <c r="BV274" i="50"/>
  <c r="BU274" i="50"/>
  <c r="BT274" i="50"/>
  <c r="BS274" i="50"/>
  <c r="BR274" i="50"/>
  <c r="BQ274" i="50"/>
  <c r="M274" i="50"/>
  <c r="L274" i="50"/>
  <c r="K274" i="50"/>
  <c r="DJ273" i="50"/>
  <c r="DI273" i="50"/>
  <c r="DH273" i="50"/>
  <c r="DD273" i="50"/>
  <c r="DG273" i="50" s="1"/>
  <c r="DC273" i="50"/>
  <c r="DF273" i="50" s="1"/>
  <c r="DB273" i="50"/>
  <c r="DE273" i="50" s="1"/>
  <c r="BV273" i="50"/>
  <c r="BU273" i="50"/>
  <c r="BT273" i="50"/>
  <c r="BS273" i="50"/>
  <c r="BR273" i="50"/>
  <c r="BQ273" i="50"/>
  <c r="M273" i="50"/>
  <c r="L273" i="50"/>
  <c r="K273" i="50"/>
  <c r="DJ272" i="50"/>
  <c r="DI272" i="50"/>
  <c r="DH272" i="50"/>
  <c r="DD272" i="50"/>
  <c r="DG272" i="50" s="1"/>
  <c r="DC272" i="50"/>
  <c r="DF272" i="50" s="1"/>
  <c r="DB272" i="50"/>
  <c r="DE272" i="50" s="1"/>
  <c r="BV272" i="50"/>
  <c r="BU272" i="50"/>
  <c r="BT272" i="50"/>
  <c r="BS272" i="50"/>
  <c r="BR272" i="50"/>
  <c r="BQ272" i="50"/>
  <c r="M272" i="50"/>
  <c r="L272" i="50"/>
  <c r="K272" i="50"/>
  <c r="DJ271" i="50"/>
  <c r="DI271" i="50"/>
  <c r="DH271" i="50"/>
  <c r="DD271" i="50"/>
  <c r="DG271" i="50" s="1"/>
  <c r="DC271" i="50"/>
  <c r="DF271" i="50" s="1"/>
  <c r="DB271" i="50"/>
  <c r="DE271" i="50" s="1"/>
  <c r="BV271" i="50"/>
  <c r="BU271" i="50"/>
  <c r="BT271" i="50"/>
  <c r="BS271" i="50"/>
  <c r="BR271" i="50"/>
  <c r="BQ271" i="50"/>
  <c r="M271" i="50"/>
  <c r="L271" i="50"/>
  <c r="K271" i="50"/>
  <c r="DJ270" i="50"/>
  <c r="DI270" i="50"/>
  <c r="DH270" i="50"/>
  <c r="DD270" i="50"/>
  <c r="DG270" i="50" s="1"/>
  <c r="DC270" i="50"/>
  <c r="DF270" i="50" s="1"/>
  <c r="DB270" i="50"/>
  <c r="DE270" i="50" s="1"/>
  <c r="BV270" i="50"/>
  <c r="BU270" i="50"/>
  <c r="BT270" i="50"/>
  <c r="BS270" i="50"/>
  <c r="BR270" i="50"/>
  <c r="BQ270" i="50"/>
  <c r="M270" i="50"/>
  <c r="L270" i="50"/>
  <c r="K270" i="50"/>
  <c r="DJ269" i="50"/>
  <c r="DI269" i="50"/>
  <c r="DH269" i="50"/>
  <c r="DD269" i="50"/>
  <c r="DG269" i="50" s="1"/>
  <c r="DC269" i="50"/>
  <c r="DF269" i="50" s="1"/>
  <c r="DB269" i="50"/>
  <c r="DE269" i="50" s="1"/>
  <c r="BV269" i="50"/>
  <c r="BU269" i="50"/>
  <c r="BT269" i="50"/>
  <c r="BS269" i="50"/>
  <c r="BR269" i="50"/>
  <c r="BQ269" i="50"/>
  <c r="M269" i="50"/>
  <c r="L269" i="50"/>
  <c r="K269" i="50"/>
  <c r="DJ268" i="50"/>
  <c r="DI268" i="50"/>
  <c r="DH268" i="50"/>
  <c r="DF268" i="50"/>
  <c r="DD268" i="50"/>
  <c r="DG268" i="50" s="1"/>
  <c r="DC268" i="50"/>
  <c r="DB268" i="50"/>
  <c r="DE268" i="50" s="1"/>
  <c r="BV268" i="50"/>
  <c r="BU268" i="50"/>
  <c r="BT268" i="50"/>
  <c r="BS268" i="50"/>
  <c r="BR268" i="50"/>
  <c r="BQ268" i="50"/>
  <c r="M268" i="50"/>
  <c r="L268" i="50"/>
  <c r="K268" i="50"/>
  <c r="DJ267" i="50"/>
  <c r="DI267" i="50"/>
  <c r="DH267" i="50"/>
  <c r="DD267" i="50"/>
  <c r="DG267" i="50" s="1"/>
  <c r="DC267" i="50"/>
  <c r="DF267" i="50" s="1"/>
  <c r="DB267" i="50"/>
  <c r="DE267" i="50" s="1"/>
  <c r="BV267" i="50"/>
  <c r="BU267" i="50"/>
  <c r="BT267" i="50"/>
  <c r="BS267" i="50"/>
  <c r="BR267" i="50"/>
  <c r="BQ267" i="50"/>
  <c r="M267" i="50"/>
  <c r="L267" i="50"/>
  <c r="K267" i="50"/>
  <c r="DJ266" i="50"/>
  <c r="DI266" i="50"/>
  <c r="DH266" i="50"/>
  <c r="DD266" i="50"/>
  <c r="DG266" i="50" s="1"/>
  <c r="DC266" i="50"/>
  <c r="DF266" i="50" s="1"/>
  <c r="DB266" i="50"/>
  <c r="DE266" i="50" s="1"/>
  <c r="BV266" i="50"/>
  <c r="BU266" i="50"/>
  <c r="BT266" i="50"/>
  <c r="BS266" i="50"/>
  <c r="BR266" i="50"/>
  <c r="BQ266" i="50"/>
  <c r="M266" i="50"/>
  <c r="L266" i="50"/>
  <c r="K266" i="50"/>
  <c r="DJ265" i="50"/>
  <c r="DI265" i="50"/>
  <c r="DH265" i="50"/>
  <c r="DD265" i="50"/>
  <c r="DG265" i="50" s="1"/>
  <c r="DC265" i="50"/>
  <c r="DF265" i="50" s="1"/>
  <c r="DB265" i="50"/>
  <c r="DE265" i="50" s="1"/>
  <c r="BV265" i="50"/>
  <c r="BU265" i="50"/>
  <c r="BT265" i="50"/>
  <c r="BS265" i="50"/>
  <c r="BR265" i="50"/>
  <c r="BQ265" i="50"/>
  <c r="M265" i="50"/>
  <c r="L265" i="50"/>
  <c r="K265" i="50"/>
  <c r="DJ264" i="50"/>
  <c r="DI264" i="50"/>
  <c r="DH264" i="50"/>
  <c r="DE264" i="50"/>
  <c r="DD264" i="50"/>
  <c r="DG264" i="50" s="1"/>
  <c r="DC264" i="50"/>
  <c r="DF264" i="50" s="1"/>
  <c r="DB264" i="50"/>
  <c r="BV264" i="50"/>
  <c r="BU264" i="50"/>
  <c r="BT264" i="50"/>
  <c r="BS264" i="50"/>
  <c r="BR264" i="50"/>
  <c r="BQ264" i="50"/>
  <c r="M264" i="50"/>
  <c r="L264" i="50"/>
  <c r="K264" i="50"/>
  <c r="DJ263" i="50"/>
  <c r="DI263" i="50"/>
  <c r="DH263" i="50"/>
  <c r="DE263" i="50"/>
  <c r="DD263" i="50"/>
  <c r="DG263" i="50" s="1"/>
  <c r="DC263" i="50"/>
  <c r="DF263" i="50" s="1"/>
  <c r="DB263" i="50"/>
  <c r="BV263" i="50"/>
  <c r="BU263" i="50"/>
  <c r="BT263" i="50"/>
  <c r="BS263" i="50"/>
  <c r="BR263" i="50"/>
  <c r="BQ263" i="50"/>
  <c r="M263" i="50"/>
  <c r="L263" i="50"/>
  <c r="K263" i="50"/>
  <c r="DJ262" i="50"/>
  <c r="DI262" i="50"/>
  <c r="DH262" i="50"/>
  <c r="DG262" i="50"/>
  <c r="DE262" i="50"/>
  <c r="DD262" i="50"/>
  <c r="DC262" i="50"/>
  <c r="DF262" i="50" s="1"/>
  <c r="DB262" i="50"/>
  <c r="BV262" i="50"/>
  <c r="BU262" i="50"/>
  <c r="BT262" i="50"/>
  <c r="BS262" i="50"/>
  <c r="BR262" i="50"/>
  <c r="BQ262" i="50"/>
  <c r="M262" i="50"/>
  <c r="L262" i="50"/>
  <c r="K262" i="50"/>
  <c r="DJ261" i="50"/>
  <c r="DI261" i="50"/>
  <c r="DH261" i="50"/>
  <c r="DG261" i="50"/>
  <c r="DD261" i="50"/>
  <c r="DC261" i="50"/>
  <c r="DF261" i="50" s="1"/>
  <c r="DB261" i="50"/>
  <c r="DE261" i="50" s="1"/>
  <c r="BV261" i="50"/>
  <c r="BU261" i="50"/>
  <c r="BT261" i="50"/>
  <c r="BS261" i="50"/>
  <c r="BR261" i="50"/>
  <c r="BQ261" i="50"/>
  <c r="M261" i="50"/>
  <c r="L261" i="50"/>
  <c r="K261" i="50"/>
  <c r="DJ260" i="50"/>
  <c r="DI260" i="50"/>
  <c r="DH260" i="50"/>
  <c r="DF260" i="50"/>
  <c r="DD260" i="50"/>
  <c r="DG260" i="50" s="1"/>
  <c r="DC260" i="50"/>
  <c r="DB260" i="50"/>
  <c r="DE260" i="50" s="1"/>
  <c r="BV260" i="50"/>
  <c r="BU260" i="50"/>
  <c r="BT260" i="50"/>
  <c r="BS260" i="50"/>
  <c r="BR260" i="50"/>
  <c r="BQ260" i="50"/>
  <c r="M260" i="50"/>
  <c r="L260" i="50"/>
  <c r="K260" i="50"/>
  <c r="DJ259" i="50"/>
  <c r="DI259" i="50"/>
  <c r="DH259" i="50"/>
  <c r="DG259" i="50"/>
  <c r="DD259" i="50"/>
  <c r="DC259" i="50"/>
  <c r="DF259" i="50" s="1"/>
  <c r="DB259" i="50"/>
  <c r="DE259" i="50" s="1"/>
  <c r="BV259" i="50"/>
  <c r="BU259" i="50"/>
  <c r="BT259" i="50"/>
  <c r="BS259" i="50"/>
  <c r="BR259" i="50"/>
  <c r="BQ259" i="50"/>
  <c r="M259" i="50"/>
  <c r="L259" i="50"/>
  <c r="K259" i="50"/>
  <c r="DJ258" i="50"/>
  <c r="DI258" i="50"/>
  <c r="DH258" i="50"/>
  <c r="DD258" i="50"/>
  <c r="DG258" i="50" s="1"/>
  <c r="DC258" i="50"/>
  <c r="DF258" i="50" s="1"/>
  <c r="DB258" i="50"/>
  <c r="DE258" i="50" s="1"/>
  <c r="BV258" i="50"/>
  <c r="BU258" i="50"/>
  <c r="BT258" i="50"/>
  <c r="BS258" i="50"/>
  <c r="BR258" i="50"/>
  <c r="BQ258" i="50"/>
  <c r="M258" i="50"/>
  <c r="L258" i="50"/>
  <c r="K258" i="50"/>
  <c r="DJ257" i="50"/>
  <c r="DI257" i="50"/>
  <c r="DH257" i="50"/>
  <c r="DD257" i="50"/>
  <c r="DG257" i="50" s="1"/>
  <c r="DC257" i="50"/>
  <c r="DF257" i="50" s="1"/>
  <c r="DB257" i="50"/>
  <c r="DE257" i="50" s="1"/>
  <c r="BV257" i="50"/>
  <c r="BU257" i="50"/>
  <c r="BT257" i="50"/>
  <c r="BS257" i="50"/>
  <c r="BR257" i="50"/>
  <c r="BQ257" i="50"/>
  <c r="M257" i="50"/>
  <c r="L257" i="50"/>
  <c r="K257" i="50"/>
  <c r="DJ256" i="50"/>
  <c r="DI256" i="50"/>
  <c r="DH256" i="50"/>
  <c r="DF256" i="50"/>
  <c r="DE256" i="50"/>
  <c r="DD256" i="50"/>
  <c r="DG256" i="50" s="1"/>
  <c r="DC256" i="50"/>
  <c r="DB256" i="50"/>
  <c r="BV256" i="50"/>
  <c r="BU256" i="50"/>
  <c r="BT256" i="50"/>
  <c r="BS256" i="50"/>
  <c r="BR256" i="50"/>
  <c r="BQ256" i="50"/>
  <c r="M256" i="50"/>
  <c r="L256" i="50"/>
  <c r="K256" i="50"/>
  <c r="DJ255" i="50"/>
  <c r="DI255" i="50"/>
  <c r="DH255" i="50"/>
  <c r="DD255" i="50"/>
  <c r="DG255" i="50" s="1"/>
  <c r="DC255" i="50"/>
  <c r="DF255" i="50" s="1"/>
  <c r="DB255" i="50"/>
  <c r="DE255" i="50" s="1"/>
  <c r="BV255" i="50"/>
  <c r="BU255" i="50"/>
  <c r="BT255" i="50"/>
  <c r="BS255" i="50"/>
  <c r="BR255" i="50"/>
  <c r="BQ255" i="50"/>
  <c r="M255" i="50"/>
  <c r="L255" i="50"/>
  <c r="K255" i="50"/>
  <c r="DJ254" i="50"/>
  <c r="DI254" i="50"/>
  <c r="DH254" i="50"/>
  <c r="DE254" i="50"/>
  <c r="DD254" i="50"/>
  <c r="DG254" i="50" s="1"/>
  <c r="DC254" i="50"/>
  <c r="DF254" i="50" s="1"/>
  <c r="DB254" i="50"/>
  <c r="BV254" i="50"/>
  <c r="BU254" i="50"/>
  <c r="BT254" i="50"/>
  <c r="BS254" i="50"/>
  <c r="BR254" i="50"/>
  <c r="BQ254" i="50"/>
  <c r="M254" i="50"/>
  <c r="L254" i="50"/>
  <c r="K254" i="50"/>
  <c r="DJ253" i="50"/>
  <c r="DI253" i="50"/>
  <c r="DH253" i="50"/>
  <c r="DD253" i="50"/>
  <c r="DG253" i="50" s="1"/>
  <c r="DC253" i="50"/>
  <c r="DF253" i="50" s="1"/>
  <c r="DB253" i="50"/>
  <c r="DE253" i="50" s="1"/>
  <c r="BV253" i="50"/>
  <c r="BU253" i="50"/>
  <c r="BT253" i="50"/>
  <c r="BS253" i="50"/>
  <c r="BR253" i="50"/>
  <c r="BQ253" i="50"/>
  <c r="M253" i="50"/>
  <c r="L253" i="50"/>
  <c r="K253" i="50"/>
  <c r="DJ252" i="50"/>
  <c r="DI252" i="50"/>
  <c r="DH252" i="50"/>
  <c r="DD252" i="50"/>
  <c r="DG252" i="50" s="1"/>
  <c r="DC252" i="50"/>
  <c r="DF252" i="50" s="1"/>
  <c r="DB252" i="50"/>
  <c r="DE252" i="50" s="1"/>
  <c r="BV252" i="50"/>
  <c r="BU252" i="50"/>
  <c r="BT252" i="50"/>
  <c r="BS252" i="50"/>
  <c r="BR252" i="50"/>
  <c r="BQ252" i="50"/>
  <c r="M252" i="50"/>
  <c r="L252" i="50"/>
  <c r="K252" i="50"/>
  <c r="DJ251" i="50"/>
  <c r="DI251" i="50"/>
  <c r="DH251" i="50"/>
  <c r="DE251" i="50"/>
  <c r="DD251" i="50"/>
  <c r="DG251" i="50" s="1"/>
  <c r="DC251" i="50"/>
  <c r="DF251" i="50" s="1"/>
  <c r="DB251" i="50"/>
  <c r="BV251" i="50"/>
  <c r="BU251" i="50"/>
  <c r="BT251" i="50"/>
  <c r="BS251" i="50"/>
  <c r="BR251" i="50"/>
  <c r="BQ251" i="50"/>
  <c r="M251" i="50"/>
  <c r="L251" i="50"/>
  <c r="K251" i="50"/>
  <c r="DJ250" i="50"/>
  <c r="DI250" i="50"/>
  <c r="DH250" i="50"/>
  <c r="DE250" i="50"/>
  <c r="DD250" i="50"/>
  <c r="DG250" i="50" s="1"/>
  <c r="DC250" i="50"/>
  <c r="DF250" i="50" s="1"/>
  <c r="DB250" i="50"/>
  <c r="BV250" i="50"/>
  <c r="BU250" i="50"/>
  <c r="BT250" i="50"/>
  <c r="BS250" i="50"/>
  <c r="BR250" i="50"/>
  <c r="BQ250" i="50"/>
  <c r="M250" i="50"/>
  <c r="L250" i="50"/>
  <c r="K250" i="50"/>
  <c r="DJ249" i="50"/>
  <c r="DI249" i="50"/>
  <c r="DH249" i="50"/>
  <c r="DE249" i="50"/>
  <c r="DD249" i="50"/>
  <c r="DG249" i="50" s="1"/>
  <c r="DC249" i="50"/>
  <c r="DF249" i="50" s="1"/>
  <c r="DB249" i="50"/>
  <c r="BV249" i="50"/>
  <c r="BU249" i="50"/>
  <c r="BT249" i="50"/>
  <c r="BS249" i="50"/>
  <c r="BR249" i="50"/>
  <c r="BQ249" i="50"/>
  <c r="M249" i="50"/>
  <c r="L249" i="50"/>
  <c r="K249" i="50"/>
  <c r="DJ248" i="50"/>
  <c r="DI248" i="50"/>
  <c r="DH248" i="50"/>
  <c r="DG248" i="50"/>
  <c r="DE248" i="50"/>
  <c r="DD248" i="50"/>
  <c r="DC248" i="50"/>
  <c r="DF248" i="50" s="1"/>
  <c r="DB248" i="50"/>
  <c r="BV248" i="50"/>
  <c r="BU248" i="50"/>
  <c r="BT248" i="50"/>
  <c r="BS248" i="50"/>
  <c r="BR248" i="50"/>
  <c r="BQ248" i="50"/>
  <c r="M248" i="50"/>
  <c r="L248" i="50"/>
  <c r="K248" i="50"/>
  <c r="DJ247" i="50"/>
  <c r="DI247" i="50"/>
  <c r="DH247" i="50"/>
  <c r="DE247" i="50"/>
  <c r="DD247" i="50"/>
  <c r="DG247" i="50" s="1"/>
  <c r="DC247" i="50"/>
  <c r="DF247" i="50" s="1"/>
  <c r="DB247" i="50"/>
  <c r="BV247" i="50"/>
  <c r="BU247" i="50"/>
  <c r="BT247" i="50"/>
  <c r="BS247" i="50"/>
  <c r="BR247" i="50"/>
  <c r="BQ247" i="50"/>
  <c r="M247" i="50"/>
  <c r="L247" i="50"/>
  <c r="K247" i="50"/>
  <c r="DJ246" i="50"/>
  <c r="DI246" i="50"/>
  <c r="DH246" i="50"/>
  <c r="DG246" i="50"/>
  <c r="DD246" i="50"/>
  <c r="DC246" i="50"/>
  <c r="DF246" i="50" s="1"/>
  <c r="DB246" i="50"/>
  <c r="DE246" i="50" s="1"/>
  <c r="BV246" i="50"/>
  <c r="BU246" i="50"/>
  <c r="BT246" i="50"/>
  <c r="BS246" i="50"/>
  <c r="BR246" i="50"/>
  <c r="BQ246" i="50"/>
  <c r="M246" i="50"/>
  <c r="L246" i="50"/>
  <c r="K246" i="50"/>
  <c r="DJ245" i="50"/>
  <c r="DI245" i="50"/>
  <c r="DH245" i="50"/>
  <c r="DD245" i="50"/>
  <c r="DG245" i="50" s="1"/>
  <c r="DC245" i="50"/>
  <c r="DF245" i="50" s="1"/>
  <c r="DB245" i="50"/>
  <c r="DE245" i="50" s="1"/>
  <c r="BV245" i="50"/>
  <c r="BU245" i="50"/>
  <c r="BT245" i="50"/>
  <c r="BS245" i="50"/>
  <c r="BR245" i="50"/>
  <c r="BQ245" i="50"/>
  <c r="M245" i="50"/>
  <c r="L245" i="50"/>
  <c r="K245" i="50"/>
  <c r="DJ244" i="50"/>
  <c r="DI244" i="50"/>
  <c r="DH244" i="50"/>
  <c r="DD244" i="50"/>
  <c r="DG244" i="50" s="1"/>
  <c r="DC244" i="50"/>
  <c r="DF244" i="50" s="1"/>
  <c r="DB244" i="50"/>
  <c r="DE244" i="50" s="1"/>
  <c r="BV244" i="50"/>
  <c r="BU244" i="50"/>
  <c r="BT244" i="50"/>
  <c r="BS244" i="50"/>
  <c r="BR244" i="50"/>
  <c r="BQ244" i="50"/>
  <c r="M244" i="50"/>
  <c r="L244" i="50"/>
  <c r="K244" i="50"/>
  <c r="DJ243" i="50"/>
  <c r="DI243" i="50"/>
  <c r="DH243" i="50"/>
  <c r="DE243" i="50"/>
  <c r="DD243" i="50"/>
  <c r="DG243" i="50" s="1"/>
  <c r="DC243" i="50"/>
  <c r="DF243" i="50" s="1"/>
  <c r="DB243" i="50"/>
  <c r="BV243" i="50"/>
  <c r="BU243" i="50"/>
  <c r="BT243" i="50"/>
  <c r="BS243" i="50"/>
  <c r="BR243" i="50"/>
  <c r="BQ243" i="50"/>
  <c r="M243" i="50"/>
  <c r="L243" i="50"/>
  <c r="K243" i="50"/>
  <c r="DJ242" i="50"/>
  <c r="DI242" i="50"/>
  <c r="DH242" i="50"/>
  <c r="DG242" i="50"/>
  <c r="DD242" i="50"/>
  <c r="DC242" i="50"/>
  <c r="DF242" i="50" s="1"/>
  <c r="DB242" i="50"/>
  <c r="DE242" i="50" s="1"/>
  <c r="BV242" i="50"/>
  <c r="BU242" i="50"/>
  <c r="BT242" i="50"/>
  <c r="BS242" i="50"/>
  <c r="BR242" i="50"/>
  <c r="BQ242" i="50"/>
  <c r="M242" i="50"/>
  <c r="L242" i="50"/>
  <c r="K242" i="50"/>
  <c r="DJ241" i="50"/>
  <c r="DI241" i="50"/>
  <c r="DH241" i="50"/>
  <c r="DD241" i="50"/>
  <c r="DG241" i="50" s="1"/>
  <c r="DC241" i="50"/>
  <c r="DF241" i="50" s="1"/>
  <c r="DB241" i="50"/>
  <c r="DE241" i="50" s="1"/>
  <c r="BV241" i="50"/>
  <c r="BU241" i="50"/>
  <c r="BT241" i="50"/>
  <c r="BS241" i="50"/>
  <c r="BR241" i="50"/>
  <c r="BQ241" i="50"/>
  <c r="M241" i="50"/>
  <c r="L241" i="50"/>
  <c r="K241" i="50"/>
  <c r="DJ240" i="50"/>
  <c r="DI240" i="50"/>
  <c r="DH240" i="50"/>
  <c r="DD240" i="50"/>
  <c r="DG240" i="50" s="1"/>
  <c r="DC240" i="50"/>
  <c r="DF240" i="50" s="1"/>
  <c r="DB240" i="50"/>
  <c r="DE240" i="50" s="1"/>
  <c r="BV240" i="50"/>
  <c r="BU240" i="50"/>
  <c r="BT240" i="50"/>
  <c r="BS240" i="50"/>
  <c r="BR240" i="50"/>
  <c r="BQ240" i="50"/>
  <c r="M240" i="50"/>
  <c r="L240" i="50"/>
  <c r="K240" i="50"/>
  <c r="DJ239" i="50"/>
  <c r="DI239" i="50"/>
  <c r="DH239" i="50"/>
  <c r="DD239" i="50"/>
  <c r="DG239" i="50" s="1"/>
  <c r="DC239" i="50"/>
  <c r="DF239" i="50" s="1"/>
  <c r="DB239" i="50"/>
  <c r="DE239" i="50" s="1"/>
  <c r="BV239" i="50"/>
  <c r="BU239" i="50"/>
  <c r="BT239" i="50"/>
  <c r="BS239" i="50"/>
  <c r="BR239" i="50"/>
  <c r="BQ239" i="50"/>
  <c r="M239" i="50"/>
  <c r="L239" i="50"/>
  <c r="K239" i="50"/>
  <c r="DJ238" i="50"/>
  <c r="DI238" i="50"/>
  <c r="DH238" i="50"/>
  <c r="DD238" i="50"/>
  <c r="DG238" i="50" s="1"/>
  <c r="DC238" i="50"/>
  <c r="DF238" i="50" s="1"/>
  <c r="DB238" i="50"/>
  <c r="DE238" i="50" s="1"/>
  <c r="BV238" i="50"/>
  <c r="BU238" i="50"/>
  <c r="BT238" i="50"/>
  <c r="BS238" i="50"/>
  <c r="BR238" i="50"/>
  <c r="BQ238" i="50"/>
  <c r="M238" i="50"/>
  <c r="L238" i="50"/>
  <c r="K238" i="50"/>
  <c r="DJ237" i="50"/>
  <c r="DI237" i="50"/>
  <c r="DH237" i="50"/>
  <c r="DD237" i="50"/>
  <c r="DG237" i="50" s="1"/>
  <c r="DC237" i="50"/>
  <c r="DF237" i="50" s="1"/>
  <c r="DB237" i="50"/>
  <c r="DE237" i="50" s="1"/>
  <c r="BV237" i="50"/>
  <c r="BU237" i="50"/>
  <c r="BT237" i="50"/>
  <c r="BS237" i="50"/>
  <c r="BR237" i="50"/>
  <c r="BQ237" i="50"/>
  <c r="M237" i="50"/>
  <c r="L237" i="50"/>
  <c r="K237" i="50"/>
  <c r="DJ236" i="50"/>
  <c r="DI236" i="50"/>
  <c r="DH236" i="50"/>
  <c r="DF236" i="50"/>
  <c r="DD236" i="50"/>
  <c r="DG236" i="50" s="1"/>
  <c r="DC236" i="50"/>
  <c r="DB236" i="50"/>
  <c r="DE236" i="50" s="1"/>
  <c r="BV236" i="50"/>
  <c r="BU236" i="50"/>
  <c r="BT236" i="50"/>
  <c r="BS236" i="50"/>
  <c r="BR236" i="50"/>
  <c r="BQ236" i="50"/>
  <c r="M236" i="50"/>
  <c r="L236" i="50"/>
  <c r="K236" i="50"/>
  <c r="DJ235" i="50"/>
  <c r="DI235" i="50"/>
  <c r="DH235" i="50"/>
  <c r="DD235" i="50"/>
  <c r="DG235" i="50" s="1"/>
  <c r="DC235" i="50"/>
  <c r="DF235" i="50" s="1"/>
  <c r="DB235" i="50"/>
  <c r="DE235" i="50" s="1"/>
  <c r="BV235" i="50"/>
  <c r="BU235" i="50"/>
  <c r="BT235" i="50"/>
  <c r="BS235" i="50"/>
  <c r="BR235" i="50"/>
  <c r="BQ235" i="50"/>
  <c r="M235" i="50"/>
  <c r="L235" i="50"/>
  <c r="K235" i="50"/>
  <c r="DJ234" i="50"/>
  <c r="DI234" i="50"/>
  <c r="DH234" i="50"/>
  <c r="DD234" i="50"/>
  <c r="DG234" i="50" s="1"/>
  <c r="DC234" i="50"/>
  <c r="DF234" i="50" s="1"/>
  <c r="DB234" i="50"/>
  <c r="DE234" i="50" s="1"/>
  <c r="BV234" i="50"/>
  <c r="BU234" i="50"/>
  <c r="BT234" i="50"/>
  <c r="BS234" i="50"/>
  <c r="BR234" i="50"/>
  <c r="BQ234" i="50"/>
  <c r="M234" i="50"/>
  <c r="L234" i="50"/>
  <c r="K234" i="50"/>
  <c r="DJ233" i="50"/>
  <c r="DI233" i="50"/>
  <c r="DH233" i="50"/>
  <c r="DD233" i="50"/>
  <c r="DG233" i="50" s="1"/>
  <c r="DC233" i="50"/>
  <c r="DF233" i="50" s="1"/>
  <c r="DB233" i="50"/>
  <c r="DE233" i="50" s="1"/>
  <c r="BV233" i="50"/>
  <c r="BU233" i="50"/>
  <c r="BT233" i="50"/>
  <c r="BS233" i="50"/>
  <c r="BR233" i="50"/>
  <c r="BQ233" i="50"/>
  <c r="M233" i="50"/>
  <c r="L233" i="50"/>
  <c r="K233" i="50"/>
  <c r="DJ232" i="50"/>
  <c r="DI232" i="50"/>
  <c r="DH232" i="50"/>
  <c r="DE232" i="50"/>
  <c r="DD232" i="50"/>
  <c r="DG232" i="50" s="1"/>
  <c r="DC232" i="50"/>
  <c r="DF232" i="50" s="1"/>
  <c r="DB232" i="50"/>
  <c r="BV232" i="50"/>
  <c r="BU232" i="50"/>
  <c r="BT232" i="50"/>
  <c r="BS232" i="50"/>
  <c r="BR232" i="50"/>
  <c r="BQ232" i="50"/>
  <c r="M232" i="50"/>
  <c r="L232" i="50"/>
  <c r="K232" i="50"/>
  <c r="DJ231" i="50"/>
  <c r="DI231" i="50"/>
  <c r="DH231" i="50"/>
  <c r="DE231" i="50"/>
  <c r="DD231" i="50"/>
  <c r="DG231" i="50" s="1"/>
  <c r="DC231" i="50"/>
  <c r="DF231" i="50" s="1"/>
  <c r="DB231" i="50"/>
  <c r="BV231" i="50"/>
  <c r="BU231" i="50"/>
  <c r="BT231" i="50"/>
  <c r="BS231" i="50"/>
  <c r="BR231" i="50"/>
  <c r="BQ231" i="50"/>
  <c r="M231" i="50"/>
  <c r="L231" i="50"/>
  <c r="K231" i="50"/>
  <c r="DJ230" i="50"/>
  <c r="DI230" i="50"/>
  <c r="DH230" i="50"/>
  <c r="DG230" i="50"/>
  <c r="DE230" i="50"/>
  <c r="DD230" i="50"/>
  <c r="DC230" i="50"/>
  <c r="DF230" i="50" s="1"/>
  <c r="DB230" i="50"/>
  <c r="BV230" i="50"/>
  <c r="BU230" i="50"/>
  <c r="BT230" i="50"/>
  <c r="BS230" i="50"/>
  <c r="BR230" i="50"/>
  <c r="BQ230" i="50"/>
  <c r="M230" i="50"/>
  <c r="L230" i="50"/>
  <c r="K230" i="50"/>
  <c r="DJ229" i="50"/>
  <c r="DI229" i="50"/>
  <c r="DH229" i="50"/>
  <c r="DG229" i="50"/>
  <c r="DD229" i="50"/>
  <c r="DC229" i="50"/>
  <c r="DF229" i="50" s="1"/>
  <c r="DB229" i="50"/>
  <c r="DE229" i="50" s="1"/>
  <c r="BV229" i="50"/>
  <c r="BU229" i="50"/>
  <c r="BT229" i="50"/>
  <c r="BS229" i="50"/>
  <c r="BR229" i="50"/>
  <c r="BQ229" i="50"/>
  <c r="M229" i="50"/>
  <c r="L229" i="50"/>
  <c r="K229" i="50"/>
  <c r="DJ228" i="50"/>
  <c r="DI228" i="50"/>
  <c r="DH228" i="50"/>
  <c r="DF228" i="50"/>
  <c r="DD228" i="50"/>
  <c r="DG228" i="50" s="1"/>
  <c r="DC228" i="50"/>
  <c r="DB228" i="50"/>
  <c r="DE228" i="50" s="1"/>
  <c r="BV228" i="50"/>
  <c r="BU228" i="50"/>
  <c r="BT228" i="50"/>
  <c r="BS228" i="50"/>
  <c r="BR228" i="50"/>
  <c r="BQ228" i="50"/>
  <c r="M228" i="50"/>
  <c r="L228" i="50"/>
  <c r="K228" i="50"/>
  <c r="DJ227" i="50"/>
  <c r="DI227" i="50"/>
  <c r="DH227" i="50"/>
  <c r="DG227" i="50"/>
  <c r="DD227" i="50"/>
  <c r="DC227" i="50"/>
  <c r="DF227" i="50" s="1"/>
  <c r="DB227" i="50"/>
  <c r="DE227" i="50" s="1"/>
  <c r="BV227" i="50"/>
  <c r="BU227" i="50"/>
  <c r="BT227" i="50"/>
  <c r="BS227" i="50"/>
  <c r="BR227" i="50"/>
  <c r="BQ227" i="50"/>
  <c r="M227" i="50"/>
  <c r="L227" i="50"/>
  <c r="K227" i="50"/>
  <c r="DJ226" i="50"/>
  <c r="DI226" i="50"/>
  <c r="DH226" i="50"/>
  <c r="DG226" i="50"/>
  <c r="DD226" i="50"/>
  <c r="DC226" i="50"/>
  <c r="DF226" i="50" s="1"/>
  <c r="DB226" i="50"/>
  <c r="DE226" i="50" s="1"/>
  <c r="BV226" i="50"/>
  <c r="BU226" i="50"/>
  <c r="BT226" i="50"/>
  <c r="BS226" i="50"/>
  <c r="BR226" i="50"/>
  <c r="BQ226" i="50"/>
  <c r="M226" i="50"/>
  <c r="L226" i="50"/>
  <c r="K226" i="50"/>
  <c r="DJ225" i="50"/>
  <c r="DI225" i="50"/>
  <c r="DH225" i="50"/>
  <c r="DD225" i="50"/>
  <c r="DG225" i="50" s="1"/>
  <c r="DC225" i="50"/>
  <c r="DF225" i="50" s="1"/>
  <c r="DB225" i="50"/>
  <c r="DE225" i="50" s="1"/>
  <c r="BV225" i="50"/>
  <c r="BU225" i="50"/>
  <c r="BT225" i="50"/>
  <c r="BS225" i="50"/>
  <c r="BR225" i="50"/>
  <c r="BQ225" i="50"/>
  <c r="M225" i="50"/>
  <c r="L225" i="50"/>
  <c r="K225" i="50"/>
  <c r="DJ224" i="50"/>
  <c r="DI224" i="50"/>
  <c r="DH224" i="50"/>
  <c r="DF224" i="50"/>
  <c r="DE224" i="50"/>
  <c r="DD224" i="50"/>
  <c r="DG224" i="50" s="1"/>
  <c r="DC224" i="50"/>
  <c r="DB224" i="50"/>
  <c r="BV224" i="50"/>
  <c r="BU224" i="50"/>
  <c r="BT224" i="50"/>
  <c r="BS224" i="50"/>
  <c r="BR224" i="50"/>
  <c r="BQ224" i="50"/>
  <c r="M224" i="50"/>
  <c r="L224" i="50"/>
  <c r="K224" i="50"/>
  <c r="DJ223" i="50"/>
  <c r="DI223" i="50"/>
  <c r="DH223" i="50"/>
  <c r="DD223" i="50"/>
  <c r="DG223" i="50" s="1"/>
  <c r="DC223" i="50"/>
  <c r="DF223" i="50" s="1"/>
  <c r="DB223" i="50"/>
  <c r="DE223" i="50" s="1"/>
  <c r="BV223" i="50"/>
  <c r="BU223" i="50"/>
  <c r="BT223" i="50"/>
  <c r="BS223" i="50"/>
  <c r="BR223" i="50"/>
  <c r="BQ223" i="50"/>
  <c r="M223" i="50"/>
  <c r="L223" i="50"/>
  <c r="K223" i="50"/>
  <c r="DJ222" i="50"/>
  <c r="DI222" i="50"/>
  <c r="DH222" i="50"/>
  <c r="DD222" i="50"/>
  <c r="DG222" i="50" s="1"/>
  <c r="DC222" i="50"/>
  <c r="DF222" i="50" s="1"/>
  <c r="DB222" i="50"/>
  <c r="DE222" i="50" s="1"/>
  <c r="BV222" i="50"/>
  <c r="BU222" i="50"/>
  <c r="BT222" i="50"/>
  <c r="BS222" i="50"/>
  <c r="BR222" i="50"/>
  <c r="BQ222" i="50"/>
  <c r="M222" i="50"/>
  <c r="L222" i="50"/>
  <c r="K222" i="50"/>
  <c r="DJ221" i="50"/>
  <c r="DI221" i="50"/>
  <c r="DH221" i="50"/>
  <c r="DD221" i="50"/>
  <c r="DG221" i="50" s="1"/>
  <c r="DC221" i="50"/>
  <c r="DF221" i="50" s="1"/>
  <c r="DB221" i="50"/>
  <c r="DE221" i="50" s="1"/>
  <c r="BV221" i="50"/>
  <c r="BU221" i="50"/>
  <c r="BT221" i="50"/>
  <c r="BS221" i="50"/>
  <c r="BR221" i="50"/>
  <c r="BQ221" i="50"/>
  <c r="M221" i="50"/>
  <c r="L221" i="50"/>
  <c r="K221" i="50"/>
  <c r="DJ220" i="50"/>
  <c r="DI220" i="50"/>
  <c r="DH220" i="50"/>
  <c r="DD220" i="50"/>
  <c r="DG220" i="50" s="1"/>
  <c r="DC220" i="50"/>
  <c r="DF220" i="50" s="1"/>
  <c r="DB220" i="50"/>
  <c r="DE220" i="50" s="1"/>
  <c r="BV220" i="50"/>
  <c r="BU220" i="50"/>
  <c r="BT220" i="50"/>
  <c r="BS220" i="50"/>
  <c r="BR220" i="50"/>
  <c r="BQ220" i="50"/>
  <c r="M220" i="50"/>
  <c r="L220" i="50"/>
  <c r="K220" i="50"/>
  <c r="DJ219" i="50"/>
  <c r="DI219" i="50"/>
  <c r="DH219" i="50"/>
  <c r="DD219" i="50"/>
  <c r="DG219" i="50" s="1"/>
  <c r="DC219" i="50"/>
  <c r="DF219" i="50" s="1"/>
  <c r="DB219" i="50"/>
  <c r="DE219" i="50" s="1"/>
  <c r="BV219" i="50"/>
  <c r="BU219" i="50"/>
  <c r="BT219" i="50"/>
  <c r="BS219" i="50"/>
  <c r="BR219" i="50"/>
  <c r="BQ219" i="50"/>
  <c r="M219" i="50"/>
  <c r="L219" i="50"/>
  <c r="K219" i="50"/>
  <c r="DJ218" i="50"/>
  <c r="DI218" i="50"/>
  <c r="DH218" i="50"/>
  <c r="DE218" i="50"/>
  <c r="DD218" i="50"/>
  <c r="DG218" i="50" s="1"/>
  <c r="DC218" i="50"/>
  <c r="DF218" i="50" s="1"/>
  <c r="DB218" i="50"/>
  <c r="BV218" i="50"/>
  <c r="BU218" i="50"/>
  <c r="BT218" i="50"/>
  <c r="BS218" i="50"/>
  <c r="BR218" i="50"/>
  <c r="BQ218" i="50"/>
  <c r="M218" i="50"/>
  <c r="L218" i="50"/>
  <c r="K218" i="50"/>
  <c r="DJ217" i="50"/>
  <c r="DI217" i="50"/>
  <c r="DH217" i="50"/>
  <c r="DE217" i="50"/>
  <c r="DD217" i="50"/>
  <c r="DG217" i="50" s="1"/>
  <c r="DC217" i="50"/>
  <c r="DF217" i="50" s="1"/>
  <c r="DB217" i="50"/>
  <c r="BV217" i="50"/>
  <c r="BU217" i="50"/>
  <c r="BT217" i="50"/>
  <c r="BS217" i="50"/>
  <c r="BR217" i="50"/>
  <c r="BQ217" i="50"/>
  <c r="M217" i="50"/>
  <c r="L217" i="50"/>
  <c r="K217" i="50"/>
  <c r="DJ216" i="50"/>
  <c r="DI216" i="50"/>
  <c r="DH216" i="50"/>
  <c r="DG216" i="50"/>
  <c r="DF216" i="50"/>
  <c r="DD216" i="50"/>
  <c r="DC216" i="50"/>
  <c r="DB216" i="50"/>
  <c r="DE216" i="50" s="1"/>
  <c r="BV216" i="50"/>
  <c r="BU216" i="50"/>
  <c r="BT216" i="50"/>
  <c r="BS216" i="50"/>
  <c r="BR216" i="50"/>
  <c r="BQ216" i="50"/>
  <c r="M216" i="50"/>
  <c r="L216" i="50"/>
  <c r="K216" i="50"/>
  <c r="DJ215" i="50"/>
  <c r="DI215" i="50"/>
  <c r="DH215" i="50"/>
  <c r="DD215" i="50"/>
  <c r="DG215" i="50" s="1"/>
  <c r="DC215" i="50"/>
  <c r="DF215" i="50" s="1"/>
  <c r="DB215" i="50"/>
  <c r="DE215" i="50" s="1"/>
  <c r="BV215" i="50"/>
  <c r="BU215" i="50"/>
  <c r="BT215" i="50"/>
  <c r="BS215" i="50"/>
  <c r="BR215" i="50"/>
  <c r="BQ215" i="50"/>
  <c r="M215" i="50"/>
  <c r="L215" i="50"/>
  <c r="K215" i="50"/>
  <c r="DJ214" i="50"/>
  <c r="DI214" i="50"/>
  <c r="DH214" i="50"/>
  <c r="DD214" i="50"/>
  <c r="DG214" i="50" s="1"/>
  <c r="DC214" i="50"/>
  <c r="DF214" i="50" s="1"/>
  <c r="DB214" i="50"/>
  <c r="DE214" i="50" s="1"/>
  <c r="BV214" i="50"/>
  <c r="BU214" i="50"/>
  <c r="BT214" i="50"/>
  <c r="BS214" i="50"/>
  <c r="BR214" i="50"/>
  <c r="BQ214" i="50"/>
  <c r="M214" i="50"/>
  <c r="L214" i="50"/>
  <c r="K214" i="50"/>
  <c r="DJ213" i="50"/>
  <c r="DI213" i="50"/>
  <c r="DH213" i="50"/>
  <c r="DE213" i="50"/>
  <c r="DD213" i="50"/>
  <c r="DG213" i="50" s="1"/>
  <c r="DC213" i="50"/>
  <c r="DF213" i="50" s="1"/>
  <c r="DB213" i="50"/>
  <c r="BV213" i="50"/>
  <c r="BU213" i="50"/>
  <c r="BT213" i="50"/>
  <c r="BS213" i="50"/>
  <c r="BR213" i="50"/>
  <c r="BQ213" i="50"/>
  <c r="M213" i="50"/>
  <c r="L213" i="50"/>
  <c r="K213" i="50"/>
  <c r="DJ212" i="50"/>
  <c r="DI212" i="50"/>
  <c r="DH212" i="50"/>
  <c r="DD212" i="50"/>
  <c r="DG212" i="50" s="1"/>
  <c r="DC212" i="50"/>
  <c r="DF212" i="50" s="1"/>
  <c r="DB212" i="50"/>
  <c r="DE212" i="50" s="1"/>
  <c r="BV212" i="50"/>
  <c r="BU212" i="50"/>
  <c r="BT212" i="50"/>
  <c r="BS212" i="50"/>
  <c r="BR212" i="50"/>
  <c r="BQ212" i="50"/>
  <c r="M212" i="50"/>
  <c r="L212" i="50"/>
  <c r="K212" i="50"/>
  <c r="DJ211" i="50"/>
  <c r="DI211" i="50"/>
  <c r="DH211" i="50"/>
  <c r="DD211" i="50"/>
  <c r="DG211" i="50" s="1"/>
  <c r="DC211" i="50"/>
  <c r="DF211" i="50" s="1"/>
  <c r="DB211" i="50"/>
  <c r="DE211" i="50" s="1"/>
  <c r="BV211" i="50"/>
  <c r="BU211" i="50"/>
  <c r="BT211" i="50"/>
  <c r="BS211" i="50"/>
  <c r="BR211" i="50"/>
  <c r="BQ211" i="50"/>
  <c r="M211" i="50"/>
  <c r="L211" i="50"/>
  <c r="K211" i="50"/>
  <c r="DJ210" i="50"/>
  <c r="DI210" i="50"/>
  <c r="DH210" i="50"/>
  <c r="DG210" i="50"/>
  <c r="DE210" i="50"/>
  <c r="DD210" i="50"/>
  <c r="DC210" i="50"/>
  <c r="DF210" i="50" s="1"/>
  <c r="DB210" i="50"/>
  <c r="BV210" i="50"/>
  <c r="BU210" i="50"/>
  <c r="BT210" i="50"/>
  <c r="BS210" i="50"/>
  <c r="BR210" i="50"/>
  <c r="BQ210" i="50"/>
  <c r="M210" i="50"/>
  <c r="L210" i="50"/>
  <c r="K210" i="50"/>
  <c r="DJ209" i="50"/>
  <c r="DI209" i="50"/>
  <c r="DH209" i="50"/>
  <c r="DD209" i="50"/>
  <c r="DG209" i="50" s="1"/>
  <c r="DC209" i="50"/>
  <c r="DF209" i="50" s="1"/>
  <c r="DB209" i="50"/>
  <c r="DE209" i="50" s="1"/>
  <c r="BV209" i="50"/>
  <c r="BU209" i="50"/>
  <c r="BT209" i="50"/>
  <c r="BS209" i="50"/>
  <c r="BR209" i="50"/>
  <c r="BQ209" i="50"/>
  <c r="M209" i="50"/>
  <c r="L209" i="50"/>
  <c r="K209" i="50"/>
  <c r="DJ208" i="50"/>
  <c r="DI208" i="50"/>
  <c r="DH208" i="50"/>
  <c r="DD208" i="50"/>
  <c r="DG208" i="50" s="1"/>
  <c r="DC208" i="50"/>
  <c r="DF208" i="50" s="1"/>
  <c r="DB208" i="50"/>
  <c r="DE208" i="50" s="1"/>
  <c r="BV208" i="50"/>
  <c r="BU208" i="50"/>
  <c r="BT208" i="50"/>
  <c r="BS208" i="50"/>
  <c r="BR208" i="50"/>
  <c r="BQ208" i="50"/>
  <c r="M208" i="50"/>
  <c r="L208" i="50"/>
  <c r="K208" i="50"/>
  <c r="DJ207" i="50"/>
  <c r="DI207" i="50"/>
  <c r="DH207" i="50"/>
  <c r="DD207" i="50"/>
  <c r="DG207" i="50" s="1"/>
  <c r="DC207" i="50"/>
  <c r="DF207" i="50" s="1"/>
  <c r="DB207" i="50"/>
  <c r="DE207" i="50" s="1"/>
  <c r="BV207" i="50"/>
  <c r="BU207" i="50"/>
  <c r="BT207" i="50"/>
  <c r="BS207" i="50"/>
  <c r="BR207" i="50"/>
  <c r="BQ207" i="50"/>
  <c r="M207" i="50"/>
  <c r="L207" i="50"/>
  <c r="K207" i="50"/>
  <c r="DJ206" i="50"/>
  <c r="DI206" i="50"/>
  <c r="DH206" i="50"/>
  <c r="DD206" i="50"/>
  <c r="DG206" i="50" s="1"/>
  <c r="DC206" i="50"/>
  <c r="DF206" i="50" s="1"/>
  <c r="DB206" i="50"/>
  <c r="DE206" i="50" s="1"/>
  <c r="BV206" i="50"/>
  <c r="BU206" i="50"/>
  <c r="BT206" i="50"/>
  <c r="BS206" i="50"/>
  <c r="BR206" i="50"/>
  <c r="BQ206" i="50"/>
  <c r="M206" i="50"/>
  <c r="L206" i="50"/>
  <c r="K206" i="50"/>
  <c r="DJ205" i="50"/>
  <c r="DI205" i="50"/>
  <c r="DH205" i="50"/>
  <c r="DD205" i="50"/>
  <c r="DG205" i="50" s="1"/>
  <c r="DC205" i="50"/>
  <c r="DF205" i="50" s="1"/>
  <c r="DB205" i="50"/>
  <c r="DE205" i="50" s="1"/>
  <c r="BV205" i="50"/>
  <c r="BU205" i="50"/>
  <c r="BT205" i="50"/>
  <c r="BS205" i="50"/>
  <c r="BR205" i="50"/>
  <c r="BQ205" i="50"/>
  <c r="M205" i="50"/>
  <c r="L205" i="50"/>
  <c r="K205" i="50"/>
  <c r="DJ204" i="50"/>
  <c r="DI204" i="50"/>
  <c r="DH204" i="50"/>
  <c r="DE204" i="50"/>
  <c r="DD204" i="50"/>
  <c r="DG204" i="50" s="1"/>
  <c r="DC204" i="50"/>
  <c r="DF204" i="50" s="1"/>
  <c r="DB204" i="50"/>
  <c r="BV204" i="50"/>
  <c r="BU204" i="50"/>
  <c r="BT204" i="50"/>
  <c r="BS204" i="50"/>
  <c r="BR204" i="50"/>
  <c r="BQ204" i="50"/>
  <c r="M204" i="50"/>
  <c r="L204" i="50"/>
  <c r="K204" i="50"/>
  <c r="DJ203" i="50"/>
  <c r="DI203" i="50"/>
  <c r="DH203" i="50"/>
  <c r="DG203" i="50"/>
  <c r="DD203" i="50"/>
  <c r="DC203" i="50"/>
  <c r="DF203" i="50" s="1"/>
  <c r="DB203" i="50"/>
  <c r="DE203" i="50" s="1"/>
  <c r="BV203" i="50"/>
  <c r="BU203" i="50"/>
  <c r="BT203" i="50"/>
  <c r="BS203" i="50"/>
  <c r="BR203" i="50"/>
  <c r="BQ203" i="50"/>
  <c r="M203" i="50"/>
  <c r="L203" i="50"/>
  <c r="K203" i="50"/>
  <c r="DJ202" i="50"/>
  <c r="DI202" i="50"/>
  <c r="DH202" i="50"/>
  <c r="DE202" i="50"/>
  <c r="DD202" i="50"/>
  <c r="DG202" i="50" s="1"/>
  <c r="DC202" i="50"/>
  <c r="DF202" i="50" s="1"/>
  <c r="DB202" i="50"/>
  <c r="BV202" i="50"/>
  <c r="BU202" i="50"/>
  <c r="BT202" i="50"/>
  <c r="BS202" i="50"/>
  <c r="BR202" i="50"/>
  <c r="BQ202" i="50"/>
  <c r="M202" i="50"/>
  <c r="L202" i="50"/>
  <c r="K202" i="50"/>
  <c r="DJ201" i="50"/>
  <c r="DI201" i="50"/>
  <c r="DH201" i="50"/>
  <c r="DD201" i="50"/>
  <c r="DG201" i="50" s="1"/>
  <c r="DC201" i="50"/>
  <c r="DF201" i="50" s="1"/>
  <c r="DB201" i="50"/>
  <c r="DE201" i="50" s="1"/>
  <c r="BV201" i="50"/>
  <c r="BU201" i="50"/>
  <c r="BT201" i="50"/>
  <c r="BS201" i="50"/>
  <c r="BR201" i="50"/>
  <c r="BQ201" i="50"/>
  <c r="M201" i="50"/>
  <c r="L201" i="50"/>
  <c r="K201" i="50"/>
  <c r="DJ200" i="50"/>
  <c r="DI200" i="50"/>
  <c r="DH200" i="50"/>
  <c r="DD200" i="50"/>
  <c r="DG200" i="50" s="1"/>
  <c r="DC200" i="50"/>
  <c r="DF200" i="50" s="1"/>
  <c r="DB200" i="50"/>
  <c r="DE200" i="50" s="1"/>
  <c r="BV200" i="50"/>
  <c r="BU200" i="50"/>
  <c r="BT200" i="50"/>
  <c r="BS200" i="50"/>
  <c r="BR200" i="50"/>
  <c r="BQ200" i="50"/>
  <c r="M200" i="50"/>
  <c r="L200" i="50"/>
  <c r="K200" i="50"/>
  <c r="DJ199" i="50"/>
  <c r="DI199" i="50"/>
  <c r="DH199" i="50"/>
  <c r="DD199" i="50"/>
  <c r="DG199" i="50" s="1"/>
  <c r="DC199" i="50"/>
  <c r="DF199" i="50" s="1"/>
  <c r="DB199" i="50"/>
  <c r="DE199" i="50" s="1"/>
  <c r="BV199" i="50"/>
  <c r="BU199" i="50"/>
  <c r="BT199" i="50"/>
  <c r="BS199" i="50"/>
  <c r="BR199" i="50"/>
  <c r="BQ199" i="50"/>
  <c r="M199" i="50"/>
  <c r="L199" i="50"/>
  <c r="K199" i="50"/>
  <c r="DJ198" i="50"/>
  <c r="DI198" i="50"/>
  <c r="DH198" i="50"/>
  <c r="DD198" i="50"/>
  <c r="DG198" i="50" s="1"/>
  <c r="DC198" i="50"/>
  <c r="DF198" i="50" s="1"/>
  <c r="DB198" i="50"/>
  <c r="DE198" i="50" s="1"/>
  <c r="BV198" i="50"/>
  <c r="BU198" i="50"/>
  <c r="BT198" i="50"/>
  <c r="BS198" i="50"/>
  <c r="BR198" i="50"/>
  <c r="BQ198" i="50"/>
  <c r="M198" i="50"/>
  <c r="L198" i="50"/>
  <c r="K198" i="50"/>
  <c r="DJ197" i="50"/>
  <c r="DI197" i="50"/>
  <c r="DH197" i="50"/>
  <c r="DD197" i="50"/>
  <c r="DG197" i="50" s="1"/>
  <c r="DC197" i="50"/>
  <c r="DF197" i="50" s="1"/>
  <c r="DB197" i="50"/>
  <c r="DE197" i="50" s="1"/>
  <c r="BV197" i="50"/>
  <c r="BU197" i="50"/>
  <c r="BT197" i="50"/>
  <c r="BS197" i="50"/>
  <c r="BR197" i="50"/>
  <c r="BQ197" i="50"/>
  <c r="M197" i="50"/>
  <c r="L197" i="50"/>
  <c r="K197" i="50"/>
  <c r="DJ196" i="50"/>
  <c r="DI196" i="50"/>
  <c r="DH196" i="50"/>
  <c r="DD196" i="50"/>
  <c r="DG196" i="50" s="1"/>
  <c r="DC196" i="50"/>
  <c r="DF196" i="50" s="1"/>
  <c r="DB196" i="50"/>
  <c r="DE196" i="50" s="1"/>
  <c r="BV196" i="50"/>
  <c r="BU196" i="50"/>
  <c r="BT196" i="50"/>
  <c r="BS196" i="50"/>
  <c r="BR196" i="50"/>
  <c r="BQ196" i="50"/>
  <c r="M196" i="50"/>
  <c r="L196" i="50"/>
  <c r="K196" i="50"/>
  <c r="DJ195" i="50"/>
  <c r="DI195" i="50"/>
  <c r="DH195" i="50"/>
  <c r="DD195" i="50"/>
  <c r="DG195" i="50" s="1"/>
  <c r="DC195" i="50"/>
  <c r="DF195" i="50" s="1"/>
  <c r="DB195" i="50"/>
  <c r="DE195" i="50" s="1"/>
  <c r="BV195" i="50"/>
  <c r="BU195" i="50"/>
  <c r="BT195" i="50"/>
  <c r="BS195" i="50"/>
  <c r="BR195" i="50"/>
  <c r="BQ195" i="50"/>
  <c r="M195" i="50"/>
  <c r="L195" i="50"/>
  <c r="K195" i="50"/>
  <c r="DJ194" i="50"/>
  <c r="DI194" i="50"/>
  <c r="DH194" i="50"/>
  <c r="DD194" i="50"/>
  <c r="DG194" i="50" s="1"/>
  <c r="DC194" i="50"/>
  <c r="DF194" i="50" s="1"/>
  <c r="DB194" i="50"/>
  <c r="DE194" i="50" s="1"/>
  <c r="BV194" i="50"/>
  <c r="BU194" i="50"/>
  <c r="BT194" i="50"/>
  <c r="BS194" i="50"/>
  <c r="BR194" i="50"/>
  <c r="BQ194" i="50"/>
  <c r="M194" i="50"/>
  <c r="L194" i="50"/>
  <c r="K194" i="50"/>
  <c r="DJ193" i="50"/>
  <c r="DI193" i="50"/>
  <c r="DH193" i="50"/>
  <c r="DD193" i="50"/>
  <c r="DG193" i="50" s="1"/>
  <c r="DC193" i="50"/>
  <c r="DF193" i="50" s="1"/>
  <c r="DB193" i="50"/>
  <c r="DE193" i="50" s="1"/>
  <c r="BV193" i="50"/>
  <c r="BU193" i="50"/>
  <c r="BT193" i="50"/>
  <c r="BS193" i="50"/>
  <c r="BR193" i="50"/>
  <c r="BQ193" i="50"/>
  <c r="M193" i="50"/>
  <c r="L193" i="50"/>
  <c r="K193" i="50"/>
  <c r="DJ192" i="50"/>
  <c r="DI192" i="50"/>
  <c r="DH192" i="50"/>
  <c r="DD192" i="50"/>
  <c r="DG192" i="50" s="1"/>
  <c r="DC192" i="50"/>
  <c r="DF192" i="50" s="1"/>
  <c r="DB192" i="50"/>
  <c r="DE192" i="50" s="1"/>
  <c r="BV192" i="50"/>
  <c r="BU192" i="50"/>
  <c r="BT192" i="50"/>
  <c r="BS192" i="50"/>
  <c r="BR192" i="50"/>
  <c r="BQ192" i="50"/>
  <c r="M192" i="50"/>
  <c r="L192" i="50"/>
  <c r="K192" i="50"/>
  <c r="DJ191" i="50"/>
  <c r="DI191" i="50"/>
  <c r="DH191" i="50"/>
  <c r="DD191" i="50"/>
  <c r="DG191" i="50" s="1"/>
  <c r="DC191" i="50"/>
  <c r="DF191" i="50" s="1"/>
  <c r="DB191" i="50"/>
  <c r="DE191" i="50" s="1"/>
  <c r="BV191" i="50"/>
  <c r="BU191" i="50"/>
  <c r="BT191" i="50"/>
  <c r="BS191" i="50"/>
  <c r="BR191" i="50"/>
  <c r="BQ191" i="50"/>
  <c r="M191" i="50"/>
  <c r="L191" i="50"/>
  <c r="K191" i="50"/>
  <c r="DJ190" i="50"/>
  <c r="DI190" i="50"/>
  <c r="DH190" i="50"/>
  <c r="DD190" i="50"/>
  <c r="DG190" i="50" s="1"/>
  <c r="DC190" i="50"/>
  <c r="DF190" i="50" s="1"/>
  <c r="DB190" i="50"/>
  <c r="DE190" i="50" s="1"/>
  <c r="BV190" i="50"/>
  <c r="BU190" i="50"/>
  <c r="BT190" i="50"/>
  <c r="BS190" i="50"/>
  <c r="BR190" i="50"/>
  <c r="BQ190" i="50"/>
  <c r="M190" i="50"/>
  <c r="L190" i="50"/>
  <c r="K190" i="50"/>
  <c r="DJ189" i="50"/>
  <c r="DI189" i="50"/>
  <c r="DH189" i="50"/>
  <c r="DD189" i="50"/>
  <c r="DG189" i="50" s="1"/>
  <c r="DC189" i="50"/>
  <c r="DF189" i="50" s="1"/>
  <c r="DB189" i="50"/>
  <c r="DE189" i="50" s="1"/>
  <c r="BV189" i="50"/>
  <c r="BU189" i="50"/>
  <c r="BT189" i="50"/>
  <c r="BS189" i="50"/>
  <c r="BR189" i="50"/>
  <c r="BQ189" i="50"/>
  <c r="M189" i="50"/>
  <c r="L189" i="50"/>
  <c r="K189" i="50"/>
  <c r="DJ188" i="50"/>
  <c r="DI188" i="50"/>
  <c r="DH188" i="50"/>
  <c r="DD188" i="50"/>
  <c r="DG188" i="50" s="1"/>
  <c r="DC188" i="50"/>
  <c r="DF188" i="50" s="1"/>
  <c r="DB188" i="50"/>
  <c r="DE188" i="50" s="1"/>
  <c r="BV188" i="50"/>
  <c r="BU188" i="50"/>
  <c r="BT188" i="50"/>
  <c r="BS188" i="50"/>
  <c r="BR188" i="50"/>
  <c r="BQ188" i="50"/>
  <c r="M188" i="50"/>
  <c r="L188" i="50"/>
  <c r="K188" i="50"/>
  <c r="DJ187" i="50"/>
  <c r="DI187" i="50"/>
  <c r="DH187" i="50"/>
  <c r="DD187" i="50"/>
  <c r="DG187" i="50" s="1"/>
  <c r="DC187" i="50"/>
  <c r="DF187" i="50" s="1"/>
  <c r="DB187" i="50"/>
  <c r="DE187" i="50" s="1"/>
  <c r="BV187" i="50"/>
  <c r="BU187" i="50"/>
  <c r="BT187" i="50"/>
  <c r="BS187" i="50"/>
  <c r="BR187" i="50"/>
  <c r="BQ187" i="50"/>
  <c r="M187" i="50"/>
  <c r="L187" i="50"/>
  <c r="K187" i="50"/>
  <c r="DJ186" i="50"/>
  <c r="DI186" i="50"/>
  <c r="DH186" i="50"/>
  <c r="DD186" i="50"/>
  <c r="DG186" i="50" s="1"/>
  <c r="DC186" i="50"/>
  <c r="DF186" i="50" s="1"/>
  <c r="DB186" i="50"/>
  <c r="DE186" i="50" s="1"/>
  <c r="BV186" i="50"/>
  <c r="BU186" i="50"/>
  <c r="BT186" i="50"/>
  <c r="BS186" i="50"/>
  <c r="BR186" i="50"/>
  <c r="BQ186" i="50"/>
  <c r="M186" i="50"/>
  <c r="L186" i="50"/>
  <c r="K186" i="50"/>
  <c r="DJ185" i="50"/>
  <c r="DI185" i="50"/>
  <c r="DH185" i="50"/>
  <c r="DD185" i="50"/>
  <c r="DG185" i="50" s="1"/>
  <c r="DC185" i="50"/>
  <c r="DF185" i="50" s="1"/>
  <c r="DB185" i="50"/>
  <c r="DE185" i="50" s="1"/>
  <c r="BV185" i="50"/>
  <c r="BU185" i="50"/>
  <c r="BT185" i="50"/>
  <c r="BS185" i="50"/>
  <c r="BR185" i="50"/>
  <c r="BQ185" i="50"/>
  <c r="M185" i="50"/>
  <c r="L185" i="50"/>
  <c r="K185" i="50"/>
  <c r="DJ184" i="50"/>
  <c r="DI184" i="50"/>
  <c r="DH184" i="50"/>
  <c r="DD184" i="50"/>
  <c r="DG184" i="50" s="1"/>
  <c r="DC184" i="50"/>
  <c r="DF184" i="50" s="1"/>
  <c r="DB184" i="50"/>
  <c r="DE184" i="50" s="1"/>
  <c r="BV184" i="50"/>
  <c r="BU184" i="50"/>
  <c r="BT184" i="50"/>
  <c r="BS184" i="50"/>
  <c r="BR184" i="50"/>
  <c r="BQ184" i="50"/>
  <c r="M184" i="50"/>
  <c r="L184" i="50"/>
  <c r="K184" i="50"/>
  <c r="DJ183" i="50"/>
  <c r="DI183" i="50"/>
  <c r="DH183" i="50"/>
  <c r="DD183" i="50"/>
  <c r="DG183" i="50" s="1"/>
  <c r="DC183" i="50"/>
  <c r="DF183" i="50" s="1"/>
  <c r="DB183" i="50"/>
  <c r="DE183" i="50" s="1"/>
  <c r="BV183" i="50"/>
  <c r="BU183" i="50"/>
  <c r="BT183" i="50"/>
  <c r="BS183" i="50"/>
  <c r="BR183" i="50"/>
  <c r="BQ183" i="50"/>
  <c r="M183" i="50"/>
  <c r="L183" i="50"/>
  <c r="K183" i="50"/>
  <c r="DJ182" i="50"/>
  <c r="DI182" i="50"/>
  <c r="DH182" i="50"/>
  <c r="DD182" i="50"/>
  <c r="DG182" i="50" s="1"/>
  <c r="DC182" i="50"/>
  <c r="DF182" i="50" s="1"/>
  <c r="DB182" i="50"/>
  <c r="DE182" i="50" s="1"/>
  <c r="BV182" i="50"/>
  <c r="BU182" i="50"/>
  <c r="BT182" i="50"/>
  <c r="BS182" i="50"/>
  <c r="BR182" i="50"/>
  <c r="BQ182" i="50"/>
  <c r="M182" i="50"/>
  <c r="L182" i="50"/>
  <c r="K182" i="50"/>
  <c r="DJ181" i="50"/>
  <c r="DI181" i="50"/>
  <c r="DH181" i="50"/>
  <c r="DD181" i="50"/>
  <c r="DG181" i="50" s="1"/>
  <c r="DC181" i="50"/>
  <c r="DF181" i="50" s="1"/>
  <c r="DB181" i="50"/>
  <c r="DE181" i="50" s="1"/>
  <c r="BV181" i="50"/>
  <c r="BU181" i="50"/>
  <c r="BT181" i="50"/>
  <c r="BS181" i="50"/>
  <c r="BR181" i="50"/>
  <c r="BQ181" i="50"/>
  <c r="M181" i="50"/>
  <c r="L181" i="50"/>
  <c r="K181" i="50"/>
  <c r="DJ180" i="50"/>
  <c r="DI180" i="50"/>
  <c r="DH180" i="50"/>
  <c r="DD180" i="50"/>
  <c r="DG180" i="50" s="1"/>
  <c r="DC180" i="50"/>
  <c r="DF180" i="50" s="1"/>
  <c r="DB180" i="50"/>
  <c r="DE180" i="50" s="1"/>
  <c r="BV180" i="50"/>
  <c r="BU180" i="50"/>
  <c r="BT180" i="50"/>
  <c r="BS180" i="50"/>
  <c r="BR180" i="50"/>
  <c r="BQ180" i="50"/>
  <c r="M180" i="50"/>
  <c r="L180" i="50"/>
  <c r="K180" i="50"/>
  <c r="DJ179" i="50"/>
  <c r="DI179" i="50"/>
  <c r="DH179" i="50"/>
  <c r="DD179" i="50"/>
  <c r="DG179" i="50" s="1"/>
  <c r="DC179" i="50"/>
  <c r="DF179" i="50" s="1"/>
  <c r="DB179" i="50"/>
  <c r="DE179" i="50" s="1"/>
  <c r="BV179" i="50"/>
  <c r="BU179" i="50"/>
  <c r="BT179" i="50"/>
  <c r="BS179" i="50"/>
  <c r="BR179" i="50"/>
  <c r="BQ179" i="50"/>
  <c r="M179" i="50"/>
  <c r="L179" i="50"/>
  <c r="K179" i="50"/>
  <c r="DJ178" i="50"/>
  <c r="DI178" i="50"/>
  <c r="DH178" i="50"/>
  <c r="DD178" i="50"/>
  <c r="DG178" i="50" s="1"/>
  <c r="DC178" i="50"/>
  <c r="DF178" i="50" s="1"/>
  <c r="DB178" i="50"/>
  <c r="DE178" i="50" s="1"/>
  <c r="BV178" i="50"/>
  <c r="BU178" i="50"/>
  <c r="BT178" i="50"/>
  <c r="BS178" i="50"/>
  <c r="BR178" i="50"/>
  <c r="BQ178" i="50"/>
  <c r="M178" i="50"/>
  <c r="L178" i="50"/>
  <c r="K178" i="50"/>
  <c r="DJ177" i="50"/>
  <c r="DI177" i="50"/>
  <c r="DH177" i="50"/>
  <c r="DG177" i="50"/>
  <c r="DD177" i="50"/>
  <c r="DC177" i="50"/>
  <c r="DF177" i="50" s="1"/>
  <c r="DB177" i="50"/>
  <c r="DE177" i="50" s="1"/>
  <c r="BV177" i="50"/>
  <c r="BU177" i="50"/>
  <c r="BT177" i="50"/>
  <c r="BS177" i="50"/>
  <c r="BR177" i="50"/>
  <c r="BQ177" i="50"/>
  <c r="M177" i="50"/>
  <c r="L177" i="50"/>
  <c r="K177" i="50"/>
  <c r="DJ176" i="50"/>
  <c r="DI176" i="50"/>
  <c r="DH176" i="50"/>
  <c r="DD176" i="50"/>
  <c r="DG176" i="50" s="1"/>
  <c r="DC176" i="50"/>
  <c r="DF176" i="50" s="1"/>
  <c r="DB176" i="50"/>
  <c r="DE176" i="50" s="1"/>
  <c r="BV176" i="50"/>
  <c r="BU176" i="50"/>
  <c r="BT176" i="50"/>
  <c r="BS176" i="50"/>
  <c r="BR176" i="50"/>
  <c r="BQ176" i="50"/>
  <c r="M176" i="50"/>
  <c r="L176" i="50"/>
  <c r="K176" i="50"/>
  <c r="DJ175" i="50"/>
  <c r="DI175" i="50"/>
  <c r="DH175" i="50"/>
  <c r="DD175" i="50"/>
  <c r="DG175" i="50" s="1"/>
  <c r="DC175" i="50"/>
  <c r="DF175" i="50" s="1"/>
  <c r="DB175" i="50"/>
  <c r="DE175" i="50" s="1"/>
  <c r="BV175" i="50"/>
  <c r="BU175" i="50"/>
  <c r="BT175" i="50"/>
  <c r="BS175" i="50"/>
  <c r="BR175" i="50"/>
  <c r="BQ175" i="50"/>
  <c r="M175" i="50"/>
  <c r="L175" i="50"/>
  <c r="K175" i="50"/>
  <c r="DJ174" i="50"/>
  <c r="DI174" i="50"/>
  <c r="DH174" i="50"/>
  <c r="DD174" i="50"/>
  <c r="DG174" i="50" s="1"/>
  <c r="DC174" i="50"/>
  <c r="DF174" i="50" s="1"/>
  <c r="DB174" i="50"/>
  <c r="DE174" i="50" s="1"/>
  <c r="BV174" i="50"/>
  <c r="BU174" i="50"/>
  <c r="BT174" i="50"/>
  <c r="BS174" i="50"/>
  <c r="BR174" i="50"/>
  <c r="BQ174" i="50"/>
  <c r="M174" i="50"/>
  <c r="L174" i="50"/>
  <c r="K174" i="50"/>
  <c r="DJ173" i="50"/>
  <c r="DI173" i="50"/>
  <c r="DH173" i="50"/>
  <c r="DD173" i="50"/>
  <c r="DG173" i="50" s="1"/>
  <c r="DC173" i="50"/>
  <c r="DF173" i="50" s="1"/>
  <c r="DB173" i="50"/>
  <c r="DE173" i="50" s="1"/>
  <c r="BV173" i="50"/>
  <c r="BU173" i="50"/>
  <c r="BT173" i="50"/>
  <c r="BS173" i="50"/>
  <c r="BR173" i="50"/>
  <c r="BQ173" i="50"/>
  <c r="M173" i="50"/>
  <c r="L173" i="50"/>
  <c r="K173" i="50"/>
  <c r="DJ172" i="50"/>
  <c r="DI172" i="50"/>
  <c r="DH172" i="50"/>
  <c r="DD172" i="50"/>
  <c r="DG172" i="50" s="1"/>
  <c r="DC172" i="50"/>
  <c r="DF172" i="50" s="1"/>
  <c r="DB172" i="50"/>
  <c r="DE172" i="50" s="1"/>
  <c r="BV172" i="50"/>
  <c r="BU172" i="50"/>
  <c r="BT172" i="50"/>
  <c r="BS172" i="50"/>
  <c r="BR172" i="50"/>
  <c r="BQ172" i="50"/>
  <c r="M172" i="50"/>
  <c r="L172" i="50"/>
  <c r="K172" i="50"/>
  <c r="DJ171" i="50"/>
  <c r="DI171" i="50"/>
  <c r="DH171" i="50"/>
  <c r="DD171" i="50"/>
  <c r="DG171" i="50" s="1"/>
  <c r="DC171" i="50"/>
  <c r="DF171" i="50" s="1"/>
  <c r="DB171" i="50"/>
  <c r="DE171" i="50" s="1"/>
  <c r="BV171" i="50"/>
  <c r="BU171" i="50"/>
  <c r="BT171" i="50"/>
  <c r="BS171" i="50"/>
  <c r="BR171" i="50"/>
  <c r="BQ171" i="50"/>
  <c r="M171" i="50"/>
  <c r="L171" i="50"/>
  <c r="K171" i="50"/>
  <c r="DJ170" i="50"/>
  <c r="DI170" i="50"/>
  <c r="DH170" i="50"/>
  <c r="DD170" i="50"/>
  <c r="DG170" i="50" s="1"/>
  <c r="DC170" i="50"/>
  <c r="DF170" i="50" s="1"/>
  <c r="DB170" i="50"/>
  <c r="DE170" i="50" s="1"/>
  <c r="BV170" i="50"/>
  <c r="BU170" i="50"/>
  <c r="BT170" i="50"/>
  <c r="BS170" i="50"/>
  <c r="BR170" i="50"/>
  <c r="BQ170" i="50"/>
  <c r="M170" i="50"/>
  <c r="L170" i="50"/>
  <c r="K170" i="50"/>
  <c r="DJ169" i="50"/>
  <c r="DI169" i="50"/>
  <c r="DH169" i="50"/>
  <c r="DD169" i="50"/>
  <c r="DG169" i="50" s="1"/>
  <c r="DC169" i="50"/>
  <c r="DF169" i="50" s="1"/>
  <c r="DB169" i="50"/>
  <c r="DE169" i="50" s="1"/>
  <c r="BV169" i="50"/>
  <c r="BU169" i="50"/>
  <c r="BT169" i="50"/>
  <c r="BS169" i="50"/>
  <c r="BR169" i="50"/>
  <c r="BQ169" i="50"/>
  <c r="M169" i="50"/>
  <c r="L169" i="50"/>
  <c r="K169" i="50"/>
  <c r="DJ168" i="50"/>
  <c r="DI168" i="50"/>
  <c r="DH168" i="50"/>
  <c r="DD168" i="50"/>
  <c r="DG168" i="50" s="1"/>
  <c r="DC168" i="50"/>
  <c r="DF168" i="50" s="1"/>
  <c r="DB168" i="50"/>
  <c r="DE168" i="50" s="1"/>
  <c r="BV168" i="50"/>
  <c r="BU168" i="50"/>
  <c r="BT168" i="50"/>
  <c r="BS168" i="50"/>
  <c r="BR168" i="50"/>
  <c r="BQ168" i="50"/>
  <c r="M168" i="50"/>
  <c r="L168" i="50"/>
  <c r="K168" i="50"/>
  <c r="DJ167" i="50"/>
  <c r="DI167" i="50"/>
  <c r="DH167" i="50"/>
  <c r="DD167" i="50"/>
  <c r="DG167" i="50" s="1"/>
  <c r="DC167" i="50"/>
  <c r="DF167" i="50" s="1"/>
  <c r="DB167" i="50"/>
  <c r="DE167" i="50" s="1"/>
  <c r="BV167" i="50"/>
  <c r="BU167" i="50"/>
  <c r="BT167" i="50"/>
  <c r="BS167" i="50"/>
  <c r="BR167" i="50"/>
  <c r="BQ167" i="50"/>
  <c r="M167" i="50"/>
  <c r="L167" i="50"/>
  <c r="K167" i="50"/>
  <c r="DJ166" i="50"/>
  <c r="DI166" i="50"/>
  <c r="DH166" i="50"/>
  <c r="DD166" i="50"/>
  <c r="DG166" i="50" s="1"/>
  <c r="DC166" i="50"/>
  <c r="DF166" i="50" s="1"/>
  <c r="DB166" i="50"/>
  <c r="DE166" i="50" s="1"/>
  <c r="BV166" i="50"/>
  <c r="BU166" i="50"/>
  <c r="BT166" i="50"/>
  <c r="BS166" i="50"/>
  <c r="BR166" i="50"/>
  <c r="BQ166" i="50"/>
  <c r="M166" i="50"/>
  <c r="L166" i="50"/>
  <c r="K166" i="50"/>
  <c r="DJ165" i="50"/>
  <c r="DI165" i="50"/>
  <c r="DH165" i="50"/>
  <c r="DD165" i="50"/>
  <c r="DG165" i="50" s="1"/>
  <c r="DC165" i="50"/>
  <c r="DF165" i="50" s="1"/>
  <c r="DB165" i="50"/>
  <c r="DE165" i="50" s="1"/>
  <c r="BV165" i="50"/>
  <c r="BU165" i="50"/>
  <c r="BT165" i="50"/>
  <c r="BS165" i="50"/>
  <c r="BR165" i="50"/>
  <c r="BQ165" i="50"/>
  <c r="M165" i="50"/>
  <c r="L165" i="50"/>
  <c r="K165" i="50"/>
  <c r="DJ164" i="50"/>
  <c r="DI164" i="50"/>
  <c r="DH164" i="50"/>
  <c r="DD164" i="50"/>
  <c r="DG164" i="50" s="1"/>
  <c r="DC164" i="50"/>
  <c r="DF164" i="50" s="1"/>
  <c r="DB164" i="50"/>
  <c r="DE164" i="50" s="1"/>
  <c r="BV164" i="50"/>
  <c r="BU164" i="50"/>
  <c r="BT164" i="50"/>
  <c r="BS164" i="50"/>
  <c r="BR164" i="50"/>
  <c r="BQ164" i="50"/>
  <c r="M164" i="50"/>
  <c r="L164" i="50"/>
  <c r="K164" i="50"/>
  <c r="DJ163" i="50"/>
  <c r="DI163" i="50"/>
  <c r="DH163" i="50"/>
  <c r="DD163" i="50"/>
  <c r="DG163" i="50" s="1"/>
  <c r="DC163" i="50"/>
  <c r="DF163" i="50" s="1"/>
  <c r="DB163" i="50"/>
  <c r="DE163" i="50" s="1"/>
  <c r="BV163" i="50"/>
  <c r="BU163" i="50"/>
  <c r="BT163" i="50"/>
  <c r="BS163" i="50"/>
  <c r="BR163" i="50"/>
  <c r="BQ163" i="50"/>
  <c r="M163" i="50"/>
  <c r="L163" i="50"/>
  <c r="K163" i="50"/>
  <c r="DJ162" i="50"/>
  <c r="DI162" i="50"/>
  <c r="DH162" i="50"/>
  <c r="DD162" i="50"/>
  <c r="DG162" i="50" s="1"/>
  <c r="DC162" i="50"/>
  <c r="DF162" i="50" s="1"/>
  <c r="DB162" i="50"/>
  <c r="DE162" i="50" s="1"/>
  <c r="BV162" i="50"/>
  <c r="BU162" i="50"/>
  <c r="BT162" i="50"/>
  <c r="BS162" i="50"/>
  <c r="BR162" i="50"/>
  <c r="BQ162" i="50"/>
  <c r="M162" i="50"/>
  <c r="L162" i="50"/>
  <c r="K162" i="50"/>
  <c r="DJ161" i="50"/>
  <c r="DI161" i="50"/>
  <c r="DH161" i="50"/>
  <c r="DD161" i="50"/>
  <c r="DG161" i="50" s="1"/>
  <c r="DC161" i="50"/>
  <c r="DF161" i="50" s="1"/>
  <c r="DB161" i="50"/>
  <c r="DE161" i="50" s="1"/>
  <c r="BV161" i="50"/>
  <c r="BU161" i="50"/>
  <c r="BT161" i="50"/>
  <c r="BS161" i="50"/>
  <c r="BR161" i="50"/>
  <c r="BQ161" i="50"/>
  <c r="M161" i="50"/>
  <c r="L161" i="50"/>
  <c r="K161" i="50"/>
  <c r="DJ160" i="50"/>
  <c r="DI160" i="50"/>
  <c r="DH160" i="50"/>
  <c r="DD160" i="50"/>
  <c r="DG160" i="50" s="1"/>
  <c r="DC160" i="50"/>
  <c r="DF160" i="50" s="1"/>
  <c r="DB160" i="50"/>
  <c r="DE160" i="50" s="1"/>
  <c r="BV160" i="50"/>
  <c r="BU160" i="50"/>
  <c r="BT160" i="50"/>
  <c r="BS160" i="50"/>
  <c r="BR160" i="50"/>
  <c r="BQ160" i="50"/>
  <c r="M160" i="50"/>
  <c r="L160" i="50"/>
  <c r="K160" i="50"/>
  <c r="DJ159" i="50"/>
  <c r="DI159" i="50"/>
  <c r="DH159" i="50"/>
  <c r="DD159" i="50"/>
  <c r="DG159" i="50" s="1"/>
  <c r="DC159" i="50"/>
  <c r="DF159" i="50" s="1"/>
  <c r="DB159" i="50"/>
  <c r="DE159" i="50" s="1"/>
  <c r="BV159" i="50"/>
  <c r="BU159" i="50"/>
  <c r="BT159" i="50"/>
  <c r="BS159" i="50"/>
  <c r="BR159" i="50"/>
  <c r="BQ159" i="50"/>
  <c r="M159" i="50"/>
  <c r="L159" i="50"/>
  <c r="K159" i="50"/>
  <c r="DJ158" i="50"/>
  <c r="DI158" i="50"/>
  <c r="DH158" i="50"/>
  <c r="DD158" i="50"/>
  <c r="DG158" i="50" s="1"/>
  <c r="DC158" i="50"/>
  <c r="DF158" i="50" s="1"/>
  <c r="DB158" i="50"/>
  <c r="DE158" i="50" s="1"/>
  <c r="BV158" i="50"/>
  <c r="BU158" i="50"/>
  <c r="BT158" i="50"/>
  <c r="BS158" i="50"/>
  <c r="BR158" i="50"/>
  <c r="BQ158" i="50"/>
  <c r="M158" i="50"/>
  <c r="L158" i="50"/>
  <c r="K158" i="50"/>
  <c r="DJ157" i="50"/>
  <c r="DI157" i="50"/>
  <c r="DH157" i="50"/>
  <c r="DD157" i="50"/>
  <c r="DG157" i="50" s="1"/>
  <c r="DC157" i="50"/>
  <c r="DF157" i="50" s="1"/>
  <c r="DB157" i="50"/>
  <c r="DE157" i="50" s="1"/>
  <c r="BV157" i="50"/>
  <c r="BU157" i="50"/>
  <c r="BT157" i="50"/>
  <c r="BS157" i="50"/>
  <c r="BR157" i="50"/>
  <c r="BQ157" i="50"/>
  <c r="M157" i="50"/>
  <c r="L157" i="50"/>
  <c r="K157" i="50"/>
  <c r="DJ156" i="50"/>
  <c r="DI156" i="50"/>
  <c r="DH156" i="50"/>
  <c r="DD156" i="50"/>
  <c r="DG156" i="50" s="1"/>
  <c r="DC156" i="50"/>
  <c r="DF156" i="50" s="1"/>
  <c r="DB156" i="50"/>
  <c r="DE156" i="50" s="1"/>
  <c r="BV156" i="50"/>
  <c r="BU156" i="50"/>
  <c r="BT156" i="50"/>
  <c r="BS156" i="50"/>
  <c r="BR156" i="50"/>
  <c r="BQ156" i="50"/>
  <c r="M156" i="50"/>
  <c r="L156" i="50"/>
  <c r="K156" i="50"/>
  <c r="DJ155" i="50"/>
  <c r="DI155" i="50"/>
  <c r="DH155" i="50"/>
  <c r="DD155" i="50"/>
  <c r="DG155" i="50" s="1"/>
  <c r="DC155" i="50"/>
  <c r="DF155" i="50" s="1"/>
  <c r="DB155" i="50"/>
  <c r="DE155" i="50" s="1"/>
  <c r="BV155" i="50"/>
  <c r="BU155" i="50"/>
  <c r="BT155" i="50"/>
  <c r="BS155" i="50"/>
  <c r="BR155" i="50"/>
  <c r="BQ155" i="50"/>
  <c r="M155" i="50"/>
  <c r="L155" i="50"/>
  <c r="K155" i="50"/>
  <c r="DJ154" i="50"/>
  <c r="DI154" i="50"/>
  <c r="DH154" i="50"/>
  <c r="DD154" i="50"/>
  <c r="DG154" i="50" s="1"/>
  <c r="DC154" i="50"/>
  <c r="DF154" i="50" s="1"/>
  <c r="DB154" i="50"/>
  <c r="DE154" i="50" s="1"/>
  <c r="BV154" i="50"/>
  <c r="BU154" i="50"/>
  <c r="BT154" i="50"/>
  <c r="BS154" i="50"/>
  <c r="BR154" i="50"/>
  <c r="BQ154" i="50"/>
  <c r="M154" i="50"/>
  <c r="L154" i="50"/>
  <c r="K154" i="50"/>
  <c r="DJ153" i="50"/>
  <c r="DI153" i="50"/>
  <c r="DH153" i="50"/>
  <c r="DD153" i="50"/>
  <c r="DG153" i="50" s="1"/>
  <c r="DC153" i="50"/>
  <c r="DF153" i="50" s="1"/>
  <c r="DB153" i="50"/>
  <c r="DE153" i="50" s="1"/>
  <c r="BV153" i="50"/>
  <c r="BU153" i="50"/>
  <c r="BT153" i="50"/>
  <c r="BS153" i="50"/>
  <c r="BR153" i="50"/>
  <c r="BQ153" i="50"/>
  <c r="M153" i="50"/>
  <c r="L153" i="50"/>
  <c r="K153" i="50"/>
  <c r="DJ152" i="50"/>
  <c r="DI152" i="50"/>
  <c r="DH152" i="50"/>
  <c r="DD152" i="50"/>
  <c r="DG152" i="50" s="1"/>
  <c r="DC152" i="50"/>
  <c r="DF152" i="50" s="1"/>
  <c r="DB152" i="50"/>
  <c r="DE152" i="50" s="1"/>
  <c r="BV152" i="50"/>
  <c r="BU152" i="50"/>
  <c r="BT152" i="50"/>
  <c r="BS152" i="50"/>
  <c r="BR152" i="50"/>
  <c r="BQ152" i="50"/>
  <c r="M152" i="50"/>
  <c r="L152" i="50"/>
  <c r="K152" i="50"/>
  <c r="DJ151" i="50"/>
  <c r="DI151" i="50"/>
  <c r="DH151" i="50"/>
  <c r="DE151" i="50"/>
  <c r="DD151" i="50"/>
  <c r="DG151" i="50" s="1"/>
  <c r="DC151" i="50"/>
  <c r="DF151" i="50" s="1"/>
  <c r="DB151" i="50"/>
  <c r="BV151" i="50"/>
  <c r="BU151" i="50"/>
  <c r="BT151" i="50"/>
  <c r="BS151" i="50"/>
  <c r="BR151" i="50"/>
  <c r="BQ151" i="50"/>
  <c r="M151" i="50"/>
  <c r="L151" i="50"/>
  <c r="K151" i="50"/>
  <c r="DJ150" i="50"/>
  <c r="DI150" i="50"/>
  <c r="DH150" i="50"/>
  <c r="DE150" i="50"/>
  <c r="DD150" i="50"/>
  <c r="DG150" i="50" s="1"/>
  <c r="DC150" i="50"/>
  <c r="DF150" i="50" s="1"/>
  <c r="DB150" i="50"/>
  <c r="BV150" i="50"/>
  <c r="BU150" i="50"/>
  <c r="BT150" i="50"/>
  <c r="BS150" i="50"/>
  <c r="BR150" i="50"/>
  <c r="BQ150" i="50"/>
  <c r="M150" i="50"/>
  <c r="L150" i="50"/>
  <c r="K150" i="50"/>
  <c r="DJ149" i="50"/>
  <c r="DI149" i="50"/>
  <c r="DH149" i="50"/>
  <c r="DD149" i="50"/>
  <c r="DG149" i="50" s="1"/>
  <c r="DC149" i="50"/>
  <c r="DF149" i="50" s="1"/>
  <c r="DB149" i="50"/>
  <c r="DE149" i="50" s="1"/>
  <c r="BV149" i="50"/>
  <c r="BU149" i="50"/>
  <c r="BT149" i="50"/>
  <c r="BS149" i="50"/>
  <c r="BR149" i="50"/>
  <c r="BQ149" i="50"/>
  <c r="M149" i="50"/>
  <c r="L149" i="50"/>
  <c r="K149" i="50"/>
  <c r="DJ148" i="50"/>
  <c r="DI148" i="50"/>
  <c r="DH148" i="50"/>
  <c r="DF148" i="50"/>
  <c r="DE148" i="50"/>
  <c r="DD148" i="50"/>
  <c r="DG148" i="50" s="1"/>
  <c r="DC148" i="50"/>
  <c r="DB148" i="50"/>
  <c r="BV148" i="50"/>
  <c r="BU148" i="50"/>
  <c r="BT148" i="50"/>
  <c r="BS148" i="50"/>
  <c r="BR148" i="50"/>
  <c r="BQ148" i="50"/>
  <c r="M148" i="50"/>
  <c r="L148" i="50"/>
  <c r="K148" i="50"/>
  <c r="DJ147" i="50"/>
  <c r="DI147" i="50"/>
  <c r="DH147" i="50"/>
  <c r="DG147" i="50"/>
  <c r="DF147" i="50"/>
  <c r="DD147" i="50"/>
  <c r="DC147" i="50"/>
  <c r="DB147" i="50"/>
  <c r="DE147" i="50" s="1"/>
  <c r="BV147" i="50"/>
  <c r="BU147" i="50"/>
  <c r="BT147" i="50"/>
  <c r="BS147" i="50"/>
  <c r="BR147" i="50"/>
  <c r="BQ147" i="50"/>
  <c r="M147" i="50"/>
  <c r="L147" i="50"/>
  <c r="K147" i="50"/>
  <c r="DJ146" i="50"/>
  <c r="DI146" i="50"/>
  <c r="DH146" i="50"/>
  <c r="DD146" i="50"/>
  <c r="DG146" i="50" s="1"/>
  <c r="DC146" i="50"/>
  <c r="DF146" i="50" s="1"/>
  <c r="DB146" i="50"/>
  <c r="DE146" i="50" s="1"/>
  <c r="BV146" i="50"/>
  <c r="BU146" i="50"/>
  <c r="BT146" i="50"/>
  <c r="BS146" i="50"/>
  <c r="BR146" i="50"/>
  <c r="BQ146" i="50"/>
  <c r="M146" i="50"/>
  <c r="L146" i="50"/>
  <c r="K146" i="50"/>
  <c r="DJ145" i="50"/>
  <c r="DI145" i="50"/>
  <c r="DH145" i="50"/>
  <c r="DD145" i="50"/>
  <c r="DG145" i="50" s="1"/>
  <c r="DC145" i="50"/>
  <c r="DF145" i="50" s="1"/>
  <c r="DB145" i="50"/>
  <c r="DE145" i="50" s="1"/>
  <c r="BV145" i="50"/>
  <c r="BU145" i="50"/>
  <c r="BT145" i="50"/>
  <c r="BS145" i="50"/>
  <c r="BR145" i="50"/>
  <c r="BQ145" i="50"/>
  <c r="M145" i="50"/>
  <c r="L145" i="50"/>
  <c r="K145" i="50"/>
  <c r="DJ144" i="50"/>
  <c r="DI144" i="50"/>
  <c r="DH144" i="50"/>
  <c r="DD144" i="50"/>
  <c r="DG144" i="50" s="1"/>
  <c r="DC144" i="50"/>
  <c r="DF144" i="50" s="1"/>
  <c r="DB144" i="50"/>
  <c r="DE144" i="50" s="1"/>
  <c r="BV144" i="50"/>
  <c r="BU144" i="50"/>
  <c r="BT144" i="50"/>
  <c r="BS144" i="50"/>
  <c r="BR144" i="50"/>
  <c r="BQ144" i="50"/>
  <c r="M144" i="50"/>
  <c r="L144" i="50"/>
  <c r="K144" i="50"/>
  <c r="DJ143" i="50"/>
  <c r="DI143" i="50"/>
  <c r="DH143" i="50"/>
  <c r="DD143" i="50"/>
  <c r="DG143" i="50" s="1"/>
  <c r="DC143" i="50"/>
  <c r="DF143" i="50" s="1"/>
  <c r="DB143" i="50"/>
  <c r="DE143" i="50" s="1"/>
  <c r="BV143" i="50"/>
  <c r="BU143" i="50"/>
  <c r="BT143" i="50"/>
  <c r="BS143" i="50"/>
  <c r="BR143" i="50"/>
  <c r="BQ143" i="50"/>
  <c r="M143" i="50"/>
  <c r="L143" i="50"/>
  <c r="K143" i="50"/>
  <c r="DJ142" i="50"/>
  <c r="DI142" i="50"/>
  <c r="DH142" i="50"/>
  <c r="DD142" i="50"/>
  <c r="DG142" i="50" s="1"/>
  <c r="DC142" i="50"/>
  <c r="DF142" i="50" s="1"/>
  <c r="DB142" i="50"/>
  <c r="DE142" i="50" s="1"/>
  <c r="BV142" i="50"/>
  <c r="BU142" i="50"/>
  <c r="BT142" i="50"/>
  <c r="BS142" i="50"/>
  <c r="BR142" i="50"/>
  <c r="BQ142" i="50"/>
  <c r="M142" i="50"/>
  <c r="L142" i="50"/>
  <c r="K142" i="50"/>
  <c r="DJ141" i="50"/>
  <c r="DI141" i="50"/>
  <c r="DH141" i="50"/>
  <c r="DD141" i="50"/>
  <c r="DG141" i="50" s="1"/>
  <c r="DC141" i="50"/>
  <c r="DF141" i="50" s="1"/>
  <c r="DB141" i="50"/>
  <c r="DE141" i="50" s="1"/>
  <c r="BV141" i="50"/>
  <c r="BU141" i="50"/>
  <c r="BT141" i="50"/>
  <c r="BS141" i="50"/>
  <c r="BR141" i="50"/>
  <c r="BQ141" i="50"/>
  <c r="M141" i="50"/>
  <c r="L141" i="50"/>
  <c r="K141" i="50"/>
  <c r="DJ140" i="50"/>
  <c r="DI140" i="50"/>
  <c r="DH140" i="50"/>
  <c r="DD140" i="50"/>
  <c r="DG140" i="50" s="1"/>
  <c r="DC140" i="50"/>
  <c r="DF140" i="50" s="1"/>
  <c r="DB140" i="50"/>
  <c r="DE140" i="50" s="1"/>
  <c r="BV140" i="50"/>
  <c r="BU140" i="50"/>
  <c r="BT140" i="50"/>
  <c r="BS140" i="50"/>
  <c r="BR140" i="50"/>
  <c r="BQ140" i="50"/>
  <c r="M140" i="50"/>
  <c r="L140" i="50"/>
  <c r="K140" i="50"/>
  <c r="DJ139" i="50"/>
  <c r="DI139" i="50"/>
  <c r="DH139" i="50"/>
  <c r="DD139" i="50"/>
  <c r="DG139" i="50" s="1"/>
  <c r="DC139" i="50"/>
  <c r="DF139" i="50" s="1"/>
  <c r="DB139" i="50"/>
  <c r="DE139" i="50" s="1"/>
  <c r="BV139" i="50"/>
  <c r="BU139" i="50"/>
  <c r="BT139" i="50"/>
  <c r="BS139" i="50"/>
  <c r="BR139" i="50"/>
  <c r="BQ139" i="50"/>
  <c r="M139" i="50"/>
  <c r="L139" i="50"/>
  <c r="K139" i="50"/>
  <c r="DJ138" i="50"/>
  <c r="DI138" i="50"/>
  <c r="DH138" i="50"/>
  <c r="DD138" i="50"/>
  <c r="DG138" i="50" s="1"/>
  <c r="DC138" i="50"/>
  <c r="DF138" i="50" s="1"/>
  <c r="DB138" i="50"/>
  <c r="DE138" i="50" s="1"/>
  <c r="BV138" i="50"/>
  <c r="BU138" i="50"/>
  <c r="BT138" i="50"/>
  <c r="BS138" i="50"/>
  <c r="BR138" i="50"/>
  <c r="BQ138" i="50"/>
  <c r="M138" i="50"/>
  <c r="L138" i="50"/>
  <c r="K138" i="50"/>
  <c r="DJ137" i="50"/>
  <c r="DI137" i="50"/>
  <c r="DH137" i="50"/>
  <c r="DD137" i="50"/>
  <c r="DG137" i="50" s="1"/>
  <c r="DC137" i="50"/>
  <c r="DF137" i="50" s="1"/>
  <c r="DB137" i="50"/>
  <c r="DE137" i="50" s="1"/>
  <c r="BV137" i="50"/>
  <c r="BU137" i="50"/>
  <c r="BT137" i="50"/>
  <c r="BS137" i="50"/>
  <c r="BR137" i="50"/>
  <c r="BQ137" i="50"/>
  <c r="M137" i="50"/>
  <c r="L137" i="50"/>
  <c r="K137" i="50"/>
  <c r="DJ136" i="50"/>
  <c r="DI136" i="50"/>
  <c r="DH136" i="50"/>
  <c r="DD136" i="50"/>
  <c r="DG136" i="50" s="1"/>
  <c r="DC136" i="50"/>
  <c r="DF136" i="50" s="1"/>
  <c r="DB136" i="50"/>
  <c r="DE136" i="50" s="1"/>
  <c r="BV136" i="50"/>
  <c r="BU136" i="50"/>
  <c r="BT136" i="50"/>
  <c r="BS136" i="50"/>
  <c r="BR136" i="50"/>
  <c r="BQ136" i="50"/>
  <c r="M136" i="50"/>
  <c r="L136" i="50"/>
  <c r="K136" i="50"/>
  <c r="DJ135" i="50"/>
  <c r="DI135" i="50"/>
  <c r="DH135" i="50"/>
  <c r="DD135" i="50"/>
  <c r="DG135" i="50" s="1"/>
  <c r="DC135" i="50"/>
  <c r="DF135" i="50" s="1"/>
  <c r="DB135" i="50"/>
  <c r="DE135" i="50" s="1"/>
  <c r="BV135" i="50"/>
  <c r="BU135" i="50"/>
  <c r="BT135" i="50"/>
  <c r="BS135" i="50"/>
  <c r="BR135" i="50"/>
  <c r="BQ135" i="50"/>
  <c r="M135" i="50"/>
  <c r="L135" i="50"/>
  <c r="K135" i="50"/>
  <c r="DJ134" i="50"/>
  <c r="DI134" i="50"/>
  <c r="DH134" i="50"/>
  <c r="DE134" i="50"/>
  <c r="DD134" i="50"/>
  <c r="DG134" i="50" s="1"/>
  <c r="DC134" i="50"/>
  <c r="DF134" i="50" s="1"/>
  <c r="DB134" i="50"/>
  <c r="BV134" i="50"/>
  <c r="BU134" i="50"/>
  <c r="BT134" i="50"/>
  <c r="BS134" i="50"/>
  <c r="BR134" i="50"/>
  <c r="BQ134" i="50"/>
  <c r="M134" i="50"/>
  <c r="L134" i="50"/>
  <c r="K134" i="50"/>
  <c r="DJ133" i="50"/>
  <c r="DI133" i="50"/>
  <c r="DH133" i="50"/>
  <c r="DD133" i="50"/>
  <c r="DG133" i="50" s="1"/>
  <c r="DC133" i="50"/>
  <c r="DF133" i="50" s="1"/>
  <c r="DB133" i="50"/>
  <c r="DE133" i="50" s="1"/>
  <c r="BV133" i="50"/>
  <c r="BU133" i="50"/>
  <c r="BT133" i="50"/>
  <c r="BS133" i="50"/>
  <c r="BR133" i="50"/>
  <c r="BQ133" i="50"/>
  <c r="M133" i="50"/>
  <c r="L133" i="50"/>
  <c r="K133" i="50"/>
  <c r="DJ132" i="50"/>
  <c r="DI132" i="50"/>
  <c r="DH132" i="50"/>
  <c r="DD132" i="50"/>
  <c r="DG132" i="50" s="1"/>
  <c r="DC132" i="50"/>
  <c r="DF132" i="50" s="1"/>
  <c r="DB132" i="50"/>
  <c r="DE132" i="50" s="1"/>
  <c r="BV132" i="50"/>
  <c r="BU132" i="50"/>
  <c r="BT132" i="50"/>
  <c r="BS132" i="50"/>
  <c r="BR132" i="50"/>
  <c r="BQ132" i="50"/>
  <c r="M132" i="50"/>
  <c r="L132" i="50"/>
  <c r="K132" i="50"/>
  <c r="DJ131" i="50"/>
  <c r="DI131" i="50"/>
  <c r="DH131" i="50"/>
  <c r="DD131" i="50"/>
  <c r="DG131" i="50" s="1"/>
  <c r="DC131" i="50"/>
  <c r="DF131" i="50" s="1"/>
  <c r="DB131" i="50"/>
  <c r="DE131" i="50" s="1"/>
  <c r="BV131" i="50"/>
  <c r="BU131" i="50"/>
  <c r="BT131" i="50"/>
  <c r="BS131" i="50"/>
  <c r="BR131" i="50"/>
  <c r="BQ131" i="50"/>
  <c r="M131" i="50"/>
  <c r="L131" i="50"/>
  <c r="K131" i="50"/>
  <c r="DJ130" i="50"/>
  <c r="DI130" i="50"/>
  <c r="DH130" i="50"/>
  <c r="DD130" i="50"/>
  <c r="DG130" i="50" s="1"/>
  <c r="DC130" i="50"/>
  <c r="DF130" i="50" s="1"/>
  <c r="DB130" i="50"/>
  <c r="DE130" i="50" s="1"/>
  <c r="BV130" i="50"/>
  <c r="BU130" i="50"/>
  <c r="BT130" i="50"/>
  <c r="BS130" i="50"/>
  <c r="BR130" i="50"/>
  <c r="BQ130" i="50"/>
  <c r="M130" i="50"/>
  <c r="L130" i="50"/>
  <c r="K130" i="50"/>
  <c r="DJ129" i="50"/>
  <c r="DI129" i="50"/>
  <c r="DH129" i="50"/>
  <c r="DD129" i="50"/>
  <c r="DG129" i="50" s="1"/>
  <c r="DC129" i="50"/>
  <c r="DF129" i="50" s="1"/>
  <c r="DB129" i="50"/>
  <c r="DE129" i="50" s="1"/>
  <c r="BV129" i="50"/>
  <c r="BU129" i="50"/>
  <c r="BT129" i="50"/>
  <c r="BS129" i="50"/>
  <c r="BR129" i="50"/>
  <c r="BQ129" i="50"/>
  <c r="M129" i="50"/>
  <c r="L129" i="50"/>
  <c r="K129" i="50"/>
  <c r="DJ128" i="50"/>
  <c r="DI128" i="50"/>
  <c r="DH128" i="50"/>
  <c r="DD128" i="50"/>
  <c r="DG128" i="50" s="1"/>
  <c r="DC128" i="50"/>
  <c r="DF128" i="50" s="1"/>
  <c r="DB128" i="50"/>
  <c r="DE128" i="50" s="1"/>
  <c r="BV128" i="50"/>
  <c r="BU128" i="50"/>
  <c r="BT128" i="50"/>
  <c r="BS128" i="50"/>
  <c r="BR128" i="50"/>
  <c r="BQ128" i="50"/>
  <c r="M128" i="50"/>
  <c r="L128" i="50"/>
  <c r="K128" i="50"/>
  <c r="DJ127" i="50"/>
  <c r="DI127" i="50"/>
  <c r="DH127" i="50"/>
  <c r="DD127" i="50"/>
  <c r="DG127" i="50" s="1"/>
  <c r="DC127" i="50"/>
  <c r="DF127" i="50" s="1"/>
  <c r="DB127" i="50"/>
  <c r="DE127" i="50" s="1"/>
  <c r="BV127" i="50"/>
  <c r="BU127" i="50"/>
  <c r="BT127" i="50"/>
  <c r="BS127" i="50"/>
  <c r="BR127" i="50"/>
  <c r="BQ127" i="50"/>
  <c r="M127" i="50"/>
  <c r="L127" i="50"/>
  <c r="K127" i="50"/>
  <c r="DJ126" i="50"/>
  <c r="DI126" i="50"/>
  <c r="DH126" i="50"/>
  <c r="DD126" i="50"/>
  <c r="DG126" i="50" s="1"/>
  <c r="DC126" i="50"/>
  <c r="DF126" i="50" s="1"/>
  <c r="DB126" i="50"/>
  <c r="DE126" i="50" s="1"/>
  <c r="BV126" i="50"/>
  <c r="BU126" i="50"/>
  <c r="BT126" i="50"/>
  <c r="BS126" i="50"/>
  <c r="BR126" i="50"/>
  <c r="BQ126" i="50"/>
  <c r="M126" i="50"/>
  <c r="L126" i="50"/>
  <c r="K126" i="50"/>
  <c r="DJ125" i="50"/>
  <c r="DI125" i="50"/>
  <c r="DH125" i="50"/>
  <c r="DD125" i="50"/>
  <c r="DG125" i="50" s="1"/>
  <c r="DC125" i="50"/>
  <c r="DF125" i="50" s="1"/>
  <c r="DB125" i="50"/>
  <c r="DE125" i="50" s="1"/>
  <c r="BV125" i="50"/>
  <c r="BU125" i="50"/>
  <c r="BT125" i="50"/>
  <c r="BS125" i="50"/>
  <c r="BR125" i="50"/>
  <c r="BQ125" i="50"/>
  <c r="M125" i="50"/>
  <c r="L125" i="50"/>
  <c r="K125" i="50"/>
  <c r="DJ124" i="50"/>
  <c r="DI124" i="50"/>
  <c r="DH124" i="50"/>
  <c r="DD124" i="50"/>
  <c r="DG124" i="50" s="1"/>
  <c r="DC124" i="50"/>
  <c r="DF124" i="50" s="1"/>
  <c r="DB124" i="50"/>
  <c r="DE124" i="50" s="1"/>
  <c r="BV124" i="50"/>
  <c r="BU124" i="50"/>
  <c r="BT124" i="50"/>
  <c r="BS124" i="50"/>
  <c r="BR124" i="50"/>
  <c r="BQ124" i="50"/>
  <c r="M124" i="50"/>
  <c r="L124" i="50"/>
  <c r="K124" i="50"/>
  <c r="DJ123" i="50"/>
  <c r="DI123" i="50"/>
  <c r="DH123" i="50"/>
  <c r="DD123" i="50"/>
  <c r="DG123" i="50" s="1"/>
  <c r="DC123" i="50"/>
  <c r="DF123" i="50" s="1"/>
  <c r="DB123" i="50"/>
  <c r="DE123" i="50" s="1"/>
  <c r="BV123" i="50"/>
  <c r="BU123" i="50"/>
  <c r="BT123" i="50"/>
  <c r="BS123" i="50"/>
  <c r="BR123" i="50"/>
  <c r="BQ123" i="50"/>
  <c r="M123" i="50"/>
  <c r="L123" i="50"/>
  <c r="K123" i="50"/>
  <c r="DJ122" i="50"/>
  <c r="DI122" i="50"/>
  <c r="DH122" i="50"/>
  <c r="DE122" i="50"/>
  <c r="DD122" i="50"/>
  <c r="DG122" i="50" s="1"/>
  <c r="DC122" i="50"/>
  <c r="DF122" i="50" s="1"/>
  <c r="DB122" i="50"/>
  <c r="BV122" i="50"/>
  <c r="BU122" i="50"/>
  <c r="BT122" i="50"/>
  <c r="BS122" i="50"/>
  <c r="BR122" i="50"/>
  <c r="BQ122" i="50"/>
  <c r="M122" i="50"/>
  <c r="L122" i="50"/>
  <c r="K122" i="50"/>
  <c r="DJ121" i="50"/>
  <c r="DI121" i="50"/>
  <c r="DH121" i="50"/>
  <c r="DD121" i="50"/>
  <c r="DG121" i="50" s="1"/>
  <c r="DC121" i="50"/>
  <c r="DF121" i="50" s="1"/>
  <c r="DB121" i="50"/>
  <c r="DE121" i="50" s="1"/>
  <c r="BV121" i="50"/>
  <c r="BU121" i="50"/>
  <c r="BT121" i="50"/>
  <c r="BS121" i="50"/>
  <c r="BR121" i="50"/>
  <c r="BQ121" i="50"/>
  <c r="M121" i="50"/>
  <c r="L121" i="50"/>
  <c r="K121" i="50"/>
  <c r="DJ120" i="50"/>
  <c r="DI120" i="50"/>
  <c r="DH120" i="50"/>
  <c r="DD120" i="50"/>
  <c r="DG120" i="50" s="1"/>
  <c r="DC120" i="50"/>
  <c r="DF120" i="50" s="1"/>
  <c r="DB120" i="50"/>
  <c r="DE120" i="50" s="1"/>
  <c r="BV120" i="50"/>
  <c r="BU120" i="50"/>
  <c r="BT120" i="50"/>
  <c r="BS120" i="50"/>
  <c r="BR120" i="50"/>
  <c r="BQ120" i="50"/>
  <c r="M120" i="50"/>
  <c r="L120" i="50"/>
  <c r="K120" i="50"/>
  <c r="DJ119" i="50"/>
  <c r="DI119" i="50"/>
  <c r="DH119" i="50"/>
  <c r="DD119" i="50"/>
  <c r="DG119" i="50" s="1"/>
  <c r="DC119" i="50"/>
  <c r="DF119" i="50" s="1"/>
  <c r="DB119" i="50"/>
  <c r="DE119" i="50" s="1"/>
  <c r="BV119" i="50"/>
  <c r="BU119" i="50"/>
  <c r="BT119" i="50"/>
  <c r="BS119" i="50"/>
  <c r="BR119" i="50"/>
  <c r="BQ119" i="50"/>
  <c r="M119" i="50"/>
  <c r="L119" i="50"/>
  <c r="K119" i="50"/>
  <c r="DJ118" i="50"/>
  <c r="DI118" i="50"/>
  <c r="DH118" i="50"/>
  <c r="DD118" i="50"/>
  <c r="DG118" i="50" s="1"/>
  <c r="DC118" i="50"/>
  <c r="DF118" i="50" s="1"/>
  <c r="DB118" i="50"/>
  <c r="DE118" i="50" s="1"/>
  <c r="BV118" i="50"/>
  <c r="BU118" i="50"/>
  <c r="BT118" i="50"/>
  <c r="BS118" i="50"/>
  <c r="BR118" i="50"/>
  <c r="BQ118" i="50"/>
  <c r="M118" i="50"/>
  <c r="L118" i="50"/>
  <c r="K118" i="50"/>
  <c r="DJ117" i="50"/>
  <c r="DI117" i="50"/>
  <c r="DH117" i="50"/>
  <c r="DD117" i="50"/>
  <c r="DG117" i="50" s="1"/>
  <c r="DC117" i="50"/>
  <c r="DF117" i="50" s="1"/>
  <c r="DB117" i="50"/>
  <c r="DE117" i="50" s="1"/>
  <c r="BV117" i="50"/>
  <c r="BU117" i="50"/>
  <c r="BT117" i="50"/>
  <c r="BS117" i="50"/>
  <c r="BR117" i="50"/>
  <c r="BQ117" i="50"/>
  <c r="M117" i="50"/>
  <c r="L117" i="50"/>
  <c r="K117" i="50"/>
  <c r="DJ116" i="50"/>
  <c r="DI116" i="50"/>
  <c r="DH116" i="50"/>
  <c r="DD116" i="50"/>
  <c r="DG116" i="50" s="1"/>
  <c r="DC116" i="50"/>
  <c r="DF116" i="50" s="1"/>
  <c r="DB116" i="50"/>
  <c r="DE116" i="50" s="1"/>
  <c r="BV116" i="50"/>
  <c r="BU116" i="50"/>
  <c r="BT116" i="50"/>
  <c r="BS116" i="50"/>
  <c r="BR116" i="50"/>
  <c r="BQ116" i="50"/>
  <c r="M116" i="50"/>
  <c r="L116" i="50"/>
  <c r="K116" i="50"/>
  <c r="DJ115" i="50"/>
  <c r="DI115" i="50"/>
  <c r="DH115" i="50"/>
  <c r="DD115" i="50"/>
  <c r="DG115" i="50" s="1"/>
  <c r="DC115" i="50"/>
  <c r="DF115" i="50" s="1"/>
  <c r="DB115" i="50"/>
  <c r="DE115" i="50" s="1"/>
  <c r="BV115" i="50"/>
  <c r="BU115" i="50"/>
  <c r="BT115" i="50"/>
  <c r="BS115" i="50"/>
  <c r="BR115" i="50"/>
  <c r="BQ115" i="50"/>
  <c r="M115" i="50"/>
  <c r="L115" i="50"/>
  <c r="K115" i="50"/>
  <c r="DJ114" i="50"/>
  <c r="DI114" i="50"/>
  <c r="DH114" i="50"/>
  <c r="DD114" i="50"/>
  <c r="DG114" i="50" s="1"/>
  <c r="DC114" i="50"/>
  <c r="DF114" i="50" s="1"/>
  <c r="DB114" i="50"/>
  <c r="DE114" i="50" s="1"/>
  <c r="BV114" i="50"/>
  <c r="BU114" i="50"/>
  <c r="BT114" i="50"/>
  <c r="BS114" i="50"/>
  <c r="BR114" i="50"/>
  <c r="BQ114" i="50"/>
  <c r="M114" i="50"/>
  <c r="L114" i="50"/>
  <c r="K114" i="50"/>
  <c r="DJ113" i="50"/>
  <c r="DI113" i="50"/>
  <c r="DH113" i="50"/>
  <c r="DD113" i="50"/>
  <c r="DG113" i="50" s="1"/>
  <c r="DC113" i="50"/>
  <c r="DF113" i="50" s="1"/>
  <c r="DB113" i="50"/>
  <c r="DE113" i="50" s="1"/>
  <c r="BV113" i="50"/>
  <c r="BU113" i="50"/>
  <c r="BT113" i="50"/>
  <c r="BS113" i="50"/>
  <c r="BR113" i="50"/>
  <c r="BQ113" i="50"/>
  <c r="M113" i="50"/>
  <c r="L113" i="50"/>
  <c r="K113" i="50"/>
  <c r="DJ112" i="50"/>
  <c r="DI112" i="50"/>
  <c r="DH112" i="50"/>
  <c r="DE112" i="50"/>
  <c r="DD112" i="50"/>
  <c r="DG112" i="50" s="1"/>
  <c r="DC112" i="50"/>
  <c r="DF112" i="50" s="1"/>
  <c r="DB112" i="50"/>
  <c r="BV112" i="50"/>
  <c r="BU112" i="50"/>
  <c r="BT112" i="50"/>
  <c r="BS112" i="50"/>
  <c r="BR112" i="50"/>
  <c r="BQ112" i="50"/>
  <c r="M112" i="50"/>
  <c r="L112" i="50"/>
  <c r="K112" i="50"/>
  <c r="DJ111" i="50"/>
  <c r="DI111" i="50"/>
  <c r="DH111" i="50"/>
  <c r="DD111" i="50"/>
  <c r="DG111" i="50" s="1"/>
  <c r="DC111" i="50"/>
  <c r="DF111" i="50" s="1"/>
  <c r="DB111" i="50"/>
  <c r="DE111" i="50" s="1"/>
  <c r="BV111" i="50"/>
  <c r="BU111" i="50"/>
  <c r="BT111" i="50"/>
  <c r="BS111" i="50"/>
  <c r="BR111" i="50"/>
  <c r="BQ111" i="50"/>
  <c r="M111" i="50"/>
  <c r="L111" i="50"/>
  <c r="K111" i="50"/>
  <c r="DJ110" i="50"/>
  <c r="DI110" i="50"/>
  <c r="DH110" i="50"/>
  <c r="DD110" i="50"/>
  <c r="DG110" i="50" s="1"/>
  <c r="DC110" i="50"/>
  <c r="DF110" i="50" s="1"/>
  <c r="DB110" i="50"/>
  <c r="DE110" i="50" s="1"/>
  <c r="BV110" i="50"/>
  <c r="BU110" i="50"/>
  <c r="BT110" i="50"/>
  <c r="BS110" i="50"/>
  <c r="BR110" i="50"/>
  <c r="BQ110" i="50"/>
  <c r="M110" i="50"/>
  <c r="L110" i="50"/>
  <c r="K110" i="50"/>
  <c r="DJ109" i="50"/>
  <c r="DI109" i="50"/>
  <c r="DH109" i="50"/>
  <c r="DD109" i="50"/>
  <c r="DG109" i="50" s="1"/>
  <c r="DC109" i="50"/>
  <c r="DF109" i="50" s="1"/>
  <c r="DB109" i="50"/>
  <c r="DE109" i="50" s="1"/>
  <c r="BV109" i="50"/>
  <c r="BU109" i="50"/>
  <c r="BT109" i="50"/>
  <c r="BS109" i="50"/>
  <c r="BR109" i="50"/>
  <c r="BQ109" i="50"/>
  <c r="M109" i="50"/>
  <c r="L109" i="50"/>
  <c r="K109" i="50"/>
  <c r="DJ108" i="50"/>
  <c r="DI108" i="50"/>
  <c r="DH108" i="50"/>
  <c r="DD108" i="50"/>
  <c r="DG108" i="50" s="1"/>
  <c r="DC108" i="50"/>
  <c r="DF108" i="50" s="1"/>
  <c r="DB108" i="50"/>
  <c r="DE108" i="50" s="1"/>
  <c r="BV108" i="50"/>
  <c r="BU108" i="50"/>
  <c r="BT108" i="50"/>
  <c r="BS108" i="50"/>
  <c r="BR108" i="50"/>
  <c r="BQ108" i="50"/>
  <c r="M108" i="50"/>
  <c r="L108" i="50"/>
  <c r="K108" i="50"/>
  <c r="DJ107" i="50"/>
  <c r="DI107" i="50"/>
  <c r="DH107" i="50"/>
  <c r="DF107" i="50"/>
  <c r="DD107" i="50"/>
  <c r="DG107" i="50" s="1"/>
  <c r="DC107" i="50"/>
  <c r="DB107" i="50"/>
  <c r="DE107" i="50" s="1"/>
  <c r="BV107" i="50"/>
  <c r="BU107" i="50"/>
  <c r="BT107" i="50"/>
  <c r="BS107" i="50"/>
  <c r="BR107" i="50"/>
  <c r="BQ107" i="50"/>
  <c r="M107" i="50"/>
  <c r="L107" i="50"/>
  <c r="K107" i="50"/>
  <c r="DJ106" i="50"/>
  <c r="DI106" i="50"/>
  <c r="DH106" i="50"/>
  <c r="DD106" i="50"/>
  <c r="DG106" i="50" s="1"/>
  <c r="DC106" i="50"/>
  <c r="DF106" i="50" s="1"/>
  <c r="DB106" i="50"/>
  <c r="DE106" i="50" s="1"/>
  <c r="BV106" i="50"/>
  <c r="BU106" i="50"/>
  <c r="BT106" i="50"/>
  <c r="BS106" i="50"/>
  <c r="BR106" i="50"/>
  <c r="BQ106" i="50"/>
  <c r="M106" i="50"/>
  <c r="L106" i="50"/>
  <c r="K106" i="50"/>
  <c r="DJ105" i="50"/>
  <c r="DI105" i="50"/>
  <c r="DH105" i="50"/>
  <c r="DG105" i="50"/>
  <c r="DD105" i="50"/>
  <c r="DC105" i="50"/>
  <c r="DF105" i="50" s="1"/>
  <c r="DB105" i="50"/>
  <c r="DE105" i="50" s="1"/>
  <c r="BV105" i="50"/>
  <c r="BU105" i="50"/>
  <c r="BT105" i="50"/>
  <c r="BS105" i="50"/>
  <c r="BR105" i="50"/>
  <c r="BQ105" i="50"/>
  <c r="M105" i="50"/>
  <c r="L105" i="50"/>
  <c r="K105" i="50"/>
  <c r="DJ104" i="50"/>
  <c r="DI104" i="50"/>
  <c r="DH104" i="50"/>
  <c r="DE104" i="50"/>
  <c r="DD104" i="50"/>
  <c r="DG104" i="50" s="1"/>
  <c r="DC104" i="50"/>
  <c r="DF104" i="50" s="1"/>
  <c r="DB104" i="50"/>
  <c r="BV104" i="50"/>
  <c r="BU104" i="50"/>
  <c r="BT104" i="50"/>
  <c r="BS104" i="50"/>
  <c r="BR104" i="50"/>
  <c r="BQ104" i="50"/>
  <c r="M104" i="50"/>
  <c r="L104" i="50"/>
  <c r="K104" i="50"/>
  <c r="DJ103" i="50"/>
  <c r="DI103" i="50"/>
  <c r="DH103" i="50"/>
  <c r="DE103" i="50"/>
  <c r="DD103" i="50"/>
  <c r="DG103" i="50" s="1"/>
  <c r="DC103" i="50"/>
  <c r="DF103" i="50" s="1"/>
  <c r="DB103" i="50"/>
  <c r="BV103" i="50"/>
  <c r="BU103" i="50"/>
  <c r="BT103" i="50"/>
  <c r="BS103" i="50"/>
  <c r="BR103" i="50"/>
  <c r="BQ103" i="50"/>
  <c r="M103" i="50"/>
  <c r="L103" i="50"/>
  <c r="K103" i="50"/>
  <c r="DJ102" i="50"/>
  <c r="DI102" i="50"/>
  <c r="DH102" i="50"/>
  <c r="DD102" i="50"/>
  <c r="DG102" i="50" s="1"/>
  <c r="DC102" i="50"/>
  <c r="DF102" i="50" s="1"/>
  <c r="DB102" i="50"/>
  <c r="DE102" i="50" s="1"/>
  <c r="BV102" i="50"/>
  <c r="BU102" i="50"/>
  <c r="BT102" i="50"/>
  <c r="BS102" i="50"/>
  <c r="BR102" i="50"/>
  <c r="BQ102" i="50"/>
  <c r="M102" i="50"/>
  <c r="L102" i="50"/>
  <c r="K102" i="50"/>
  <c r="DJ101" i="50"/>
  <c r="DI101" i="50"/>
  <c r="DH101" i="50"/>
  <c r="DD101" i="50"/>
  <c r="DG101" i="50" s="1"/>
  <c r="DC101" i="50"/>
  <c r="DF101" i="50" s="1"/>
  <c r="DB101" i="50"/>
  <c r="DE101" i="50" s="1"/>
  <c r="BV101" i="50"/>
  <c r="BU101" i="50"/>
  <c r="BT101" i="50"/>
  <c r="BS101" i="50"/>
  <c r="BR101" i="50"/>
  <c r="BQ101" i="50"/>
  <c r="M101" i="50"/>
  <c r="L101" i="50"/>
  <c r="K101" i="50"/>
  <c r="DJ100" i="50"/>
  <c r="DI100" i="50"/>
  <c r="DH100" i="50"/>
  <c r="DD100" i="50"/>
  <c r="DG100" i="50" s="1"/>
  <c r="DC100" i="50"/>
  <c r="DF100" i="50" s="1"/>
  <c r="DB100" i="50"/>
  <c r="DE100" i="50" s="1"/>
  <c r="BV100" i="50"/>
  <c r="BU100" i="50"/>
  <c r="BT100" i="50"/>
  <c r="BS100" i="50"/>
  <c r="BR100" i="50"/>
  <c r="BQ100" i="50"/>
  <c r="M100" i="50"/>
  <c r="L100" i="50"/>
  <c r="K100" i="50"/>
  <c r="DJ99" i="50"/>
  <c r="DI99" i="50"/>
  <c r="DH99" i="50"/>
  <c r="DD99" i="50"/>
  <c r="DG99" i="50" s="1"/>
  <c r="DC99" i="50"/>
  <c r="DF99" i="50" s="1"/>
  <c r="DB99" i="50"/>
  <c r="DE99" i="50" s="1"/>
  <c r="BV99" i="50"/>
  <c r="BU99" i="50"/>
  <c r="BT99" i="50"/>
  <c r="BS99" i="50"/>
  <c r="BR99" i="50"/>
  <c r="BQ99" i="50"/>
  <c r="M99" i="50"/>
  <c r="L99" i="50"/>
  <c r="K99" i="50"/>
  <c r="DJ98" i="50"/>
  <c r="DI98" i="50"/>
  <c r="DH98" i="50"/>
  <c r="DD98" i="50"/>
  <c r="DG98" i="50" s="1"/>
  <c r="DC98" i="50"/>
  <c r="DF98" i="50" s="1"/>
  <c r="DB98" i="50"/>
  <c r="DE98" i="50" s="1"/>
  <c r="BV98" i="50"/>
  <c r="BU98" i="50"/>
  <c r="BT98" i="50"/>
  <c r="BS98" i="50"/>
  <c r="BR98" i="50"/>
  <c r="BQ98" i="50"/>
  <c r="M98" i="50"/>
  <c r="L98" i="50"/>
  <c r="K98" i="50"/>
  <c r="DJ97" i="50"/>
  <c r="DI97" i="50"/>
  <c r="DH97" i="50"/>
  <c r="DD97" i="50"/>
  <c r="DG97" i="50" s="1"/>
  <c r="DC97" i="50"/>
  <c r="DF97" i="50" s="1"/>
  <c r="DB97" i="50"/>
  <c r="DE97" i="50" s="1"/>
  <c r="BV97" i="50"/>
  <c r="BU97" i="50"/>
  <c r="BT97" i="50"/>
  <c r="BS97" i="50"/>
  <c r="BR97" i="50"/>
  <c r="BQ97" i="50"/>
  <c r="M97" i="50"/>
  <c r="L97" i="50"/>
  <c r="K97" i="50"/>
  <c r="DJ96" i="50"/>
  <c r="DI96" i="50"/>
  <c r="DH96" i="50"/>
  <c r="DE96" i="50"/>
  <c r="DD96" i="50"/>
  <c r="DG96" i="50" s="1"/>
  <c r="DC96" i="50"/>
  <c r="DF96" i="50" s="1"/>
  <c r="DB96" i="50"/>
  <c r="BV96" i="50"/>
  <c r="BU96" i="50"/>
  <c r="BT96" i="50"/>
  <c r="BS96" i="50"/>
  <c r="BR96" i="50"/>
  <c r="BQ96" i="50"/>
  <c r="M96" i="50"/>
  <c r="L96" i="50"/>
  <c r="K96" i="50"/>
  <c r="DJ95" i="50"/>
  <c r="DI95" i="50"/>
  <c r="DH95" i="50"/>
  <c r="DG95" i="50"/>
  <c r="DD95" i="50"/>
  <c r="DC95" i="50"/>
  <c r="DF95" i="50" s="1"/>
  <c r="DB95" i="50"/>
  <c r="DE95" i="50" s="1"/>
  <c r="BV95" i="50"/>
  <c r="BU95" i="50"/>
  <c r="BT95" i="50"/>
  <c r="BS95" i="50"/>
  <c r="BR95" i="50"/>
  <c r="BQ95" i="50"/>
  <c r="M95" i="50"/>
  <c r="L95" i="50"/>
  <c r="K95" i="50"/>
  <c r="DJ94" i="50"/>
  <c r="DI94" i="50"/>
  <c r="DH94" i="50"/>
  <c r="DE94" i="50"/>
  <c r="DD94" i="50"/>
  <c r="DG94" i="50" s="1"/>
  <c r="DC94" i="50"/>
  <c r="DF94" i="50" s="1"/>
  <c r="DB94" i="50"/>
  <c r="BV94" i="50"/>
  <c r="BU94" i="50"/>
  <c r="BT94" i="50"/>
  <c r="BS94" i="50"/>
  <c r="BR94" i="50"/>
  <c r="BQ94" i="50"/>
  <c r="M94" i="50"/>
  <c r="L94" i="50"/>
  <c r="K94" i="50"/>
  <c r="DJ93" i="50"/>
  <c r="DI93" i="50"/>
  <c r="DH93" i="50"/>
  <c r="DD93" i="50"/>
  <c r="DG93" i="50" s="1"/>
  <c r="DC93" i="50"/>
  <c r="DF93" i="50" s="1"/>
  <c r="DB93" i="50"/>
  <c r="DE93" i="50" s="1"/>
  <c r="BV93" i="50"/>
  <c r="BU93" i="50"/>
  <c r="BT93" i="50"/>
  <c r="BS93" i="50"/>
  <c r="BR93" i="50"/>
  <c r="BQ93" i="50"/>
  <c r="M93" i="50"/>
  <c r="L93" i="50"/>
  <c r="K93" i="50"/>
  <c r="DJ92" i="50"/>
  <c r="DI92" i="50"/>
  <c r="DH92" i="50"/>
  <c r="DD92" i="50"/>
  <c r="DG92" i="50" s="1"/>
  <c r="DC92" i="50"/>
  <c r="DF92" i="50" s="1"/>
  <c r="DB92" i="50"/>
  <c r="DE92" i="50" s="1"/>
  <c r="BV92" i="50"/>
  <c r="BU92" i="50"/>
  <c r="BT92" i="50"/>
  <c r="BS92" i="50"/>
  <c r="BR92" i="50"/>
  <c r="BQ92" i="50"/>
  <c r="M92" i="50"/>
  <c r="L92" i="50"/>
  <c r="K92" i="50"/>
  <c r="DJ91" i="50"/>
  <c r="DI91" i="50"/>
  <c r="DH91" i="50"/>
  <c r="DD91" i="50"/>
  <c r="DG91" i="50" s="1"/>
  <c r="DC91" i="50"/>
  <c r="DF91" i="50" s="1"/>
  <c r="DB91" i="50"/>
  <c r="DE91" i="50" s="1"/>
  <c r="BV91" i="50"/>
  <c r="BU91" i="50"/>
  <c r="BT91" i="50"/>
  <c r="BS91" i="50"/>
  <c r="BR91" i="50"/>
  <c r="BQ91" i="50"/>
  <c r="M91" i="50"/>
  <c r="L91" i="50"/>
  <c r="K91" i="50"/>
  <c r="DJ90" i="50"/>
  <c r="DI90" i="50"/>
  <c r="DH90" i="50"/>
  <c r="DD90" i="50"/>
  <c r="DG90" i="50" s="1"/>
  <c r="DC90" i="50"/>
  <c r="DF90" i="50" s="1"/>
  <c r="DB90" i="50"/>
  <c r="DE90" i="50" s="1"/>
  <c r="BV90" i="50"/>
  <c r="BU90" i="50"/>
  <c r="BT90" i="50"/>
  <c r="BS90" i="50"/>
  <c r="BR90" i="50"/>
  <c r="BQ90" i="50"/>
  <c r="M90" i="50"/>
  <c r="L90" i="50"/>
  <c r="K90" i="50"/>
  <c r="DJ89" i="50"/>
  <c r="DI89" i="50"/>
  <c r="DH89" i="50"/>
  <c r="DD89" i="50"/>
  <c r="DG89" i="50" s="1"/>
  <c r="DC89" i="50"/>
  <c r="DF89" i="50" s="1"/>
  <c r="DB89" i="50"/>
  <c r="DE89" i="50" s="1"/>
  <c r="BV89" i="50"/>
  <c r="BU89" i="50"/>
  <c r="BT89" i="50"/>
  <c r="BS89" i="50"/>
  <c r="BR89" i="50"/>
  <c r="BQ89" i="50"/>
  <c r="M89" i="50"/>
  <c r="L89" i="50"/>
  <c r="K89" i="50"/>
  <c r="DJ88" i="50"/>
  <c r="DI88" i="50"/>
  <c r="DH88" i="50"/>
  <c r="DD88" i="50"/>
  <c r="DG88" i="50" s="1"/>
  <c r="DC88" i="50"/>
  <c r="DF88" i="50" s="1"/>
  <c r="DB88" i="50"/>
  <c r="DE88" i="50" s="1"/>
  <c r="BV88" i="50"/>
  <c r="BU88" i="50"/>
  <c r="BT88" i="50"/>
  <c r="BS88" i="50"/>
  <c r="BR88" i="50"/>
  <c r="BQ88" i="50"/>
  <c r="M88" i="50"/>
  <c r="L88" i="50"/>
  <c r="K88" i="50"/>
  <c r="DJ87" i="50"/>
  <c r="DI87" i="50"/>
  <c r="DH87" i="50"/>
  <c r="DD87" i="50"/>
  <c r="DG87" i="50" s="1"/>
  <c r="DC87" i="50"/>
  <c r="DF87" i="50" s="1"/>
  <c r="DB87" i="50"/>
  <c r="DE87" i="50" s="1"/>
  <c r="BV87" i="50"/>
  <c r="BU87" i="50"/>
  <c r="BT87" i="50"/>
  <c r="BS87" i="50"/>
  <c r="BR87" i="50"/>
  <c r="BQ87" i="50"/>
  <c r="M87" i="50"/>
  <c r="L87" i="50"/>
  <c r="K87" i="50"/>
  <c r="DJ86" i="50"/>
  <c r="DI86" i="50"/>
  <c r="DH86" i="50"/>
  <c r="DD86" i="50"/>
  <c r="DG86" i="50" s="1"/>
  <c r="DC86" i="50"/>
  <c r="DF86" i="50" s="1"/>
  <c r="DB86" i="50"/>
  <c r="DE86" i="50" s="1"/>
  <c r="BV86" i="50"/>
  <c r="BU86" i="50"/>
  <c r="BT86" i="50"/>
  <c r="BS86" i="50"/>
  <c r="BR86" i="50"/>
  <c r="BQ86" i="50"/>
  <c r="M86" i="50"/>
  <c r="L86" i="50"/>
  <c r="K86" i="50"/>
  <c r="DJ85" i="50"/>
  <c r="DI85" i="50"/>
  <c r="DH85" i="50"/>
  <c r="DD85" i="50"/>
  <c r="DG85" i="50" s="1"/>
  <c r="DC85" i="50"/>
  <c r="DF85" i="50" s="1"/>
  <c r="DB85" i="50"/>
  <c r="DE85" i="50" s="1"/>
  <c r="BV85" i="50"/>
  <c r="BU85" i="50"/>
  <c r="BT85" i="50"/>
  <c r="BS85" i="50"/>
  <c r="BR85" i="50"/>
  <c r="BQ85" i="50"/>
  <c r="M85" i="50"/>
  <c r="L85" i="50"/>
  <c r="K85" i="50"/>
  <c r="DJ84" i="50"/>
  <c r="DI84" i="50"/>
  <c r="DH84" i="50"/>
  <c r="DD84" i="50"/>
  <c r="DG84" i="50" s="1"/>
  <c r="DC84" i="50"/>
  <c r="DF84" i="50" s="1"/>
  <c r="DB84" i="50"/>
  <c r="DE84" i="50" s="1"/>
  <c r="BV84" i="50"/>
  <c r="BU84" i="50"/>
  <c r="BT84" i="50"/>
  <c r="BS84" i="50"/>
  <c r="BR84" i="50"/>
  <c r="BQ84" i="50"/>
  <c r="M84" i="50"/>
  <c r="L84" i="50"/>
  <c r="K84" i="50"/>
  <c r="DJ83" i="50"/>
  <c r="DI83" i="50"/>
  <c r="DH83" i="50"/>
  <c r="DD83" i="50"/>
  <c r="DG83" i="50" s="1"/>
  <c r="DC83" i="50"/>
  <c r="DF83" i="50" s="1"/>
  <c r="DB83" i="50"/>
  <c r="DE83" i="50" s="1"/>
  <c r="BV83" i="50"/>
  <c r="BU83" i="50"/>
  <c r="BT83" i="50"/>
  <c r="BS83" i="50"/>
  <c r="BR83" i="50"/>
  <c r="BQ83" i="50"/>
  <c r="M83" i="50"/>
  <c r="L83" i="50"/>
  <c r="K83" i="50"/>
  <c r="DJ82" i="50"/>
  <c r="DI82" i="50"/>
  <c r="DH82" i="50"/>
  <c r="DD82" i="50"/>
  <c r="DG82" i="50" s="1"/>
  <c r="DC82" i="50"/>
  <c r="DF82" i="50" s="1"/>
  <c r="DB82" i="50"/>
  <c r="DE82" i="50" s="1"/>
  <c r="BV82" i="50"/>
  <c r="BU82" i="50"/>
  <c r="BT82" i="50"/>
  <c r="BS82" i="50"/>
  <c r="BR82" i="50"/>
  <c r="BQ82" i="50"/>
  <c r="M82" i="50"/>
  <c r="L82" i="50"/>
  <c r="K82" i="50"/>
  <c r="DJ81" i="50"/>
  <c r="DI81" i="50"/>
  <c r="DH81" i="50"/>
  <c r="DD81" i="50"/>
  <c r="DG81" i="50" s="1"/>
  <c r="DC81" i="50"/>
  <c r="DF81" i="50" s="1"/>
  <c r="DB81" i="50"/>
  <c r="DE81" i="50" s="1"/>
  <c r="BV81" i="50"/>
  <c r="BU81" i="50"/>
  <c r="BT81" i="50"/>
  <c r="BS81" i="50"/>
  <c r="BR81" i="50"/>
  <c r="BQ81" i="50"/>
  <c r="M81" i="50"/>
  <c r="L81" i="50"/>
  <c r="K81" i="50"/>
  <c r="DJ80" i="50"/>
  <c r="DI80" i="50"/>
  <c r="DH80" i="50"/>
  <c r="DD80" i="50"/>
  <c r="DG80" i="50" s="1"/>
  <c r="DC80" i="50"/>
  <c r="DF80" i="50" s="1"/>
  <c r="DB80" i="50"/>
  <c r="DE80" i="50" s="1"/>
  <c r="BV80" i="50"/>
  <c r="BU80" i="50"/>
  <c r="BT80" i="50"/>
  <c r="BS80" i="50"/>
  <c r="BR80" i="50"/>
  <c r="BQ80" i="50"/>
  <c r="M80" i="50"/>
  <c r="L80" i="50"/>
  <c r="K80" i="50"/>
  <c r="DJ79" i="50"/>
  <c r="DI79" i="50"/>
  <c r="DH79" i="50"/>
  <c r="DD79" i="50"/>
  <c r="DG79" i="50" s="1"/>
  <c r="DC79" i="50"/>
  <c r="DF79" i="50" s="1"/>
  <c r="DB79" i="50"/>
  <c r="DE79" i="50" s="1"/>
  <c r="BV79" i="50"/>
  <c r="BU79" i="50"/>
  <c r="BT79" i="50"/>
  <c r="BS79" i="50"/>
  <c r="BR79" i="50"/>
  <c r="BQ79" i="50"/>
  <c r="M79" i="50"/>
  <c r="L79" i="50"/>
  <c r="K79" i="50"/>
  <c r="DJ78" i="50"/>
  <c r="DI78" i="50"/>
  <c r="DH78" i="50"/>
  <c r="DD78" i="50"/>
  <c r="DG78" i="50" s="1"/>
  <c r="DC78" i="50"/>
  <c r="DF78" i="50" s="1"/>
  <c r="DB78" i="50"/>
  <c r="DE78" i="50" s="1"/>
  <c r="BV78" i="50"/>
  <c r="BU78" i="50"/>
  <c r="BT78" i="50"/>
  <c r="BS78" i="50"/>
  <c r="BR78" i="50"/>
  <c r="BQ78" i="50"/>
  <c r="M78" i="50"/>
  <c r="L78" i="50"/>
  <c r="K78" i="50"/>
  <c r="DJ77" i="50"/>
  <c r="DI77" i="50"/>
  <c r="DH77" i="50"/>
  <c r="DD77" i="50"/>
  <c r="DG77" i="50" s="1"/>
  <c r="DC77" i="50"/>
  <c r="DF77" i="50" s="1"/>
  <c r="DB77" i="50"/>
  <c r="DE77" i="50" s="1"/>
  <c r="BV77" i="50"/>
  <c r="BU77" i="50"/>
  <c r="BT77" i="50"/>
  <c r="BS77" i="50"/>
  <c r="BR77" i="50"/>
  <c r="BQ77" i="50"/>
  <c r="M77" i="50"/>
  <c r="L77" i="50"/>
  <c r="K77" i="50"/>
  <c r="DJ76" i="50"/>
  <c r="DI76" i="50"/>
  <c r="DH76" i="50"/>
  <c r="DD76" i="50"/>
  <c r="DG76" i="50" s="1"/>
  <c r="DC76" i="50"/>
  <c r="DF76" i="50" s="1"/>
  <c r="DB76" i="50"/>
  <c r="DE76" i="50" s="1"/>
  <c r="BV76" i="50"/>
  <c r="BU76" i="50"/>
  <c r="BT76" i="50"/>
  <c r="BS76" i="50"/>
  <c r="BR76" i="50"/>
  <c r="BQ76" i="50"/>
  <c r="M76" i="50"/>
  <c r="L76" i="50"/>
  <c r="K76" i="50"/>
  <c r="DJ75" i="50"/>
  <c r="DI75" i="50"/>
  <c r="DH75" i="50"/>
  <c r="DF75" i="50"/>
  <c r="DE75" i="50"/>
  <c r="DD75" i="50"/>
  <c r="DG75" i="50" s="1"/>
  <c r="DC75" i="50"/>
  <c r="DB75" i="50"/>
  <c r="BV75" i="50"/>
  <c r="BU75" i="50"/>
  <c r="BT75" i="50"/>
  <c r="BS75" i="50"/>
  <c r="BR75" i="50"/>
  <c r="BQ75" i="50"/>
  <c r="M75" i="50"/>
  <c r="L75" i="50"/>
  <c r="K75" i="50"/>
  <c r="DJ74" i="50"/>
  <c r="DI74" i="50"/>
  <c r="DH74" i="50"/>
  <c r="DG74" i="50"/>
  <c r="DD74" i="50"/>
  <c r="DC74" i="50"/>
  <c r="DF74" i="50" s="1"/>
  <c r="DB74" i="50"/>
  <c r="DE74" i="50" s="1"/>
  <c r="BV74" i="50"/>
  <c r="BU74" i="50"/>
  <c r="BT74" i="50"/>
  <c r="BS74" i="50"/>
  <c r="BR74" i="50"/>
  <c r="BQ74" i="50"/>
  <c r="M74" i="50"/>
  <c r="L74" i="50"/>
  <c r="K74" i="50"/>
  <c r="DJ73" i="50"/>
  <c r="DI73" i="50"/>
  <c r="DH73" i="50"/>
  <c r="DD73" i="50"/>
  <c r="DG73" i="50" s="1"/>
  <c r="DC73" i="50"/>
  <c r="DF73" i="50" s="1"/>
  <c r="DB73" i="50"/>
  <c r="DE73" i="50" s="1"/>
  <c r="BV73" i="50"/>
  <c r="BU73" i="50"/>
  <c r="BT73" i="50"/>
  <c r="BS73" i="50"/>
  <c r="BR73" i="50"/>
  <c r="BQ73" i="50"/>
  <c r="M73" i="50"/>
  <c r="L73" i="50"/>
  <c r="K73" i="50"/>
  <c r="DJ72" i="50"/>
  <c r="DI72" i="50"/>
  <c r="DH72" i="50"/>
  <c r="DD72" i="50"/>
  <c r="DG72" i="50" s="1"/>
  <c r="DC72" i="50"/>
  <c r="DF72" i="50" s="1"/>
  <c r="DB72" i="50"/>
  <c r="DE72" i="50" s="1"/>
  <c r="BV72" i="50"/>
  <c r="BU72" i="50"/>
  <c r="BT72" i="50"/>
  <c r="BS72" i="50"/>
  <c r="BR72" i="50"/>
  <c r="BQ72" i="50"/>
  <c r="M72" i="50"/>
  <c r="L72" i="50"/>
  <c r="K72" i="50"/>
  <c r="DJ71" i="50"/>
  <c r="DI71" i="50"/>
  <c r="DH71" i="50"/>
  <c r="DD71" i="50"/>
  <c r="DG71" i="50" s="1"/>
  <c r="DC71" i="50"/>
  <c r="DF71" i="50" s="1"/>
  <c r="DB71" i="50"/>
  <c r="DE71" i="50" s="1"/>
  <c r="BV71" i="50"/>
  <c r="BU71" i="50"/>
  <c r="BT71" i="50"/>
  <c r="BS71" i="50"/>
  <c r="BR71" i="50"/>
  <c r="BQ71" i="50"/>
  <c r="M71" i="50"/>
  <c r="L71" i="50"/>
  <c r="K71" i="50"/>
  <c r="DJ70" i="50"/>
  <c r="DI70" i="50"/>
  <c r="DH70" i="50"/>
  <c r="DD70" i="50"/>
  <c r="DG70" i="50" s="1"/>
  <c r="DC70" i="50"/>
  <c r="DF70" i="50" s="1"/>
  <c r="DB70" i="50"/>
  <c r="DE70" i="50" s="1"/>
  <c r="BV70" i="50"/>
  <c r="BU70" i="50"/>
  <c r="BT70" i="50"/>
  <c r="BS70" i="50"/>
  <c r="BR70" i="50"/>
  <c r="BQ70" i="50"/>
  <c r="M70" i="50"/>
  <c r="L70" i="50"/>
  <c r="K70" i="50"/>
  <c r="DJ69" i="50"/>
  <c r="DI69" i="50"/>
  <c r="DH69" i="50"/>
  <c r="DD69" i="50"/>
  <c r="DG69" i="50" s="1"/>
  <c r="DC69" i="50"/>
  <c r="DF69" i="50" s="1"/>
  <c r="DB69" i="50"/>
  <c r="DE69" i="50" s="1"/>
  <c r="BV69" i="50"/>
  <c r="BU69" i="50"/>
  <c r="BT69" i="50"/>
  <c r="BS69" i="50"/>
  <c r="BR69" i="50"/>
  <c r="BQ69" i="50"/>
  <c r="M69" i="50"/>
  <c r="L69" i="50"/>
  <c r="K69" i="50"/>
  <c r="DJ68" i="50"/>
  <c r="DI68" i="50"/>
  <c r="DH68" i="50"/>
  <c r="DD68" i="50"/>
  <c r="DG68" i="50" s="1"/>
  <c r="DC68" i="50"/>
  <c r="DF68" i="50" s="1"/>
  <c r="DB68" i="50"/>
  <c r="DE68" i="50" s="1"/>
  <c r="BV68" i="50"/>
  <c r="BU68" i="50"/>
  <c r="BT68" i="50"/>
  <c r="BS68" i="50"/>
  <c r="BR68" i="50"/>
  <c r="BQ68" i="50"/>
  <c r="M68" i="50"/>
  <c r="L68" i="50"/>
  <c r="K68" i="50"/>
  <c r="DJ67" i="50"/>
  <c r="DI67" i="50"/>
  <c r="DH67" i="50"/>
  <c r="DD67" i="50"/>
  <c r="DG67" i="50" s="1"/>
  <c r="DC67" i="50"/>
  <c r="DF67" i="50" s="1"/>
  <c r="DB67" i="50"/>
  <c r="DE67" i="50" s="1"/>
  <c r="BV67" i="50"/>
  <c r="BU67" i="50"/>
  <c r="BT67" i="50"/>
  <c r="BS67" i="50"/>
  <c r="BR67" i="50"/>
  <c r="BQ67" i="50"/>
  <c r="M67" i="50"/>
  <c r="L67" i="50"/>
  <c r="K67" i="50"/>
  <c r="DJ66" i="50"/>
  <c r="DI66" i="50"/>
  <c r="DH66" i="50"/>
  <c r="DD66" i="50"/>
  <c r="DG66" i="50" s="1"/>
  <c r="DC66" i="50"/>
  <c r="DF66" i="50" s="1"/>
  <c r="DB66" i="50"/>
  <c r="DE66" i="50" s="1"/>
  <c r="BV66" i="50"/>
  <c r="BU66" i="50"/>
  <c r="BT66" i="50"/>
  <c r="BS66" i="50"/>
  <c r="BR66" i="50"/>
  <c r="BQ66" i="50"/>
  <c r="M66" i="50"/>
  <c r="L66" i="50"/>
  <c r="K66" i="50"/>
  <c r="DJ65" i="50"/>
  <c r="DI65" i="50"/>
  <c r="DH65" i="50"/>
  <c r="DD65" i="50"/>
  <c r="DG65" i="50" s="1"/>
  <c r="DC65" i="50"/>
  <c r="DF65" i="50" s="1"/>
  <c r="DB65" i="50"/>
  <c r="DE65" i="50" s="1"/>
  <c r="BV65" i="50"/>
  <c r="BU65" i="50"/>
  <c r="BT65" i="50"/>
  <c r="BS65" i="50"/>
  <c r="BR65" i="50"/>
  <c r="BQ65" i="50"/>
  <c r="M65" i="50"/>
  <c r="L65" i="50"/>
  <c r="K65" i="50"/>
  <c r="DJ64" i="50"/>
  <c r="DI64" i="50"/>
  <c r="DH64" i="50"/>
  <c r="DD64" i="50"/>
  <c r="DG64" i="50" s="1"/>
  <c r="DC64" i="50"/>
  <c r="DF64" i="50" s="1"/>
  <c r="DB64" i="50"/>
  <c r="DE64" i="50" s="1"/>
  <c r="BV64" i="50"/>
  <c r="BU64" i="50"/>
  <c r="BT64" i="50"/>
  <c r="BS64" i="50"/>
  <c r="BR64" i="50"/>
  <c r="BQ64" i="50"/>
  <c r="M64" i="50"/>
  <c r="L64" i="50"/>
  <c r="K64" i="50"/>
  <c r="DJ63" i="50"/>
  <c r="DI63" i="50"/>
  <c r="DH63" i="50"/>
  <c r="DD63" i="50"/>
  <c r="DG63" i="50" s="1"/>
  <c r="DC63" i="50"/>
  <c r="DF63" i="50" s="1"/>
  <c r="DB63" i="50"/>
  <c r="DE63" i="50" s="1"/>
  <c r="BV63" i="50"/>
  <c r="BU63" i="50"/>
  <c r="BT63" i="50"/>
  <c r="BS63" i="50"/>
  <c r="BR63" i="50"/>
  <c r="BQ63" i="50"/>
  <c r="M63" i="50"/>
  <c r="L63" i="50"/>
  <c r="K63" i="50"/>
  <c r="DJ62" i="50"/>
  <c r="DI62" i="50"/>
  <c r="DH62" i="50"/>
  <c r="DD62" i="50"/>
  <c r="DG62" i="50" s="1"/>
  <c r="DC62" i="50"/>
  <c r="DF62" i="50" s="1"/>
  <c r="DB62" i="50"/>
  <c r="DE62" i="50" s="1"/>
  <c r="BV62" i="50"/>
  <c r="BU62" i="50"/>
  <c r="BT62" i="50"/>
  <c r="BS62" i="50"/>
  <c r="BR62" i="50"/>
  <c r="BQ62" i="50"/>
  <c r="M62" i="50"/>
  <c r="L62" i="50"/>
  <c r="K62" i="50"/>
  <c r="DJ61" i="50"/>
  <c r="DI61" i="50"/>
  <c r="DH61" i="50"/>
  <c r="DD61" i="50"/>
  <c r="DG61" i="50" s="1"/>
  <c r="DC61" i="50"/>
  <c r="DF61" i="50" s="1"/>
  <c r="DB61" i="50"/>
  <c r="DE61" i="50" s="1"/>
  <c r="BV61" i="50"/>
  <c r="BU61" i="50"/>
  <c r="BT61" i="50"/>
  <c r="BS61" i="50"/>
  <c r="BR61" i="50"/>
  <c r="BQ61" i="50"/>
  <c r="M61" i="50"/>
  <c r="L61" i="50"/>
  <c r="K61" i="50"/>
  <c r="DJ60" i="50"/>
  <c r="DI60" i="50"/>
  <c r="DH60" i="50"/>
  <c r="DD60" i="50"/>
  <c r="DG60" i="50" s="1"/>
  <c r="DC60" i="50"/>
  <c r="DF60" i="50" s="1"/>
  <c r="DB60" i="50"/>
  <c r="DE60" i="50" s="1"/>
  <c r="BV60" i="50"/>
  <c r="BU60" i="50"/>
  <c r="BT60" i="50"/>
  <c r="BS60" i="50"/>
  <c r="BR60" i="50"/>
  <c r="BQ60" i="50"/>
  <c r="M60" i="50"/>
  <c r="L60" i="50"/>
  <c r="K60" i="50"/>
  <c r="DJ59" i="50"/>
  <c r="DI59" i="50"/>
  <c r="DH59" i="50"/>
  <c r="DD59" i="50"/>
  <c r="DG59" i="50" s="1"/>
  <c r="DC59" i="50"/>
  <c r="DF59" i="50" s="1"/>
  <c r="DB59" i="50"/>
  <c r="DE59" i="50" s="1"/>
  <c r="BV59" i="50"/>
  <c r="BU59" i="50"/>
  <c r="BT59" i="50"/>
  <c r="BS59" i="50"/>
  <c r="BR59" i="50"/>
  <c r="BQ59" i="50"/>
  <c r="M59" i="50"/>
  <c r="L59" i="50"/>
  <c r="K59" i="50"/>
  <c r="DJ58" i="50"/>
  <c r="DI58" i="50"/>
  <c r="DH58" i="50"/>
  <c r="DD58" i="50"/>
  <c r="DG58" i="50" s="1"/>
  <c r="DC58" i="50"/>
  <c r="DF58" i="50" s="1"/>
  <c r="DB58" i="50"/>
  <c r="DE58" i="50" s="1"/>
  <c r="BV58" i="50"/>
  <c r="BU58" i="50"/>
  <c r="BT58" i="50"/>
  <c r="BS58" i="50"/>
  <c r="BR58" i="50"/>
  <c r="BQ58" i="50"/>
  <c r="M58" i="50"/>
  <c r="L58" i="50"/>
  <c r="K58" i="50"/>
  <c r="DJ57" i="50"/>
  <c r="DI57" i="50"/>
  <c r="DH57" i="50"/>
  <c r="DG57" i="50"/>
  <c r="DD57" i="50"/>
  <c r="DC57" i="50"/>
  <c r="DF57" i="50" s="1"/>
  <c r="DB57" i="50"/>
  <c r="DE57" i="50" s="1"/>
  <c r="BV57" i="50"/>
  <c r="BU57" i="50"/>
  <c r="BT57" i="50"/>
  <c r="BS57" i="50"/>
  <c r="BR57" i="50"/>
  <c r="BQ57" i="50"/>
  <c r="M57" i="50"/>
  <c r="L57" i="50"/>
  <c r="K57" i="50"/>
  <c r="DJ56" i="50"/>
  <c r="DI56" i="50"/>
  <c r="DH56" i="50"/>
  <c r="DD56" i="50"/>
  <c r="DG56" i="50" s="1"/>
  <c r="DC56" i="50"/>
  <c r="DF56" i="50" s="1"/>
  <c r="DB56" i="50"/>
  <c r="DE56" i="50" s="1"/>
  <c r="BV56" i="50"/>
  <c r="BU56" i="50"/>
  <c r="BT56" i="50"/>
  <c r="BS56" i="50"/>
  <c r="BR56" i="50"/>
  <c r="BQ56" i="50"/>
  <c r="M56" i="50"/>
  <c r="L56" i="50"/>
  <c r="K56" i="50"/>
  <c r="DJ55" i="50"/>
  <c r="DI55" i="50"/>
  <c r="DH55" i="50"/>
  <c r="DD55" i="50"/>
  <c r="DG55" i="50" s="1"/>
  <c r="DC55" i="50"/>
  <c r="DF55" i="50" s="1"/>
  <c r="DB55" i="50"/>
  <c r="DE55" i="50" s="1"/>
  <c r="BV55" i="50"/>
  <c r="BU55" i="50"/>
  <c r="BT55" i="50"/>
  <c r="BS55" i="50"/>
  <c r="BR55" i="50"/>
  <c r="BQ55" i="50"/>
  <c r="M55" i="50"/>
  <c r="L55" i="50"/>
  <c r="K55" i="50"/>
  <c r="DJ54" i="50"/>
  <c r="DI54" i="50"/>
  <c r="DH54" i="50"/>
  <c r="DD54" i="50"/>
  <c r="DG54" i="50" s="1"/>
  <c r="DC54" i="50"/>
  <c r="DF54" i="50" s="1"/>
  <c r="DB54" i="50"/>
  <c r="DE54" i="50" s="1"/>
  <c r="BV54" i="50"/>
  <c r="BU54" i="50"/>
  <c r="BT54" i="50"/>
  <c r="BS54" i="50"/>
  <c r="BR54" i="50"/>
  <c r="BQ54" i="50"/>
  <c r="M54" i="50"/>
  <c r="L54" i="50"/>
  <c r="K54" i="50"/>
  <c r="DJ53" i="50"/>
  <c r="DI53" i="50"/>
  <c r="DH53" i="50"/>
  <c r="DD53" i="50"/>
  <c r="DG53" i="50" s="1"/>
  <c r="DC53" i="50"/>
  <c r="DF53" i="50" s="1"/>
  <c r="DB53" i="50"/>
  <c r="DE53" i="50" s="1"/>
  <c r="BV53" i="50"/>
  <c r="BU53" i="50"/>
  <c r="BT53" i="50"/>
  <c r="BS53" i="50"/>
  <c r="BR53" i="50"/>
  <c r="BQ53" i="50"/>
  <c r="M53" i="50"/>
  <c r="L53" i="50"/>
  <c r="K53" i="50"/>
  <c r="DJ52" i="50"/>
  <c r="DI52" i="50"/>
  <c r="DH52" i="50"/>
  <c r="DE52" i="50"/>
  <c r="DD52" i="50"/>
  <c r="DG52" i="50" s="1"/>
  <c r="DC52" i="50"/>
  <c r="DF52" i="50" s="1"/>
  <c r="DB52" i="50"/>
  <c r="BV52" i="50"/>
  <c r="BU52" i="50"/>
  <c r="BT52" i="50"/>
  <c r="BS52" i="50"/>
  <c r="BR52" i="50"/>
  <c r="BQ52" i="50"/>
  <c r="M52" i="50"/>
  <c r="L52" i="50"/>
  <c r="K52" i="50"/>
  <c r="DJ51" i="50"/>
  <c r="DI51" i="50"/>
  <c r="DH51" i="50"/>
  <c r="DG51" i="50"/>
  <c r="DE51" i="50"/>
  <c r="DD51" i="50"/>
  <c r="DC51" i="50"/>
  <c r="DF51" i="50" s="1"/>
  <c r="DB51" i="50"/>
  <c r="BV51" i="50"/>
  <c r="BU51" i="50"/>
  <c r="BT51" i="50"/>
  <c r="BS51" i="50"/>
  <c r="BR51" i="50"/>
  <c r="BQ51" i="50"/>
  <c r="M51" i="50"/>
  <c r="L51" i="50"/>
  <c r="K51" i="50"/>
  <c r="DJ50" i="50"/>
  <c r="DI50" i="50"/>
  <c r="DH50" i="50"/>
  <c r="DE50" i="50"/>
  <c r="DD50" i="50"/>
  <c r="DG50" i="50" s="1"/>
  <c r="DC50" i="50"/>
  <c r="DF50" i="50" s="1"/>
  <c r="DB50" i="50"/>
  <c r="BV50" i="50"/>
  <c r="BU50" i="50"/>
  <c r="BT50" i="50"/>
  <c r="BS50" i="50"/>
  <c r="BR50" i="50"/>
  <c r="BQ50" i="50"/>
  <c r="M50" i="50"/>
  <c r="L50" i="50"/>
  <c r="K50" i="50"/>
  <c r="DJ49" i="50"/>
  <c r="DI49" i="50"/>
  <c r="DH49" i="50"/>
  <c r="DD49" i="50"/>
  <c r="DG49" i="50" s="1"/>
  <c r="DC49" i="50"/>
  <c r="DF49" i="50" s="1"/>
  <c r="DB49" i="50"/>
  <c r="DE49" i="50" s="1"/>
  <c r="BV49" i="50"/>
  <c r="BU49" i="50"/>
  <c r="BT49" i="50"/>
  <c r="BS49" i="50"/>
  <c r="BR49" i="50"/>
  <c r="BQ49" i="50"/>
  <c r="M49" i="50"/>
  <c r="L49" i="50"/>
  <c r="K49" i="50"/>
  <c r="DJ48" i="50"/>
  <c r="DI48" i="50"/>
  <c r="DH48" i="50"/>
  <c r="DD48" i="50"/>
  <c r="DG48" i="50" s="1"/>
  <c r="DC48" i="50"/>
  <c r="DF48" i="50" s="1"/>
  <c r="DB48" i="50"/>
  <c r="DE48" i="50" s="1"/>
  <c r="BV48" i="50"/>
  <c r="BU48" i="50"/>
  <c r="BT48" i="50"/>
  <c r="BS48" i="50"/>
  <c r="BR48" i="50"/>
  <c r="BQ48" i="50"/>
  <c r="M48" i="50"/>
  <c r="L48" i="50"/>
  <c r="K48" i="50"/>
  <c r="DJ47" i="50"/>
  <c r="DI47" i="50"/>
  <c r="DH47" i="50"/>
  <c r="DD47" i="50"/>
  <c r="DG47" i="50" s="1"/>
  <c r="DC47" i="50"/>
  <c r="DF47" i="50" s="1"/>
  <c r="DB47" i="50"/>
  <c r="DE47" i="50" s="1"/>
  <c r="BV47" i="50"/>
  <c r="BU47" i="50"/>
  <c r="BT47" i="50"/>
  <c r="BS47" i="50"/>
  <c r="BR47" i="50"/>
  <c r="BQ47" i="50"/>
  <c r="M47" i="50"/>
  <c r="L47" i="50"/>
  <c r="K47" i="50"/>
  <c r="DJ46" i="50"/>
  <c r="DI46" i="50"/>
  <c r="DH46" i="50"/>
  <c r="DD46" i="50"/>
  <c r="DG46" i="50" s="1"/>
  <c r="DC46" i="50"/>
  <c r="DF46" i="50" s="1"/>
  <c r="DB46" i="50"/>
  <c r="DE46" i="50" s="1"/>
  <c r="BV46" i="50"/>
  <c r="BU46" i="50"/>
  <c r="BT46" i="50"/>
  <c r="BS46" i="50"/>
  <c r="BR46" i="50"/>
  <c r="BQ46" i="50"/>
  <c r="M46" i="50"/>
  <c r="L46" i="50"/>
  <c r="K46" i="50"/>
  <c r="DJ45" i="50"/>
  <c r="DI45" i="50"/>
  <c r="DH45" i="50"/>
  <c r="DD45" i="50"/>
  <c r="DG45" i="50" s="1"/>
  <c r="DC45" i="50"/>
  <c r="DF45" i="50" s="1"/>
  <c r="DB45" i="50"/>
  <c r="DE45" i="50" s="1"/>
  <c r="BV45" i="50"/>
  <c r="BU45" i="50"/>
  <c r="BT45" i="50"/>
  <c r="BS45" i="50"/>
  <c r="BR45" i="50"/>
  <c r="BQ45" i="50"/>
  <c r="M45" i="50"/>
  <c r="L45" i="50"/>
  <c r="K45" i="50"/>
  <c r="DJ44" i="50"/>
  <c r="DI44" i="50"/>
  <c r="DH44" i="50"/>
  <c r="DD44" i="50"/>
  <c r="DG44" i="50" s="1"/>
  <c r="DC44" i="50"/>
  <c r="DF44" i="50" s="1"/>
  <c r="DB44" i="50"/>
  <c r="DE44" i="50" s="1"/>
  <c r="BV44" i="50"/>
  <c r="BU44" i="50"/>
  <c r="BT44" i="50"/>
  <c r="BS44" i="50"/>
  <c r="BR44" i="50"/>
  <c r="BQ44" i="50"/>
  <c r="M44" i="50"/>
  <c r="L44" i="50"/>
  <c r="K44" i="50"/>
  <c r="DJ43" i="50"/>
  <c r="DI43" i="50"/>
  <c r="DH43" i="50"/>
  <c r="DF43" i="50"/>
  <c r="DD43" i="50"/>
  <c r="DG43" i="50" s="1"/>
  <c r="DC43" i="50"/>
  <c r="DB43" i="50"/>
  <c r="DE43" i="50" s="1"/>
  <c r="BV43" i="50"/>
  <c r="BU43" i="50"/>
  <c r="BT43" i="50"/>
  <c r="BS43" i="50"/>
  <c r="BR43" i="50"/>
  <c r="BQ43" i="50"/>
  <c r="M43" i="50"/>
  <c r="L43" i="50"/>
  <c r="K43" i="50"/>
  <c r="DJ42" i="50"/>
  <c r="DI42" i="50"/>
  <c r="DH42" i="50"/>
  <c r="DE42" i="50"/>
  <c r="DD42" i="50"/>
  <c r="DG42" i="50" s="1"/>
  <c r="DC42" i="50"/>
  <c r="DF42" i="50" s="1"/>
  <c r="DB42" i="50"/>
  <c r="BV42" i="50"/>
  <c r="BU42" i="50"/>
  <c r="BT42" i="50"/>
  <c r="BS42" i="50"/>
  <c r="BR42" i="50"/>
  <c r="BQ42" i="50"/>
  <c r="M42" i="50"/>
  <c r="L42" i="50"/>
  <c r="K42" i="50"/>
  <c r="DJ41" i="50"/>
  <c r="DI41" i="50"/>
  <c r="DH41" i="50"/>
  <c r="DG41" i="50"/>
  <c r="DD41" i="50"/>
  <c r="DC41" i="50"/>
  <c r="DF41" i="50" s="1"/>
  <c r="DB41" i="50"/>
  <c r="DE41" i="50" s="1"/>
  <c r="BV41" i="50"/>
  <c r="BU41" i="50"/>
  <c r="BT41" i="50"/>
  <c r="BS41" i="50"/>
  <c r="BR41" i="50"/>
  <c r="BQ41" i="50"/>
  <c r="M41" i="50"/>
  <c r="L41" i="50"/>
  <c r="K41" i="50"/>
  <c r="DJ40" i="50"/>
  <c r="DI40" i="50"/>
  <c r="DH40" i="50"/>
  <c r="DD40" i="50"/>
  <c r="DG40" i="50" s="1"/>
  <c r="DC40" i="50"/>
  <c r="DF40" i="50" s="1"/>
  <c r="DB40" i="50"/>
  <c r="DE40" i="50" s="1"/>
  <c r="BV40" i="50"/>
  <c r="BU40" i="50"/>
  <c r="BT40" i="50"/>
  <c r="BS40" i="50"/>
  <c r="BR40" i="50"/>
  <c r="BQ40" i="50"/>
  <c r="M40" i="50"/>
  <c r="L40" i="50"/>
  <c r="K40" i="50"/>
  <c r="DJ39" i="50"/>
  <c r="DI39" i="50"/>
  <c r="DH39" i="50"/>
  <c r="DD39" i="50"/>
  <c r="DG39" i="50" s="1"/>
  <c r="DC39" i="50"/>
  <c r="DF39" i="50" s="1"/>
  <c r="DB39" i="50"/>
  <c r="DE39" i="50" s="1"/>
  <c r="BV39" i="50"/>
  <c r="BU39" i="50"/>
  <c r="BT39" i="50"/>
  <c r="BS39" i="50"/>
  <c r="BR39" i="50"/>
  <c r="BQ39" i="50"/>
  <c r="M39" i="50"/>
  <c r="L39" i="50"/>
  <c r="K39" i="50"/>
  <c r="DJ38" i="50"/>
  <c r="DI38" i="50"/>
  <c r="DH38" i="50"/>
  <c r="DD38" i="50"/>
  <c r="DG38" i="50" s="1"/>
  <c r="DC38" i="50"/>
  <c r="DF38" i="50" s="1"/>
  <c r="DB38" i="50"/>
  <c r="DE38" i="50" s="1"/>
  <c r="BV38" i="50"/>
  <c r="BU38" i="50"/>
  <c r="BT38" i="50"/>
  <c r="BS38" i="50"/>
  <c r="BR38" i="50"/>
  <c r="BQ38" i="50"/>
  <c r="M38" i="50"/>
  <c r="L38" i="50"/>
  <c r="K38" i="50"/>
  <c r="DJ37" i="50"/>
  <c r="DI37" i="50"/>
  <c r="DH37" i="50"/>
  <c r="DD37" i="50"/>
  <c r="DG37" i="50" s="1"/>
  <c r="DC37" i="50"/>
  <c r="DF37" i="50" s="1"/>
  <c r="DB37" i="50"/>
  <c r="DE37" i="50" s="1"/>
  <c r="BV37" i="50"/>
  <c r="BU37" i="50"/>
  <c r="BT37" i="50"/>
  <c r="BS37" i="50"/>
  <c r="BR37" i="50"/>
  <c r="BQ37" i="50"/>
  <c r="M37" i="50"/>
  <c r="L37" i="50"/>
  <c r="K37" i="50"/>
  <c r="DJ36" i="50"/>
  <c r="DI36" i="50"/>
  <c r="DH36" i="50"/>
  <c r="DD36" i="50"/>
  <c r="DG36" i="50" s="1"/>
  <c r="DC36" i="50"/>
  <c r="DF36" i="50" s="1"/>
  <c r="DB36" i="50"/>
  <c r="DE36" i="50" s="1"/>
  <c r="BV36" i="50"/>
  <c r="BU36" i="50"/>
  <c r="BT36" i="50"/>
  <c r="BS36" i="50"/>
  <c r="BR36" i="50"/>
  <c r="BQ36" i="50"/>
  <c r="M36" i="50"/>
  <c r="L36" i="50"/>
  <c r="K36" i="50"/>
  <c r="DJ35" i="50"/>
  <c r="DI35" i="50"/>
  <c r="DH35" i="50"/>
  <c r="DD35" i="50"/>
  <c r="DG35" i="50" s="1"/>
  <c r="DC35" i="50"/>
  <c r="DF35" i="50" s="1"/>
  <c r="DB35" i="50"/>
  <c r="DE35" i="50" s="1"/>
  <c r="BV35" i="50"/>
  <c r="BU35" i="50"/>
  <c r="BT35" i="50"/>
  <c r="BS35" i="50"/>
  <c r="BR35" i="50"/>
  <c r="BQ35" i="50"/>
  <c r="M35" i="50"/>
  <c r="L35" i="50"/>
  <c r="K35" i="50"/>
  <c r="DJ34" i="50"/>
  <c r="DI34" i="50"/>
  <c r="DH34" i="50"/>
  <c r="DD34" i="50"/>
  <c r="DG34" i="50" s="1"/>
  <c r="DC34" i="50"/>
  <c r="DF34" i="50" s="1"/>
  <c r="DB34" i="50"/>
  <c r="DE34" i="50" s="1"/>
  <c r="BV34" i="50"/>
  <c r="BU34" i="50"/>
  <c r="BT34" i="50"/>
  <c r="BS34" i="50"/>
  <c r="BR34" i="50"/>
  <c r="BQ34" i="50"/>
  <c r="M34" i="50"/>
  <c r="L34" i="50"/>
  <c r="K34" i="50"/>
  <c r="DJ33" i="50"/>
  <c r="DI33" i="50"/>
  <c r="DH33" i="50"/>
  <c r="DD33" i="50"/>
  <c r="DG33" i="50" s="1"/>
  <c r="DC33" i="50"/>
  <c r="DF33" i="50" s="1"/>
  <c r="DB33" i="50"/>
  <c r="DE33" i="50" s="1"/>
  <c r="BV33" i="50"/>
  <c r="BU33" i="50"/>
  <c r="BT33" i="50"/>
  <c r="BS33" i="50"/>
  <c r="BR33" i="50"/>
  <c r="BQ33" i="50"/>
  <c r="M33" i="50"/>
  <c r="L33" i="50"/>
  <c r="K33" i="50"/>
  <c r="DJ32" i="50"/>
  <c r="DI32" i="50"/>
  <c r="DH32" i="50"/>
  <c r="DE32" i="50"/>
  <c r="DD32" i="50"/>
  <c r="DG32" i="50" s="1"/>
  <c r="DC32" i="50"/>
  <c r="DF32" i="50" s="1"/>
  <c r="DB32" i="50"/>
  <c r="BV32" i="50"/>
  <c r="BU32" i="50"/>
  <c r="BT32" i="50"/>
  <c r="BS32" i="50"/>
  <c r="BR32" i="50"/>
  <c r="BQ32" i="50"/>
  <c r="M32" i="50"/>
  <c r="L32" i="50"/>
  <c r="K32" i="50"/>
  <c r="DJ31" i="50"/>
  <c r="DI31" i="50"/>
  <c r="DH31" i="50"/>
  <c r="DG31" i="50"/>
  <c r="DD31" i="50"/>
  <c r="DC31" i="50"/>
  <c r="DF31" i="50" s="1"/>
  <c r="DB31" i="50"/>
  <c r="DE31" i="50" s="1"/>
  <c r="BV31" i="50"/>
  <c r="BU31" i="50"/>
  <c r="BT31" i="50"/>
  <c r="BS31" i="50"/>
  <c r="BR31" i="50"/>
  <c r="BQ31" i="50"/>
  <c r="M31" i="50"/>
  <c r="L31" i="50"/>
  <c r="K31" i="50"/>
  <c r="DJ30" i="50"/>
  <c r="DI30" i="50"/>
  <c r="DH30" i="50"/>
  <c r="DD30" i="50"/>
  <c r="DG30" i="50" s="1"/>
  <c r="DC30" i="50"/>
  <c r="DF30" i="50" s="1"/>
  <c r="DB30" i="50"/>
  <c r="DE30" i="50" s="1"/>
  <c r="BV30" i="50"/>
  <c r="BU30" i="50"/>
  <c r="BT30" i="50"/>
  <c r="BS30" i="50"/>
  <c r="BR30" i="50"/>
  <c r="BQ30" i="50"/>
  <c r="M30" i="50"/>
  <c r="L30" i="50"/>
  <c r="K30" i="50"/>
  <c r="DJ29" i="50"/>
  <c r="DI29" i="50"/>
  <c r="DH29" i="50"/>
  <c r="DD29" i="50"/>
  <c r="DG29" i="50" s="1"/>
  <c r="DC29" i="50"/>
  <c r="DF29" i="50" s="1"/>
  <c r="DB29" i="50"/>
  <c r="DE29" i="50" s="1"/>
  <c r="BV29" i="50"/>
  <c r="BU29" i="50"/>
  <c r="BT29" i="50"/>
  <c r="BS29" i="50"/>
  <c r="BR29" i="50"/>
  <c r="BQ29" i="50"/>
  <c r="M29" i="50"/>
  <c r="L29" i="50"/>
  <c r="K29" i="50"/>
  <c r="DJ28" i="50"/>
  <c r="DI28" i="50"/>
  <c r="DH28" i="50"/>
  <c r="DD28" i="50"/>
  <c r="DG28" i="50" s="1"/>
  <c r="DC28" i="50"/>
  <c r="DF28" i="50" s="1"/>
  <c r="DB28" i="50"/>
  <c r="DE28" i="50" s="1"/>
  <c r="BV28" i="50"/>
  <c r="BU28" i="50"/>
  <c r="BT28" i="50"/>
  <c r="BS28" i="50"/>
  <c r="BR28" i="50"/>
  <c r="BQ28" i="50"/>
  <c r="M28" i="50"/>
  <c r="L28" i="50"/>
  <c r="K28" i="50"/>
  <c r="DJ27" i="50"/>
  <c r="DI27" i="50"/>
  <c r="DH27" i="50"/>
  <c r="DF27" i="50"/>
  <c r="DD27" i="50"/>
  <c r="DG27" i="50" s="1"/>
  <c r="DC27" i="50"/>
  <c r="DB27" i="50"/>
  <c r="DE27" i="50" s="1"/>
  <c r="BV27" i="50"/>
  <c r="BU27" i="50"/>
  <c r="BT27" i="50"/>
  <c r="BS27" i="50"/>
  <c r="BR27" i="50"/>
  <c r="BQ27" i="50"/>
  <c r="M27" i="50"/>
  <c r="L27" i="50"/>
  <c r="K27" i="50"/>
  <c r="DJ26" i="50"/>
  <c r="DI26" i="50"/>
  <c r="DH26" i="50"/>
  <c r="DG26" i="50"/>
  <c r="DD26" i="50"/>
  <c r="DC26" i="50"/>
  <c r="DF26" i="50" s="1"/>
  <c r="DB26" i="50"/>
  <c r="DE26" i="50" s="1"/>
  <c r="BV26" i="50"/>
  <c r="BU26" i="50"/>
  <c r="BT26" i="50"/>
  <c r="BS26" i="50"/>
  <c r="BR26" i="50"/>
  <c r="BQ26" i="50"/>
  <c r="M26" i="50"/>
  <c r="L26" i="50"/>
  <c r="K26" i="50"/>
  <c r="DJ25" i="50"/>
  <c r="DI25" i="50"/>
  <c r="DH25" i="50"/>
  <c r="DG25" i="50"/>
  <c r="DD25" i="50"/>
  <c r="DC25" i="50"/>
  <c r="DF25" i="50" s="1"/>
  <c r="DB25" i="50"/>
  <c r="DE25" i="50" s="1"/>
  <c r="BV25" i="50"/>
  <c r="BU25" i="50"/>
  <c r="BT25" i="50"/>
  <c r="BS25" i="50"/>
  <c r="BR25" i="50"/>
  <c r="BQ25" i="50"/>
  <c r="M25" i="50"/>
  <c r="L25" i="50"/>
  <c r="K25" i="50"/>
  <c r="DJ24" i="50"/>
  <c r="DI24" i="50"/>
  <c r="DH24" i="50"/>
  <c r="DD24" i="50"/>
  <c r="DG24" i="50" s="1"/>
  <c r="DC24" i="50"/>
  <c r="DF24" i="50" s="1"/>
  <c r="DB24" i="50"/>
  <c r="DE24" i="50" s="1"/>
  <c r="BV24" i="50"/>
  <c r="BU24" i="50"/>
  <c r="BT24" i="50"/>
  <c r="BS24" i="50"/>
  <c r="BR24" i="50"/>
  <c r="BQ24" i="50"/>
  <c r="M24" i="50"/>
  <c r="L24" i="50"/>
  <c r="K24" i="50"/>
  <c r="DJ23" i="50"/>
  <c r="DI23" i="50"/>
  <c r="DH23" i="50"/>
  <c r="DD23" i="50"/>
  <c r="DG23" i="50" s="1"/>
  <c r="DC23" i="50"/>
  <c r="DF23" i="50" s="1"/>
  <c r="DB23" i="50"/>
  <c r="DE23" i="50" s="1"/>
  <c r="BV23" i="50"/>
  <c r="BU23" i="50"/>
  <c r="BT23" i="50"/>
  <c r="BS23" i="50"/>
  <c r="BR23" i="50"/>
  <c r="BQ23" i="50"/>
  <c r="M23" i="50"/>
  <c r="L23" i="50"/>
  <c r="K23" i="50"/>
  <c r="DJ22" i="50"/>
  <c r="DI22" i="50"/>
  <c r="DH22" i="50"/>
  <c r="DD22" i="50"/>
  <c r="DG22" i="50" s="1"/>
  <c r="DC22" i="50"/>
  <c r="DF22" i="50" s="1"/>
  <c r="DB22" i="50"/>
  <c r="DE22" i="50" s="1"/>
  <c r="BV22" i="50"/>
  <c r="BU22" i="50"/>
  <c r="BT22" i="50"/>
  <c r="BS22" i="50"/>
  <c r="BR22" i="50"/>
  <c r="BQ22" i="50"/>
  <c r="M22" i="50"/>
  <c r="L22" i="50"/>
  <c r="K22" i="50"/>
  <c r="DJ21" i="50"/>
  <c r="DI21" i="50"/>
  <c r="DH21" i="50"/>
  <c r="DD21" i="50"/>
  <c r="DG21" i="50" s="1"/>
  <c r="DC21" i="50"/>
  <c r="DF21" i="50" s="1"/>
  <c r="DB21" i="50"/>
  <c r="DE21" i="50" s="1"/>
  <c r="BV21" i="50"/>
  <c r="BU21" i="50"/>
  <c r="BT21" i="50"/>
  <c r="BS21" i="50"/>
  <c r="BR21" i="50"/>
  <c r="BQ21" i="50"/>
  <c r="M21" i="50"/>
  <c r="L21" i="50"/>
  <c r="K21" i="50"/>
  <c r="DJ20" i="50"/>
  <c r="DI20" i="50"/>
  <c r="DH20" i="50"/>
  <c r="DD20" i="50"/>
  <c r="DG20" i="50" s="1"/>
  <c r="DC20" i="50"/>
  <c r="DF20" i="50" s="1"/>
  <c r="DB20" i="50"/>
  <c r="DE20" i="50" s="1"/>
  <c r="BV20" i="50"/>
  <c r="BU20" i="50"/>
  <c r="BT20" i="50"/>
  <c r="BS20" i="50"/>
  <c r="BR20" i="50"/>
  <c r="BQ20" i="50"/>
  <c r="M20" i="50"/>
  <c r="L20" i="50"/>
  <c r="K20" i="50"/>
  <c r="DJ19" i="50"/>
  <c r="DI19" i="50"/>
  <c r="DH19" i="50"/>
  <c r="DF19" i="50"/>
  <c r="DE19" i="50"/>
  <c r="DD19" i="50"/>
  <c r="DG19" i="50" s="1"/>
  <c r="DC19" i="50"/>
  <c r="DB19" i="50"/>
  <c r="BV19" i="50"/>
  <c r="BU19" i="50"/>
  <c r="BT19" i="50"/>
  <c r="BS19" i="50"/>
  <c r="BR19" i="50"/>
  <c r="BQ19" i="50"/>
  <c r="M19" i="50"/>
  <c r="L19" i="50"/>
  <c r="K19" i="50"/>
  <c r="DJ18" i="50"/>
  <c r="DI18" i="50"/>
  <c r="DH18" i="50"/>
  <c r="DE18" i="50"/>
  <c r="DD18" i="50"/>
  <c r="DG18" i="50" s="1"/>
  <c r="DC18" i="50"/>
  <c r="DF18" i="50" s="1"/>
  <c r="DB18" i="50"/>
  <c r="BV18" i="50"/>
  <c r="BU18" i="50"/>
  <c r="BT18" i="50"/>
  <c r="BS18" i="50"/>
  <c r="BR18" i="50"/>
  <c r="BQ18" i="50"/>
  <c r="M18" i="50"/>
  <c r="L18" i="50"/>
  <c r="K18" i="50"/>
  <c r="DJ17" i="50"/>
  <c r="DI17" i="50"/>
  <c r="DH17" i="50"/>
  <c r="DD17" i="50"/>
  <c r="DG17" i="50" s="1"/>
  <c r="DC17" i="50"/>
  <c r="DF17" i="50" s="1"/>
  <c r="DB17" i="50"/>
  <c r="DE17" i="50" s="1"/>
  <c r="BV17" i="50"/>
  <c r="BU17" i="50"/>
  <c r="BT17" i="50"/>
  <c r="BS17" i="50"/>
  <c r="BR17" i="50"/>
  <c r="BQ17" i="50"/>
  <c r="M17" i="50"/>
  <c r="L17" i="50"/>
  <c r="K17" i="50"/>
  <c r="DJ16" i="50"/>
  <c r="DI16" i="50"/>
  <c r="DH16" i="50"/>
  <c r="DE16" i="50"/>
  <c r="DD16" i="50"/>
  <c r="DG16" i="50" s="1"/>
  <c r="DC16" i="50"/>
  <c r="DF16" i="50" s="1"/>
  <c r="DB16" i="50"/>
  <c r="BV16" i="50"/>
  <c r="BU16" i="50"/>
  <c r="BT16" i="50"/>
  <c r="BS16" i="50"/>
  <c r="BR16" i="50"/>
  <c r="BQ16" i="50"/>
  <c r="M16" i="50"/>
  <c r="L16" i="50"/>
  <c r="K16" i="50"/>
  <c r="DJ15" i="50"/>
  <c r="DI15" i="50"/>
  <c r="DH15" i="50"/>
  <c r="DD15" i="50"/>
  <c r="DG15" i="50" s="1"/>
  <c r="DC15" i="50"/>
  <c r="DF15" i="50" s="1"/>
  <c r="DB15" i="50"/>
  <c r="DE15" i="50" s="1"/>
  <c r="BV15" i="50"/>
  <c r="BU15" i="50"/>
  <c r="BT15" i="50"/>
  <c r="BS15" i="50"/>
  <c r="BR15" i="50"/>
  <c r="BQ15" i="50"/>
  <c r="M15" i="50"/>
  <c r="L15" i="50"/>
  <c r="K15" i="50"/>
  <c r="DJ14" i="50"/>
  <c r="DI14" i="50"/>
  <c r="DH14" i="50"/>
  <c r="DD14" i="50"/>
  <c r="DG14" i="50" s="1"/>
  <c r="DC14" i="50"/>
  <c r="DF14" i="50" s="1"/>
  <c r="DB14" i="50"/>
  <c r="DE14" i="50" s="1"/>
  <c r="BV14" i="50"/>
  <c r="BU14" i="50"/>
  <c r="BT14" i="50"/>
  <c r="BS14" i="50"/>
  <c r="BR14" i="50"/>
  <c r="BQ14" i="50"/>
  <c r="M14" i="50"/>
  <c r="L14" i="50"/>
  <c r="K14" i="50"/>
  <c r="DJ13" i="50"/>
  <c r="DI13" i="50"/>
  <c r="DH13" i="50"/>
  <c r="DD13" i="50"/>
  <c r="DG13" i="50" s="1"/>
  <c r="DC13" i="50"/>
  <c r="DF13" i="50" s="1"/>
  <c r="DB13" i="50"/>
  <c r="DE13" i="50" s="1"/>
  <c r="BV13" i="50"/>
  <c r="BU13" i="50"/>
  <c r="BT13" i="50"/>
  <c r="BS13" i="50"/>
  <c r="BR13" i="50"/>
  <c r="BQ13" i="50"/>
  <c r="M13" i="50"/>
  <c r="L13" i="50"/>
  <c r="K13" i="50"/>
  <c r="DJ12" i="50"/>
  <c r="DI12" i="50"/>
  <c r="DH12" i="50"/>
  <c r="DD12" i="50"/>
  <c r="DG12" i="50" s="1"/>
  <c r="DC12" i="50"/>
  <c r="DF12" i="50" s="1"/>
  <c r="DB12" i="50"/>
  <c r="DE12" i="50" s="1"/>
  <c r="BV12" i="50"/>
  <c r="BU12" i="50"/>
  <c r="BT12" i="50"/>
  <c r="BS12" i="50"/>
  <c r="BR12" i="50"/>
  <c r="BQ12" i="50"/>
  <c r="M12" i="50"/>
  <c r="L12" i="50"/>
  <c r="K12" i="50"/>
  <c r="DJ11" i="50"/>
  <c r="DI11" i="50"/>
  <c r="DH11" i="50"/>
  <c r="DD11" i="50"/>
  <c r="DG11" i="50" s="1"/>
  <c r="DC11" i="50"/>
  <c r="DF11" i="50" s="1"/>
  <c r="DB11" i="50"/>
  <c r="DE11" i="50" s="1"/>
  <c r="BV11" i="50"/>
  <c r="BU11" i="50"/>
  <c r="BT11" i="50"/>
  <c r="BS11" i="50"/>
  <c r="BR11" i="50"/>
  <c r="BQ11" i="50"/>
  <c r="M11" i="50"/>
  <c r="L11" i="50"/>
  <c r="K11" i="50"/>
  <c r="DJ10" i="50"/>
  <c r="DI10" i="50"/>
  <c r="DH10" i="50"/>
  <c r="DD10" i="50"/>
  <c r="DG10" i="50" s="1"/>
  <c r="DC10" i="50"/>
  <c r="DF10" i="50" s="1"/>
  <c r="DB10" i="50"/>
  <c r="DE10" i="50" s="1"/>
  <c r="BV10" i="50"/>
  <c r="BU10" i="50"/>
  <c r="BT10" i="50"/>
  <c r="BS10" i="50"/>
  <c r="BR10" i="50"/>
  <c r="BQ10" i="50"/>
  <c r="M10" i="50"/>
  <c r="L10" i="50"/>
  <c r="K10" i="50"/>
  <c r="DJ9" i="50"/>
  <c r="DI9" i="50"/>
  <c r="DH9" i="50"/>
  <c r="DG9" i="50"/>
  <c r="DD9" i="50"/>
  <c r="DC9" i="50"/>
  <c r="DF9" i="50" s="1"/>
  <c r="DB9" i="50"/>
  <c r="DE9" i="50" s="1"/>
  <c r="BV9" i="50"/>
  <c r="BU9" i="50"/>
  <c r="BT9" i="50"/>
  <c r="BS9" i="50"/>
  <c r="BR9" i="50"/>
  <c r="BQ9" i="50"/>
  <c r="M9" i="50"/>
  <c r="L9" i="50"/>
  <c r="K9" i="50"/>
  <c r="DJ8" i="50"/>
  <c r="DI8" i="50"/>
  <c r="DH8" i="50"/>
  <c r="DE8" i="50"/>
  <c r="DD8" i="50"/>
  <c r="DG8" i="50" s="1"/>
  <c r="DC8" i="50"/>
  <c r="DF8" i="50" s="1"/>
  <c r="DB8" i="50"/>
  <c r="BV8" i="50"/>
  <c r="BU8" i="50"/>
  <c r="BT8" i="50"/>
  <c r="BS8" i="50"/>
  <c r="BR8" i="50"/>
  <c r="BQ8" i="50"/>
  <c r="M8" i="50"/>
  <c r="L8" i="50"/>
  <c r="K8" i="50"/>
  <c r="DJ7" i="50"/>
  <c r="DI7" i="50"/>
  <c r="DH7" i="50"/>
  <c r="DG7" i="50"/>
  <c r="DD7" i="50"/>
  <c r="DC7" i="50"/>
  <c r="DF7" i="50" s="1"/>
  <c r="DB7" i="50"/>
  <c r="DE7" i="50" s="1"/>
  <c r="BV7" i="50"/>
  <c r="BU7" i="50"/>
  <c r="BT7" i="50"/>
  <c r="BS7" i="50"/>
  <c r="BR7" i="50"/>
  <c r="BQ7" i="50"/>
  <c r="M7" i="50"/>
  <c r="L7" i="50"/>
  <c r="K7" i="50"/>
  <c r="DJ6" i="50"/>
  <c r="DI6" i="50"/>
  <c r="DH6" i="50"/>
  <c r="DD6" i="50"/>
  <c r="DG6" i="50" s="1"/>
  <c r="DC6" i="50"/>
  <c r="DF6" i="50" s="1"/>
  <c r="DB6" i="50"/>
  <c r="DE6" i="50" s="1"/>
  <c r="BV6" i="50"/>
  <c r="BU6" i="50"/>
  <c r="BT6" i="50"/>
  <c r="BS6" i="50"/>
  <c r="BR6" i="50"/>
  <c r="BQ6" i="50"/>
  <c r="M6" i="50"/>
  <c r="L6" i="50"/>
  <c r="K6" i="50"/>
  <c r="DJ5" i="50"/>
  <c r="DI5" i="50"/>
  <c r="DH5" i="50"/>
  <c r="DD5" i="50"/>
  <c r="DG5" i="50" s="1"/>
  <c r="DC5" i="50"/>
  <c r="DF5" i="50" s="1"/>
  <c r="DB5" i="50"/>
  <c r="DE5" i="50" s="1"/>
  <c r="BV5" i="50"/>
  <c r="BU5" i="50"/>
  <c r="BT5" i="50"/>
  <c r="BS5" i="50"/>
  <c r="BR5" i="50"/>
  <c r="BQ5" i="50"/>
  <c r="M5" i="50"/>
  <c r="L5" i="50"/>
  <c r="K5" i="50"/>
  <c r="DJ4" i="50"/>
  <c r="DI4" i="50"/>
  <c r="DH4" i="50"/>
  <c r="DD4" i="50"/>
  <c r="DG4" i="50" s="1"/>
  <c r="DC4" i="50"/>
  <c r="DF4" i="50" s="1"/>
  <c r="DB4" i="50"/>
  <c r="DE4" i="50" s="1"/>
  <c r="BV4" i="50"/>
  <c r="BU4" i="50"/>
  <c r="BT4" i="50"/>
  <c r="BS4" i="50"/>
  <c r="BR4" i="50"/>
  <c r="BQ4" i="50"/>
  <c r="M4" i="50"/>
  <c r="L4" i="50"/>
  <c r="K4" i="50"/>
  <c r="DJ3" i="50"/>
  <c r="DI3" i="50"/>
  <c r="DH3" i="50"/>
  <c r="DD3" i="50"/>
  <c r="DG3" i="50" s="1"/>
  <c r="DC3" i="50"/>
  <c r="DF3" i="50" s="1"/>
  <c r="DB3" i="50"/>
  <c r="DE3" i="50" s="1"/>
  <c r="BV3" i="50"/>
  <c r="BU3" i="50"/>
  <c r="BT3" i="50"/>
  <c r="BS3" i="50"/>
  <c r="BR3" i="50"/>
  <c r="BQ3" i="50"/>
  <c r="M3" i="50"/>
  <c r="L3" i="50"/>
  <c r="K3" i="50"/>
  <c r="DJ2" i="50"/>
  <c r="DI2" i="50"/>
  <c r="DH2" i="50"/>
  <c r="DD2" i="50"/>
  <c r="DG2" i="50" s="1"/>
  <c r="DC2" i="50"/>
  <c r="DF2" i="50" s="1"/>
  <c r="DB2" i="50"/>
  <c r="DE2" i="50" s="1"/>
  <c r="BV2" i="50"/>
  <c r="BU2" i="50"/>
  <c r="BT2" i="50"/>
  <c r="BS2" i="50"/>
  <c r="BR2" i="50"/>
  <c r="BQ2" i="50"/>
  <c r="M2" i="50"/>
  <c r="L2" i="50"/>
  <c r="K2" i="50"/>
  <c r="AA17" i="29" l="1"/>
  <c r="AA15" i="29"/>
  <c r="U15" i="29"/>
  <c r="U16" i="29"/>
  <c r="U17" i="29"/>
  <c r="T2" i="29"/>
  <c r="AG2" i="29"/>
  <c r="AH2" i="29"/>
  <c r="AG4" i="29"/>
  <c r="AH4" i="29"/>
  <c r="T6" i="29"/>
  <c r="AG8" i="29"/>
  <c r="AH8" i="29"/>
  <c r="T12" i="29"/>
  <c r="Z12" i="29"/>
  <c r="X15" i="29"/>
  <c r="T15" i="29" s="1"/>
  <c r="AG15" i="29"/>
  <c r="AH15" i="29"/>
  <c r="Z17" i="29"/>
  <c r="AG17" i="29"/>
  <c r="AH17" i="29"/>
  <c r="Z15" i="29" l="1"/>
  <c r="J5" i="48" l="1"/>
  <c r="K5" i="48"/>
  <c r="K4" i="48"/>
  <c r="K3" i="48"/>
  <c r="Y4" i="42" l="1"/>
  <c r="R4" i="42"/>
  <c r="O4" i="42"/>
  <c r="Z12" i="41" l="1"/>
  <c r="Z18" i="41"/>
  <c r="Z21" i="41"/>
  <c r="Z24" i="41"/>
  <c r="Z27" i="41"/>
  <c r="Z30" i="41"/>
  <c r="V29" i="41"/>
  <c r="AC29" i="41" s="1"/>
  <c r="U29" i="41"/>
  <c r="AB29" i="41" s="1"/>
  <c r="T29" i="41"/>
  <c r="AA29" i="41" s="1"/>
  <c r="V28" i="41"/>
  <c r="AC28" i="41" s="1"/>
  <c r="U28" i="41"/>
  <c r="AB28" i="41" s="1"/>
  <c r="T28" i="41"/>
  <c r="AA28" i="41" s="1"/>
  <c r="V32" i="41"/>
  <c r="AC32" i="41" s="1"/>
  <c r="U32" i="41"/>
  <c r="AB32" i="41" s="1"/>
  <c r="T32" i="41"/>
  <c r="AA32" i="41" s="1"/>
  <c r="V31" i="41"/>
  <c r="AC31" i="41" s="1"/>
  <c r="U31" i="41"/>
  <c r="AB31" i="41" s="1"/>
  <c r="T31" i="41"/>
  <c r="AA31" i="41" s="1"/>
  <c r="V23" i="41"/>
  <c r="AC23" i="41" s="1"/>
  <c r="U23" i="41"/>
  <c r="AB23" i="41" s="1"/>
  <c r="T23" i="41"/>
  <c r="AA23" i="41" s="1"/>
  <c r="V22" i="41"/>
  <c r="AC22" i="41" s="1"/>
  <c r="U22" i="41"/>
  <c r="AB22" i="41" s="1"/>
  <c r="T22" i="41"/>
  <c r="AA22" i="41" s="1"/>
  <c r="V20" i="41"/>
  <c r="AC20" i="41" s="1"/>
  <c r="U20" i="41"/>
  <c r="AB20" i="41" s="1"/>
  <c r="T20" i="41"/>
  <c r="AA20" i="41" s="1"/>
  <c r="V19" i="41"/>
  <c r="AC19" i="41" s="1"/>
  <c r="U19" i="41"/>
  <c r="AB19" i="41" s="1"/>
  <c r="T19" i="41"/>
  <c r="AA19" i="41" s="1"/>
  <c r="V26" i="41"/>
  <c r="AC26" i="41" s="1"/>
  <c r="U26" i="41"/>
  <c r="AB26" i="41" s="1"/>
  <c r="T26" i="41"/>
  <c r="AA26" i="41" s="1"/>
  <c r="V25" i="41"/>
  <c r="AC25" i="41" s="1"/>
  <c r="U25" i="41"/>
  <c r="AB25" i="41" s="1"/>
  <c r="T25" i="41"/>
  <c r="AA25" i="41" s="1"/>
  <c r="AP37" i="41"/>
  <c r="AP38" i="41"/>
  <c r="AP35" i="41"/>
  <c r="AP34" i="41"/>
  <c r="AP32" i="41"/>
  <c r="AP31" i="41"/>
  <c r="AP29" i="41"/>
  <c r="AP28" i="41"/>
  <c r="AP26" i="41"/>
  <c r="AP25" i="41"/>
  <c r="AP24" i="41"/>
  <c r="AP23" i="41"/>
  <c r="AP22" i="41"/>
  <c r="AP27" i="41"/>
  <c r="AP30" i="41"/>
  <c r="AP33" i="41"/>
  <c r="AP36" i="41"/>
  <c r="AP19" i="41"/>
  <c r="AP20" i="41"/>
  <c r="S3" i="41"/>
  <c r="S4" i="41"/>
  <c r="S6" i="41"/>
  <c r="S7" i="41"/>
  <c r="S10" i="41"/>
  <c r="S11" i="41"/>
  <c r="S13" i="41"/>
  <c r="Y13" i="41" s="1"/>
  <c r="AC13" i="41" s="1"/>
  <c r="S14" i="41"/>
  <c r="Y14" i="41" s="1"/>
  <c r="AC14" i="41" s="1"/>
  <c r="S16" i="41"/>
  <c r="S17" i="41"/>
  <c r="Q3" i="41"/>
  <c r="Q4" i="41"/>
  <c r="Q6" i="41"/>
  <c r="Q7" i="41"/>
  <c r="Q10" i="41"/>
  <c r="Q11" i="41"/>
  <c r="Q13" i="41"/>
  <c r="W13" i="41" s="1"/>
  <c r="AA13" i="41" s="1"/>
  <c r="Q14" i="41"/>
  <c r="W14" i="41" s="1"/>
  <c r="AA14" i="41" s="1"/>
  <c r="Q16" i="41"/>
  <c r="Q17" i="41"/>
  <c r="R13" i="41"/>
  <c r="X13" i="41" s="1"/>
  <c r="AB13" i="41" s="1"/>
  <c r="R16" i="41"/>
  <c r="AP16" i="41"/>
  <c r="R17" i="41"/>
  <c r="AP17" i="41"/>
  <c r="AP13" i="41"/>
  <c r="R14" i="41"/>
  <c r="X14" i="41" s="1"/>
  <c r="AB14" i="41" s="1"/>
  <c r="AP14" i="41"/>
  <c r="R10" i="41"/>
  <c r="AP10" i="41"/>
  <c r="R11" i="41"/>
  <c r="AP11" i="41"/>
  <c r="R6" i="41"/>
  <c r="AP6" i="41"/>
  <c r="R7" i="41"/>
  <c r="AP7" i="41"/>
  <c r="R3" i="41"/>
  <c r="AP3" i="41"/>
  <c r="R4" i="41"/>
  <c r="AP4" i="41"/>
  <c r="R33" i="41" l="1"/>
  <c r="AE33" i="41"/>
  <c r="AE24" i="41"/>
  <c r="R2" i="41"/>
  <c r="R5" i="41"/>
  <c r="R8" i="41"/>
  <c r="Z8" i="41" s="1"/>
  <c r="R9" i="41"/>
  <c r="Z9" i="41" s="1"/>
  <c r="R15" i="41"/>
  <c r="AE2" i="41"/>
  <c r="AE5" i="41"/>
  <c r="AE15" i="41"/>
  <c r="AE8" i="41"/>
  <c r="AE9" i="41"/>
  <c r="AE12" i="41"/>
  <c r="T16" i="41" l="1"/>
  <c r="AA16" i="41" s="1"/>
  <c r="Z15" i="41"/>
  <c r="X4" i="41"/>
  <c r="AB4" i="41" s="1"/>
  <c r="Z2" i="41"/>
  <c r="V35" i="41"/>
  <c r="AC35" i="41" s="1"/>
  <c r="U34" i="41"/>
  <c r="AB34" i="41" s="1"/>
  <c r="T35" i="41"/>
  <c r="AA35" i="41" s="1"/>
  <c r="V34" i="41"/>
  <c r="AC34" i="41" s="1"/>
  <c r="U35" i="41"/>
  <c r="AB35" i="41" s="1"/>
  <c r="T34" i="41"/>
  <c r="AA34" i="41" s="1"/>
  <c r="Z33" i="41"/>
  <c r="T7" i="41"/>
  <c r="AA7" i="41" s="1"/>
  <c r="Z5" i="41"/>
  <c r="Y3" i="41"/>
  <c r="V17" i="41"/>
  <c r="AC17" i="41" s="1"/>
  <c r="U16" i="41"/>
  <c r="AB16" i="41" s="1"/>
  <c r="X10" i="41"/>
  <c r="AB10" i="41" s="1"/>
  <c r="X3" i="41"/>
  <c r="Y4" i="41"/>
  <c r="AC4" i="41" s="1"/>
  <c r="V16" i="41"/>
  <c r="AC16" i="41" s="1"/>
  <c r="U7" i="41"/>
  <c r="AB7" i="41" s="1"/>
  <c r="V6" i="41"/>
  <c r="W4" i="41"/>
  <c r="AA4" i="41" s="1"/>
  <c r="U6" i="41"/>
  <c r="V7" i="41"/>
  <c r="AC7" i="41" s="1"/>
  <c r="T6" i="41"/>
  <c r="T17" i="41"/>
  <c r="AA17" i="41" s="1"/>
  <c r="W3" i="41"/>
  <c r="U17" i="41"/>
  <c r="AB17" i="41" s="1"/>
  <c r="AP21" i="41"/>
  <c r="AP18" i="41"/>
  <c r="AH12" i="41"/>
  <c r="AC6" i="41" l="1"/>
  <c r="AC3" i="41"/>
  <c r="AA3" i="41"/>
  <c r="AB3" i="41"/>
  <c r="AA6" i="41"/>
  <c r="AB6" i="41"/>
  <c r="R6" i="46"/>
  <c r="R5" i="46"/>
  <c r="R4" i="46"/>
  <c r="R2" i="46"/>
  <c r="R3" i="46"/>
  <c r="L7" i="45" l="1"/>
  <c r="L6" i="45"/>
  <c r="G7" i="45"/>
  <c r="G6" i="45"/>
  <c r="H7" i="45"/>
  <c r="H6" i="45"/>
  <c r="T6" i="45"/>
  <c r="T7" i="45"/>
  <c r="Q7" i="45"/>
  <c r="P7" i="45"/>
  <c r="Q6" i="45"/>
  <c r="P6" i="45"/>
  <c r="H5" i="45"/>
  <c r="H4" i="45"/>
  <c r="G5" i="45"/>
  <c r="G4" i="45"/>
  <c r="L5" i="45"/>
  <c r="L4" i="45"/>
  <c r="K5" i="45"/>
  <c r="K4" i="45"/>
  <c r="S5" i="45"/>
  <c r="R5" i="45"/>
  <c r="S4" i="45"/>
  <c r="R4" i="45"/>
  <c r="M2" i="45"/>
  <c r="M3" i="45"/>
  <c r="M4" i="45"/>
  <c r="M5" i="45"/>
  <c r="M6" i="45"/>
  <c r="M7" i="45"/>
  <c r="O2" i="45"/>
  <c r="O3" i="45"/>
  <c r="I2" i="45"/>
  <c r="I3" i="45"/>
  <c r="I4" i="45"/>
  <c r="I5" i="45"/>
  <c r="S3" i="45"/>
  <c r="S2" i="45"/>
  <c r="R2" i="45"/>
  <c r="R3" i="45"/>
  <c r="Q2" i="45"/>
  <c r="Q3" i="45"/>
  <c r="P2" i="45"/>
  <c r="P3" i="45"/>
  <c r="K3" i="33" l="1"/>
  <c r="J3" i="33"/>
  <c r="J2" i="33"/>
  <c r="K2" i="33"/>
  <c r="I3" i="33"/>
  <c r="I2" i="33"/>
  <c r="AO2" i="22" l="1"/>
  <c r="EJ154" i="24" l="1"/>
  <c r="EJ155" i="24"/>
  <c r="EJ156" i="24"/>
  <c r="EJ157" i="24"/>
  <c r="EJ158" i="24"/>
  <c r="EJ159" i="24"/>
  <c r="EJ160" i="24"/>
  <c r="EJ161" i="24"/>
  <c r="EJ162" i="24"/>
  <c r="EJ163" i="24"/>
  <c r="EJ164" i="24"/>
  <c r="EJ165" i="24"/>
  <c r="EJ166" i="24"/>
  <c r="EJ167" i="24"/>
  <c r="EJ168" i="24"/>
  <c r="EJ169" i="24"/>
  <c r="EJ170" i="24"/>
  <c r="EJ171" i="24"/>
  <c r="EJ172" i="24"/>
  <c r="EJ173" i="24"/>
  <c r="EJ174" i="24"/>
  <c r="EJ175" i="24"/>
  <c r="EJ176" i="24"/>
  <c r="EJ177" i="24"/>
  <c r="EJ179" i="24"/>
  <c r="EJ180" i="24"/>
  <c r="EJ181" i="24"/>
  <c r="EJ182" i="24"/>
  <c r="EJ183" i="24"/>
  <c r="EJ184" i="24"/>
  <c r="EJ185" i="24"/>
  <c r="EJ178" i="24"/>
  <c r="EJ186" i="24"/>
  <c r="EJ187" i="24"/>
  <c r="EJ188" i="24"/>
  <c r="EJ189" i="24"/>
  <c r="EJ190" i="24"/>
  <c r="EJ191" i="24"/>
  <c r="EJ192" i="24"/>
  <c r="EJ193" i="24"/>
  <c r="EJ194" i="24"/>
  <c r="EJ195" i="24"/>
  <c r="EJ196" i="24"/>
  <c r="EJ197" i="24"/>
  <c r="EJ198" i="24"/>
  <c r="EJ199" i="24"/>
  <c r="EJ200" i="24"/>
  <c r="EJ201" i="24"/>
  <c r="EJ202" i="24"/>
  <c r="EJ203" i="24"/>
  <c r="EJ204" i="24"/>
  <c r="EJ205" i="24"/>
  <c r="EJ206" i="24"/>
  <c r="EJ207" i="24"/>
  <c r="EJ208" i="24"/>
  <c r="EJ209" i="24"/>
  <c r="EJ210" i="24"/>
  <c r="EJ211" i="24"/>
  <c r="EJ212" i="24"/>
  <c r="EJ213" i="24"/>
  <c r="EJ214" i="24"/>
  <c r="EJ215" i="24"/>
  <c r="EJ216" i="24"/>
  <c r="EJ217" i="24"/>
  <c r="EJ218" i="24"/>
  <c r="EJ219" i="24"/>
  <c r="EJ220" i="24"/>
  <c r="EJ221" i="24"/>
  <c r="EJ222" i="24"/>
  <c r="EJ223" i="24"/>
  <c r="EJ224" i="24"/>
  <c r="EJ225" i="24"/>
  <c r="EJ226" i="24"/>
  <c r="EJ227" i="24"/>
  <c r="EJ228" i="24"/>
  <c r="EJ229" i="24"/>
  <c r="EJ230" i="24"/>
  <c r="EJ231" i="24"/>
  <c r="EJ232" i="24"/>
  <c r="EJ233" i="24"/>
  <c r="EJ234" i="24"/>
  <c r="EJ235" i="24"/>
  <c r="EJ236" i="24"/>
  <c r="EJ237" i="24"/>
  <c r="EJ238" i="24"/>
  <c r="EJ239" i="24"/>
  <c r="EJ240" i="24"/>
  <c r="EJ241" i="24"/>
  <c r="EJ242" i="24"/>
  <c r="EJ243" i="24"/>
  <c r="EJ244" i="24"/>
  <c r="EJ245" i="24"/>
  <c r="EJ246" i="24"/>
  <c r="EJ247" i="24"/>
  <c r="EJ248" i="24"/>
  <c r="EJ249" i="24"/>
  <c r="CW47" i="24"/>
  <c r="CW46" i="24"/>
  <c r="CW43" i="24"/>
  <c r="CW42" i="24"/>
  <c r="CW127" i="24"/>
  <c r="CW126" i="24"/>
  <c r="CW123" i="24"/>
  <c r="CW122" i="24"/>
  <c r="CW119" i="24"/>
  <c r="CW118" i="24"/>
  <c r="CW115" i="24"/>
  <c r="CW114" i="24"/>
  <c r="CW111" i="24"/>
  <c r="CW110" i="24"/>
  <c r="CW107" i="24"/>
  <c r="CW106" i="24"/>
  <c r="CW103" i="24"/>
  <c r="CW102" i="24"/>
  <c r="CW99" i="24"/>
  <c r="CW98" i="24"/>
  <c r="CW95" i="24"/>
  <c r="CW94" i="24"/>
  <c r="CW91" i="24"/>
  <c r="CW90" i="24"/>
  <c r="CW39" i="24"/>
  <c r="CW38" i="24"/>
  <c r="CW35" i="24"/>
  <c r="CW34" i="24"/>
  <c r="CW152" i="24"/>
  <c r="CW32" i="24"/>
  <c r="CW150" i="24"/>
  <c r="CW30" i="24"/>
  <c r="CW148" i="24"/>
  <c r="CW28" i="24"/>
  <c r="CW146" i="24"/>
  <c r="CW26" i="24"/>
  <c r="CW87" i="24"/>
  <c r="CW86" i="24"/>
  <c r="CW83" i="24"/>
  <c r="CW82" i="24"/>
  <c r="CW144" i="24"/>
  <c r="CW24" i="24"/>
  <c r="CW142" i="24"/>
  <c r="CW22" i="24"/>
  <c r="CW140" i="24"/>
  <c r="CW20" i="24"/>
  <c r="CW138" i="24"/>
  <c r="CW18" i="24"/>
  <c r="CW17" i="24"/>
  <c r="CW136" i="24"/>
  <c r="CW135" i="24"/>
  <c r="CW79" i="24"/>
  <c r="CW78" i="24"/>
  <c r="CW14" i="24"/>
  <c r="CW13" i="24"/>
  <c r="CW132" i="24"/>
  <c r="CW131" i="24"/>
  <c r="CW75" i="24"/>
  <c r="CW74" i="24"/>
  <c r="CW10" i="24"/>
  <c r="CW71" i="24"/>
  <c r="CW70" i="24"/>
  <c r="CW67" i="24"/>
  <c r="CW66" i="24"/>
  <c r="CW63" i="24"/>
  <c r="CW62" i="24"/>
  <c r="CW59" i="24"/>
  <c r="CW58" i="24"/>
  <c r="CW55" i="24"/>
  <c r="CW54" i="24"/>
  <c r="CW51" i="24"/>
  <c r="CW50" i="24"/>
  <c r="CW7" i="24"/>
  <c r="CW6" i="24"/>
  <c r="CW3" i="24"/>
  <c r="CW2" i="24"/>
  <c r="CV47" i="24"/>
  <c r="CV46" i="24"/>
  <c r="CV43" i="24"/>
  <c r="CV42" i="24"/>
  <c r="CV127" i="24"/>
  <c r="CV126" i="24"/>
  <c r="CV123" i="24"/>
  <c r="CV122" i="24"/>
  <c r="CV119" i="24"/>
  <c r="CV118" i="24"/>
  <c r="CV115" i="24"/>
  <c r="CV114" i="24"/>
  <c r="CV111" i="24"/>
  <c r="CV110" i="24"/>
  <c r="CV107" i="24"/>
  <c r="CV106" i="24"/>
  <c r="CV103" i="24"/>
  <c r="CV102" i="24"/>
  <c r="CV99" i="24"/>
  <c r="CV98" i="24"/>
  <c r="CV95" i="24"/>
  <c r="CV94" i="24"/>
  <c r="CV91" i="24"/>
  <c r="CV90" i="24"/>
  <c r="CV39" i="24"/>
  <c r="CV38" i="24"/>
  <c r="CV35" i="24"/>
  <c r="CV34" i="24"/>
  <c r="CV152" i="24"/>
  <c r="CV32" i="24"/>
  <c r="CV150" i="24"/>
  <c r="CV30" i="24"/>
  <c r="CV148" i="24"/>
  <c r="CV28" i="24"/>
  <c r="CV146" i="24"/>
  <c r="CV26" i="24"/>
  <c r="CV87" i="24"/>
  <c r="CV86" i="24"/>
  <c r="CV83" i="24"/>
  <c r="CV82" i="24"/>
  <c r="CV144" i="24"/>
  <c r="CV24" i="24"/>
  <c r="CV142" i="24"/>
  <c r="CV22" i="24"/>
  <c r="CV140" i="24"/>
  <c r="CV20" i="24"/>
  <c r="CV138" i="24"/>
  <c r="CV18" i="24"/>
  <c r="CV17" i="24"/>
  <c r="CV136" i="24"/>
  <c r="CV135" i="24"/>
  <c r="CV79" i="24"/>
  <c r="CV78" i="24"/>
  <c r="CV14" i="24"/>
  <c r="CV13" i="24"/>
  <c r="CV132" i="24"/>
  <c r="CV131" i="24"/>
  <c r="CV75" i="24"/>
  <c r="CV74" i="24"/>
  <c r="CV10" i="24"/>
  <c r="CV71" i="24"/>
  <c r="CV70" i="24"/>
  <c r="CV67" i="24"/>
  <c r="CV66" i="24"/>
  <c r="CV63" i="24"/>
  <c r="CV62" i="24"/>
  <c r="CV59" i="24"/>
  <c r="CV58" i="24"/>
  <c r="CV55" i="24"/>
  <c r="CV54" i="24"/>
  <c r="CV51" i="24"/>
  <c r="CV50" i="24"/>
  <c r="CV7" i="24"/>
  <c r="CV6" i="24"/>
  <c r="CV3" i="24"/>
  <c r="CV2" i="24"/>
  <c r="EK154" i="24"/>
  <c r="EK155" i="24"/>
  <c r="EK156" i="24"/>
  <c r="EK157" i="24"/>
  <c r="EK158" i="24"/>
  <c r="EK159" i="24"/>
  <c r="EK160" i="24"/>
  <c r="EK161" i="24"/>
  <c r="EK162" i="24"/>
  <c r="EK163" i="24"/>
  <c r="EK164" i="24"/>
  <c r="EK165" i="24"/>
  <c r="EK166" i="24"/>
  <c r="EK167" i="24"/>
  <c r="EK168" i="24"/>
  <c r="EK169" i="24"/>
  <c r="EK170" i="24"/>
  <c r="EK171" i="24"/>
  <c r="EK172" i="24"/>
  <c r="EK173" i="24"/>
  <c r="EK174" i="24"/>
  <c r="EK175" i="24"/>
  <c r="EK176" i="24"/>
  <c r="EK177" i="24"/>
  <c r="EK179" i="24"/>
  <c r="EK180" i="24"/>
  <c r="EK181" i="24"/>
  <c r="EK182" i="24"/>
  <c r="EK183" i="24"/>
  <c r="EK184" i="24"/>
  <c r="EK185" i="24"/>
  <c r="EK178" i="24"/>
  <c r="EK186" i="24"/>
  <c r="EK187" i="24"/>
  <c r="EK188" i="24"/>
  <c r="EK189" i="24"/>
  <c r="EK190" i="24"/>
  <c r="EK191" i="24"/>
  <c r="EK192" i="24"/>
  <c r="EK193" i="24"/>
  <c r="EK194" i="24"/>
  <c r="EK195" i="24"/>
  <c r="EK196" i="24"/>
  <c r="EK197" i="24"/>
  <c r="EK198" i="24"/>
  <c r="EK199" i="24"/>
  <c r="EK200" i="24"/>
  <c r="EK201" i="24"/>
  <c r="EK202" i="24"/>
  <c r="EK203" i="24"/>
  <c r="EK204" i="24"/>
  <c r="EK205" i="24"/>
  <c r="EK206" i="24"/>
  <c r="EK207" i="24"/>
  <c r="EK208" i="24"/>
  <c r="EK209" i="24"/>
  <c r="EK210" i="24"/>
  <c r="EK211" i="24"/>
  <c r="EK212" i="24"/>
  <c r="EK213" i="24"/>
  <c r="EK214" i="24"/>
  <c r="EK215" i="24"/>
  <c r="EK216" i="24"/>
  <c r="EK217" i="24"/>
  <c r="EK218" i="24"/>
  <c r="EK219" i="24"/>
  <c r="EK220" i="24"/>
  <c r="EK221" i="24"/>
  <c r="EK222" i="24"/>
  <c r="EK223" i="24"/>
  <c r="EK224" i="24"/>
  <c r="EK225" i="24"/>
  <c r="EK226" i="24"/>
  <c r="EK227" i="24"/>
  <c r="EK228" i="24"/>
  <c r="EK229" i="24"/>
  <c r="EK230" i="24"/>
  <c r="EK231" i="24"/>
  <c r="EK232" i="24"/>
  <c r="EK233" i="24"/>
  <c r="EK234" i="24"/>
  <c r="EK235" i="24"/>
  <c r="EK236" i="24"/>
  <c r="EK237" i="24"/>
  <c r="EK238" i="24"/>
  <c r="EK239" i="24"/>
  <c r="EK240" i="24"/>
  <c r="EK241" i="24"/>
  <c r="EK242" i="24"/>
  <c r="EK243" i="24"/>
  <c r="EK244" i="24"/>
  <c r="EK245" i="24"/>
  <c r="EK246" i="24"/>
  <c r="EK247" i="24"/>
  <c r="EK248" i="24"/>
  <c r="EK249" i="24"/>
  <c r="EG154" i="24"/>
  <c r="EG155" i="24"/>
  <c r="EG156" i="24"/>
  <c r="EG157" i="24"/>
  <c r="EG158" i="24"/>
  <c r="EG159" i="24"/>
  <c r="EG160" i="24"/>
  <c r="EG161" i="24"/>
  <c r="EG162" i="24"/>
  <c r="EG163" i="24"/>
  <c r="EG164" i="24"/>
  <c r="EG165" i="24"/>
  <c r="EG166" i="24"/>
  <c r="EG167" i="24"/>
  <c r="EG168" i="24"/>
  <c r="EG169" i="24"/>
  <c r="EG170" i="24"/>
  <c r="EG171" i="24"/>
  <c r="EG172" i="24"/>
  <c r="EG173" i="24"/>
  <c r="EG174" i="24"/>
  <c r="EG175" i="24"/>
  <c r="EG176" i="24"/>
  <c r="EG177" i="24"/>
  <c r="EG179" i="24"/>
  <c r="EG180" i="24"/>
  <c r="EG181" i="24"/>
  <c r="EG182" i="24"/>
  <c r="EG183" i="24"/>
  <c r="EG184" i="24"/>
  <c r="EG185" i="24"/>
  <c r="EG178" i="24"/>
  <c r="EG186" i="24"/>
  <c r="EG187" i="24"/>
  <c r="EG188" i="24"/>
  <c r="EG189" i="24"/>
  <c r="EG190" i="24"/>
  <c r="EG191" i="24"/>
  <c r="EG192" i="24"/>
  <c r="EG193" i="24"/>
  <c r="EG194" i="24"/>
  <c r="EG195" i="24"/>
  <c r="EG196" i="24"/>
  <c r="EG197" i="24"/>
  <c r="EG198" i="24"/>
  <c r="EG199" i="24"/>
  <c r="EG200" i="24"/>
  <c r="EG201" i="24"/>
  <c r="EG202" i="24"/>
  <c r="EG203" i="24"/>
  <c r="EG204" i="24"/>
  <c r="EG205" i="24"/>
  <c r="EG206" i="24"/>
  <c r="EG207" i="24"/>
  <c r="EG208" i="24"/>
  <c r="EG209" i="24"/>
  <c r="EG210" i="24"/>
  <c r="EG211" i="24"/>
  <c r="EG212" i="24"/>
  <c r="EG213" i="24"/>
  <c r="EG214" i="24"/>
  <c r="EG215" i="24"/>
  <c r="EG216" i="24"/>
  <c r="EG217" i="24"/>
  <c r="EG218" i="24"/>
  <c r="EG219" i="24"/>
  <c r="EG220" i="24"/>
  <c r="EG221" i="24"/>
  <c r="EG222" i="24"/>
  <c r="EG223" i="24"/>
  <c r="EG224" i="24"/>
  <c r="EG225" i="24"/>
  <c r="EG226" i="24"/>
  <c r="EG227" i="24"/>
  <c r="EG228" i="24"/>
  <c r="EG229" i="24"/>
  <c r="EG230" i="24"/>
  <c r="EG231" i="24"/>
  <c r="EG232" i="24"/>
  <c r="EG233" i="24"/>
  <c r="EG234" i="24"/>
  <c r="EG235" i="24"/>
  <c r="EG236" i="24"/>
  <c r="EG237" i="24"/>
  <c r="EG238" i="24"/>
  <c r="EG239" i="24"/>
  <c r="EG240" i="24"/>
  <c r="EG241" i="24"/>
  <c r="EG242" i="24"/>
  <c r="EG243" i="24"/>
  <c r="EG244" i="24"/>
  <c r="EG245" i="24"/>
  <c r="EG246" i="24"/>
  <c r="EG247" i="24"/>
  <c r="EG248" i="24"/>
  <c r="EG249" i="24"/>
  <c r="CV4" i="24"/>
  <c r="CV5" i="24"/>
  <c r="CV8" i="24"/>
  <c r="CV9" i="24"/>
  <c r="CV52" i="24"/>
  <c r="CV53" i="24"/>
  <c r="CV56" i="24"/>
  <c r="CV57" i="24"/>
  <c r="CV60" i="24"/>
  <c r="CV61" i="24"/>
  <c r="CV64" i="24"/>
  <c r="CV65" i="24"/>
  <c r="CV68" i="24"/>
  <c r="CV69" i="24"/>
  <c r="CV72" i="24"/>
  <c r="CV73" i="24"/>
  <c r="CV130" i="24"/>
  <c r="CV11" i="24"/>
  <c r="CV12" i="24"/>
  <c r="CV76" i="24"/>
  <c r="CV77" i="24"/>
  <c r="CV133" i="24"/>
  <c r="CV134" i="24"/>
  <c r="CV15" i="24"/>
  <c r="CV16" i="24"/>
  <c r="CV80" i="24"/>
  <c r="CV81" i="24"/>
  <c r="CV137" i="24"/>
  <c r="CV19" i="24"/>
  <c r="CV139" i="24"/>
  <c r="CV21" i="24"/>
  <c r="CV141" i="24"/>
  <c r="CV23" i="24"/>
  <c r="CV143" i="24"/>
  <c r="CV25" i="24"/>
  <c r="CV145" i="24"/>
  <c r="CV84" i="24"/>
  <c r="CV85" i="24"/>
  <c r="CV88" i="24"/>
  <c r="CV89" i="24"/>
  <c r="CV27" i="24"/>
  <c r="CV147" i="24"/>
  <c r="CV29" i="24"/>
  <c r="CV149" i="24"/>
  <c r="CV31" i="24"/>
  <c r="CV151" i="24"/>
  <c r="CV33" i="24"/>
  <c r="CV153" i="24"/>
  <c r="CV36" i="24"/>
  <c r="CV37" i="24"/>
  <c r="CV40" i="24"/>
  <c r="CV41" i="24"/>
  <c r="CV92" i="24"/>
  <c r="CV93" i="24"/>
  <c r="CV96" i="24"/>
  <c r="CV97" i="24"/>
  <c r="CV100" i="24"/>
  <c r="CV101" i="24"/>
  <c r="CV104" i="24"/>
  <c r="CV105" i="24"/>
  <c r="CV108" i="24"/>
  <c r="CV109" i="24"/>
  <c r="CV112" i="24"/>
  <c r="CV113" i="24"/>
  <c r="CV116" i="24"/>
  <c r="CV117" i="24"/>
  <c r="CV120" i="24"/>
  <c r="CV121" i="24"/>
  <c r="CV124" i="24"/>
  <c r="CV125" i="24"/>
  <c r="CV128" i="24"/>
  <c r="CV129" i="24"/>
  <c r="CV44" i="24"/>
  <c r="CV45" i="24"/>
  <c r="CV48" i="24"/>
  <c r="CV49" i="24"/>
  <c r="CW4" i="24"/>
  <c r="CW5" i="24"/>
  <c r="CW8" i="24"/>
  <c r="CW9" i="24"/>
  <c r="CW52" i="24"/>
  <c r="CW53" i="24"/>
  <c r="CW56" i="24"/>
  <c r="CW57" i="24"/>
  <c r="CW60" i="24"/>
  <c r="CW61" i="24"/>
  <c r="CW64" i="24"/>
  <c r="CW65" i="24"/>
  <c r="CW68" i="24"/>
  <c r="CW69" i="24"/>
  <c r="CW72" i="24"/>
  <c r="CW73" i="24"/>
  <c r="CW130" i="24"/>
  <c r="CW11" i="24"/>
  <c r="CW12" i="24"/>
  <c r="CW76" i="24"/>
  <c r="CW77" i="24"/>
  <c r="CW133" i="24"/>
  <c r="CW134" i="24"/>
  <c r="CW15" i="24"/>
  <c r="CW16" i="24"/>
  <c r="CW80" i="24"/>
  <c r="CW81" i="24"/>
  <c r="CW137" i="24"/>
  <c r="CW19" i="24"/>
  <c r="CW139" i="24"/>
  <c r="CW21" i="24"/>
  <c r="CW141" i="24"/>
  <c r="CW23" i="24"/>
  <c r="CW143" i="24"/>
  <c r="CW25" i="24"/>
  <c r="CW145" i="24"/>
  <c r="CW84" i="24"/>
  <c r="CW85" i="24"/>
  <c r="CW88" i="24"/>
  <c r="CW89" i="24"/>
  <c r="CW27" i="24"/>
  <c r="CW147" i="24"/>
  <c r="CW29" i="24"/>
  <c r="CW149" i="24"/>
  <c r="CW31" i="24"/>
  <c r="CW151" i="24"/>
  <c r="CW33" i="24"/>
  <c r="CW153" i="24"/>
  <c r="CW36" i="24"/>
  <c r="CW37" i="24"/>
  <c r="CW40" i="24"/>
  <c r="CW41" i="24"/>
  <c r="CW92" i="24"/>
  <c r="CW93" i="24"/>
  <c r="CW96" i="24"/>
  <c r="CW97" i="24"/>
  <c r="CW100" i="24"/>
  <c r="CW101" i="24"/>
  <c r="CW104" i="24"/>
  <c r="CW105" i="24"/>
  <c r="CW108" i="24"/>
  <c r="CW109" i="24"/>
  <c r="CW112" i="24"/>
  <c r="CW113" i="24"/>
  <c r="CW116" i="24"/>
  <c r="CW117" i="24"/>
  <c r="CW120" i="24"/>
  <c r="CW121" i="24"/>
  <c r="CW124" i="24"/>
  <c r="CW125" i="24"/>
  <c r="CW128" i="24"/>
  <c r="CW129" i="24"/>
  <c r="CW44" i="24"/>
  <c r="CW45" i="24"/>
  <c r="CW48" i="24"/>
  <c r="CW49" i="24"/>
  <c r="EH154" i="24" l="1"/>
  <c r="EH155" i="24"/>
  <c r="EH156" i="24"/>
  <c r="EH157" i="24"/>
  <c r="EH158" i="24"/>
  <c r="EH159" i="24"/>
  <c r="EH160" i="24"/>
  <c r="EH161" i="24"/>
  <c r="EH162" i="24"/>
  <c r="EH163" i="24"/>
  <c r="EH164" i="24"/>
  <c r="EH165" i="24"/>
  <c r="EH166" i="24"/>
  <c r="EH167" i="24"/>
  <c r="EH168" i="24"/>
  <c r="EH169" i="24"/>
  <c r="EH170" i="24"/>
  <c r="EH171" i="24"/>
  <c r="EH172" i="24"/>
  <c r="EH173" i="24"/>
  <c r="EH174" i="24"/>
  <c r="EH175" i="24"/>
  <c r="EH176" i="24"/>
  <c r="EH177" i="24"/>
  <c r="EH179" i="24"/>
  <c r="EH180" i="24"/>
  <c r="EH181" i="24"/>
  <c r="EH182" i="24"/>
  <c r="EH183" i="24"/>
  <c r="EH184" i="24"/>
  <c r="EH185" i="24"/>
  <c r="EH178" i="24"/>
  <c r="EH186" i="24"/>
  <c r="EH187" i="24"/>
  <c r="EH188" i="24"/>
  <c r="EH189" i="24"/>
  <c r="EH190" i="24"/>
  <c r="EH191" i="24"/>
  <c r="EH192" i="24"/>
  <c r="EH193" i="24"/>
  <c r="EH194" i="24"/>
  <c r="EH195" i="24"/>
  <c r="EH196" i="24"/>
  <c r="EH197" i="24"/>
  <c r="EH198" i="24"/>
  <c r="EH199" i="24"/>
  <c r="EH200" i="24"/>
  <c r="EH201" i="24"/>
  <c r="EH202" i="24"/>
  <c r="EH203" i="24"/>
  <c r="EH204" i="24"/>
  <c r="EH205" i="24"/>
  <c r="EH206" i="24"/>
  <c r="EH207" i="24"/>
  <c r="EH208" i="24"/>
  <c r="EH209" i="24"/>
  <c r="EH210" i="24"/>
  <c r="EH211" i="24"/>
  <c r="EH212" i="24"/>
  <c r="EH213" i="24"/>
  <c r="EH214" i="24"/>
  <c r="EH215" i="24"/>
  <c r="EH216" i="24"/>
  <c r="EH217" i="24"/>
  <c r="EH218" i="24"/>
  <c r="EH219" i="24"/>
  <c r="EH220" i="24"/>
  <c r="EH221" i="24"/>
  <c r="EH222" i="24"/>
  <c r="EH223" i="24"/>
  <c r="EH224" i="24"/>
  <c r="EH225" i="24"/>
  <c r="EH226" i="24"/>
  <c r="EH227" i="24"/>
  <c r="EH228" i="24"/>
  <c r="EH229" i="24"/>
  <c r="EH230" i="24"/>
  <c r="EH231" i="24"/>
  <c r="EH232" i="24"/>
  <c r="EH233" i="24"/>
  <c r="EH234" i="24"/>
  <c r="EH235" i="24"/>
  <c r="EH236" i="24"/>
  <c r="EH237" i="24"/>
  <c r="EH238" i="24"/>
  <c r="EH239" i="24"/>
  <c r="EH240" i="24"/>
  <c r="EH241" i="24"/>
  <c r="EH242" i="24"/>
  <c r="EH243" i="24"/>
  <c r="EH244" i="24"/>
  <c r="EH245" i="24"/>
  <c r="EH246" i="24"/>
  <c r="EH247" i="24"/>
  <c r="EH248" i="24"/>
  <c r="EH249" i="24"/>
  <c r="EF154" i="24"/>
  <c r="EF155" i="24"/>
  <c r="EF156" i="24"/>
  <c r="EF157" i="24"/>
  <c r="EF158" i="24"/>
  <c r="EF159" i="24"/>
  <c r="EF160" i="24"/>
  <c r="EF161" i="24"/>
  <c r="EF162" i="24"/>
  <c r="EF163" i="24"/>
  <c r="EF164" i="24"/>
  <c r="EF165" i="24"/>
  <c r="EF166" i="24"/>
  <c r="EF167" i="24"/>
  <c r="EF168" i="24"/>
  <c r="EF169" i="24"/>
  <c r="EF170" i="24"/>
  <c r="EF171" i="24"/>
  <c r="EF172" i="24"/>
  <c r="EF173" i="24"/>
  <c r="EF174" i="24"/>
  <c r="EF175" i="24"/>
  <c r="EF176" i="24"/>
  <c r="EF177" i="24"/>
  <c r="EF179" i="24"/>
  <c r="EF180" i="24"/>
  <c r="EF181" i="24"/>
  <c r="EF182" i="24"/>
  <c r="EF183" i="24"/>
  <c r="EF184" i="24"/>
  <c r="EF185" i="24"/>
  <c r="EF178" i="24"/>
  <c r="EF186" i="24"/>
  <c r="EF187" i="24"/>
  <c r="EF188" i="24"/>
  <c r="EF189" i="24"/>
  <c r="EF190" i="24"/>
  <c r="EF191" i="24"/>
  <c r="EF192" i="24"/>
  <c r="EF193" i="24"/>
  <c r="EF194" i="24"/>
  <c r="EF195" i="24"/>
  <c r="EF196" i="24"/>
  <c r="EF197" i="24"/>
  <c r="EF198" i="24"/>
  <c r="EF199" i="24"/>
  <c r="EF200" i="24"/>
  <c r="EF201" i="24"/>
  <c r="EF202" i="24"/>
  <c r="EF203" i="24"/>
  <c r="EF204" i="24"/>
  <c r="EF205" i="24"/>
  <c r="EF206" i="24"/>
  <c r="EF207" i="24"/>
  <c r="EF208" i="24"/>
  <c r="EF209" i="24"/>
  <c r="EF210" i="24"/>
  <c r="EF211" i="24"/>
  <c r="EF212" i="24"/>
  <c r="EF213" i="24"/>
  <c r="EF214" i="24"/>
  <c r="EF215" i="24"/>
  <c r="EF216" i="24"/>
  <c r="EF217" i="24"/>
  <c r="EF218" i="24"/>
  <c r="EF219" i="24"/>
  <c r="EF220" i="24"/>
  <c r="EF221" i="24"/>
  <c r="EF222" i="24"/>
  <c r="EF223" i="24"/>
  <c r="EF224" i="24"/>
  <c r="EF225" i="24"/>
  <c r="EF226" i="24"/>
  <c r="EF227" i="24"/>
  <c r="EF228" i="24"/>
  <c r="EF229" i="24"/>
  <c r="EF230" i="24"/>
  <c r="EF231" i="24"/>
  <c r="EF232" i="24"/>
  <c r="EF233" i="24"/>
  <c r="EF234" i="24"/>
  <c r="EF235" i="24"/>
  <c r="EF236" i="24"/>
  <c r="EF237" i="24"/>
  <c r="EF238" i="24"/>
  <c r="EF239" i="24"/>
  <c r="EF240" i="24"/>
  <c r="EF241" i="24"/>
  <c r="EF242" i="24"/>
  <c r="EF243" i="24"/>
  <c r="EF244" i="24"/>
  <c r="EF245" i="24"/>
  <c r="EF246" i="24"/>
  <c r="EF247" i="24"/>
  <c r="EF248" i="24"/>
  <c r="EF249" i="24"/>
  <c r="CW154" i="24"/>
  <c r="CW155" i="24"/>
  <c r="CW156" i="24"/>
  <c r="CW157" i="24"/>
  <c r="CW158" i="24"/>
  <c r="CW159" i="24"/>
  <c r="CW160" i="24"/>
  <c r="CW161" i="24"/>
  <c r="CW162" i="24"/>
  <c r="CW163" i="24"/>
  <c r="CW164" i="24"/>
  <c r="CW165" i="24"/>
  <c r="CW166" i="24"/>
  <c r="CW167" i="24"/>
  <c r="CW168" i="24"/>
  <c r="CW169" i="24"/>
  <c r="CW170" i="24"/>
  <c r="CW171" i="24"/>
  <c r="CW172" i="24"/>
  <c r="CW173" i="24"/>
  <c r="CW174" i="24"/>
  <c r="CW175" i="24"/>
  <c r="CW176" i="24"/>
  <c r="CW177" i="24"/>
  <c r="CW179" i="24"/>
  <c r="CW180" i="24"/>
  <c r="CW181" i="24"/>
  <c r="CW182" i="24"/>
  <c r="CW183" i="24"/>
  <c r="CW184" i="24"/>
  <c r="CW185" i="24"/>
  <c r="CW178" i="24"/>
  <c r="CW186" i="24"/>
  <c r="CW187" i="24"/>
  <c r="CW188" i="24"/>
  <c r="CW189" i="24"/>
  <c r="CW190" i="24"/>
  <c r="CW191" i="24"/>
  <c r="CW192" i="24"/>
  <c r="CW193" i="24"/>
  <c r="CW194" i="24"/>
  <c r="CW195" i="24"/>
  <c r="CW196" i="24"/>
  <c r="CW197" i="24"/>
  <c r="CW198" i="24"/>
  <c r="CW199" i="24"/>
  <c r="CW200" i="24"/>
  <c r="CW201" i="24"/>
  <c r="CW202" i="24"/>
  <c r="CW203" i="24"/>
  <c r="CW204" i="24"/>
  <c r="CW205" i="24"/>
  <c r="CW206" i="24"/>
  <c r="CW207" i="24"/>
  <c r="CW208" i="24"/>
  <c r="CW209" i="24"/>
  <c r="CW210" i="24"/>
  <c r="CW211" i="24"/>
  <c r="CW212" i="24"/>
  <c r="CW213" i="24"/>
  <c r="CW214" i="24"/>
  <c r="CW215" i="24"/>
  <c r="CW216" i="24"/>
  <c r="CW217" i="24"/>
  <c r="CW218" i="24"/>
  <c r="CW219" i="24"/>
  <c r="CW220" i="24"/>
  <c r="CW221" i="24"/>
  <c r="CW222" i="24"/>
  <c r="CW223" i="24"/>
  <c r="CW224" i="24"/>
  <c r="CW225" i="24"/>
  <c r="CW226" i="24"/>
  <c r="CW227" i="24"/>
  <c r="CW228" i="24"/>
  <c r="CW229" i="24"/>
  <c r="CW230" i="24"/>
  <c r="CW231" i="24"/>
  <c r="CW232" i="24"/>
  <c r="CW233" i="24"/>
  <c r="CW234" i="24"/>
  <c r="CW235" i="24"/>
  <c r="CW236" i="24"/>
  <c r="CW237" i="24"/>
  <c r="CW238" i="24"/>
  <c r="CW239" i="24"/>
  <c r="CW240" i="24"/>
  <c r="CW241" i="24"/>
  <c r="CW242" i="24"/>
  <c r="CW243" i="24"/>
  <c r="CW244" i="24"/>
  <c r="CW245" i="24"/>
  <c r="CW246" i="24"/>
  <c r="CW247" i="24"/>
  <c r="CW248" i="24"/>
  <c r="CW249" i="24"/>
  <c r="CV154" i="24"/>
  <c r="CV155" i="24"/>
  <c r="CV156" i="24"/>
  <c r="CV157" i="24"/>
  <c r="CV158" i="24"/>
  <c r="CV159" i="24"/>
  <c r="CV160" i="24"/>
  <c r="CV161" i="24"/>
  <c r="CV162" i="24"/>
  <c r="CV163" i="24"/>
  <c r="CV164" i="24"/>
  <c r="CV165" i="24"/>
  <c r="CV166" i="24"/>
  <c r="CV167" i="24"/>
  <c r="CV168" i="24"/>
  <c r="CV169" i="24"/>
  <c r="CV170" i="24"/>
  <c r="CV171" i="24"/>
  <c r="CV172" i="24"/>
  <c r="CV173" i="24"/>
  <c r="CV174" i="24"/>
  <c r="CV175" i="24"/>
  <c r="CV176" i="24"/>
  <c r="CV177" i="24"/>
  <c r="CV179" i="24"/>
  <c r="CV180" i="24"/>
  <c r="CV181" i="24"/>
  <c r="CV182" i="24"/>
  <c r="CV183" i="24"/>
  <c r="CV184" i="24"/>
  <c r="CV185" i="24"/>
  <c r="CV178" i="24"/>
  <c r="CV186" i="24"/>
  <c r="CV187" i="24"/>
  <c r="CV188" i="24"/>
  <c r="CV189" i="24"/>
  <c r="CV190" i="24"/>
  <c r="CV191" i="24"/>
  <c r="CV192" i="24"/>
  <c r="CV193" i="24"/>
  <c r="CV194" i="24"/>
  <c r="CV195" i="24"/>
  <c r="CV196" i="24"/>
  <c r="CV197" i="24"/>
  <c r="CV198" i="24"/>
  <c r="CV199" i="24"/>
  <c r="CV200" i="24"/>
  <c r="CV201" i="24"/>
  <c r="CV202" i="24"/>
  <c r="CV203" i="24"/>
  <c r="CV204" i="24"/>
  <c r="CV205" i="24"/>
  <c r="CV206" i="24"/>
  <c r="CV207" i="24"/>
  <c r="CV208" i="24"/>
  <c r="CV209" i="24"/>
  <c r="CV210" i="24"/>
  <c r="CV211" i="24"/>
  <c r="CV212" i="24"/>
  <c r="CV213" i="24"/>
  <c r="CV214" i="24"/>
  <c r="CV215" i="24"/>
  <c r="CV216" i="24"/>
  <c r="CV217" i="24"/>
  <c r="CV218" i="24"/>
  <c r="CV219" i="24"/>
  <c r="CV220" i="24"/>
  <c r="CV221" i="24"/>
  <c r="CV222" i="24"/>
  <c r="CV223" i="24"/>
  <c r="CV224" i="24"/>
  <c r="CV225" i="24"/>
  <c r="CV226" i="24"/>
  <c r="CV227" i="24"/>
  <c r="CV228" i="24"/>
  <c r="CV229" i="24"/>
  <c r="CV230" i="24"/>
  <c r="CV231" i="24"/>
  <c r="CV232" i="24"/>
  <c r="CV233" i="24"/>
  <c r="CV234" i="24"/>
  <c r="CV235" i="24"/>
  <c r="CV236" i="24"/>
  <c r="CV237" i="24"/>
  <c r="CV238" i="24"/>
  <c r="CV239" i="24"/>
  <c r="CV240" i="24"/>
  <c r="CV241" i="24"/>
  <c r="CV242" i="24"/>
  <c r="CV243" i="24"/>
  <c r="CV244" i="24"/>
  <c r="CV245" i="24"/>
  <c r="CV246" i="24"/>
  <c r="CV247" i="24"/>
  <c r="CV248" i="24"/>
  <c r="CV249" i="24"/>
  <c r="AJ34" i="23" l="1"/>
  <c r="AJ33" i="23"/>
  <c r="AJ32" i="23"/>
  <c r="AJ31" i="23"/>
  <c r="AE34" i="23"/>
  <c r="AE33" i="23"/>
  <c r="AE32" i="23"/>
  <c r="AE31" i="23"/>
  <c r="AG28" i="23"/>
  <c r="AG2" i="23"/>
  <c r="AG3" i="23"/>
  <c r="AG4" i="23"/>
  <c r="AG5" i="23"/>
  <c r="AG6" i="23"/>
  <c r="AG7" i="23"/>
  <c r="AG8" i="23"/>
  <c r="AG9" i="23"/>
  <c r="AF28" i="23"/>
  <c r="P26" i="23"/>
  <c r="R27" i="23"/>
  <c r="X29" i="23"/>
  <c r="T29" i="23"/>
  <c r="AH23" i="23"/>
  <c r="AH24" i="23"/>
  <c r="AH25" i="23"/>
  <c r="AH19" i="23"/>
  <c r="AH20" i="23"/>
  <c r="AH21" i="23"/>
  <c r="AH15" i="23"/>
  <c r="AH16" i="23"/>
  <c r="AH17" i="23"/>
  <c r="AH7" i="23"/>
  <c r="AH8" i="23"/>
  <c r="AH9" i="23"/>
  <c r="AH3" i="23"/>
  <c r="AH4" i="23"/>
  <c r="AH5" i="23"/>
  <c r="AF3" i="23"/>
  <c r="AF4" i="23"/>
  <c r="AF5" i="23"/>
  <c r="AC23" i="23"/>
  <c r="AD23" i="23"/>
  <c r="AE23" i="23"/>
  <c r="AI23" i="23"/>
  <c r="AC24" i="23"/>
  <c r="AD24" i="23"/>
  <c r="AE24" i="23"/>
  <c r="AI24" i="23"/>
  <c r="AC25" i="23"/>
  <c r="AD25" i="23"/>
  <c r="AE25" i="23"/>
  <c r="AI25" i="23"/>
  <c r="AC19" i="23"/>
  <c r="AD19" i="23"/>
  <c r="AE19" i="23"/>
  <c r="AI19" i="23"/>
  <c r="AC20" i="23"/>
  <c r="AD20" i="23"/>
  <c r="AE20" i="23"/>
  <c r="AI20" i="23"/>
  <c r="AC21" i="23"/>
  <c r="AD21" i="23"/>
  <c r="AE21" i="23"/>
  <c r="AI21" i="23"/>
  <c r="AC15" i="23"/>
  <c r="AD15" i="23"/>
  <c r="AE15" i="23"/>
  <c r="AI15" i="23"/>
  <c r="AC16" i="23"/>
  <c r="AD16" i="23"/>
  <c r="AE16" i="23"/>
  <c r="AI16" i="23"/>
  <c r="AC17" i="23"/>
  <c r="AD17" i="23"/>
  <c r="AE17" i="23"/>
  <c r="AI17" i="23"/>
  <c r="AC11" i="23"/>
  <c r="AD11" i="23"/>
  <c r="AE11" i="23"/>
  <c r="AI11" i="23"/>
  <c r="AC12" i="23"/>
  <c r="AD12" i="23"/>
  <c r="AE12" i="23"/>
  <c r="AI12" i="23"/>
  <c r="AC13" i="23"/>
  <c r="AD13" i="23"/>
  <c r="AE13" i="23"/>
  <c r="AI13" i="23"/>
  <c r="AC7" i="23"/>
  <c r="AD7" i="23"/>
  <c r="AE7" i="23"/>
  <c r="AI7" i="23"/>
  <c r="AC8" i="23"/>
  <c r="AD8" i="23"/>
  <c r="AE8" i="23"/>
  <c r="AI8" i="23"/>
  <c r="AC9" i="23"/>
  <c r="AD9" i="23"/>
  <c r="AE9" i="23"/>
  <c r="AI9" i="23"/>
  <c r="AC3" i="23"/>
  <c r="AD3" i="23"/>
  <c r="AE3" i="23"/>
  <c r="AI3" i="23"/>
  <c r="AC4" i="23"/>
  <c r="AD4" i="23"/>
  <c r="AE4" i="23"/>
  <c r="AI4" i="23"/>
  <c r="AC5" i="23"/>
  <c r="AD5" i="23"/>
  <c r="AE5" i="23"/>
  <c r="AI5" i="23"/>
  <c r="AF2" i="23"/>
  <c r="AH22" i="23"/>
  <c r="AH18" i="23"/>
  <c r="AH14" i="23"/>
  <c r="AH2" i="23"/>
  <c r="AH6" i="23"/>
  <c r="AI2" i="23"/>
  <c r="AI6" i="23"/>
  <c r="AI10" i="23"/>
  <c r="AI14" i="23"/>
  <c r="AI18" i="23"/>
  <c r="AI22" i="23"/>
  <c r="AE2" i="23"/>
  <c r="AE6" i="23"/>
  <c r="AE10" i="23"/>
  <c r="AE14" i="23"/>
  <c r="AE18" i="23"/>
  <c r="AE22" i="23"/>
  <c r="AD2" i="23"/>
  <c r="AD6" i="23"/>
  <c r="AD10" i="23"/>
  <c r="AD14" i="23"/>
  <c r="AD18" i="23"/>
  <c r="AD22" i="23"/>
  <c r="AC2" i="23"/>
  <c r="AC6" i="23"/>
  <c r="AC10" i="23"/>
  <c r="AC14" i="23"/>
  <c r="AC18" i="23"/>
  <c r="AC22" i="23"/>
  <c r="AF17" i="8"/>
  <c r="N10" i="23"/>
  <c r="N6" i="23"/>
  <c r="N22" i="23"/>
  <c r="G22" i="23"/>
  <c r="G10" i="23"/>
  <c r="G6" i="23"/>
  <c r="R8" i="4" l="1"/>
  <c r="R9" i="4"/>
  <c r="R10" i="4"/>
  <c r="M5" i="5"/>
  <c r="AT37" i="22" l="1"/>
  <c r="AT36" i="22"/>
  <c r="AT35" i="22"/>
  <c r="AT34" i="22"/>
  <c r="AT33" i="22"/>
  <c r="AT32" i="22"/>
  <c r="AT31" i="22"/>
  <c r="AT30" i="22"/>
  <c r="AT29" i="22"/>
  <c r="AT28" i="22"/>
  <c r="AT27" i="22"/>
  <c r="AT26" i="22"/>
  <c r="L25" i="22"/>
  <c r="L24" i="22"/>
  <c r="L23" i="22"/>
  <c r="L22" i="22"/>
  <c r="L21" i="22"/>
  <c r="L20" i="22"/>
  <c r="L19" i="22"/>
  <c r="L18" i="22"/>
  <c r="L13" i="22"/>
  <c r="L12" i="22"/>
  <c r="L11" i="22"/>
  <c r="L10" i="22"/>
  <c r="L6" i="22"/>
  <c r="Q10" i="22"/>
  <c r="G22" i="22"/>
  <c r="G18" i="22"/>
  <c r="G10" i="22"/>
  <c r="G6" i="22"/>
  <c r="V10" i="22"/>
  <c r="V22" i="22"/>
  <c r="V6" i="22"/>
  <c r="AO25" i="22"/>
  <c r="AO24" i="22"/>
  <c r="AO23" i="22"/>
  <c r="AO22" i="22"/>
  <c r="AO21" i="22"/>
  <c r="AO20" i="22"/>
  <c r="AO19" i="22"/>
  <c r="AO18" i="22"/>
  <c r="AO17" i="22"/>
  <c r="AO16" i="22"/>
  <c r="AO15" i="22"/>
  <c r="AO14" i="22"/>
  <c r="AO13" i="22"/>
  <c r="AO12" i="22"/>
  <c r="AO11" i="22"/>
  <c r="AO10" i="22"/>
  <c r="AO9" i="22"/>
  <c r="AO8" i="22"/>
  <c r="AO7" i="22"/>
  <c r="AO6" i="22"/>
  <c r="AO5" i="22"/>
  <c r="AO4" i="22"/>
  <c r="AO3" i="22"/>
  <c r="X25" i="22"/>
  <c r="X24" i="22"/>
  <c r="X23" i="22"/>
  <c r="X22" i="22"/>
  <c r="X21" i="22"/>
  <c r="X20" i="22"/>
  <c r="X19" i="22"/>
  <c r="X18" i="22"/>
  <c r="X13" i="22"/>
  <c r="X12" i="22"/>
  <c r="X11" i="22"/>
  <c r="X10" i="22"/>
  <c r="X9" i="22"/>
  <c r="X8" i="22"/>
  <c r="X7" i="22"/>
  <c r="X6" i="22"/>
  <c r="X5" i="22"/>
  <c r="X4" i="22"/>
  <c r="X3" i="22"/>
  <c r="X2" i="22"/>
  <c r="AO61" i="22"/>
  <c r="AO34" i="22"/>
  <c r="AO30" i="22"/>
  <c r="AO26" i="22"/>
  <c r="T35" i="22"/>
  <c r="X35" i="22"/>
  <c r="T36" i="22"/>
  <c r="X36" i="22"/>
  <c r="T37" i="22"/>
  <c r="X37" i="22"/>
  <c r="T31" i="22"/>
  <c r="T32" i="22"/>
  <c r="T33" i="22"/>
  <c r="T27" i="22"/>
  <c r="T28" i="22"/>
  <c r="T29" i="22"/>
  <c r="AR2" i="22"/>
  <c r="AR3" i="22"/>
  <c r="AR4" i="22"/>
  <c r="AR5" i="22"/>
  <c r="AR6" i="22"/>
  <c r="AR7" i="22"/>
  <c r="AR8" i="22"/>
  <c r="AR9" i="22"/>
  <c r="AR10" i="22"/>
  <c r="AR11" i="22"/>
  <c r="AR12" i="22"/>
  <c r="AR13" i="22"/>
  <c r="AR14" i="22"/>
  <c r="AR15" i="22"/>
  <c r="AR16" i="22"/>
  <c r="AR17" i="22"/>
  <c r="AR18" i="22"/>
  <c r="AR19" i="22"/>
  <c r="AR20" i="22"/>
  <c r="AR21" i="22"/>
  <c r="AR22" i="22"/>
  <c r="AR23" i="22"/>
  <c r="AR24" i="22"/>
  <c r="AR25" i="22"/>
  <c r="AQ25" i="22"/>
  <c r="AQ24" i="22"/>
  <c r="AQ23" i="22"/>
  <c r="AQ21" i="22"/>
  <c r="AQ20" i="22"/>
  <c r="AQ19" i="22"/>
  <c r="AQ17" i="22"/>
  <c r="AQ16" i="22"/>
  <c r="AQ15" i="22"/>
  <c r="AQ13" i="22"/>
  <c r="AQ12" i="22"/>
  <c r="AQ11" i="22"/>
  <c r="AQ9" i="22"/>
  <c r="AQ7" i="22"/>
  <c r="AQ5" i="22"/>
  <c r="AQ4" i="22"/>
  <c r="AQ3" i="22"/>
  <c r="AQ22" i="22"/>
  <c r="AQ18" i="22"/>
  <c r="AQ14" i="22"/>
  <c r="AQ10" i="22"/>
  <c r="AQ6" i="22"/>
  <c r="AQ2" i="22"/>
  <c r="L9" i="22" l="1"/>
  <c r="L7" i="22"/>
  <c r="L8" i="22"/>
  <c r="M9" i="22"/>
  <c r="M8" i="22"/>
  <c r="M7" i="22"/>
  <c r="M25" i="22"/>
  <c r="M24" i="22"/>
  <c r="M23" i="22"/>
  <c r="M21" i="22"/>
  <c r="M20" i="22"/>
  <c r="M19" i="22"/>
  <c r="M17" i="22"/>
  <c r="M16" i="22"/>
  <c r="M15" i="22"/>
  <c r="Y60" i="22"/>
  <c r="AT57" i="22"/>
  <c r="AS57" i="22"/>
  <c r="AT56" i="22"/>
  <c r="AS56" i="22"/>
  <c r="AT55" i="22"/>
  <c r="AS55" i="22"/>
  <c r="AT54" i="22"/>
  <c r="AS54" i="22"/>
  <c r="AS47" i="22"/>
  <c r="AS48" i="22"/>
  <c r="AS49" i="22"/>
  <c r="T45" i="22"/>
  <c r="T44" i="22"/>
  <c r="T43" i="22"/>
  <c r="T42" i="22"/>
  <c r="X45" i="22"/>
  <c r="X44" i="22"/>
  <c r="X43" i="22"/>
  <c r="X42" i="22"/>
  <c r="AT49" i="22"/>
  <c r="AT48" i="22"/>
  <c r="AT47" i="22"/>
  <c r="AT45" i="22"/>
  <c r="AS45" i="22"/>
  <c r="AT44" i="22"/>
  <c r="AS44" i="22"/>
  <c r="AT43" i="22"/>
  <c r="AS43" i="22"/>
  <c r="AS40" i="22"/>
  <c r="AS39" i="22"/>
  <c r="AT39" i="22"/>
  <c r="AT40" i="22"/>
  <c r="T39" i="22"/>
  <c r="T40" i="22"/>
  <c r="T41" i="22"/>
  <c r="X39" i="22"/>
  <c r="X40" i="22"/>
  <c r="X41" i="22"/>
  <c r="K45" i="22"/>
  <c r="K44" i="22"/>
  <c r="K43" i="22"/>
  <c r="J45" i="22"/>
  <c r="J44" i="22"/>
  <c r="J43" i="22"/>
  <c r="R45" i="22"/>
  <c r="R44" i="22"/>
  <c r="R43" i="22"/>
  <c r="Q45" i="22"/>
  <c r="Q44" i="22"/>
  <c r="Q43" i="22"/>
  <c r="P45" i="22"/>
  <c r="P44" i="22"/>
  <c r="P43" i="22"/>
  <c r="N45" i="22"/>
  <c r="N44" i="22"/>
  <c r="N43" i="22"/>
  <c r="R41" i="22"/>
  <c r="R40" i="22"/>
  <c r="R39" i="22"/>
  <c r="P41" i="22"/>
  <c r="P40" i="22"/>
  <c r="P39" i="22"/>
  <c r="N41" i="22"/>
  <c r="N40" i="22"/>
  <c r="N39" i="22"/>
  <c r="J41" i="22"/>
  <c r="J40" i="22"/>
  <c r="J39" i="22"/>
  <c r="AS41" i="22"/>
  <c r="AT41" i="22"/>
  <c r="AJ45" i="16" l="1"/>
  <c r="AJ44" i="16"/>
  <c r="AJ43" i="16"/>
  <c r="AJ42" i="16"/>
  <c r="AJ41" i="16"/>
  <c r="AJ40" i="16"/>
  <c r="AJ39" i="16"/>
  <c r="AJ38" i="16"/>
  <c r="AJ37" i="16"/>
  <c r="AJ36" i="16"/>
  <c r="AJ35" i="16"/>
  <c r="AJ34" i="16"/>
  <c r="AJ29" i="16"/>
  <c r="AJ28" i="16"/>
  <c r="AJ27" i="16"/>
  <c r="AJ26" i="16"/>
  <c r="AJ25" i="16"/>
  <c r="AJ24" i="16"/>
  <c r="AJ23" i="16"/>
  <c r="AJ22" i="16"/>
  <c r="AJ21" i="16"/>
  <c r="AJ20" i="16"/>
  <c r="AJ19" i="16"/>
  <c r="AJ18" i="16"/>
  <c r="AJ89" i="16"/>
  <c r="AJ88" i="16"/>
  <c r="AJ87" i="16"/>
  <c r="AJ86" i="16"/>
  <c r="AJ85" i="16"/>
  <c r="AJ84" i="16"/>
  <c r="AJ83" i="16"/>
  <c r="AJ82" i="16"/>
  <c r="AJ65" i="16"/>
  <c r="AJ64" i="16"/>
  <c r="AJ63" i="16"/>
  <c r="AJ62" i="16"/>
  <c r="AJ61" i="16"/>
  <c r="AJ60" i="16"/>
  <c r="AJ59" i="16"/>
  <c r="AJ58" i="16"/>
  <c r="AJ49" i="16"/>
  <c r="AJ48" i="16"/>
  <c r="AJ47" i="16"/>
  <c r="AJ46" i="16"/>
  <c r="AJ73" i="16"/>
  <c r="AJ72" i="16"/>
  <c r="AJ71" i="16"/>
  <c r="AJ70" i="16"/>
  <c r="AJ69" i="16"/>
  <c r="AJ68" i="16"/>
  <c r="AJ67" i="16"/>
  <c r="AJ66" i="16"/>
  <c r="AJ57" i="16"/>
  <c r="AJ56" i="16"/>
  <c r="AJ55" i="16"/>
  <c r="AJ54" i="16"/>
  <c r="AJ53" i="16"/>
  <c r="AJ52" i="16"/>
  <c r="AJ51" i="16"/>
  <c r="AJ50" i="16"/>
  <c r="AJ113" i="16"/>
  <c r="AJ112" i="16"/>
  <c r="AJ111" i="16"/>
  <c r="AJ110" i="16"/>
  <c r="AJ97" i="16"/>
  <c r="AJ96" i="16"/>
  <c r="AJ95" i="16"/>
  <c r="AJ94" i="16"/>
  <c r="AJ93" i="16"/>
  <c r="AJ92" i="16"/>
  <c r="AJ91" i="16"/>
  <c r="AJ90" i="16"/>
  <c r="AJ33" i="16"/>
  <c r="AJ32" i="16"/>
  <c r="AJ31" i="16"/>
  <c r="AJ30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J3" i="16"/>
  <c r="AJ2" i="16"/>
  <c r="AN121" i="16"/>
  <c r="AN120" i="16"/>
  <c r="AN119" i="16"/>
  <c r="AN118" i="16"/>
  <c r="AN117" i="16"/>
  <c r="AN116" i="16"/>
  <c r="AN115" i="16"/>
  <c r="AN114" i="16"/>
  <c r="AM114" i="16"/>
  <c r="AQ114" i="16" s="1"/>
  <c r="AM121" i="16"/>
  <c r="AQ121" i="16" s="1"/>
  <c r="AM120" i="16"/>
  <c r="AQ120" i="16" s="1"/>
  <c r="AM119" i="16"/>
  <c r="AQ119" i="16" s="1"/>
  <c r="AM118" i="16"/>
  <c r="AQ118" i="16" s="1"/>
  <c r="AM117" i="16"/>
  <c r="AQ117" i="16" s="1"/>
  <c r="AM116" i="16"/>
  <c r="AQ116" i="16" s="1"/>
  <c r="AM115" i="16"/>
  <c r="AQ115" i="16" s="1"/>
  <c r="AN109" i="16"/>
  <c r="AQ109" i="16" s="1"/>
  <c r="AN108" i="16"/>
  <c r="AQ108" i="16" s="1"/>
  <c r="AN107" i="16"/>
  <c r="AQ107" i="16" s="1"/>
  <c r="AN106" i="16"/>
  <c r="AQ106" i="16" s="1"/>
  <c r="AN105" i="16"/>
  <c r="AQ105" i="16" s="1"/>
  <c r="AN104" i="16"/>
  <c r="AQ104" i="16" s="1"/>
  <c r="AN103" i="16"/>
  <c r="AQ103" i="16" s="1"/>
  <c r="AN102" i="16"/>
  <c r="AQ102" i="16" s="1"/>
  <c r="AN101" i="16"/>
  <c r="AQ101" i="16" s="1"/>
  <c r="AN100" i="16"/>
  <c r="AQ100" i="16" s="1"/>
  <c r="AN99" i="16"/>
  <c r="AQ99" i="16" s="1"/>
  <c r="AN98" i="16"/>
  <c r="AQ98" i="16" s="1"/>
  <c r="AM109" i="16"/>
  <c r="AM108" i="16"/>
  <c r="AM107" i="16"/>
  <c r="AM106" i="16"/>
  <c r="AM105" i="16"/>
  <c r="AM104" i="16"/>
  <c r="AM103" i="16"/>
  <c r="AM102" i="16"/>
  <c r="AM101" i="16"/>
  <c r="AM100" i="16"/>
  <c r="AM99" i="16"/>
  <c r="AM98" i="16"/>
  <c r="AN45" i="16"/>
  <c r="AN44" i="16"/>
  <c r="AN43" i="16"/>
  <c r="AN42" i="16"/>
  <c r="AN41" i="16"/>
  <c r="AN40" i="16"/>
  <c r="AN39" i="16"/>
  <c r="AN38" i="16"/>
  <c r="AN37" i="16"/>
  <c r="AN36" i="16"/>
  <c r="AN35" i="16"/>
  <c r="AN34" i="16"/>
  <c r="AN29" i="16"/>
  <c r="AN28" i="16"/>
  <c r="AN27" i="16"/>
  <c r="AN26" i="16"/>
  <c r="AN25" i="16"/>
  <c r="AN24" i="16"/>
  <c r="AN23" i="16"/>
  <c r="AN22" i="16"/>
  <c r="AN21" i="16"/>
  <c r="AN20" i="16"/>
  <c r="AN19" i="16"/>
  <c r="AN18" i="16"/>
  <c r="AM45" i="16"/>
  <c r="AQ45" i="16" s="1"/>
  <c r="AM44" i="16"/>
  <c r="AQ44" i="16" s="1"/>
  <c r="AM43" i="16"/>
  <c r="AQ43" i="16" s="1"/>
  <c r="AM42" i="16"/>
  <c r="AQ42" i="16" s="1"/>
  <c r="AM41" i="16"/>
  <c r="AQ41" i="16" s="1"/>
  <c r="AM40" i="16"/>
  <c r="AQ40" i="16" s="1"/>
  <c r="AM39" i="16"/>
  <c r="AQ39" i="16" s="1"/>
  <c r="AM38" i="16"/>
  <c r="AQ38" i="16" s="1"/>
  <c r="AM37" i="16"/>
  <c r="AQ37" i="16" s="1"/>
  <c r="AM36" i="16"/>
  <c r="AQ36" i="16" s="1"/>
  <c r="AM35" i="16"/>
  <c r="AQ35" i="16" s="1"/>
  <c r="AM34" i="16"/>
  <c r="AQ34" i="16" s="1"/>
  <c r="AM29" i="16"/>
  <c r="AQ29" i="16" s="1"/>
  <c r="AM28" i="16"/>
  <c r="AQ28" i="16" s="1"/>
  <c r="AM27" i="16"/>
  <c r="AQ27" i="16" s="1"/>
  <c r="AM26" i="16"/>
  <c r="AQ26" i="16" s="1"/>
  <c r="AM25" i="16"/>
  <c r="AQ25" i="16" s="1"/>
  <c r="AM24" i="16"/>
  <c r="AQ24" i="16" s="1"/>
  <c r="AM23" i="16"/>
  <c r="AQ23" i="16" s="1"/>
  <c r="AM22" i="16"/>
  <c r="AQ22" i="16" s="1"/>
  <c r="AM21" i="16"/>
  <c r="AQ21" i="16" s="1"/>
  <c r="AM20" i="16"/>
  <c r="AQ20" i="16" s="1"/>
  <c r="AM19" i="16"/>
  <c r="AQ19" i="16" s="1"/>
  <c r="AM18" i="16"/>
  <c r="AN89" i="16"/>
  <c r="AN88" i="16"/>
  <c r="AN87" i="16"/>
  <c r="AN86" i="16"/>
  <c r="AN85" i="16"/>
  <c r="AN84" i="16"/>
  <c r="AN83" i="16"/>
  <c r="AN82" i="16"/>
  <c r="AN65" i="16"/>
  <c r="AN64" i="16"/>
  <c r="AN63" i="16"/>
  <c r="AN62" i="16"/>
  <c r="AN61" i="16"/>
  <c r="AN60" i="16"/>
  <c r="AN59" i="16"/>
  <c r="AN58" i="16"/>
  <c r="AM89" i="16"/>
  <c r="AP89" i="16" s="1"/>
  <c r="AM88" i="16"/>
  <c r="AP88" i="16" s="1"/>
  <c r="AM87" i="16"/>
  <c r="AP87" i="16" s="1"/>
  <c r="AM86" i="16"/>
  <c r="AP86" i="16" s="1"/>
  <c r="AM85" i="16"/>
  <c r="AP85" i="16" s="1"/>
  <c r="AM84" i="16"/>
  <c r="AP84" i="16" s="1"/>
  <c r="AM83" i="16"/>
  <c r="AP83" i="16" s="1"/>
  <c r="AM82" i="16"/>
  <c r="AP82" i="16" s="1"/>
  <c r="AM65" i="16"/>
  <c r="AP65" i="16" s="1"/>
  <c r="AM64" i="16"/>
  <c r="AP64" i="16" s="1"/>
  <c r="AM63" i="16"/>
  <c r="AP63" i="16" s="1"/>
  <c r="AM62" i="16"/>
  <c r="AP62" i="16" s="1"/>
  <c r="AM61" i="16"/>
  <c r="AP61" i="16" s="1"/>
  <c r="AM60" i="16"/>
  <c r="AP60" i="16" s="1"/>
  <c r="AM59" i="16"/>
  <c r="AP59" i="16" s="1"/>
  <c r="AM58" i="16"/>
  <c r="AP58" i="16" s="1"/>
  <c r="AN73" i="16"/>
  <c r="AN72" i="16"/>
  <c r="AN71" i="16"/>
  <c r="AN70" i="16"/>
  <c r="AN69" i="16"/>
  <c r="AN68" i="16"/>
  <c r="AN67" i="16"/>
  <c r="AN66" i="16"/>
  <c r="AN57" i="16"/>
  <c r="AN56" i="16"/>
  <c r="AN55" i="16"/>
  <c r="AN54" i="16"/>
  <c r="AN53" i="16"/>
  <c r="AN52" i="16"/>
  <c r="AN51" i="16"/>
  <c r="AN50" i="16"/>
  <c r="AM73" i="16"/>
  <c r="AQ73" i="16" s="1"/>
  <c r="AM72" i="16"/>
  <c r="AQ72" i="16" s="1"/>
  <c r="AM71" i="16"/>
  <c r="AQ71" i="16" s="1"/>
  <c r="AM70" i="16"/>
  <c r="AQ70" i="16" s="1"/>
  <c r="AM69" i="16"/>
  <c r="AQ69" i="16" s="1"/>
  <c r="AM68" i="16"/>
  <c r="AQ68" i="16" s="1"/>
  <c r="AM67" i="16"/>
  <c r="AQ67" i="16" s="1"/>
  <c r="AM66" i="16"/>
  <c r="AQ66" i="16" s="1"/>
  <c r="AM57" i="16"/>
  <c r="AQ57" i="16" s="1"/>
  <c r="AM56" i="16"/>
  <c r="AQ56" i="16" s="1"/>
  <c r="AM55" i="16"/>
  <c r="AQ55" i="16" s="1"/>
  <c r="AM54" i="16"/>
  <c r="AQ54" i="16" s="1"/>
  <c r="AM53" i="16"/>
  <c r="AQ53" i="16" s="1"/>
  <c r="AM52" i="16"/>
  <c r="AQ52" i="16" s="1"/>
  <c r="AM51" i="16"/>
  <c r="AQ51" i="16" s="1"/>
  <c r="AM50" i="16"/>
  <c r="AQ50" i="16" s="1"/>
  <c r="AM113" i="16"/>
  <c r="AQ113" i="16" s="1"/>
  <c r="AM112" i="16"/>
  <c r="AQ112" i="16" s="1"/>
  <c r="AM111" i="16"/>
  <c r="AQ111" i="16" s="1"/>
  <c r="AM110" i="16"/>
  <c r="AQ110" i="16" s="1"/>
  <c r="AM97" i="16"/>
  <c r="AQ97" i="16" s="1"/>
  <c r="AM96" i="16"/>
  <c r="AQ96" i="16" s="1"/>
  <c r="AM95" i="16"/>
  <c r="AQ95" i="16" s="1"/>
  <c r="AM94" i="16"/>
  <c r="AQ94" i="16" s="1"/>
  <c r="AM93" i="16"/>
  <c r="AQ93" i="16" s="1"/>
  <c r="AM92" i="16"/>
  <c r="AQ92" i="16" s="1"/>
  <c r="AM91" i="16"/>
  <c r="AQ91" i="16" s="1"/>
  <c r="AM90" i="16"/>
  <c r="AQ90" i="16" s="1"/>
  <c r="AN113" i="16"/>
  <c r="AN112" i="16"/>
  <c r="AN111" i="16"/>
  <c r="AN110" i="16"/>
  <c r="AN97" i="16"/>
  <c r="AN96" i="16"/>
  <c r="AN95" i="16"/>
  <c r="AN94" i="16"/>
  <c r="AN93" i="16"/>
  <c r="AN92" i="16"/>
  <c r="AN91" i="16"/>
  <c r="AN90" i="16"/>
  <c r="AQ18" i="16" l="1"/>
  <c r="E18" i="38"/>
  <c r="E13" i="38"/>
  <c r="E14" i="38"/>
  <c r="E17" i="38"/>
  <c r="F13" i="38" s="1"/>
  <c r="E10" i="38"/>
  <c r="E9" i="38"/>
  <c r="E6" i="38"/>
  <c r="E5" i="38"/>
  <c r="E2" i="38"/>
  <c r="E26" i="38"/>
  <c r="E22" i="38"/>
  <c r="F18" i="38"/>
  <c r="F9" i="38"/>
  <c r="F2" i="38"/>
  <c r="F5" i="38"/>
  <c r="F6" i="38"/>
  <c r="F21" i="38"/>
  <c r="F22" i="38"/>
  <c r="F25" i="38"/>
  <c r="F26" i="38"/>
  <c r="F29" i="38"/>
  <c r="H36" i="38"/>
  <c r="H35" i="38"/>
  <c r="H32" i="38"/>
  <c r="H31" i="38"/>
  <c r="H28" i="38"/>
  <c r="F28" i="38" s="1"/>
  <c r="H27" i="38"/>
  <c r="F27" i="38" s="1"/>
  <c r="H24" i="38"/>
  <c r="F24" i="38" s="1"/>
  <c r="H23" i="38"/>
  <c r="F23" i="38" s="1"/>
  <c r="H20" i="38"/>
  <c r="F20" i="38" s="1"/>
  <c r="H19" i="38"/>
  <c r="F19" i="38" s="1"/>
  <c r="H16" i="38"/>
  <c r="E16" i="38" s="1"/>
  <c r="H15" i="38"/>
  <c r="E15" i="38" s="1"/>
  <c r="H8" i="38"/>
  <c r="E8" i="38" s="1"/>
  <c r="H7" i="38"/>
  <c r="E7" i="38" s="1"/>
  <c r="H4" i="38"/>
  <c r="E4" i="38" s="1"/>
  <c r="H3" i="38"/>
  <c r="E3" i="38" s="1"/>
  <c r="H12" i="38"/>
  <c r="E12" i="38" s="1"/>
  <c r="H11" i="38"/>
  <c r="E11" i="38" s="1"/>
  <c r="T53" i="16"/>
  <c r="U53" i="16" s="1"/>
  <c r="T52" i="16"/>
  <c r="U52" i="16" s="1"/>
  <c r="T51" i="16"/>
  <c r="U51" i="16" s="1"/>
  <c r="T50" i="16"/>
  <c r="T49" i="16"/>
  <c r="U49" i="16" s="1"/>
  <c r="T48" i="16"/>
  <c r="U48" i="16" s="1"/>
  <c r="T47" i="16"/>
  <c r="U47" i="16" s="1"/>
  <c r="T46" i="16"/>
  <c r="F12" i="38" l="1"/>
  <c r="F11" i="38"/>
  <c r="F10" i="38"/>
  <c r="L11" i="38"/>
  <c r="L12" i="38" s="1"/>
  <c r="L13" i="38" s="1"/>
  <c r="K11" i="38"/>
  <c r="K12" i="38" s="1"/>
  <c r="K13" i="38" s="1"/>
  <c r="K27" i="38"/>
  <c r="K28" i="38" s="1"/>
  <c r="K29" i="38" s="1"/>
  <c r="L27" i="38"/>
  <c r="L28" i="38" s="1"/>
  <c r="L29" i="38" s="1"/>
  <c r="K19" i="38"/>
  <c r="K20" i="38" s="1"/>
  <c r="K21" i="38" s="1"/>
  <c r="L19" i="38"/>
  <c r="L20" i="38" s="1"/>
  <c r="L21" i="38" s="1"/>
  <c r="L23" i="38"/>
  <c r="L24" i="38" s="1"/>
  <c r="L25" i="38" s="1"/>
  <c r="K23" i="38"/>
  <c r="K24" i="38" s="1"/>
  <c r="K25" i="38" s="1"/>
  <c r="G26" i="38"/>
  <c r="G27" i="38" s="1"/>
  <c r="E27" i="38" s="1"/>
  <c r="F4" i="38"/>
  <c r="G22" i="38"/>
  <c r="G23" i="38" s="1"/>
  <c r="G24" i="38" s="1"/>
  <c r="F8" i="38"/>
  <c r="G18" i="38"/>
  <c r="G19" i="38" s="1"/>
  <c r="E19" i="38" s="1"/>
  <c r="F7" i="38"/>
  <c r="F3" i="38"/>
  <c r="K3" i="38" l="1"/>
  <c r="K4" i="38" s="1"/>
  <c r="K5" i="38" s="1"/>
  <c r="L3" i="38"/>
  <c r="L4" i="38" s="1"/>
  <c r="L5" i="38" s="1"/>
  <c r="K7" i="38"/>
  <c r="K8" i="38" s="1"/>
  <c r="K9" i="38" s="1"/>
  <c r="L7" i="38"/>
  <c r="L8" i="38" s="1"/>
  <c r="L9" i="38" s="1"/>
  <c r="G28" i="38"/>
  <c r="E28" i="38" s="1"/>
  <c r="E23" i="38"/>
  <c r="G20" i="38"/>
  <c r="E20" i="38" s="1"/>
  <c r="G25" i="38"/>
  <c r="E25" i="38" s="1"/>
  <c r="E24" i="38"/>
  <c r="G29" i="38"/>
  <c r="E29" i="38" s="1"/>
  <c r="G21" i="38" l="1"/>
  <c r="E21" i="38" s="1"/>
  <c r="AE34" i="20" l="1"/>
  <c r="AB34" i="20"/>
  <c r="Y34" i="20"/>
  <c r="M34" i="20"/>
  <c r="M33" i="20"/>
  <c r="M32" i="20"/>
  <c r="AE31" i="20"/>
  <c r="AB31" i="20"/>
  <c r="Y31" i="20"/>
  <c r="M29" i="20"/>
  <c r="M30" i="20"/>
  <c r="M31" i="20"/>
  <c r="AE28" i="20"/>
  <c r="AB28" i="20"/>
  <c r="Y28" i="20"/>
  <c r="M28" i="20"/>
  <c r="M27" i="20"/>
  <c r="M26" i="20"/>
  <c r="AE25" i="20"/>
  <c r="AB25" i="20"/>
  <c r="Y25" i="20"/>
  <c r="M25" i="20"/>
  <c r="M24" i="20"/>
  <c r="M23" i="20"/>
  <c r="AE22" i="20"/>
  <c r="M2" i="20"/>
  <c r="T2" i="20"/>
  <c r="M3" i="20"/>
  <c r="T3" i="20"/>
  <c r="U3" i="20" s="1"/>
  <c r="W3" i="20"/>
  <c r="X3" i="20"/>
  <c r="Z3" i="20"/>
  <c r="AA3" i="20"/>
  <c r="AB3" i="20"/>
  <c r="AC3" i="20"/>
  <c r="AD3" i="20"/>
  <c r="M4" i="20"/>
  <c r="T4" i="20"/>
  <c r="U4" i="20" s="1"/>
  <c r="M5" i="20"/>
  <c r="T5" i="20"/>
  <c r="U5" i="20" s="1"/>
  <c r="M6" i="20"/>
  <c r="T6" i="20"/>
  <c r="U6" i="20" s="1"/>
  <c r="W6" i="20"/>
  <c r="X6" i="20"/>
  <c r="Z6" i="20"/>
  <c r="AA6" i="20"/>
  <c r="AB6" i="20"/>
  <c r="AC6" i="20"/>
  <c r="AD6" i="20"/>
  <c r="M7" i="20"/>
  <c r="T7" i="20"/>
  <c r="U7" i="20" s="1"/>
  <c r="M8" i="20"/>
  <c r="T8" i="20"/>
  <c r="U8" i="20" s="1"/>
  <c r="M9" i="20"/>
  <c r="T9" i="20"/>
  <c r="U9" i="20" s="1"/>
  <c r="W9" i="20"/>
  <c r="X9" i="20"/>
  <c r="Z9" i="20"/>
  <c r="AA9" i="20"/>
  <c r="AB9" i="20"/>
  <c r="AC9" i="20"/>
  <c r="AD9" i="20"/>
  <c r="M10" i="20"/>
  <c r="T10" i="20"/>
  <c r="U10" i="20" s="1"/>
  <c r="M11" i="20"/>
  <c r="T11" i="20"/>
  <c r="U11" i="20" s="1"/>
  <c r="M12" i="20"/>
  <c r="T12" i="20"/>
  <c r="U12" i="20" s="1"/>
  <c r="W12" i="20"/>
  <c r="X12" i="20"/>
  <c r="Z12" i="20"/>
  <c r="AA12" i="20"/>
  <c r="AB12" i="20"/>
  <c r="AC12" i="20"/>
  <c r="AD12" i="20"/>
  <c r="M13" i="20"/>
  <c r="T13" i="20"/>
  <c r="U13" i="20" s="1"/>
  <c r="M14" i="20"/>
  <c r="T14" i="20"/>
  <c r="V14" i="20" s="1"/>
  <c r="M15" i="20"/>
  <c r="T15" i="20"/>
  <c r="V15" i="20" s="1"/>
  <c r="W15" i="20"/>
  <c r="X15" i="20"/>
  <c r="Z15" i="20"/>
  <c r="AA15" i="20"/>
  <c r="AB15" i="20"/>
  <c r="AC15" i="20"/>
  <c r="AD15" i="20"/>
  <c r="M16" i="20"/>
  <c r="T16" i="20"/>
  <c r="V16" i="20" s="1"/>
  <c r="M17" i="20"/>
  <c r="T17" i="20"/>
  <c r="U17" i="20" s="1"/>
  <c r="M18" i="20"/>
  <c r="T18" i="20"/>
  <c r="U18" i="20" s="1"/>
  <c r="W18" i="20"/>
  <c r="X18" i="20"/>
  <c r="Z18" i="20"/>
  <c r="AA18" i="20"/>
  <c r="AB18" i="20"/>
  <c r="AC18" i="20"/>
  <c r="M19" i="20"/>
  <c r="T19" i="20"/>
  <c r="U19" i="20" s="1"/>
  <c r="M20" i="20"/>
  <c r="M21" i="20"/>
  <c r="M22" i="20"/>
  <c r="Y22" i="20"/>
  <c r="AB22" i="20"/>
  <c r="AD18" i="20"/>
  <c r="U2" i="20" l="1"/>
  <c r="AE6" i="20"/>
  <c r="AE9" i="20"/>
  <c r="AE12" i="20"/>
  <c r="AE18" i="20"/>
  <c r="AE3" i="20"/>
  <c r="AE15" i="20"/>
  <c r="AN2" i="19"/>
  <c r="AI2" i="19"/>
  <c r="AM2" i="19"/>
  <c r="AL2" i="19"/>
  <c r="AH2" i="19"/>
  <c r="AG2" i="19"/>
  <c r="AK2" i="19"/>
  <c r="AF2" i="19"/>
  <c r="X2" i="19"/>
  <c r="W2" i="19"/>
  <c r="U2" i="19"/>
  <c r="AN6" i="19" l="1"/>
  <c r="AI6" i="19"/>
  <c r="AM6" i="19"/>
  <c r="AL6" i="19"/>
  <c r="AH6" i="19"/>
  <c r="AG6" i="19"/>
  <c r="AJ6" i="19"/>
  <c r="AF6" i="19"/>
  <c r="V6" i="19"/>
  <c r="U6" i="19"/>
  <c r="AM5" i="19"/>
  <c r="AN5" i="19"/>
  <c r="AI5" i="19"/>
  <c r="AH5" i="19"/>
  <c r="AG5" i="19"/>
  <c r="AL5" i="19"/>
  <c r="AH4" i="19"/>
  <c r="U5" i="19"/>
  <c r="AN3" i="19" l="1"/>
  <c r="AM4" i="19"/>
  <c r="AM3" i="19"/>
  <c r="AI3" i="19"/>
  <c r="AL3" i="19"/>
  <c r="AL4" i="19"/>
  <c r="AH3" i="19"/>
  <c r="AG3" i="19"/>
  <c r="AJ3" i="19"/>
  <c r="U3" i="19"/>
  <c r="N3" i="19"/>
  <c r="AI4" i="19"/>
  <c r="M3" i="19" l="1"/>
  <c r="AN49" i="16"/>
  <c r="AN48" i="16"/>
  <c r="AN47" i="16"/>
  <c r="AN46" i="16"/>
  <c r="R7" i="16"/>
  <c r="R8" i="16"/>
  <c r="R9" i="16"/>
  <c r="Q7" i="16"/>
  <c r="Q8" i="16"/>
  <c r="Q9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8" i="16"/>
  <c r="C59" i="16"/>
  <c r="C60" i="16"/>
  <c r="C61" i="16"/>
  <c r="C62" i="16"/>
  <c r="C63" i="16"/>
  <c r="C64" i="16"/>
  <c r="C65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8" i="16"/>
  <c r="C99" i="16"/>
  <c r="C100" i="16"/>
  <c r="C101" i="16"/>
  <c r="C102" i="16"/>
  <c r="C103" i="16"/>
  <c r="C104" i="16"/>
  <c r="C105" i="16"/>
  <c r="C107" i="16"/>
  <c r="C108" i="16"/>
  <c r="C109" i="16"/>
  <c r="C114" i="16"/>
  <c r="C115" i="16"/>
  <c r="C116" i="16"/>
  <c r="C117" i="16"/>
  <c r="C118" i="16"/>
  <c r="C119" i="16"/>
  <c r="C120" i="16"/>
  <c r="C121" i="16"/>
  <c r="I75" i="36" l="1"/>
  <c r="I76" i="36" s="1"/>
  <c r="J71" i="36"/>
  <c r="J72" i="36" s="1"/>
  <c r="J67" i="36"/>
  <c r="J68" i="36" s="1"/>
  <c r="I63" i="36"/>
  <c r="I64" i="36" s="1"/>
  <c r="I59" i="36"/>
  <c r="I60" i="36" s="1"/>
  <c r="D75" i="36"/>
  <c r="D76" i="36"/>
  <c r="D71" i="36"/>
  <c r="D72" i="36"/>
  <c r="D67" i="36"/>
  <c r="D68" i="36"/>
  <c r="D59" i="36"/>
  <c r="D60" i="36"/>
  <c r="D63" i="36"/>
  <c r="D64" i="36"/>
  <c r="D77" i="36"/>
  <c r="D74" i="36"/>
  <c r="D73" i="36"/>
  <c r="D70" i="36"/>
  <c r="D69" i="36"/>
  <c r="D66" i="36"/>
  <c r="T92" i="16"/>
  <c r="U92" i="16" s="1"/>
  <c r="T93" i="16"/>
  <c r="U93" i="16" s="1"/>
  <c r="T91" i="16" l="1"/>
  <c r="U91" i="16" s="1"/>
  <c r="T113" i="16"/>
  <c r="U113" i="16" s="1"/>
  <c r="T112" i="16"/>
  <c r="U112" i="16" s="1"/>
  <c r="T111" i="16"/>
  <c r="U111" i="16" s="1"/>
  <c r="T74" i="16"/>
  <c r="U74" i="16" s="1"/>
  <c r="T73" i="16"/>
  <c r="U73" i="16" s="1"/>
  <c r="T72" i="16"/>
  <c r="U72" i="16" s="1"/>
  <c r="T71" i="16"/>
  <c r="U71" i="16" s="1"/>
  <c r="F39" i="36"/>
  <c r="F40" i="36" s="1"/>
  <c r="F41" i="36" s="1"/>
  <c r="F35" i="36"/>
  <c r="F36" i="36" s="1"/>
  <c r="F37" i="36" s="1"/>
  <c r="F31" i="36"/>
  <c r="F32" i="36" s="1"/>
  <c r="F33" i="36" s="1"/>
  <c r="F27" i="36"/>
  <c r="F28" i="36" s="1"/>
  <c r="F29" i="36" s="1"/>
  <c r="F23" i="36"/>
  <c r="F24" i="36" s="1"/>
  <c r="F25" i="36" s="1"/>
  <c r="F19" i="36"/>
  <c r="F20" i="36" s="1"/>
  <c r="F21" i="36" s="1"/>
  <c r="F15" i="36"/>
  <c r="F16" i="36" s="1"/>
  <c r="F17" i="36" s="1"/>
  <c r="F11" i="36"/>
  <c r="F12" i="36" s="1"/>
  <c r="F13" i="36" s="1"/>
  <c r="E39" i="36"/>
  <c r="E40" i="36" s="1"/>
  <c r="E41" i="36" s="1"/>
  <c r="E35" i="36"/>
  <c r="E36" i="36" s="1"/>
  <c r="E37" i="36" s="1"/>
  <c r="E31" i="36"/>
  <c r="E32" i="36" s="1"/>
  <c r="E33" i="36" s="1"/>
  <c r="E27" i="36"/>
  <c r="E28" i="36" s="1"/>
  <c r="E29" i="36" s="1"/>
  <c r="E23" i="36"/>
  <c r="E24" i="36" s="1"/>
  <c r="E25" i="36" s="1"/>
  <c r="E19" i="36"/>
  <c r="E20" i="36" s="1"/>
  <c r="E21" i="36" s="1"/>
  <c r="E15" i="36"/>
  <c r="E16" i="36" s="1"/>
  <c r="E17" i="36" s="1"/>
  <c r="E11" i="36"/>
  <c r="E12" i="36" s="1"/>
  <c r="E13" i="36" s="1"/>
  <c r="E3" i="36"/>
  <c r="E4" i="36" s="1"/>
  <c r="E5" i="36" s="1"/>
  <c r="F3" i="36"/>
  <c r="D2" i="36"/>
  <c r="D10" i="36"/>
  <c r="D14" i="36"/>
  <c r="D18" i="36"/>
  <c r="D22" i="36"/>
  <c r="D26" i="36"/>
  <c r="D30" i="36"/>
  <c r="D34" i="36"/>
  <c r="D38" i="36"/>
  <c r="D46" i="36"/>
  <c r="D47" i="36"/>
  <c r="D48" i="36"/>
  <c r="D49" i="36"/>
  <c r="D50" i="36"/>
  <c r="D51" i="36"/>
  <c r="D52" i="36"/>
  <c r="D53" i="36"/>
  <c r="E6" i="36"/>
  <c r="E7" i="36" s="1"/>
  <c r="E8" i="36" s="1"/>
  <c r="E9" i="36" s="1"/>
  <c r="F42" i="36"/>
  <c r="F43" i="36" s="1"/>
  <c r="F44" i="36" s="1"/>
  <c r="F45" i="36" s="1"/>
  <c r="F6" i="36"/>
  <c r="F7" i="36" s="1"/>
  <c r="F8" i="36" s="1"/>
  <c r="F9" i="36" s="1"/>
  <c r="E42" i="36"/>
  <c r="E43" i="36" s="1"/>
  <c r="E44" i="36" s="1"/>
  <c r="E45" i="36" s="1"/>
  <c r="T86" i="16"/>
  <c r="U86" i="16" s="1"/>
  <c r="T82" i="16"/>
  <c r="U82" i="16" s="1"/>
  <c r="T78" i="16"/>
  <c r="U78" i="16" s="1"/>
  <c r="R6" i="16"/>
  <c r="Q6" i="16"/>
  <c r="D6" i="36" l="1"/>
  <c r="D42" i="36"/>
  <c r="D3" i="36"/>
  <c r="D31" i="36"/>
  <c r="F4" i="36"/>
  <c r="F5" i="36" s="1"/>
  <c r="D5" i="36" s="1"/>
  <c r="D35" i="36"/>
  <c r="D7" i="36"/>
  <c r="D25" i="36"/>
  <c r="D11" i="36"/>
  <c r="D39" i="36"/>
  <c r="D23" i="36"/>
  <c r="D15" i="36"/>
  <c r="D9" i="36"/>
  <c r="D27" i="36"/>
  <c r="D45" i="36"/>
  <c r="D44" i="36"/>
  <c r="D43" i="36"/>
  <c r="D40" i="36"/>
  <c r="D41" i="36"/>
  <c r="D29" i="36"/>
  <c r="D28" i="36"/>
  <c r="D24" i="36"/>
  <c r="D21" i="36"/>
  <c r="D20" i="36"/>
  <c r="D19" i="36"/>
  <c r="D17" i="36"/>
  <c r="D16" i="36"/>
  <c r="D13" i="36"/>
  <c r="D8" i="36"/>
  <c r="D4" i="36" l="1"/>
  <c r="D12" i="36"/>
  <c r="D37" i="36"/>
  <c r="D36" i="36"/>
  <c r="D33" i="36"/>
  <c r="D32" i="36"/>
  <c r="T66" i="16" l="1"/>
  <c r="U66" i="16" s="1"/>
  <c r="T62" i="16"/>
  <c r="U62" i="16" s="1"/>
  <c r="T58" i="16"/>
  <c r="U58" i="16" s="1"/>
  <c r="T54" i="16"/>
  <c r="AE7" i="27"/>
  <c r="W11" i="27"/>
  <c r="X11" i="27"/>
  <c r="X10" i="27"/>
  <c r="W10" i="27"/>
  <c r="R6" i="32"/>
  <c r="U54" i="16" l="1"/>
  <c r="S4" i="15"/>
  <c r="Q7" i="15"/>
  <c r="AJ25" i="8" l="1"/>
  <c r="AJ24" i="8"/>
  <c r="AJ17" i="8"/>
  <c r="AJ16" i="8"/>
  <c r="AK25" i="8"/>
  <c r="AK24" i="8"/>
  <c r="AK17" i="8"/>
  <c r="AK16" i="8"/>
  <c r="AJ22" i="14" l="1"/>
  <c r="AJ21" i="14"/>
  <c r="AU19" i="14"/>
  <c r="AU18" i="14"/>
  <c r="AJ16" i="14"/>
  <c r="AJ15" i="14"/>
  <c r="AJ13" i="14"/>
  <c r="AJ12" i="14"/>
  <c r="AJ10" i="14"/>
  <c r="AJ9" i="14"/>
  <c r="AJ7" i="14"/>
  <c r="AH7" i="14"/>
  <c r="AJ6" i="14"/>
  <c r="AH6" i="14"/>
  <c r="AH4" i="14"/>
  <c r="AB4" i="14"/>
  <c r="AA4" i="14" s="1"/>
  <c r="AH3" i="14"/>
  <c r="AB3" i="14"/>
  <c r="AA3" i="14" s="1"/>
  <c r="AB36" i="14"/>
  <c r="AA36" i="14" s="1"/>
  <c r="AB37" i="14"/>
  <c r="AA37" i="14" s="1"/>
  <c r="AA4" i="13"/>
  <c r="AA5" i="13"/>
  <c r="AA6" i="13"/>
  <c r="AA7" i="13"/>
  <c r="AA8" i="13"/>
  <c r="AA9" i="13"/>
  <c r="AA10" i="13"/>
  <c r="AA11" i="13"/>
  <c r="AA3" i="13"/>
  <c r="V11" i="13"/>
  <c r="Z11" i="13"/>
  <c r="V7" i="13"/>
  <c r="W7" i="13"/>
  <c r="X7" i="13"/>
  <c r="V5" i="13"/>
  <c r="Z5" i="13"/>
  <c r="W3" i="13"/>
  <c r="Z3" i="13" s="1"/>
  <c r="X3" i="13"/>
  <c r="T9" i="13"/>
  <c r="U9" i="13"/>
  <c r="T3" i="13"/>
  <c r="U3" i="13"/>
  <c r="AI45" i="8"/>
  <c r="AI43" i="8"/>
  <c r="AI41" i="8"/>
  <c r="AI39" i="8"/>
  <c r="AI37" i="8"/>
  <c r="AI35" i="8"/>
  <c r="O31" i="8"/>
  <c r="K31" i="8"/>
  <c r="AB35" i="14"/>
  <c r="AA35" i="14" s="1"/>
  <c r="AB38" i="14"/>
  <c r="AB39" i="14"/>
  <c r="AB40" i="14"/>
  <c r="AU17" i="14"/>
  <c r="AV17" i="14" s="1"/>
  <c r="AJ8" i="14"/>
  <c r="AB2" i="14"/>
  <c r="AA2" i="14" s="1"/>
  <c r="AH79" i="14"/>
  <c r="AJ79" i="14"/>
  <c r="AH78" i="14"/>
  <c r="AJ78" i="14"/>
  <c r="AH75" i="14"/>
  <c r="AJ75" i="14"/>
  <c r="AH76" i="14"/>
  <c r="AJ76" i="14"/>
  <c r="AH72" i="14"/>
  <c r="AJ72" i="14"/>
  <c r="AH73" i="14"/>
  <c r="AJ73" i="14"/>
  <c r="AH69" i="14"/>
  <c r="AJ69" i="14"/>
  <c r="AH70" i="14"/>
  <c r="AJ70" i="14"/>
  <c r="AH66" i="14"/>
  <c r="AJ66" i="14"/>
  <c r="AH67" i="14"/>
  <c r="AJ67" i="14"/>
  <c r="AH63" i="14"/>
  <c r="AJ63" i="14"/>
  <c r="AH64" i="14"/>
  <c r="AJ64" i="14"/>
  <c r="AH60" i="14"/>
  <c r="AJ60" i="14"/>
  <c r="AH61" i="14"/>
  <c r="AJ61" i="14"/>
  <c r="AH57" i="14"/>
  <c r="AJ57" i="14"/>
  <c r="AH58" i="14"/>
  <c r="AJ58" i="14"/>
  <c r="AH54" i="14"/>
  <c r="AJ54" i="14"/>
  <c r="AH55" i="14"/>
  <c r="AJ55" i="14"/>
  <c r="AH56" i="14"/>
  <c r="AH59" i="14"/>
  <c r="AH62" i="14"/>
  <c r="AH65" i="14"/>
  <c r="AH68" i="14"/>
  <c r="AH71" i="14"/>
  <c r="AH74" i="14"/>
  <c r="AH77" i="14"/>
  <c r="AJ56" i="14"/>
  <c r="AJ59" i="14"/>
  <c r="AJ62" i="14"/>
  <c r="AJ65" i="14"/>
  <c r="AJ68" i="14"/>
  <c r="AJ71" i="14"/>
  <c r="AJ74" i="14"/>
  <c r="AJ77" i="14"/>
  <c r="AH53" i="14"/>
  <c r="AJ53" i="14"/>
  <c r="AH52" i="14"/>
  <c r="AJ52" i="14"/>
  <c r="AH51" i="14"/>
  <c r="AJ51" i="14"/>
  <c r="AH48" i="14"/>
  <c r="AJ48" i="14"/>
  <c r="AH49" i="14"/>
  <c r="AJ49" i="14"/>
  <c r="AH45" i="14"/>
  <c r="AJ45" i="14"/>
  <c r="AH46" i="14"/>
  <c r="AJ46" i="14"/>
  <c r="AH42" i="14"/>
  <c r="AJ42" i="14"/>
  <c r="AH43" i="14"/>
  <c r="AJ43" i="14"/>
  <c r="AH39" i="14"/>
  <c r="AJ39" i="14"/>
  <c r="AH40" i="14"/>
  <c r="AJ40" i="14"/>
  <c r="AH36" i="14"/>
  <c r="AJ36" i="14"/>
  <c r="AH37" i="14"/>
  <c r="AJ37" i="14"/>
  <c r="AH33" i="14"/>
  <c r="AJ33" i="14"/>
  <c r="AH34" i="14"/>
  <c r="AJ34" i="14"/>
  <c r="AH30" i="14"/>
  <c r="AJ30" i="14"/>
  <c r="AH31" i="14"/>
  <c r="AJ31" i="14"/>
  <c r="AH27" i="14"/>
  <c r="AJ27" i="14"/>
  <c r="AH28" i="14"/>
  <c r="AJ28" i="14"/>
  <c r="AH24" i="14"/>
  <c r="AJ24" i="14"/>
  <c r="AH25" i="14"/>
  <c r="AJ25" i="14"/>
  <c r="AH23" i="14"/>
  <c r="AH26" i="14"/>
  <c r="AH29" i="14"/>
  <c r="AH32" i="14"/>
  <c r="AH35" i="14"/>
  <c r="AH38" i="14"/>
  <c r="AH41" i="14"/>
  <c r="AH44" i="14"/>
  <c r="AH47" i="14"/>
  <c r="AH50" i="14"/>
  <c r="AJ23" i="14"/>
  <c r="AJ26" i="14"/>
  <c r="AJ29" i="14"/>
  <c r="AJ32" i="14"/>
  <c r="AJ35" i="14"/>
  <c r="AJ38" i="14"/>
  <c r="AJ41" i="14"/>
  <c r="AJ44" i="14"/>
  <c r="AJ47" i="14"/>
  <c r="AJ50" i="14"/>
  <c r="AJ14" i="14"/>
  <c r="AJ11" i="14"/>
  <c r="AJ5" i="14"/>
  <c r="AJ20" i="14"/>
  <c r="AH5" i="14"/>
  <c r="AH2" i="14"/>
  <c r="AA39" i="14" l="1"/>
  <c r="AD39" i="14"/>
  <c r="AA38" i="14"/>
  <c r="AD38" i="14"/>
  <c r="AA40" i="14"/>
  <c r="AD40" i="14"/>
  <c r="Z7" i="13"/>
  <c r="AA2" i="13"/>
  <c r="Z10" i="13"/>
  <c r="X2" i="13"/>
  <c r="W2" i="13"/>
  <c r="X6" i="13"/>
  <c r="W6" i="13"/>
  <c r="Z4" i="13"/>
  <c r="U8" i="13"/>
  <c r="T8" i="13"/>
  <c r="U2" i="13"/>
  <c r="T2" i="13"/>
  <c r="V4" i="13"/>
  <c r="V6" i="13"/>
  <c r="V10" i="13"/>
  <c r="J19" i="8"/>
  <c r="Z2" i="13" l="1"/>
  <c r="Z6" i="13"/>
  <c r="AE45" i="8"/>
  <c r="AD45" i="8"/>
  <c r="AE44" i="8"/>
  <c r="AD44" i="8"/>
  <c r="AF31" i="8"/>
  <c r="AF30" i="8"/>
  <c r="AF29" i="8"/>
  <c r="AF28" i="8"/>
  <c r="AF27" i="8"/>
  <c r="AF26" i="8"/>
  <c r="AF16" i="8"/>
  <c r="AD20" i="8"/>
  <c r="AF21" i="8"/>
  <c r="AF20" i="8"/>
  <c r="AE39" i="8"/>
  <c r="AD39" i="8"/>
  <c r="AE38" i="8"/>
  <c r="AD38" i="8"/>
  <c r="AE43" i="8"/>
  <c r="AD43" i="8"/>
  <c r="AE41" i="8"/>
  <c r="AD41" i="8"/>
  <c r="AE40" i="8"/>
  <c r="AD40" i="8"/>
  <c r="AE37" i="8"/>
  <c r="AD37" i="8"/>
  <c r="AE36" i="8"/>
  <c r="AD36" i="8"/>
  <c r="AE35" i="8"/>
  <c r="AD35" i="8"/>
  <c r="AD34" i="8"/>
  <c r="AE42" i="8"/>
  <c r="AD42" i="8"/>
  <c r="AE34" i="8"/>
  <c r="AE11" i="8"/>
  <c r="AE10" i="8"/>
  <c r="AE9" i="8"/>
  <c r="AD9" i="8"/>
  <c r="AE8" i="8"/>
  <c r="AD8" i="8"/>
  <c r="AE7" i="8"/>
  <c r="AD7" i="8"/>
  <c r="AE5" i="8"/>
  <c r="AD5" i="8"/>
  <c r="AE3" i="8"/>
  <c r="AE2" i="8"/>
  <c r="AE6" i="8"/>
  <c r="AD6" i="8"/>
  <c r="AE4" i="8"/>
  <c r="AD4" i="8"/>
  <c r="AD2" i="8"/>
  <c r="AF2" i="8"/>
  <c r="AI36" i="8"/>
  <c r="AI44" i="8"/>
  <c r="AI42" i="8"/>
  <c r="AI40" i="8"/>
  <c r="AI38" i="8"/>
  <c r="AI34" i="8"/>
  <c r="AI15" i="8"/>
  <c r="AI14" i="8"/>
  <c r="AI13" i="8"/>
  <c r="AI12" i="8"/>
  <c r="AI11" i="8"/>
  <c r="AI10" i="8"/>
  <c r="AI9" i="8"/>
  <c r="AI8" i="8"/>
  <c r="AI5" i="8"/>
  <c r="AI4" i="8"/>
  <c r="AI3" i="8"/>
  <c r="AI2" i="8"/>
  <c r="O30" i="8"/>
  <c r="K30" i="8"/>
  <c r="L30" i="8"/>
  <c r="D9" i="11"/>
  <c r="J18" i="8"/>
  <c r="C9" i="11"/>
  <c r="H18" i="8"/>
  <c r="AF5" i="8" l="1"/>
  <c r="AF4" i="8"/>
  <c r="AK5" i="8"/>
  <c r="AK4" i="8"/>
  <c r="AK23" i="8"/>
  <c r="AK22" i="8"/>
  <c r="AF23" i="8"/>
  <c r="AF22" i="8"/>
  <c r="AE21" i="8"/>
  <c r="AD21" i="8"/>
  <c r="AE20" i="8"/>
  <c r="AK21" i="8"/>
  <c r="AK20" i="8"/>
  <c r="AH21" i="8"/>
  <c r="AH20" i="8"/>
  <c r="AG21" i="8"/>
  <c r="AG20" i="8"/>
  <c r="AH17" i="8"/>
  <c r="AG17" i="8"/>
  <c r="AH16" i="8"/>
  <c r="AG16" i="8"/>
  <c r="AK15" i="8"/>
  <c r="AK14" i="8"/>
  <c r="AK13" i="8"/>
  <c r="AK12" i="8"/>
  <c r="AK11" i="8"/>
  <c r="AK10" i="8"/>
  <c r="AK9" i="8"/>
  <c r="AK8" i="8"/>
  <c r="AK2" i="8"/>
  <c r="AK3" i="8"/>
  <c r="AI25" i="8"/>
  <c r="AI24" i="8"/>
  <c r="AI19" i="8"/>
  <c r="AI18" i="8"/>
  <c r="AK18" i="8"/>
  <c r="AK19" i="8"/>
  <c r="AF19" i="8"/>
  <c r="AF18" i="8"/>
  <c r="AF15" i="8"/>
  <c r="AF14" i="8"/>
  <c r="AF13" i="8"/>
  <c r="AF12" i="8"/>
  <c r="AF11" i="8"/>
  <c r="AF10" i="8"/>
  <c r="AF9" i="8"/>
  <c r="AF8" i="8"/>
  <c r="AF3" i="8"/>
  <c r="AE25" i="8"/>
  <c r="AE24" i="8"/>
  <c r="AD25" i="8"/>
  <c r="AD24" i="8"/>
  <c r="P21" i="8"/>
  <c r="P20" i="8"/>
  <c r="L7" i="8"/>
  <c r="H7" i="8"/>
  <c r="S59" i="4" l="1"/>
  <c r="S58" i="4"/>
  <c r="S57" i="4"/>
  <c r="S56" i="4"/>
  <c r="S55" i="4"/>
  <c r="S53" i="4"/>
  <c r="S52" i="4"/>
  <c r="S51" i="4"/>
  <c r="S50" i="4"/>
  <c r="V59" i="4"/>
  <c r="V58" i="4"/>
  <c r="V57" i="4"/>
  <c r="V56" i="4"/>
  <c r="V50" i="4"/>
  <c r="V55" i="4"/>
  <c r="V54" i="4"/>
  <c r="V53" i="4"/>
  <c r="V52" i="4"/>
  <c r="V51" i="4"/>
  <c r="S65" i="4"/>
  <c r="S64" i="4"/>
  <c r="P49" i="4"/>
  <c r="P48" i="4"/>
  <c r="S43" i="4"/>
  <c r="S42" i="4"/>
  <c r="P40" i="4"/>
  <c r="P36" i="4"/>
  <c r="P34" i="4"/>
  <c r="V41" i="4"/>
  <c r="J41" i="4" s="1"/>
  <c r="O41" i="4" s="1"/>
  <c r="V37" i="4"/>
  <c r="J37" i="4" s="1"/>
  <c r="O37" i="4" s="1"/>
  <c r="V35" i="4"/>
  <c r="J35" i="4" s="1"/>
  <c r="O35" i="4" s="1"/>
  <c r="P41" i="4"/>
  <c r="P35" i="4"/>
  <c r="P37" i="4"/>
  <c r="S25" i="4"/>
  <c r="S24" i="4"/>
  <c r="P17" i="4"/>
  <c r="P16" i="4"/>
  <c r="P33" i="4"/>
  <c r="P39" i="4"/>
  <c r="U46" i="4"/>
  <c r="P32" i="4"/>
  <c r="V29" i="4"/>
  <c r="R31" i="4"/>
  <c r="V39" i="4" l="1"/>
  <c r="J39" i="4" s="1"/>
  <c r="O39" i="4" s="1"/>
  <c r="P46" i="4"/>
  <c r="P44" i="4"/>
  <c r="P45" i="4"/>
  <c r="P42" i="4"/>
  <c r="P43" i="4"/>
  <c r="P38" i="4"/>
  <c r="Q26" i="4" l="1"/>
  <c r="P25" i="4"/>
  <c r="Q27" i="4"/>
  <c r="P24" i="4"/>
  <c r="P23" i="4"/>
  <c r="P22" i="4"/>
  <c r="V23" i="4"/>
  <c r="V22" i="4"/>
  <c r="R11" i="4"/>
  <c r="R12" i="4"/>
  <c r="R13" i="4"/>
  <c r="R14" i="4"/>
  <c r="R15" i="4"/>
  <c r="R16" i="4"/>
  <c r="R17" i="4"/>
  <c r="R18" i="4"/>
  <c r="R19" i="4"/>
  <c r="R20" i="4"/>
  <c r="R21" i="4"/>
  <c r="P20" i="4"/>
  <c r="P21" i="4"/>
  <c r="P19" i="4"/>
  <c r="P18" i="4"/>
  <c r="P15" i="4"/>
  <c r="P14" i="4"/>
  <c r="P13" i="4"/>
  <c r="P12" i="4"/>
  <c r="F13" i="5"/>
  <c r="L13" i="5" s="1"/>
  <c r="P7" i="4" s="1"/>
  <c r="M12" i="5"/>
  <c r="F12" i="5" s="1"/>
  <c r="L12" i="5" s="1"/>
  <c r="P6" i="4" s="1"/>
  <c r="E11" i="5"/>
  <c r="F11" i="5" s="1"/>
  <c r="M11" i="5" s="1"/>
  <c r="F8" i="5"/>
  <c r="L8" i="5" s="1"/>
  <c r="L7" i="5"/>
  <c r="F6" i="5"/>
  <c r="L6" i="5" s="1"/>
  <c r="F4" i="5"/>
  <c r="L4" i="5" s="1"/>
  <c r="F2" i="5"/>
  <c r="L2" i="5" s="1"/>
  <c r="L3" i="5"/>
  <c r="E10" i="5"/>
  <c r="F10" i="5" s="1"/>
  <c r="J10" i="5" s="1"/>
  <c r="V4" i="4" s="1"/>
  <c r="E5" i="5"/>
  <c r="Q22" i="4" l="1"/>
  <c r="V6" i="4"/>
  <c r="V7" i="4"/>
  <c r="Q7" i="4" s="1"/>
  <c r="R7" i="4" s="1"/>
  <c r="Q23" i="4"/>
  <c r="M10" i="5"/>
  <c r="J11" i="5"/>
  <c r="L11" i="5"/>
  <c r="V5" i="4"/>
  <c r="L10" i="5"/>
  <c r="P4" i="4" s="1"/>
  <c r="L9" i="5"/>
  <c r="P3" i="4" s="1"/>
  <c r="V2" i="4"/>
  <c r="F9" i="5"/>
  <c r="V3" i="4" s="1"/>
  <c r="L5" i="5"/>
  <c r="P5" i="4" s="1"/>
  <c r="F5" i="5"/>
  <c r="J5" i="5" s="1"/>
  <c r="Q3" i="4" l="1"/>
  <c r="J5" i="4"/>
  <c r="Q4" i="4"/>
  <c r="P2" i="4"/>
  <c r="Q2" i="4" l="1"/>
  <c r="O5" i="4"/>
  <c r="P8" i="4"/>
  <c r="P11" i="4"/>
  <c r="P10" i="4"/>
  <c r="Q6" i="4" s="1"/>
  <c r="R6" i="4" s="1"/>
  <c r="P9" i="4" l="1"/>
  <c r="U47" i="4" l="1"/>
  <c r="P47" i="4"/>
  <c r="P50" i="4"/>
  <c r="P53" i="4"/>
  <c r="Q64" i="4"/>
  <c r="P52" i="4"/>
  <c r="P51" i="4"/>
  <c r="Q65" i="4"/>
  <c r="AB8" i="14" l="1"/>
  <c r="AA8" i="14" s="1"/>
  <c r="N8" i="44"/>
  <c r="N3" i="44"/>
  <c r="O3" i="44" s="1"/>
  <c r="N5" i="44"/>
  <c r="O5" i="44" s="1"/>
  <c r="N7" i="44"/>
  <c r="N4" i="44"/>
  <c r="O4" i="44" s="1"/>
  <c r="N6" i="44"/>
  <c r="O6" i="44" s="1"/>
  <c r="R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tc={6FB11D2E-1898-400C-96EC-11B97855C5B0}</author>
    <author>tc={376196B9-E5C2-498A-96C4-2EAC2FD168EE}</author>
    <author>tc={393B7E4F-949F-488C-8ADE-E412DB508FEE}</author>
    <author>tc={9C795F68-AEA6-4A36-9CD7-EA8194EE1235}</author>
    <author>tc={24C17746-073D-4362-92E8-080F3528ACBE}</author>
    <author>jkochems</author>
    <author>tc={EABE8DA4-2D7F-445C-86EB-9FF74E3E364A}</author>
    <author>tc={DACA0D02-B92F-405C-B2BA-3BC8BA249199}</author>
    <author>tc={6F11B637-1D37-4161-A140-4D7C4CE9623A}</author>
    <author>tc={28913698-19A1-44FE-B6A1-3583EB7D5F86}</author>
    <author>tc={D790982C-E239-44DE-8F77-7134144447DA}</author>
    <author>tc={941BA8FF-4199-4600-A43B-3E444E45E103}</author>
    <author>tc={910F0900-CC13-4533-AA7D-7021679D2B3F}</author>
    <author>tc={2DEF9D60-F898-4C2B-B1F8-895CC42F695E}</author>
    <author>tc={0E1FB3E0-8168-4781-9D3B-B4D4141533D8}</author>
    <author>tc={82C40A8C-A6D9-4648-9B36-1F0C635A6EE0}</author>
    <author>tc={501C780F-3588-4740-BEC1-3CC553CBECC6}</author>
    <author>tc={8B020987-F741-4DE9-9D60-8951962E66AD}</author>
    <author>tc={B1A597AE-F6B1-498B-A2C3-4CD0FDF00A57}</author>
    <author>tc={83979569-2615-49DE-98D3-60EC61B70851}</author>
    <author>tc={48A0409D-837E-4CE9-8374-D4BA9632F476}</author>
    <author>tc={0D5377D1-5566-41B2-AFED-63B4F3FC231B}</author>
    <author>tc={406A97BE-01A4-437B-B4A5-C0FAE61F4E2D}</author>
    <author>tc={E83AFEB3-A3B5-441B-8AC4-97E619AD3D0D}</author>
    <author>tc={D9A17245-FDC3-4E57-B36D-4543D1D739AB}</author>
    <author>tc={30D721CC-6599-4785-869C-D43AD1717369}</author>
    <author>tc={C1D1CE9C-97CB-4B43-9BE4-DC8BF154E533}</author>
    <author>tc={A9ABED18-06E3-438C-A012-D5B9C5D9EB23}</author>
    <author>tc={B960A412-667A-4F4A-85E9-C0D5EFBB3214}</author>
    <author>tc={131E90E6-63BE-4323-8D80-1A7AABFD3910}</author>
    <author>tc={4BA0495D-437E-4FFD-A4BD-085BACFFC060}</author>
    <author>tc={605A5974-406C-4657-86CC-D87E06D351D1}</author>
    <author>tc={7E445DEF-BF36-437D-91B1-4C2E9B776694}</author>
    <author>tc={D82E4FEC-4E5D-4733-B144-9220787926C6}</author>
    <author>tc={592CD9EE-C76B-4F7B-A273-02F643911CF1}</author>
    <author>tc={FE72FA0C-FB68-4829-B51E-69FF20C98A44}</author>
    <author>tc={788DCF7C-953E-4297-B255-456FCC58224C}</author>
    <author>tc={4D1C8460-4E09-49C8-981A-AD4AE6060426}</author>
    <author>tc={0DCC5F6E-1AC8-4D22-9B51-4026B2249B96}</author>
    <author>tc={9F189547-77C7-40B2-BB35-AB4967BC092F}</author>
    <author>tc={42E4374E-4CFF-4DFC-82A9-F033E83987E2}</author>
    <author>tc={DD55F146-4EBD-47D7-B472-941735C66190}</author>
    <author>tc={77E33B17-6230-4A62-943A-1D43BA1731C1}</author>
    <author>tc={D20282A4-453A-4989-BA7B-224D76F3A2EC}</author>
    <author>tc={E4DFC1BC-7B4F-466B-BFA5-842AFE94223A}</author>
    <author>tc={F6DB1FBC-6F34-4FD0-AB31-99BCDC593173}</author>
    <author>tc={E9C25A7E-BBDB-4935-8939-5248170A70BB}</author>
    <author>tc={CC6E0B63-C6F1-4519-B16C-6830F1B9B42C}</author>
    <author>tc={0877EF14-013D-4BBD-B857-2282E6A51C64}</author>
    <author>tc={8AA5EE70-EA47-452A-9020-F6E5E093C83C}</author>
    <author>tc={6F172E86-5CFD-4275-B98D-3A0A568657CB}</author>
    <author>tc={9BCDE418-9962-4E6E-938A-6C624BC06F0F}</author>
    <author>tc={5B535930-6FD8-4821-A2D8-8641A72AA736}</author>
    <author>tc={ADBD58D4-6C18-465E-9EBC-B8E4F13EFC25}</author>
    <author>tc={3440A646-D29B-4656-A00C-8189ACC56A0C}</author>
    <author>tc={2D7E5D39-97A3-48DB-A1E3-14F56C58F539}</author>
    <author>tc={C9B0A0A2-01A0-48A7-A4BE-0CA56EA5250F}</author>
    <author>tc={8C45AAE1-4AE4-4B88-9A17-4D2F9B5C4E80}</author>
    <author>tc={EB45FA2C-8BCF-47FD-9BCB-A1779E11D0BE}</author>
    <author>tc={9CBF40E8-A756-43FB-9044-CC892A173101}</author>
    <author>tc={3895E628-055B-4736-A842-8D463E391F87}</author>
    <author>tc={C31475F1-35F9-466C-B2F9-A5D3D89C4EBD}</author>
    <author>tc={582DF603-D909-4A79-A148-7A56ED279A30}</author>
    <author>tc={5ACBBB73-DDB7-4819-9B29-41A1D907962C}</author>
    <author>tc={EC088AEF-4AE2-4BAD-B320-5D1727F0F467}</author>
    <author>tc={C34608BB-0718-4C48-A33E-08B7106FAF98}</author>
    <author>tc={C5D698C6-58AB-47D5-826B-2A3F27A4E8F0}</author>
    <author>tc={C9E56C69-1886-4C5D-824A-529A920F58C6}</author>
    <author>tc={0FD6022C-A6CA-45C3-9FDB-F8992AD2578A}</author>
    <author>tc={4B93472F-C2BF-4046-96B6-F3512817D757}</author>
    <author>tc={1CC66302-58CA-4A3B-B5D1-EDE68BE78BF4}</author>
    <author>tc={1887D2E3-06F7-4826-B857-B8F95D54D08E}</author>
    <author>tc={0B4057C6-DF1E-4469-A1B3-28F2A0FDCA37}</author>
    <author>tc={AD937B53-0BD1-4102-9821-A23B14D05DAE}</author>
    <author>tc={2F06A259-E70F-4D4B-B46D-51538BFF4595}</author>
    <author>tc={BA2B102B-3B00-4678-B8D1-1AD4A05BCF81}</author>
    <author>tc={FA846C4F-AF9D-4FEF-8F4D-B17F896F05E4}</author>
    <author>tc={393F606A-87DC-4EF9-B9D9-8D7355AE4A0D}</author>
    <author>tc={EAC4E11C-59A2-40B6-9021-C0109028406D}</author>
    <author>tc={F2C5EF3B-9C7E-4F75-804A-2C17A63CDC53}</author>
    <author>tc={4EFC8E91-8650-4498-8EC4-03047D8FB325}</author>
    <author>tc={CEE35B00-F1FA-4AE7-9EB9-1900E25E4AF7}</author>
    <author>tc={F4D95702-89CE-4838-A205-4CE6C74080A5}</author>
    <author>tc={B0C708C7-528B-4BCC-B809-B7D746CA4CB5}</author>
    <author>tc={47607807-4E10-439F-A360-2930B5D13DF6}</author>
    <author>tc={0F5B67FC-7A41-4C71-A425-48145DFE0F18}</author>
  </authors>
  <commentList>
    <comment ref="P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</t>
        </r>
      </text>
    </comment>
    <comment ref="U1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positives und negatives Potenzial identisch</t>
        </r>
      </text>
    </comment>
    <comment ref="V1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positives und negatives Potenzial identisch</t>
        </r>
      </text>
    </comment>
    <comment ref="W1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</t>
        </r>
      </text>
    </comment>
    <comment ref="BC1" authorId="4" shapeId="0" xr:uid="{24C17746-073D-4362-92E8-080F3528ACB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113: Industrielle Potenziale im Status quo werden auch für 2020 und 2030 fortgeschrieben.</t>
        </r>
      </text>
    </comment>
    <comment ref="E2" authorId="5" shapeId="0" xr:uid="{00000000-0006-0000-06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K2" authorId="6" shapeId="0" xr:uid="{EABE8DA4-2D7F-445C-86EB-9FF74E3E364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für die Elektrolyse; insges. 6,3 TWh/a</t>
        </r>
      </text>
    </comment>
    <comment ref="P2" authorId="7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  </r>
      </text>
    </comment>
    <comment ref="Q2" authorId="8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  </r>
      </text>
    </comment>
    <comment ref="W2" authorId="9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  </r>
      </text>
    </comment>
    <comment ref="AH2" authorId="10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AI2" authorId="11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AJ2" authorId="12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E3" authorId="5" shapeId="0" xr:uid="{00000000-0006-0000-06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P3" authorId="13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  </r>
      </text>
    </comment>
    <comment ref="Q3" authorId="14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  </r>
      </text>
    </comment>
    <comment ref="W3" authorId="15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  </r>
      </text>
    </comment>
    <comment ref="AH3" authorId="16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AI3" authorId="17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AJ3" authorId="18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E4" authorId="5" shapeId="0" xr:uid="{00000000-0006-0000-0600-00001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P4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  </r>
      </text>
    </comment>
    <comment ref="Q4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  </r>
      </text>
    </comment>
    <comment ref="W4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  </r>
      </text>
    </comment>
    <comment ref="AH4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AI4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AJ4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G5" authorId="25" shapeId="0" xr:uid="{30D721CC-6599-4785-869C-D43AD171736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4497 kt/a</t>
        </r>
      </text>
    </comment>
    <comment ref="K5" authorId="26" shapeId="0" xr:uid="{C1D1CE9C-97CB-4B43-9BE4-DC8BF154E53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  </r>
      </text>
    </comment>
    <comment ref="AH5" authorId="27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K6" authorId="28" shapeId="0" xr:uid="{B960A412-667A-4F4A-85E9-C0D5EFBB321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  </r>
      </text>
    </comment>
    <comment ref="AH6" authorId="29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K7" authorId="30" shapeId="0" xr:uid="{4BA0495D-437E-4FFD-A4BD-085BACFFC06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  </r>
      </text>
    </comment>
    <comment ref="AH7" authorId="31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G8" authorId="32" shapeId="0" xr:uid="{7E445DEF-BF36-437D-91B1-4C2E9B77669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Holzschliff</t>
        </r>
      </text>
    </comment>
    <comment ref="AB8" authorId="33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  </r>
      </text>
    </comment>
    <comment ref="AB9" authorId="34" shapeId="0" xr:uid="{592CD9EE-C76B-4F7B-A273-02F643911CF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  </r>
      </text>
    </comment>
    <comment ref="AB10" authorId="35" shapeId="0" xr:uid="{FE72FA0C-FB68-4829-B51E-69FF20C98A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  </r>
      </text>
    </comment>
    <comment ref="G11" authorId="36" shapeId="0" xr:uid="{788DCF7C-953E-4297-B255-456FCC58224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Papierherstellung gesamt: 23.200 kt/a</t>
        </r>
      </text>
    </comment>
    <comment ref="I11" authorId="37" shapeId="0" xr:uid="{4D1C8460-4E09-49C8-981A-AD4AE606042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spez. StV Papier 892 kWh/t</t>
        </r>
      </text>
    </comment>
    <comment ref="K11" authorId="38" shapeId="0" xr:uid="{0DCC5F6E-1AC8-4D22-9B51-4026B2249B9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Papier gesamt: 20,7 TWh/a</t>
        </r>
      </text>
    </comment>
    <comment ref="AO11" authorId="39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  </r>
      </text>
    </comment>
    <comment ref="AO12" authorId="40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  </r>
      </text>
    </comment>
    <comment ref="AO13" authorId="41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  </r>
      </text>
    </comment>
    <comment ref="K14" authorId="42" shapeId="0" xr:uid="{77E33B17-6230-4A62-943A-1D43BA1731C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  </r>
      </text>
    </comment>
    <comment ref="L14" authorId="43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  </r>
      </text>
    </comment>
    <comment ref="K15" authorId="44" shapeId="0" xr:uid="{E4DFC1BC-7B4F-466B-BFA5-842AFE94223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  </r>
      </text>
    </comment>
    <comment ref="L15" authorId="4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  </r>
      </text>
    </comment>
    <comment ref="K16" authorId="46" shapeId="0" xr:uid="{E9C25A7E-BBDB-4935-8939-5248170A70B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  </r>
      </text>
    </comment>
    <comment ref="L16" authorId="47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  </r>
      </text>
    </comment>
    <comment ref="M17" authorId="48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  </r>
      </text>
    </comment>
    <comment ref="S17" authorId="49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  </r>
      </text>
    </comment>
    <comment ref="AH17" authorId="50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  </r>
      </text>
    </comment>
    <comment ref="AI17" authorId="51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  </r>
      </text>
    </comment>
    <comment ref="AJ17" authorId="52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  </r>
      </text>
    </comment>
    <comment ref="AU17" authorId="53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  </r>
      </text>
    </comment>
    <comment ref="M18" authorId="54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  </r>
      </text>
    </comment>
    <comment ref="S18" authorId="55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  </r>
      </text>
    </comment>
    <comment ref="AH18" authorId="56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  </r>
      </text>
    </comment>
    <comment ref="AI18" authorId="57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  </r>
      </text>
    </comment>
    <comment ref="AJ18" authorId="58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  </r>
      </text>
    </comment>
    <comment ref="AU18" authorId="59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  </r>
      </text>
    </comment>
    <comment ref="M19" authorId="60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  </r>
      </text>
    </comment>
    <comment ref="S19" authorId="61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  </r>
      </text>
    </comment>
    <comment ref="AH19" authorId="62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  </r>
      </text>
    </comment>
    <comment ref="AI19" authorId="63" shapeId="0" xr:uid="{00000000-0006-0000-0600-00003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  </r>
      </text>
    </comment>
    <comment ref="AJ19" authorId="64" shapeId="0" xr:uid="{00000000-0006-0000-0600-00003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  </r>
      </text>
    </comment>
    <comment ref="AU19" authorId="65" shapeId="0" xr:uid="{00000000-0006-0000-0600-00003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  </r>
      </text>
    </comment>
    <comment ref="A20" authorId="66" shapeId="0" xr:uid="{00000000-0006-0000-0600-00003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  </r>
      </text>
    </comment>
    <comment ref="K20" authorId="67" shapeId="0" xr:uid="{C9E56C69-1886-4C5D-824A-529A920F58C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 4,2 TWh; davon 1,1 aus Eigenerzeugung (BHKW)</t>
        </r>
      </text>
    </comment>
    <comment ref="S20" authorId="68" shapeId="0" xr:uid="{00000000-0006-0000-0600-00003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  </r>
      </text>
    </comment>
    <comment ref="AJ20" authorId="69" shapeId="0" xr:uid="{00000000-0006-0000-0600-00003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  </r>
      </text>
    </comment>
    <comment ref="A21" authorId="70" shapeId="0" xr:uid="{00000000-0006-0000-0600-00003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  </r>
      </text>
    </comment>
    <comment ref="S21" authorId="71" shapeId="0" xr:uid="{00000000-0006-0000-0600-00003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  </r>
      </text>
    </comment>
    <comment ref="AJ21" authorId="72" shapeId="0" xr:uid="{00000000-0006-0000-0600-00003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  </r>
      </text>
    </comment>
    <comment ref="A22" authorId="73" shapeId="0" xr:uid="{00000000-0006-0000-06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  </r>
      </text>
    </comment>
    <comment ref="S22" authorId="74" shapeId="0" xr:uid="{00000000-0006-0000-0600-00003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  </r>
      </text>
    </comment>
    <comment ref="AJ22" authorId="75" shapeId="0" xr:uid="{00000000-0006-0000-0600-00004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  </r>
      </text>
    </comment>
    <comment ref="D23" authorId="76" shapeId="0" xr:uid="{00000000-0006-0000-0600-00004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implizite Annahme aus Methodik der Lastblockverschiebung bei Haushalten / GHD</t>
        </r>
      </text>
    </comment>
    <comment ref="N23" authorId="77" shapeId="0" xr:uid="{00000000-0006-0000-0600-00004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aus Diagrammen auf S. 97-99</t>
        </r>
      </text>
    </comment>
    <comment ref="U23" authorId="78" shapeId="0" xr:uid="{00000000-0006-0000-0600-00004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aus Diagrammen auf S. 97-99</t>
        </r>
      </text>
    </comment>
    <comment ref="AV26" authorId="79" shapeId="0" xr:uid="{00000000-0006-0000-0600-00004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durchschnittliche Nutzungshäufigkeit</t>
        </r>
      </text>
    </comment>
    <comment ref="AN29" authorId="80" shapeId="0" xr:uid="{00000000-0006-0000-0600-00004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</t>
        </r>
      </text>
    </comment>
    <comment ref="AV29" authorId="81" shapeId="0" xr:uid="{00000000-0006-0000-0600-00004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durchschnittliche Nutzungshäufigkeit p.a.</t>
        </r>
      </text>
    </comment>
    <comment ref="AN32" authorId="82" shapeId="0" xr:uid="{00000000-0006-0000-0600-00004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  </r>
      </text>
    </comment>
    <comment ref="BN32" authorId="83" shapeId="0" xr:uid="{00000000-0006-0000-06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 zu Tageslastgang Waschmaschinen</t>
        </r>
      </text>
    </comment>
    <comment ref="AN33" authorId="84" shapeId="0" xr:uid="{00000000-0006-0000-0600-00004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  </r>
      </text>
    </comment>
    <comment ref="AN34" authorId="85" shapeId="0" xr:uid="{00000000-0006-0000-0600-00004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tc={0DD99023-DC2C-41B6-8AEB-A303437B076F}</author>
    <author>tc={75941BD7-E960-45C5-93F8-50AF65AF3D95}</author>
    <author>tc={C69EA6FA-A4C3-401F-911F-AFB04FA3AA67}</author>
  </authors>
  <commentList>
    <comment ref="B1" authorId="0" shapeId="0" xr:uid="{0DD99023-DC2C-41B6-8AEB-A303437B076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R1" authorId="1" shapeId="0" xr:uid="{75941BD7-E960-45C5-93F8-50AF65AF3D9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  </r>
      </text>
    </comment>
    <comment ref="A6" authorId="2" shapeId="0" xr:uid="{C69EA6FA-A4C3-401F-911F-AFB04FA3AA6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Zellstoffherstellung -&gt; synonym?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Kochems, Johannes</author>
    <author>tc={24C17746-073D-4362-92E8-080F3528ACBE}</author>
  </authors>
  <commentList>
    <comment ref="H1" authorId="0" shapeId="0" xr:uid="{21E0F3D3-4B8A-4B90-8284-4291F02C1902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Problem: Werte weichen deutlich ab -&gt; Aus stündlichen Ergebniszeitreihen (p_set) der dsmlib generiert</t>
        </r>
      </text>
    </comment>
    <comment ref="AD1" authorId="1" shapeId="0" xr:uid="{A4CF5C32-F2E2-411A-95CD-8A824F72907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113: Industrielle Potenziale im Status quo werden auch für 2020 und 2030 fortgeschrieben.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tc={8284C32F-A718-4F14-B86F-92DAD71F1CCC}</author>
    <author>tc={ECB77693-BF3E-4B43-A4B8-AD8387C97A71}</author>
    <author>tc={57AFC2E8-FFA2-4E62-B2B4-81994335385E}</author>
    <author>tc={FC7BBEF6-D7F2-4F4A-A23E-46102D346E13}</author>
    <author>tc={83715AE3-D509-4104-B51C-C36515A17889}</author>
    <author>tc={B04551D7-5559-4E67-9DC2-BCD256A7DFD5}</author>
    <author>tc={63A77B0A-9E84-4656-BE07-574F38164B28}</author>
    <author>tc={5DAA1232-B6CD-40DC-AEC4-1AB307E0B300}</author>
    <author>tc={F0DEA446-6AAB-4DAC-879B-3A7739E68C94}</author>
    <author>tc={A39BA4E7-BEF2-403F-84C2-3E67FBAD74A9}</author>
    <author>tc={90BAFA99-47B4-4AC0-B454-0B40C3E5F9C3}</author>
    <author>tc={A3EFB10A-875A-48C9-90E2-824AED4C0608}</author>
  </authors>
  <commentList>
    <comment ref="B1" authorId="0" shapeId="0" xr:uid="{8284C32F-A718-4F14-B86F-92DAD71F1CC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R1" authorId="1" shapeId="0" xr:uid="{ECB77693-BF3E-4B43-A4B8-AD8387C97A7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  </r>
      </text>
    </comment>
    <comment ref="S1" authorId="2" shapeId="0" xr:uid="{57AFC2E8-FFA2-4E62-B2B4-81994335385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  </r>
      </text>
    </comment>
    <comment ref="G4" authorId="3" shapeId="0" xr:uid="{FC7BBEF6-D7F2-4F4A-A23E-46102D346E1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H4" authorId="4" shapeId="0" xr:uid="{83715AE3-D509-4104-B51C-C36515A1788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N4" authorId="5" shapeId="0" xr:uid="{B04551D7-5559-4E67-9DC2-BCD256A7DFD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  <comment ref="G5" authorId="6" shapeId="0" xr:uid="{63A77B0A-9E84-4656-BE07-574F38164B2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H5" authorId="7" shapeId="0" xr:uid="{5DAA1232-B6CD-40DC-AEC4-1AB307E0B3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N5" authorId="8" shapeId="0" xr:uid="{F0DEA446-6AAB-4DAC-879B-3A7739E68C9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  <comment ref="N6" authorId="9" shapeId="0" xr:uid="{A39BA4E7-BEF2-403F-84C2-3E67FBAD74A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  <comment ref="T6" authorId="10" shapeId="0" xr:uid="{90BAFA99-47B4-4AC0-B454-0B40C3E5F9C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ca. 500 € / 50 MW zusätzliche jährliche Betriebskosten</t>
        </r>
      </text>
    </comment>
    <comment ref="N7" authorId="11" shapeId="0" xr:uid="{A3EFB10A-875A-48C9-90E2-824AED4C060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tc={7ACF5849-BCB1-4D29-B9E6-E7E0BFCAF724}</author>
    <author>tc={88876C22-C72B-4004-A83E-40ECAD6E27A5}</author>
    <author>tc={0D0BFACA-C37B-429E-8DA7-1E041832F3C6}</author>
    <author>tc={074B351B-7EDA-4499-8680-1DAD430B188F}</author>
  </authors>
  <commentList>
    <comment ref="A1" authorId="0" shapeId="0" xr:uid="{888E9315-00DD-4AD4-9C55-31F5D0DA920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Falls keine sonstige Angabe erfolgt, wird Potenzial als maximales Potenzial interpretiert.</t>
        </r>
      </text>
    </comment>
    <comment ref="C1" authorId="1" shapeId="0" xr:uid="{301734B1-50C1-4A4C-93F0-DEEEDD24C73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Sofern keine expliziten Angaben im Text gemacht werden, werden die Werte von 2005 für 2020 fortgeschrieben.</t>
        </r>
      </text>
    </comment>
    <comment ref="E1" authorId="2" shapeId="0" xr:uid="{12C76A1B-14ED-4D89-A6A7-A2C03B7594A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Industrieanwendungen nur für Lastverzicht geeignet</t>
        </r>
      </text>
    </comment>
    <comment ref="K1" authorId="3" shapeId="0" xr:uid="{19271100-9F2E-41BF-9ACB-07DF57C34FB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Klobasa (2009, S. 27) als Lastmanagementfaktor eingefügt: Anteil der verlagerbaren Leistung am gesamten Leistungsbedarf einer bestimmten Anwendung</t>
        </r>
      </text>
    </comment>
    <comment ref="L1" authorId="3" shapeId="0" xr:uid="{B3704F3F-B0BD-489C-97D6-58EDABED7CB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Klobasa (2009, S. 27) als Lastmanagementfaktor eingefügt: Anteil der verlagerbaren Leistung am gesamten Leistungsbedarf einer bestimmten Anwendung</t>
        </r>
      </text>
    </comment>
    <comment ref="V1" authorId="3" shapeId="0" xr:uid="{411900E1-430F-40BA-A043-9300F13D3D2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Klobasa (2009, S. 27) als Lastmanagementfaktor eingefügt: Anteil der verlagerbaren Leistung am gesamten Leistungsbedarf einer bestimmten Anwendung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tc={7ACF5849-BCB1-4D29-B9E6-E7E0BFCAF724}</author>
    <author>tc={88876C22-C72B-4004-A83E-40ECAD6E27A5}</author>
    <author>tc={0D0BFACA-C37B-429E-8DA7-1E041832F3C6}</author>
    <author>tc={A3AE5853-AA53-4CD5-A159-9145FD4D83DF}</author>
    <author>tc={D88B0131-5B2F-4C92-B5D0-4D2D3B9258F1}</author>
    <author>tc={074B351B-7EDA-4499-8680-1DAD430B188F}</author>
    <author>tc={2B3F3A06-A010-41B8-8504-607E90FD50CF}</author>
    <author>tc={B9C2205B-C7A4-4E1C-95E4-DB075EEFDF82}</author>
    <author>tc={1C64CC1B-80B8-4F4A-98A5-B88000851C23}</author>
    <author>tc={F95D806E-4058-4B54-A202-3A84D5E9146F}</author>
    <author>tc={2767AA7F-BC5C-4D14-A9E0-0C5C63A57BB8}</author>
    <author>tc={B0E66513-5A33-4C3E-8421-906E850B5EE2}</author>
    <author>tc={C76036C4-AC7A-4802-85F7-C393F5084BC6}</author>
    <author>tc={6FF35000-AADD-4767-8A24-544D08DEE41F}</author>
    <author>tc={A18B683F-7DFB-4ADB-AC46-2250B945731D}</author>
    <author>tc={F5BEA0D3-C462-4981-AD99-D691B4603720}</author>
    <author>tc={4FEE3112-6821-415D-955A-4DA09D372C96}</author>
    <author>tc={076190CB-06BD-4ABE-B89E-401931F6E8B5}</author>
    <author>tc={A98B7A15-9DCD-4B90-9020-5A2E47C41C39}</author>
    <author>tc={1BF91F4A-22C1-41E4-88D4-7CFEE64FB196}</author>
    <author>tc={7B06DB33-1705-4E01-B19E-15668E7FF4D5}</author>
    <author>tc={06B79AA8-4AF3-4D94-ADF6-79987787C9CA}</author>
    <author>tc={13CE8E71-75C0-4CC0-94BD-1C85926EEE1A}</author>
    <author>tc={4ABC16C1-8D91-43F3-B8EC-A8995F82F5BE}</author>
    <author>tc={79B7B427-0D49-49C6-9750-F7F5BD8526DD}</author>
    <author>tc={9DCB1874-13E4-4402-A615-A5F7EB2F8918}</author>
    <author>tc={F20F9148-E0D4-4101-B16A-6DB4147CAF3E}</author>
    <author>tc={4A1779F1-52BB-4838-9067-524E62009757}</author>
    <author>tc={9DA53673-71BE-457E-8D6C-72F535BFABEA}</author>
    <author>tc={9574B918-47AB-40B7-A84D-B43B94925CAB}</author>
    <author>tc={1104399C-1F14-466E-952E-456D516B9715}</author>
    <author>tc={39CC0BFB-A574-4405-AF5B-AB5EF1B80A93}</author>
    <author>tc={B5F36E8E-D325-41B9-AD9F-EB47AEA717DE}</author>
    <author>tc={F5B9767E-8275-43F4-B850-223AF2A7F436}</author>
    <author>tc={C452B2D1-6AF6-4F63-9164-456F565E36FA}</author>
    <author>tc={39E60AA3-24EA-4C06-8679-D9AE0CB964B6}</author>
    <author>tc={63046668-B45F-4E72-850F-2A81236815E7}</author>
    <author>tc={C8EF85D4-A230-4C5E-A1A8-B30134F1B7B3}</author>
  </authors>
  <commentList>
    <comment ref="A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Falls keine sonstige Angabe erfolgt, wird Potenzial als maximales Potenzial interpretiert.</t>
        </r>
      </text>
    </comment>
    <comment ref="C1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Sofern keine expliziten Angaben im Text gemacht werden, werden die Werte von 2005 für 2020 fortgeschrieben.</t>
        </r>
      </text>
    </comment>
    <comment ref="E1" authorId="2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Industrieanwendungen nur für Lastverzicht geeignet</t>
        </r>
      </text>
    </comment>
    <comment ref="J1" authorId="3" shapeId="0" xr:uid="{A3AE5853-AA53-4CD5-A159-9145FD4D83D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uneinheitliche Einstufung:
- S. 69: Max. Leistungsshift vs. Angabe von Spannbreiten bzw. allgemein Bezeichnung als Potenzial</t>
        </r>
      </text>
    </comment>
    <comment ref="O1" authorId="4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(!)</t>
        </r>
      </text>
    </comment>
    <comment ref="R1" authorId="5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Klobasa (2009, S. 27) als Lastmanagementfaktor eingefügt: Anteil der verlagerbaren Leistung am gesamten Leistungsbedarf einer bestimmten Anwendung</t>
        </r>
      </text>
    </comment>
    <comment ref="R2" authorId="6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67 % laut Tab. 4-7 (S. 69)</t>
        </r>
      </text>
    </comment>
    <comment ref="P16" authorId="7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 Auslastung zulässig</t>
        </r>
      </text>
    </comment>
    <comment ref="P17" authorId="8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 Auslastung zulässig</t>
        </r>
      </text>
    </comment>
    <comment ref="I22" authorId="9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  </r>
      </text>
    </comment>
    <comment ref="J22" authorId="10" shapeId="0" xr:uid="{2767AA7F-BC5C-4D14-A9E0-0C5C63A57BB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  </r>
      </text>
    </comment>
    <comment ref="K22" authorId="10" shapeId="0" xr:uid="{06F6002D-CBAF-4924-B2CE-395FED23ECE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  </r>
      </text>
    </comment>
    <comment ref="O22" authorId="11" shapeId="0" xr:uid="{B0E66513-5A33-4C3E-8421-906E850B5EE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  </r>
      </text>
    </comment>
    <comment ref="R22" authorId="12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Zeitabhängig!</t>
        </r>
      </text>
    </comment>
    <comment ref="V22" authorId="13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  </r>
      </text>
    </comment>
    <comment ref="J24" authorId="14" shapeId="0" xr:uid="{A18B683F-7DFB-4ADB-AC46-2250B945731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Obergrenze; Tab. 4-7 (S. 69): 270 MW</t>
        </r>
      </text>
    </comment>
    <comment ref="K24" authorId="14" shapeId="0" xr:uid="{2AF16E78-CCE8-4A68-A0C9-CE1FCD960F9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Obergrenze; Tab. 4-7 (S. 69): 270 MW</t>
        </r>
      </text>
    </comment>
    <comment ref="O24" authorId="15" shapeId="0" xr:uid="{F5BEA0D3-C462-4981-AD99-D691B460372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Obergrenze; Tab. 4-7 (S. 69): 270 MW</t>
        </r>
      </text>
    </comment>
    <comment ref="W28" authorId="16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0,5 bis 2 h nach Stadler (2005)</t>
        </r>
      </text>
    </comment>
    <comment ref="J29" authorId="17" shapeId="0" xr:uid="{076190CB-06BD-4ABE-B89E-401931F6E8B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Anstieg des Potenzial um ca. 1/3 (S. 73)</t>
        </r>
      </text>
    </comment>
    <comment ref="W30" authorId="18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Verlagerungsdauern bis 3 Stunden in Versuchen in DK festgestellt (S. 74)</t>
        </r>
      </text>
    </comment>
    <comment ref="P32" authorId="19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Aussagen im Text zu finden.</t>
        </r>
      </text>
    </comment>
    <comment ref="R34" authorId="2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Annahme.</t>
        </r>
      </text>
    </comment>
    <comment ref="T35" authorId="21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 (S. 77).</t>
        </r>
      </text>
    </comment>
    <comment ref="V35" authorId="22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 (S. 77).</t>
        </r>
      </text>
    </comment>
    <comment ref="T37" authorId="23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V37" authorId="24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T39" authorId="25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V39" authorId="26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T41" authorId="27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V41" authorId="28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S44" authorId="29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78</t>
        </r>
      </text>
    </comment>
    <comment ref="S45" authorId="3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78</t>
        </r>
      </text>
    </comment>
    <comment ref="V46" authorId="31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Leistung im GHD-Sektor 3 GW (S. 78)</t>
        </r>
      </text>
    </comment>
    <comment ref="V47" authorId="32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Leistung im GHD-Sektor 3 GW (S. 78)</t>
        </r>
      </text>
    </comment>
    <comment ref="A50" authorId="33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Hochrechnung für Haushalte</t>
        </r>
      </text>
    </comment>
    <comment ref="S50" authorId="34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Jahresdurchschnitt nicht repräsentativ für Anwendungsprofil (!)</t>
        </r>
      </text>
    </comment>
    <comment ref="AS50" authorId="35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Smart Meter</t>
        </r>
      </text>
    </comment>
    <comment ref="Y62" authorId="36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kleinen 8</t>
        </r>
      </text>
    </comment>
    <comment ref="S64" authorId="37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670 VBH, da nur Betrieb im Winter und in Übergangszeit (S. 83)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tc={C52B5857-94D2-4C82-B0B9-27486F847D3B}</author>
    <author>tc={E0555771-94D2-4407-BFF0-342D40A653FD}</author>
    <author>tc={E4554F3F-3938-470B-B424-052345AF12A8}</author>
    <author>tc={2B988940-E527-4ED8-A440-8E6CB3CF6545}</author>
    <author>tc={4E592AC3-F5CE-4C59-8237-F53EA67A8D3B}</author>
    <author>tc={2B6E6050-95BE-4A18-B442-33B10F2515B4}</author>
    <author>tc={42713FBB-474D-49E1-8290-CF8100CF13C7}</author>
    <author>tc={F148D38B-973E-40A6-B900-794F1BC6915A}</author>
    <author>tc={0C67615F-F0F8-41A8-BB89-D09B7B709A01}</author>
    <author>tc={97C5246D-2118-4E75-8A24-DAB5ADDBD5D0}</author>
  </authors>
  <commentList>
    <comment ref="E1" authorId="0" shapeId="0" xr:uid="{C52B5857-94D2-4C82-B0B9-27486F847D3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Ausweisung uneinheitlich; bei Klobasa et al. (2013) steht Abschaltleistung, die im Rahmen der AbLaV angeboten weren kann im Fokus. Buber et al. (2013) schreiben dagegen, dass möglichst keine Wertschöpfungseinbußen resultieren sollten.</t>
        </r>
      </text>
    </comment>
    <comment ref="AC2" authorId="1" shapeId="0" xr:uid="{E0555771-94D2-4407-BFF0-342D40A653F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208 Abrufe p.a.</t>
        </r>
      </text>
    </comment>
    <comment ref="AD2" authorId="2" shapeId="0" xr:uid="{E4554F3F-3938-470B-B424-052345AF12A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 Abrufe p.a.</t>
        </r>
      </text>
    </comment>
    <comment ref="AB3" authorId="3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20-50 mal pro Jahr</t>
        </r>
      </text>
    </comment>
    <comment ref="V7" authorId="4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Klo13, S. 45: tagsüber tlw. nur 20 min, da Auskühlen der Anlage droht</t>
        </r>
      </text>
    </comment>
    <comment ref="W7" authorId="4" shapeId="0" xr:uid="{3B69D499-28E1-41CC-8383-9953A5E1808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Klo13, S. 45: tagsüber tlw. nur 20 min, da Auskühlen der Anlage droht</t>
        </r>
      </text>
    </comment>
    <comment ref="U9" authorId="5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Stunden (Klo13, S. 60)</t>
        </r>
      </text>
    </comment>
    <comment ref="U10" authorId="6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Stunden (Klo13, S. 60)</t>
        </r>
      </text>
    </comment>
    <comment ref="T11" authorId="7" shapeId="0" xr:uid="{00000000-0006-0000-07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5-6 (je nach Außentemperatur)</t>
        </r>
      </text>
    </comment>
    <comment ref="U11" authorId="8" shapeId="0" xr:uid="{00000000-0006-0000-07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10-12 (je nach Außentemperatur)</t>
        </r>
      </text>
    </comment>
    <comment ref="A13" authorId="9" shapeId="0" xr:uid="{97C5246D-2118-4E75-8A24-DAB5ADDBD5D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Summe aus Wärmepumpen und Nachtspeicherheizungen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tc={6E808FB1-BD31-4697-85F2-64BC0389815C}</author>
    <author>tc={DFD032E4-F998-4256-8540-314B152AC06E}</author>
    <author>tc={8E289125-420C-4016-B340-4C999E9B4963}</author>
    <author>tc={A3B9ED76-0DB1-42D8-B4CA-E238BEBC3F30}</author>
    <author>tc={E5042309-4EBD-448A-99C1-3E0F7CE59322}</author>
    <author>tc={FD5F3595-802A-44B7-AC8E-66FDC24ECFE1}</author>
    <author>tc={6A1F42CD-9EF8-40DA-B3A4-45BAF7CB0327}</author>
    <author>tc={DD8E90E2-270C-4E86-8E75-3AA6B758472B}</author>
    <author>tc={94448B8F-E82C-4946-AF9E-66D7528E2E7C}</author>
  </authors>
  <commentList>
    <comment ref="O2" authorId="0" shapeId="0" xr:uid="{6E808FB1-BD31-4697-85F2-64BC0389815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</t>
        </r>
      </text>
    </comment>
    <comment ref="T2" authorId="1" shapeId="0" xr:uid="{DFD032E4-F998-4256-8540-314B152AC06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hundert (VOLL)</t>
        </r>
      </text>
    </comment>
    <comment ref="C3" authorId="2" shapeId="0" xr:uid="{8E289125-420C-4016-B340-4C999E9B496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Deklaration als "zukünftig nutzbares Potenzial" -&gt; zeitlicher Bezug unklar, aber wegen herangezogener Quellen wohl eher in der kurzen bis mittleren Frist</t>
        </r>
      </text>
    </comment>
    <comment ref="O3" authorId="3" shapeId="0" xr:uid="{A3B9ED76-0DB1-42D8-B4CA-E238BEBC3F3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</t>
        </r>
      </text>
    </comment>
    <comment ref="T3" authorId="4" shapeId="0" xr:uid="{E5042309-4EBD-448A-99C1-3E0F7CE5932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hundert (VOLL)</t>
        </r>
      </text>
    </comment>
    <comment ref="I5" authorId="5" shapeId="0" xr:uid="{FD5F3595-802A-44B7-AC8E-66FDC24ECFE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dena (2010): Krzikalla et al. (2013, S. 32) vermuten massive Überschätzung</t>
        </r>
      </text>
    </comment>
    <comment ref="M6" authorId="6" shapeId="0" xr:uid="{00000000-0006-0000-18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O6" authorId="7" shapeId="0" xr:uid="{DD8E90E2-270C-4E86-8E75-3AA6B758472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Angabe: "mehrere" Stunden</t>
        </r>
      </text>
    </comment>
    <comment ref="R6" authorId="8" shapeId="0" xr:uid="{00000000-0006-0000-18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max. 3 Abrufungen pro Tag (Celina)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tc={40132A5A-DED2-4319-8B2E-E7EA3D823173}</author>
    <author>tc={34FBD2BC-05DC-4D60-9E56-84F16ECC9947}</author>
    <author>tc={0535A5A5-8FB5-4245-9802-9BA214E263CC}</author>
    <author>tc={20797AE0-FDD9-413F-BBE6-FF2964343907}</author>
    <author>tc={5670BF3C-A1A2-4CAA-A2CE-D3663FBEE297}</author>
    <author>tc={B41F072E-271C-4143-A336-EA916252D2C7}</author>
    <author>jkochems</author>
    <author>tc={9FFCF79A-B160-43D3-85A0-8B65E3D598DE}</author>
    <author>tc={CDC5432E-5CEE-4F65-A049-D3CB861DE164}</author>
    <author>tc={08D0FDE5-7D23-45BB-A7F8-290A9D0772DD}</author>
    <author>tc={2FCC91E6-E798-40B9-8533-58AD9E715427}</author>
    <author>tc={5D04B573-5CD0-41AE-928E-35C3B8167CEE}</author>
    <author>tc={2F944CA3-AE36-4755-8F09-10643B9244D5}</author>
    <author>tc={9A3A6324-8791-4E84-8433-7CFA81788709}</author>
    <author>tc={A8A4819F-B1D7-4FB7-AFF5-812296655B02}</author>
    <author>tc={8294BB77-B58E-446F-B38A-EB634F5E341D}</author>
    <author>tc={8814E792-F602-47EA-B07E-DF22CA2745AF}</author>
    <author>tc={EA32A9C9-25A2-4D21-A596-4DADF2C63448}</author>
    <author>tc={002C673A-E7CE-4669-9828-EF224478AA0A}</author>
    <author>tc={E43DB286-E8AC-4C60-978C-EDCE9FF0B7AF}</author>
    <author>tc={68B7967D-4350-4785-980B-34CC633D1EB6}</author>
    <author>tc={FAB61CD1-93CD-4A4B-9CC5-CC634DE22978}</author>
    <author>tc={3955FFBA-885D-4B97-A22E-39EC0806BABF}</author>
    <author>tc={C2208035-CA19-4F09-8EC7-B0C2C45E8AA4}</author>
    <author>tc={B943206F-AF6D-40ED-8C3E-3781DE2A6CC4}</author>
    <author>tc={A2559ECD-B019-4AA2-8A6B-FDE535A28A0D}</author>
    <author>tc={4B34E1BE-0172-44D7-8EE1-E3EC462FE0D3}</author>
    <author>tc={A6449AFE-8CA4-4D78-BB0E-EA96F0B6E13F}</author>
    <author>tc={89785C96-89F4-4CD2-ACA3-1E5FBD91D9BA}</author>
    <author>tc={E81FB360-0B81-4A7C-8076-B64BA89C8BD2}</author>
    <author>tc={2E590A01-E7BF-4047-AE8E-C40EB516F3A8}</author>
    <author>tc={5E54AC2C-CC79-42C5-BE07-F480ABF42B5A}</author>
    <author>tc={E68B8C0E-5063-499C-9C2E-A5C782C50157}</author>
    <author>tc={509C2434-7F1C-472D-BEF3-D529AECA42FD}</author>
    <author>tc={28DB589E-1414-4D45-8A13-FDDFDE80464F}</author>
  </authors>
  <commentList>
    <comment ref="A1" authorId="0" shapeId="0" xr:uid="{40132A5A-DED2-4319-8B2E-E7EA3D82317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G1" authorId="1" shapeId="0" xr:uid="{34FBD2BC-05DC-4D60-9E56-84F16ECC994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  </r>
      </text>
    </comment>
    <comment ref="H1" authorId="2" shapeId="0" xr:uid="{0535A5A5-8FB5-4245-9802-9BA214E263C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  </r>
      </text>
    </comment>
    <comment ref="I1" authorId="3" shapeId="0" xr:uid="{20797AE0-FDD9-413F-BBE6-FF296434390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  </r>
      </text>
    </comment>
    <comment ref="T1" authorId="4" shapeId="0" xr:uid="{5670BF3C-A1A2-4CAA-A2CE-D3663FBEE29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  </r>
      </text>
    </comment>
    <comment ref="V1" authorId="5" shapeId="0" xr:uid="{B41F072E-271C-4143-A336-EA916252D2C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W1" authorId="4" shapeId="0" xr:uid="{5F5DBFE3-8628-4A0C-A45D-59E4B13E3CB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  </r>
      </text>
    </comment>
    <comment ref="Y1" authorId="5" shapeId="0" xr:uid="{F770BF66-34B4-42E7-AA8A-655ABDB3054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AF1" authorId="6" shapeId="0" xr:uid="{7D287E7D-8212-4FE7-B5FB-84B5687A4409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9" authorId="7" shapeId="0" xr:uid="{9FFCF79A-B160-43D3-85A0-8B65E3D598D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BEIDE Verfahren</t>
        </r>
      </text>
    </comment>
    <comment ref="W10" authorId="8" shapeId="0" xr:uid="{CDC5432E-5CEE-4F65-A049-D3CB861DE16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Y10" authorId="9" shapeId="0" xr:uid="{08D0FDE5-7D23-45BB-A7F8-290A9D0772D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W11" authorId="10" shapeId="0" xr:uid="{2FCC91E6-E798-40B9-8533-58AD9E71542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X11" authorId="11" shapeId="0" xr:uid="{5D04B573-5CD0-41AE-928E-35C3B8167CE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Y11" authorId="12" shapeId="0" xr:uid="{2F944CA3-AE36-4755-8F09-10643B9244D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A18" authorId="13" shapeId="0" xr:uid="{9A3A6324-8791-4E84-8433-7CFA8178870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  </r>
      </text>
    </comment>
    <comment ref="AP18" authorId="14" shapeId="0" xr:uid="{A8A4819F-B1D7-4FB7-AFF5-812296655B0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19" authorId="15" shapeId="0" xr:uid="{8294BB77-B58E-446F-B38A-EB634F5E341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  </r>
      </text>
    </comment>
    <comment ref="A20" authorId="16" shapeId="0" xr:uid="{8814E792-F602-47EA-B07E-DF22CA2745A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  </r>
      </text>
    </comment>
    <comment ref="AP21" authorId="17" shapeId="0" xr:uid="{EA32A9C9-25A2-4D21-A596-4DADF2C6344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2" authorId="18" shapeId="0" xr:uid="{002C673A-E7CE-4669-9828-EF224478AA0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3" authorId="19" shapeId="0" xr:uid="{E43DB286-E8AC-4C60-978C-EDCE9FF0B7A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4" authorId="20" shapeId="0" xr:uid="{68B7967D-4350-4785-980B-34CC633D1EB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5" authorId="21" shapeId="0" xr:uid="{FAB61CD1-93CD-4A4B-9CC5-CC634DE2297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6" authorId="22" shapeId="0" xr:uid="{3955FFBA-885D-4B97-A22E-39EC0806BAB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7" authorId="23" shapeId="0" xr:uid="{C2208035-CA19-4F09-8EC7-B0C2C45E8AA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28" authorId="24" shapeId="0" xr:uid="{B943206F-AF6D-40ED-8C3E-3781DE2A6CC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29" authorId="25" shapeId="0" xr:uid="{A2559ECD-B019-4AA2-8A6B-FDE535A28A0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30" authorId="26" shapeId="0" xr:uid="{4B34E1BE-0172-44D7-8EE1-E3EC462FE0D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31" authorId="27" shapeId="0" xr:uid="{A6449AFE-8CA4-4D78-BB0E-EA96F0B6E13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32" authorId="28" shapeId="0" xr:uid="{89785C96-89F4-4CD2-ACA3-1E5FBD91D9B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33" authorId="29" shapeId="0" xr:uid="{E81FB360-0B81-4A7C-8076-B64BA89C8BD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34" authorId="30" shapeId="0" xr:uid="{2E590A01-E7BF-4047-AE8E-C40EB516F3A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35" authorId="31" shapeId="0" xr:uid="{5E54AC2C-CC79-42C5-BE07-F480ABF42B5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36" authorId="32" shapeId="0" xr:uid="{E68B8C0E-5063-499C-9C2E-A5C782C5015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39" authorId="33" shapeId="0" xr:uid="{509C2434-7F1C-472D-BEF3-D529AECA42F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unbegrenzt</t>
        </r>
      </text>
    </comment>
    <comment ref="AP40" authorId="34" shapeId="0" xr:uid="{28DB589E-1414-4D45-8A13-FDDFDE80464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unbegrenzt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tc={EDF45256-C95B-4604-BC04-7E26BE64F9E1}</author>
    <author>tc={3BEFDC6A-4DC4-46E7-B066-D8298BDE0FB1}</author>
    <author>tc={ABA2591F-B820-436C-9A3A-A5332F0786D0}</author>
    <author>tc={703AD3D1-E30E-48F1-9DC4-B48BD3A6BD40}</author>
    <author>tc={B3F52114-DD22-42ED-A49C-9CCFD55C1BDC}</author>
    <author>Kochems, Johannes</author>
    <author>tc={30962F40-40C3-4F2C-ABAB-48E87F63E1C3}</author>
    <author>tc={FDDB87EE-EFAB-4817-94A3-94AC8AA29087}</author>
    <author>tc={D6012168-2E81-4545-9820-7FFA59E7202D}</author>
    <author>tc={49B75B7C-D38C-4212-94E9-C57D8606C6BD}</author>
    <author>tc={2D2B2FF5-911A-40C0-BDD5-7CF2B7EAC266}</author>
    <author>tc={0D2C46B9-62F1-47DB-93FE-0C9F7481C5CF}</author>
    <author>tc={285ADAA8-6F52-495C-A122-66720250C243}</author>
    <author>tc={C8F19E2B-46C5-4927-813B-18767F568C3B}</author>
    <author>tc={914E371E-85A0-4467-8FD6-9FE9C6FE80AB}</author>
  </authors>
  <commentList>
    <comment ref="R1" authorId="0" shapeId="0" xr:uid="{00000000-0006-0000-0D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Bezogen auf Betriebsstunden</t>
        </r>
      </text>
    </comment>
    <comment ref="E2" authorId="0" shapeId="0" xr:uid="{00000000-0006-0000-0D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technisches Potenzial steht für den Lastverzicht zur Verfügung; soziotechnisches für Lasterhöhungen und -reduktionen</t>
        </r>
      </text>
    </comment>
    <comment ref="G2" authorId="1" shapeId="0" xr:uid="{00000000-0006-0000-0D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PRL</t>
        </r>
      </text>
    </comment>
    <comment ref="H2" authorId="2" shapeId="0" xr:uid="{00000000-0006-0000-0D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ID/DA</t>
        </r>
      </text>
    </comment>
    <comment ref="R2" authorId="0" shapeId="0" xr:uid="{00000000-0006-0000-0D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mehr als 8.500 Betriebsstunden (S. 93)</t>
        </r>
      </text>
    </comment>
    <comment ref="W2" authorId="3" shapeId="0" xr:uid="{00000000-0006-0000-0D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Großteil der Aktivierungen &lt;= 30 s</t>
        </r>
      </text>
    </comment>
    <comment ref="Z2" authorId="4" shapeId="0" xr:uid="{00000000-0006-0000-0D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Vollabschaltung mit Dauer von 1 Stunde möglich.</t>
        </r>
      </text>
    </comment>
    <comment ref="AF2" authorId="5" shapeId="0" xr:uid="{00000000-0006-0000-0D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häufiger -&gt; Luftzerlegung</t>
        </r>
      </text>
    </comment>
    <comment ref="AJ2" authorId="6" shapeId="0" xr:uid="{9ECA1320-C489-4D4F-AB7D-5BF92560550E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bei nachholender Produktion</t>
        </r>
      </text>
    </comment>
    <comment ref="AK2" authorId="7" shapeId="0" xr:uid="{00000000-0006-0000-0D00-000009000000}">
      <text>
        <r>
          <rPr>
            <sz val="11"/>
            <color theme="1"/>
            <rFont val="Calibri"/>
            <family val="2"/>
            <scheme val="minor"/>
          </rPr>
          <t>[Kommentarthread]
Lastverzicht</t>
        </r>
      </text>
    </comment>
    <comment ref="I3" authorId="8" shapeId="0" xr:uid="{00000000-0006-0000-0D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470 MW akzeptiert</t>
        </r>
      </text>
    </comment>
    <comment ref="N3" authorId="0" shapeId="0" xr:uid="{00000000-0006-0000-0D00-00000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Angaben von 25 bis 50 % (S. 114)</t>
        </r>
      </text>
    </comment>
    <comment ref="Z3" authorId="0" shapeId="0" xr:uid="{00000000-0006-0000-0D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Breite Spanne für Schaltdauer; kein eindeutiger Zusammenhang mit Aktivierungsdauer feststellbar</t>
        </r>
      </text>
    </comment>
    <comment ref="AF3" authorId="0" shapeId="0" xr:uid="{00000000-0006-0000-0D00-00000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51-97 x pro Jahr (S. 117)</t>
        </r>
      </text>
    </comment>
    <comment ref="AJ3" authorId="0" shapeId="0" xr:uid="{00000000-0006-0000-0D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bei nachholender Produktion</t>
        </r>
      </text>
    </comment>
    <comment ref="AK3" authorId="0" shapeId="0" xr:uid="{DA5828FC-6619-47E6-89F9-80FA0B0493E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VOLL</t>
        </r>
      </text>
    </comment>
    <comment ref="G4" authorId="0" shapeId="0" xr:uid="{00000000-0006-0000-0D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DA/ID</t>
        </r>
      </text>
    </comment>
    <comment ref="H4" authorId="0" shapeId="0" xr:uid="{00000000-0006-0000-0D00-00001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DA/ID</t>
        </r>
      </text>
    </comment>
    <comment ref="I4" authorId="9" shapeId="0" xr:uid="{00000000-0006-0000-0D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1.100 MW akzeptiert</t>
        </r>
      </text>
    </comment>
    <comment ref="N4" authorId="0" shapeId="0" xr:uid="{00000000-0006-0000-0D00-00001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105: In einigen Fällen Reduktion auf 70-90 % der ansonsten voll ausgelasteten Papiermaschine als möglich angesehen.</t>
        </r>
      </text>
    </comment>
    <comment ref="W4" authorId="0" shapeId="0" xr:uid="{00000000-0006-0000-0D00-00001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Lastverzicht mit Vorlaufzeit von mehreren Stunden (S. 104); ca. 50% mit Aktivierungszeit von bis zu 30 min abschaltbar; Rest bis etwa 1 Stunde</t>
        </r>
      </text>
    </comment>
    <comment ref="AF4" authorId="0" shapeId="0" xr:uid="{00000000-0006-0000-0D00-00001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bei Aktivierungszeit bis 1 Stunde (S. 107)</t>
        </r>
      </text>
    </comment>
    <comment ref="AJ4" authorId="0" shapeId="0" xr:uid="{00000000-0006-0000-0D00-00001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Lastverschiebung</t>
        </r>
      </text>
    </comment>
    <comment ref="AK4" authorId="0" shapeId="0" xr:uid="{64894D1C-27EF-43E4-89FC-E3CBC35F1B8C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Lastverzicht</t>
        </r>
      </text>
    </comment>
    <comment ref="I5" authorId="0" shapeId="0" xr:uid="{00000000-0006-0000-0D00-00001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basierend auf Vollabschaltung, die nur von einzelnen Unternehmen in Befragung als sinnvoll / technisch machbar eingestuft wurde</t>
        </r>
      </text>
    </comment>
    <comment ref="Z5" authorId="0" shapeId="0" xr:uid="{00000000-0006-0000-0D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etwa Durchschnitt</t>
        </r>
      </text>
    </comment>
    <comment ref="AF5" authorId="0" shapeId="0" xr:uid="{00000000-0006-0000-0D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zu 2.100 Kurzzeitunterbrechungen p.a. mit variablen Kosten nahe 0 (S. 127, 129)</t>
        </r>
      </text>
    </comment>
    <comment ref="G6" authorId="10" shapeId="0" xr:uid="{00000000-0006-0000-0D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SRL</t>
        </r>
      </text>
    </comment>
    <comment ref="H6" authorId="11" shapeId="0" xr:uid="{00000000-0006-0000-0D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 II</t>
        </r>
      </text>
    </comment>
    <comment ref="I6" authorId="12" shapeId="0" xr:uid="{00000000-0006-0000-0D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HT-Zeit nur 22 MW</t>
        </r>
      </text>
    </comment>
    <comment ref="K6" authorId="13" shapeId="0" xr:uid="{00000000-0006-0000-0D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ID/DA</t>
        </r>
      </text>
    </comment>
    <comment ref="Z6" authorId="6" shapeId="0" xr:uid="{8CBD6445-14E2-404E-9181-0E07F2EB6D97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zwei Schichten</t>
        </r>
      </text>
    </comment>
    <comment ref="AF6" authorId="14" shapeId="0" xr:uid="{00000000-0006-0000-0D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Lasterhöhungen etwas höher</t>
        </r>
      </text>
    </comment>
    <comment ref="A7" authorId="15" shapeId="0" xr:uid="{00000000-0006-0000-0D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 Flexinilitätspotenzial bei Raffinerien wegen sicherheitstechnischer Aspekte; Flexibilitätspotenzial bei Braunkohletagebau durch Industriekraftwerke bzw. aus Datenschutzgründen nicht dargelegt.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tc={48424C6E-DB7D-4E80-A6CE-54632708D2E4}</author>
    <author>tc={AD464845-2D6B-4D71-8364-17095566BF61}</author>
    <author>tc={B80B1BD7-A1C3-481D-8880-6BBA22317276}</author>
  </authors>
  <commentList>
    <comment ref="H4" authorId="0" shapeId="0" xr:uid="{48424C6E-DB7D-4E80-A6CE-54632708D2E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 °C Außentemperatur</t>
        </r>
      </text>
    </comment>
    <comment ref="I4" authorId="1" shapeId="0" xr:uid="{AD464845-2D6B-4D71-8364-17095566BF6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271 MW bei -10 °C Außentemperatur und nur BaWü</t>
        </r>
      </text>
    </comment>
    <comment ref="A6" authorId="2" shapeId="0" xr:uid="{B80B1BD7-A1C3-481D-8880-6BBA2231727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Heute kein nennenswertes Potenzial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tc={F40C1633-2421-4D4C-B0FA-8F7EE2001942}</author>
    <author>jkochems</author>
    <author>tc={D9EB4A29-7754-4F3C-AE55-6F2E35114C3C}</author>
    <author>tc={7C4671D3-9925-4459-BC4A-968E88927B6C}</author>
    <author>tc={35FEF1BB-61D3-46FC-B72E-C4E42659E9A9}</author>
    <author>tc={608AD71B-F8D7-4814-9E44-B0E2DB448855}</author>
    <author>tc={FE453C0E-AEB4-4F88-BFEE-82E0B82A3D9E}</author>
    <author>tc={1E022595-E5F3-4506-9C9E-317C76D2492A}</author>
    <author>tc={EF54A784-7926-4127-9F01-11DE52FD9817}</author>
    <author>tc={45CF02F1-3804-4EC2-B012-DF1EFFF2E42C}</author>
    <author>tc={5DD02952-A5B3-49D6-84C6-8962663F5DE7}</author>
    <author>tc={2993BE54-9DF8-4708-98E2-A3ADD09B0793}</author>
    <author>tc={EEADB1E7-33F3-4D68-9465-EFA9AF15116C}</author>
    <author>tc={09FF5934-D251-47A0-B26D-0DE898F132F5}</author>
    <author>tc={5B35CADB-D991-4802-B990-67E559343D44}</author>
    <author>tc={C813DE76-EE7E-43C4-9A79-0E47508FD018}</author>
    <author>tc={3CE9C4DF-5E12-4590-A844-BC65F7EAA3B9}</author>
    <author>tc={54E0A2D2-4CDD-40D4-A6E5-2677B913756B}</author>
    <author>tc={716DD388-AB3D-466A-9FAB-1898494F0D4F}</author>
    <author>tc={46CD3C0F-6EAB-4CC2-AF51-FDA9C9BE5A85}</author>
    <author>tc={C44FD56D-9705-4407-80B0-943C520D0D6E}</author>
    <author>tc={2312E256-8F03-41AB-A548-6F286361FE00}</author>
    <author>tc={F533937C-E4FB-46E9-B0AD-1926E1DA6936}</author>
    <author>tc={BE76AE40-4E4E-4724-82D7-D9BBC8C764FC}</author>
    <author>tc={56D6DEC5-FCD6-43E1-9867-C2D55B1AD3CA}</author>
    <author>tc={1474DFB6-F764-412E-BDCB-3704097EF776}</author>
  </authors>
  <commentList>
    <comment ref="A1" authorId="0" shapeId="0" xr:uid="{F40C1633-2421-4D4C-B0FA-8F7EE200194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I1" authorId="1" shapeId="0" xr:uid="{6C173232-384A-4444-8113-D9399D5F2C2C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" authorId="2" shapeId="0" xr:uid="{D9EB4A29-7754-4F3C-AE55-6F2E35114C3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3" authorId="3" shapeId="0" xr:uid="{7C4671D3-9925-4459-BC4A-968E88927B6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4" authorId="4" shapeId="0" xr:uid="{35FEF1BB-61D3-46FC-B72E-C4E42659E9A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5" authorId="5" shapeId="0" xr:uid="{608AD71B-F8D7-4814-9E44-B0E2DB44885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6" authorId="6" shapeId="0" xr:uid="{FE453C0E-AEB4-4F88-BFEE-82E0B82A3D9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7" authorId="7" shapeId="0" xr:uid="{1E022595-E5F3-4506-9C9E-317C76D2492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8" authorId="8" shapeId="0" xr:uid="{EF54A784-7926-4127-9F01-11DE52FD981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9" authorId="9" shapeId="0" xr:uid="{45CF02F1-3804-4EC2-B012-DF1EFFF2E42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0" authorId="10" shapeId="0" xr:uid="{5DD02952-A5B3-49D6-84C6-8962663F5DE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1" authorId="11" shapeId="0" xr:uid="{2993BE54-9DF8-4708-98E2-A3ADD09B07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2" authorId="12" shapeId="0" xr:uid="{EEADB1E7-33F3-4D68-9465-EFA9AF15116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3" authorId="13" shapeId="0" xr:uid="{09FF5934-D251-47A0-B26D-0DE898F132F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A14" authorId="14" shapeId="0" xr:uid="{5B35CADB-D991-4802-B990-67E559343D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 als mechanische Energie; Beschreibungstext (S. 764) legt allerdings dar, dass nur Belüftung einbezogen wurde.</t>
        </r>
      </text>
    </comment>
    <comment ref="E14" authorId="15" shapeId="0" xr:uid="{C813DE76-EE7E-43C4-9A79-0E47508FD01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5" authorId="16" shapeId="0" xr:uid="{3CE9C4DF-5E12-4590-A844-BC65F7EAA3B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6" authorId="17" shapeId="0" xr:uid="{54E0A2D2-4CDD-40D4-A6E5-2677B913756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7" authorId="18" shapeId="0" xr:uid="{716DD388-AB3D-466A-9FAB-1898494F0D4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8" authorId="19" shapeId="0" xr:uid="{46CD3C0F-6EAB-4CC2-AF51-FDA9C9BE5A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9" authorId="20" shapeId="0" xr:uid="{C44FD56D-9705-4407-80B0-943C520D0D6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0" authorId="21" shapeId="0" xr:uid="{2312E256-8F03-41AB-A548-6F286361FE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1" authorId="22" shapeId="0" xr:uid="{F533937C-E4FB-46E9-B0AD-1926E1DA693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2" authorId="23" shapeId="0" xr:uid="{BE76AE40-4E4E-4724-82D7-D9BBC8C764F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3" authorId="24" shapeId="0" xr:uid="{56D6DEC5-FCD6-43E1-9867-C2D55B1AD3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A24" authorId="25" shapeId="0" xr:uid="{1474DFB6-F764-412E-BDCB-3704097EF77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Potenziale leider nur aggregiert dargestellt; Disaggregierungsmöglichkeit ggf. über die unterstellten zeitlichen Limitationen der Prozesse / Anwendungen möglich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tc={E4BFB744-B0A5-46CB-A573-80A1EDDEB6FE}</author>
    <author>tc={D3A3CB8E-634D-4353-BC22-B1C1EE166973}</author>
    <author>tc={DE79BE23-0387-495B-B52B-8557145C9526}</author>
    <author>tc={4DEFF1C5-9E82-46BA-9145-56ACC48E0E68}</author>
    <author>tc={56FCB2BE-04C3-4ED5-ACE2-FB1BA5737F47}</author>
    <author>tc={91DBE807-34F5-455F-9717-4F4965B1E165}</author>
    <author>tc={DB085A0F-790B-4ABF-B1AC-582644675691}</author>
    <author>tc={CD81D0F3-14CC-415D-A096-62C1B673367E}</author>
    <author>tc={B5FCF81A-A120-4D14-88B6-05B80DDD3C65}</author>
    <author>tc={55E0F084-1B19-4E04-94EC-6347E888579E}</author>
    <author>tc={FC04E18C-2626-474F-A156-122F164C33A4}</author>
    <author>tc={65ED5D12-1403-420F-8E23-C0ADB299F455}</author>
    <author>tc={A0E4DF02-2C19-4550-8373-EE5EB7F86DA6}</author>
    <author>tc={BE2984E6-2531-4D6C-A777-5BBD07A90D8D}</author>
    <author>tc={CE7146F0-90E3-4CF6-8E7E-E7F03F40C48B}</author>
    <author>tc={32DC9E10-538E-4626-BEEE-0A358024E089}</author>
    <author>tc={BDD71445-32CE-44AC-87CC-DE391F3A9437}</author>
    <author>tc={B4685EC8-33BA-41C6-B974-C7FDC81FD07E}</author>
    <author>tc={F43EFF6B-BE30-4C11-8B8A-43E99B6288D6}</author>
    <author>tc={F961DDDF-533B-4CA6-9E96-85E7901EE977}</author>
    <author>tc={A4C5058E-F20C-490A-A13E-57818F5B284C}</author>
    <author>tc={B5AC5E5C-D305-4489-9068-9917443E2B69}</author>
    <author>tc={8B139A3A-9121-4697-9E8B-7397F65F9ABE}</author>
    <author>tc={5F5EE21A-1FC9-4DD5-9F00-5B68CBA65CAE}</author>
    <author>tc={2CD599CA-FA32-497C-AAAD-D4B40833DAB8}</author>
    <author>tc={B01D08C9-05D2-499A-B05E-0CA61B79389A}</author>
    <author>tc={484A3725-636F-46AC-ADE5-2426E0CDFFF6}</author>
    <author>tc={618FA667-1122-4AA4-AFFD-62315F98704A}</author>
    <author>tc={3C360DE0-279E-472B-8B69-0D8A9FDA24AA}</author>
    <author>tc={B7D9A8BF-A9CD-43C6-89EA-3DCB04B08D4C}</author>
    <author>tc={32164C69-55B6-4C8D-AAA6-4375387896B4}</author>
    <author>tc={B58A8EDA-A9BF-438C-926D-9A46E25BE4F8}</author>
    <author>tc={4D0EDDAD-4B39-4913-9D1A-8FE152A4D5C1}</author>
    <author>tc={2D750CCD-9FE5-4E33-917A-62AA63ED38B2}</author>
    <author>tc={DB90334A-56BC-4CB4-BF6B-B6898EDEFDDB}</author>
    <author>tc={C1734ED0-047C-4A03-BCD8-FA1D049D3E83}</author>
    <author>tc={64F6BED4-7AF4-439F-A1B8-7701FC261B6C}</author>
    <author>tc={19BEAAC5-AEC5-4FED-99AB-02B9DE5C5CF1}</author>
    <author>tc={0D7506F8-7B7A-4D04-93FC-A52A96EEDD70}</author>
    <author>tc={0674D3E8-B547-44D6-A52E-7D52D5F112A5}</author>
    <author>tc={DE351524-D469-480B-890C-7E154D1926E4}</author>
    <author>tc={27DAC4CB-A050-4C5F-A3AE-61F3B2B4EA13}</author>
    <author>tc={817C6850-F5D3-41CB-B7FD-4DA88A8F301B}</author>
    <author>tc={EE9E44B8-461E-4C07-8E58-DA9C01EB4EAD}</author>
    <author>tc={E97C66FB-2C05-441D-9EFF-FD5B295CCB0D}</author>
    <author>tc={C4911BB4-C371-4F84-9692-9E649CA2036F}</author>
    <author>tc={31E81006-1FBF-4FD9-9924-50FDF93F6BF9}</author>
    <author>tc={9BAAB480-67BB-496C-8AB4-A066FC25C19C}</author>
    <author>tc={CC08F034-8F6E-4B4F-B20C-04518AE63AE7}</author>
    <author>tc={51B26C77-5485-4706-8CF1-907CC169C0EF}</author>
    <author>tc={DE8CB550-2141-4765-8E1A-A01D2139DAB5}</author>
    <author>Kochems, Johannes</author>
  </authors>
  <commentList>
    <comment ref="J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Hier Werte aus S. 524 mit aktuellerer Datenbasis (2010); Fortschreibung, falls keine abweichende Angabe</t>
        </r>
      </text>
    </comment>
    <comment ref="G2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H2" authorId="2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Heizperiode; nicht spezifiziert, ob Maximum oder Durchschnitt</t>
        </r>
      </text>
    </comment>
    <comment ref="K2" authorId="3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L2" authorId="4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bestimmten Stunden der Heizperiode; nict spezifiziert, ob Maximum oder Durchschnitt</t>
        </r>
      </text>
    </comment>
    <comment ref="AI2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K2" authorId="0" shapeId="0" xr:uid="{00000000-0006-0000-02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 auf S. 530: keine fixen Betriebskosten bei Haushalten im optimistischen Szenario</t>
        </r>
      </text>
    </comment>
    <comment ref="G3" authorId="5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H3" authorId="6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Heizperiode; nicht spezifiziert, ob Maximum oder Durchschnitt</t>
        </r>
      </text>
    </comment>
    <comment ref="K3" authorId="7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L3" authorId="8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bestimmten Stunden der Heizperiode; nict spezifiziert, ob Maximum oder Durchschnitt</t>
        </r>
      </text>
    </comment>
    <comment ref="AI3" authorId="0" shapeId="0" xr:uid="{00000000-0006-0000-02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I4" authorId="9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AI4" authorId="0" shapeId="0" xr:uid="{00000000-0006-0000-02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I5" authorId="1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AI5" authorId="0" shapeId="0" xr:uid="{00000000-0006-0000-02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6" authorId="11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Winter</t>
        </r>
      </text>
    </comment>
    <comment ref="K6" authorId="12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L6" authorId="13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Sommer</t>
        </r>
      </text>
    </comment>
    <comment ref="H7" authorId="14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Winter</t>
        </r>
      </text>
    </comment>
    <comment ref="K7" authorId="15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413; eigene Hochrechnung</t>
        </r>
      </text>
    </comment>
    <comment ref="L7" authorId="16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Sommer</t>
        </r>
      </text>
    </comment>
    <comment ref="AI8" authorId="0" shapeId="0" xr:uid="{00000000-0006-0000-02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I9" authorId="0" shapeId="0" xr:uid="{00000000-0006-0000-02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S10" authorId="17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12 Stunden)</t>
        </r>
      </text>
    </comment>
    <comment ref="X10" authorId="18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AI10" authorId="0" shapeId="0" xr:uid="{00000000-0006-0000-0200-00001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S11" authorId="19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12 Stunden)</t>
        </r>
      </text>
    </comment>
    <comment ref="X11" authorId="2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AI11" authorId="0" shapeId="0" xr:uid="{00000000-0006-0000-0200-00002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S12" authorId="21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X12" authorId="22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3 Stunden)</t>
        </r>
      </text>
    </comment>
    <comment ref="AI12" authorId="0" shapeId="0" xr:uid="{00000000-0006-0000-0200-00002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S13" authorId="23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X13" authorId="24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3 Stunden)</t>
        </r>
      </text>
    </comment>
    <comment ref="AI13" authorId="0" shapeId="0" xr:uid="{00000000-0006-0000-0200-00002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14" authorId="25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11-14 Uhr</t>
        </r>
      </text>
    </comment>
    <comment ref="AC14" authorId="26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Einmal pro Tag (Annahme)</t>
        </r>
      </text>
    </comment>
    <comment ref="AI14" authorId="0" shapeId="0" xr:uid="{00000000-0006-0000-0200-00002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15" authorId="27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11-14 Uhr</t>
        </r>
      </text>
    </comment>
    <comment ref="AC15" authorId="28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Einmal pro Tag (Annahme)</t>
        </r>
      </text>
    </comment>
    <comment ref="AI15" authorId="0" shapeId="0" xr:uid="{00000000-0006-0000-0200-00002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N16" authorId="29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Bezug auf installierte Leistung (!)</t>
        </r>
      </text>
    </comment>
    <comment ref="AF16" authorId="0" shapeId="0" xr:uid="{00000000-0006-0000-0200-00002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unplausibel!</t>
        </r>
      </text>
    </comment>
    <comment ref="AJ16" authorId="30" shapeId="0" xr:uid="{00000000-0006-0000-0200-00002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K16" authorId="31" shapeId="0" xr:uid="{00000000-0006-0000-0200-00003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AF17" authorId="0" shapeId="0" xr:uid="{00000000-0006-0000-0200-00003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unplausibel!</t>
        </r>
      </text>
    </comment>
    <comment ref="AJ17" authorId="32" shapeId="0" xr:uid="{00000000-0006-0000-0200-00003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K17" authorId="33" shapeId="0" xr:uid="{00000000-0006-0000-0200-00003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J18" authorId="0" shapeId="0" xr:uid="{00000000-0006-0000-0200-00003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aktuellerer Datensatz im Anhang</t>
        </r>
      </text>
    </comment>
    <comment ref="AF18" authorId="34" shapeId="0" xr:uid="{00000000-0006-0000-0200-00003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I18" authorId="35" shapeId="0" xr:uid="{00000000-0006-0000-0200-00003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größer 100</t>
        </r>
      </text>
    </comment>
    <comment ref="AK18" authorId="36" shapeId="0" xr:uid="{00000000-0006-0000-0200-00003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J19" authorId="0" shapeId="0" xr:uid="{00000000-0006-0000-0200-00003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aktuellerer Datensatz im Anhang</t>
        </r>
      </text>
    </comment>
    <comment ref="E20" authorId="37" shapeId="0" xr:uid="{00000000-0006-0000-0200-00003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Vollauslastung (8.760 Stunden p.a.)</t>
        </r>
      </text>
    </comment>
    <comment ref="AF20" authorId="0" shapeId="0" xr:uid="{00000000-0006-0000-0200-00003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Angaben auf S. 532</t>
        </r>
      </text>
    </comment>
    <comment ref="AK20" authorId="38" shapeId="0" xr:uid="{00000000-0006-0000-0200-00003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E21" authorId="39" shapeId="0" xr:uid="{00000000-0006-0000-0200-00003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Vollauslastung (8.760 Stunden p.a.)</t>
        </r>
      </text>
    </comment>
    <comment ref="AF21" authorId="0" shapeId="0" xr:uid="{00000000-0006-0000-0200-00003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Angaben auf S. 532</t>
        </r>
      </text>
    </comment>
    <comment ref="I22" authorId="40" shapeId="0" xr:uid="{00000000-0006-0000-02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Prozess mit Maximalleistung betrieben wird.</t>
        </r>
      </text>
    </comment>
    <comment ref="N22" authorId="0" shapeId="0" xr:uid="{00000000-0006-0000-0200-00003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 auf S. 525: 70 % (!)</t>
        </r>
      </text>
    </comment>
    <comment ref="U22" authorId="41" shapeId="0" xr:uid="{00000000-0006-0000-0200-00004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bis 30 Min. Prozess sonst neu zu beginnen. Prozessablauf: 45 min Schmelzen + 15 min zum Leeren und Befüllen</t>
        </r>
      </text>
    </comment>
    <comment ref="AF22" authorId="42" shapeId="0" xr:uid="{00000000-0006-0000-0200-00004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G22" authorId="43" shapeId="0" xr:uid="{A7BB4280-511D-45E0-B1F8-03D4AA7341C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größer 1000</t>
        </r>
      </text>
    </comment>
    <comment ref="AK22" authorId="44" shapeId="0" xr:uid="{00000000-0006-0000-0200-00004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I23" authorId="45" shapeId="0" xr:uid="{00000000-0006-0000-0200-00004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Prozess mit Maximalleistung betrieben wird.</t>
        </r>
      </text>
    </comment>
    <comment ref="U23" authorId="46" shapeId="0" xr:uid="{00000000-0006-0000-0200-00004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bis 30 Min. Prozess sonst neu zu beginnen. Prozessablauf: 45 min Schmelzen + 15 min zum Leeren und Befüllen</t>
        </r>
      </text>
    </comment>
    <comment ref="AA24" authorId="0" shapeId="0" xr:uid="{00000000-0006-0000-0200-00004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konfligierende Angabe auf S. 460: bis zu 24 h Verschiebung</t>
        </r>
      </text>
    </comment>
    <comment ref="AI24" authorId="47" shapeId="0" xr:uid="{00000000-0006-0000-0200-00004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10</t>
        </r>
      </text>
    </comment>
    <comment ref="AJ24" authorId="48" shapeId="0" xr:uid="{00000000-0006-0000-02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K24" authorId="49" shapeId="0" xr:uid="{00000000-0006-0000-0200-00004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AA25" authorId="0" shapeId="0" xr:uid="{00000000-0006-0000-0200-00004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konfligierende Angabe auf S. 460: bis zu 24 h Verschiebung</t>
        </r>
      </text>
    </comment>
    <comment ref="AJ25" authorId="50" shapeId="0" xr:uid="{00000000-0006-0000-0200-00004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K25" authorId="51" shapeId="0" xr:uid="{00000000-0006-0000-0200-00004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E30" authorId="0" shapeId="0" xr:uid="{00000000-0006-0000-0200-00004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572 MW</t>
        </r>
      </text>
    </comment>
    <comment ref="I30" authorId="52" shapeId="0" xr:uid="{264A3931-B182-4DAB-8733-E028318F486C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Lastabwurf chemische Industrie
</t>
        </r>
      </text>
    </comment>
    <comment ref="E31" authorId="0" shapeId="0" xr:uid="{00000000-0006-0000-0200-00004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572 MW</t>
        </r>
      </text>
    </comment>
    <comment ref="I31" authorId="52" shapeId="0" xr:uid="{FDCD145D-9B2F-4F72-BDEE-9F02F5BDEB99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Lastabwurf chemische Industrie
</t>
        </r>
      </text>
    </comment>
    <comment ref="AI34" authorId="0" shapeId="0" xr:uid="{00000000-0006-0000-0200-00005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M34" authorId="0" shapeId="0" xr:uid="{00000000-0006-0000-0200-00005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implizit</t>
        </r>
      </text>
    </comment>
    <comment ref="AI36" authorId="0" shapeId="0" xr:uid="{00000000-0006-0000-0200-00005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I38" authorId="0" shapeId="0" xr:uid="{00000000-0006-0000-0200-00005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I40" authorId="0" shapeId="0" xr:uid="{00000000-0006-0000-0200-00005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I42" authorId="0" shapeId="0" xr:uid="{00000000-0006-0000-0200-00005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I44" authorId="0" shapeId="0" xr:uid="{00000000-0006-0000-0200-00005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D9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ausgewiesener Wert: 2.183 MW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Q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max. 15 min für ramp up / ramp down</t>
        </r>
      </text>
    </comment>
    <comment ref="AA2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ca. 0
</t>
        </r>
      </text>
    </comment>
    <comment ref="D4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deutliche Einschränkungen wegen hoher Prozessauslastung</t>
        </r>
      </text>
    </comment>
    <comment ref="V4" authorId="0" shapeId="0" xr:uid="{00000000-0006-0000-05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&lt; 1</t>
        </r>
      </text>
    </comment>
    <comment ref="Z4" authorId="0" shapeId="0" xr:uid="{00000000-0006-0000-05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&gt; 100</t>
        </r>
      </text>
    </comment>
    <comment ref="J8" authorId="0" shapeId="0" xr:uid="{00000000-0006-0000-05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im Durchschnitt nicht genutzte Kapazität</t>
        </r>
      </text>
    </comment>
    <comment ref="Y8" authorId="0" shapeId="0" xr:uid="{00000000-0006-0000-05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&lt; 10</t>
        </r>
      </text>
    </comment>
    <comment ref="R10" authorId="0" shapeId="0" xr:uid="{00000000-0006-0000-05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auch längere Dauern zu erhöhten Kosten möglich -&gt; Neustart des Prozesses</t>
        </r>
      </text>
    </comment>
    <comment ref="Z10" authorId="0" shapeId="0" xr:uid="{00000000-0006-0000-0500-00000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&gt; 2000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tc={A65DD986-BC17-49D8-AB9B-5B6A02FBC47E}</author>
    <author>tc={D0EC52C0-E9A0-4C3C-AFE5-DA30C0A936B8}</author>
    <author>tc={C35844ED-19FA-450F-98C6-C501953BF2B5}</author>
    <author>tc={41597F26-5186-4571-9F05-E83A88531193}</author>
    <author>tc={460841BC-0A04-4C12-B86E-C1ACC9F1E76B}</author>
    <author>tc={7AE74D33-57E8-4BCD-B069-2827CD5BF32C}</author>
    <author>tc={F62EDD0B-1788-487C-81C3-67CD41066478}</author>
    <author>tc={CEF4D5B6-B72A-4731-ACB1-F8DA98DF7324}</author>
    <author>tc={237605FD-1B06-43DB-8ABD-6CC4285B78CC}</author>
    <author>tc={9A205F06-10AF-4301-A438-E86213BE00EE}</author>
    <author>tc={02B2F7DE-9331-4817-8FCA-75A333A05B96}</author>
    <author>tc={AF6D0AB4-140D-4D2B-A6BC-349CCFF64A7F}</author>
    <author>tc={4ECF5971-0285-43F5-B16E-E6896A615FA1}</author>
    <author>tc={1E17797E-31CA-456F-8AA8-D06F18E09839}</author>
    <author>tc={24D88EEE-12DE-4986-A3FE-657F72D0DC44}</author>
    <author>tc={78A5C715-56D1-4B5A-A2A3-8758916111E1}</author>
    <author>tc={4EF61836-8E45-4D67-85CD-A7825E62300F}</author>
    <author>tc={91EE9041-6615-47B6-92B2-B6D052856ACB}</author>
    <author>tc={99B0E8B1-7B3B-4000-B04C-31F0495A7B90}</author>
    <author>tc={FF3FDE26-AA3C-46F4-A387-63950B8CE91A}</author>
    <author>tc={94A7FB52-6288-45A5-8D48-CD1C8BB52803}</author>
    <author>tc={BE92335F-BC06-4B78-93FC-80E3529D60A8}</author>
    <author>tc={5A18B9C5-55EB-4ACF-82A9-4F4B645BCD2E}</author>
    <author>tc={B45B08C0-833C-436C-8BD4-B55619D5D221}</author>
    <author>tc={9052D0D0-05B2-43B2-902E-15F4C6C07F37}</author>
    <author>tc={390966D2-119B-494F-AB4C-2E1A3CD2A8F5}</author>
    <author>tc={04CA81DD-399C-4E46-9DBD-3E692BD23D91}</author>
    <author>tc={5115D410-0E4F-417C-BD9C-7B3426578204}</author>
    <author>tc={F8D147C2-607E-40D0-86D2-6F7D35995B6A}</author>
    <author>tc={3B6C4750-2297-4D3E-B888-F522538E49A6}</author>
    <author>tc={1ABAA499-8950-43A9-88FD-43179BB9B0D0}</author>
    <author>tc={2767DFC5-F3D3-443E-808B-8CEAED4D09D8}</author>
    <author>tc={22A7B1C2-27F2-4565-845A-C4A37C06CFDA}</author>
    <author>tc={901674A5-5CB3-450C-A8FE-356EBE294716}</author>
    <author>tc={8BCB4973-35E4-46BD-A129-C66BB532D42E}</author>
    <author>tc={5F5C7B7D-99C9-4A30-8A4E-2186A6D10B38}</author>
    <author>tc={1146AE96-27EE-44DD-B682-1449CE0A2038}</author>
    <author>tc={01C84C66-C0DF-463A-A3B8-D6F94B10C81C}</author>
    <author>tc={8F0AACF3-1AF2-4436-8C16-7381AC66419C}</author>
    <author>tc={8DE399A9-1B23-4B05-838D-91051BFE31E2}</author>
    <author>tc={DCC06660-6263-428E-B84A-6776BF9893FB}</author>
    <author>tc={95D1FB6E-90AB-47F0-A42E-943E49932678}</author>
    <author>tc={8D9721C7-F2FE-4D86-A425-0D51AA3FE3B1}</author>
    <author>tc={0FB39A13-5439-4B91-9EBC-CA005F91DD0B}</author>
    <author>tc={A0B93097-E0BF-4903-BC06-FB746AD70FD5}</author>
    <author>tc={1A2046F3-4ED3-473C-B939-992248ED9D05}</author>
    <author>tc={BF337FC9-E87D-489A-A32F-6AC15E232FAD}</author>
    <author>tc={BB2CA876-F78D-4089-A02F-35A9C7A6091B}</author>
    <author>tc={EB421FDC-FD34-4DA3-A064-A0FA5E8F5558}</author>
    <author>tc={84E9E13E-531A-49C6-A68A-DD31D9BB1871}</author>
    <author>tc={1CDE2AD8-F704-48CE-9DAE-AB26DB365C6B}</author>
    <author>tc={FBAD1FB3-8D86-426E-8BC0-E0583AA2F3CA}</author>
    <author>tc={76249C28-D235-4E59-9A9A-804B0AA50118}</author>
    <author>tc={A86A1221-7577-4C3C-A39E-96C45746EE33}</author>
    <author>tc={462655CF-BD51-49EA-A142-671957591B6B}</author>
    <author>tc={D964847E-D60B-45BF-B738-69170D7CA832}</author>
    <author>tc={CBA541BC-47C8-4018-967B-4D4F1431DCC3}</author>
    <author>tc={E40C3BB2-6CD0-47C2-A08D-8B7089F0F6B9}</author>
    <author>tc={2795010D-A197-40D5-A19F-143A0C85E363}</author>
    <author>tc={2A074857-BB15-4797-81D4-7F0CA707C185}</author>
    <author>tc={9BECD6FB-FC16-40B6-AC66-D844B91172B2}</author>
    <author>tc={71C69080-5C9E-4612-8E0A-8B83D7EB4D4F}</author>
    <author>tc={81321553-6C30-4906-B9BE-8201F5F630FA}</author>
    <author>tc={2452AC36-E0AC-4997-AA01-12F34AA5B0AC}</author>
    <author>tc={76CAB102-43A7-43A6-B228-D3792D9B5C81}</author>
    <author>tc={0DD36166-77F6-420C-ABE5-195AB1AC6DB0}</author>
    <author>tc={4A978F11-7A7D-46DF-B76B-34DDBB125E2E}</author>
    <author>tc={E689A699-9833-42EC-9F35-40AAEA2184D0}</author>
    <author>tc={FF6F44D7-58B5-43AA-80FA-CCE1597E5F69}</author>
    <author>tc={E61778A0-2EF5-423B-BE7E-FE115B643C47}</author>
    <author>tc={71452997-5ECD-4BD6-94ED-3DEB7BFBBB83}</author>
    <author>tc={0DB4BAE5-C12F-469F-BFBD-A07737AD7512}</author>
    <author>tc={81F98D7B-3688-4296-BF76-B58DCD7405C3}</author>
    <author>tc={DC9E1437-B930-4F81-A051-946D0A3C0AE7}</author>
    <author>tc={ABAB29ED-CA1E-4659-8747-0F09931C4F94}</author>
    <author>tc={9A18DC09-E511-4209-8B94-7E768B5A04F0}</author>
    <author>tc={09AC6F39-B913-40E6-BA51-10B870657E37}</author>
    <author>tc={0952EC1D-489E-4A4E-98B3-737C9F54F1CE}</author>
    <author>tc={0CF447F4-A80A-410D-B489-1C546019C636}</author>
    <author>tc={8BBE540B-3905-4F6B-A872-D032FC7230B6}</author>
    <author>tc={49EC804F-2350-4163-9F5D-986D5B9E7BAC}</author>
    <author>tc={971BE820-88D4-4B9C-9323-7B80B5A9B7B6}</author>
    <author>tc={369C8F21-2329-4F7E-8AB9-884DCFB781C6}</author>
    <author>tc={79055818-B7AF-4C60-B059-77D90B5B6A96}</author>
    <author>tc={A068564E-CE7A-4392-BE22-1EE16279AEC8}</author>
    <author>tc={B12C1CED-D7DB-4895-894F-F3012EB816F7}</author>
    <author>tc={BD2E1FD6-0322-4F74-A8FF-339B9832DAA3}</author>
    <author>tc={4B473858-F4BD-42EF-874D-B97230B94EB2}</author>
    <author>tc={E600ED1E-B00B-413B-A70C-FFA594F46B5C}</author>
    <author>tc={22CFD6B4-025D-4EC9-A65E-AFC0B9CA72C4}</author>
    <author>tc={70E38203-3AFF-42AD-A3AB-95BFDF9850BA}</author>
    <author>tc={EACC701D-F800-4C4F-9945-B56CB39522B5}</author>
    <author>tc={AC366BA3-7646-4580-BCE7-62D1563D94EA}</author>
    <author>tc={112FF432-07AD-4D4A-B250-D43F394A092E}</author>
    <author>tc={4DB109A5-70D0-4BA4-AB95-3D717753423C}</author>
    <author>tc={CD40D9C5-835C-4765-B5AC-703793CAFDB9}</author>
    <author>tc={6734934E-B1CC-45E6-AB60-D4919C456B88}</author>
    <author>tc={C0B89CC9-D25E-4A60-973F-C1A36432B037}</author>
    <author>tc={2F5AFD12-28DB-46A3-ABC6-B1ECB6834D69}</author>
    <author>tc={2938EE5C-693F-49C0-B836-5701D0478B7F}</author>
    <author>tc={4430E896-904B-4E1C-A712-18BB534EBAE4}</author>
    <author>tc={FEA5224A-A34A-4A9D-8DD2-450AF4FD0AA1}</author>
    <author>tc={C5B9DA9D-6318-42F9-B09A-3091745476C6}</author>
    <author>tc={CD4942B0-BE1A-43F6-8AA4-D7E15234D1AC}</author>
    <author>tc={8B1C7811-BF24-4CD3-9847-2E8734376A12}</author>
    <author>tc={9EB740E8-F0D0-4940-B168-00BE8372699A}</author>
    <author>tc={7D26131E-D55E-4C58-8A73-FCA2D35704CC}</author>
    <author>tc={05FA1B98-2E69-4B92-9670-904357959A8F}</author>
    <author>tc={FC2B9C33-E898-470A-9C12-019013541F2C}</author>
    <author>tc={9C12C573-D1C7-4011-9D7D-FE7D50E8D77B}</author>
    <author>tc={7AA89F44-9FD0-426A-ACBF-FF93F7E12AEB}</author>
    <author>tc={FE343DD5-3FFD-48CC-A20E-70A20044C1EC}</author>
    <author>tc={01B4994C-B99F-4B17-9FAB-44D0123279D2}</author>
    <author>tc={6B3E57A1-F934-49D5-BE60-2E8736FA48CE}</author>
    <author>tc={66B8CC35-27D6-4B82-B0EE-1AACDFAF05F1}</author>
    <author>tc={735D7AE3-91D9-48C6-9E7C-CC7F4EFB8181}</author>
    <author>tc={38221BB5-900D-4A35-BA4F-72FEFA1F1524}</author>
    <author>tc={81EEFF94-9A75-4F3D-8826-AC88BE9BC6CD}</author>
    <author>tc={ADB2BC00-91BE-49CD-9F22-64E4EF9CF556}</author>
    <author>tc={B6A9A49F-BA5B-4FDD-B9E6-8D9C976B494F}</author>
    <author>tc={E60FEF4C-A563-420B-8ADC-8E5D4061FD84}</author>
    <author>tc={66FC6EAA-0A2B-45A0-B554-8ECE6AE2B2AF}</author>
    <author>tc={47EC7FF8-ECFC-4556-809B-B510D3590DD8}</author>
    <author>tc={81EC4312-D316-44E4-8C4C-74761CA0A7BB}</author>
    <author>tc={108E56FA-DE5A-4891-9E40-EA435D077B33}</author>
    <author>tc={D470EF98-432C-4405-8E62-CB17C1A55C3D}</author>
    <author>tc={8D9492D9-8D4D-4AA2-B106-C6BF506FBDCC}</author>
    <author>tc={5F88BF63-438D-42E0-83DF-00F38A167DAC}</author>
    <author>tc={2D2C3F36-73D3-4634-99D2-32E7BC0D56B3}</author>
    <author>tc={2B7CB082-EC47-4A92-BE53-2244CAEAED86}</author>
    <author>tc={6F99E905-DA18-45D3-BAA8-CEA9F3BE4A5E}</author>
    <author>tc={40E921B3-7DAC-4BBB-8364-FCDF434BD64E}</author>
    <author>tc={D756BAA0-46F8-4F9C-8AC3-6DBBB67597BE}</author>
    <author>tc={78384D7E-2D7C-42D6-853F-CA1F049106A6}</author>
    <author>tc={ED29123A-DE84-4D88-AA93-D35CE2566103}</author>
    <author>tc={ABC9DEC2-E0CD-4956-BD86-574327758A48}</author>
    <author>tc={38E857D4-CD08-488B-AE0D-F70D6A49947D}</author>
    <author>tc={D91CEC75-EFB1-46F0-972C-CB23EBA56570}</author>
    <author>tc={7DC27E12-A6F8-4AC0-8BC0-DFC78942E8BE}</author>
    <author>tc={CE0EE21D-A5FD-4ABC-810E-4D9837D6D9D2}</author>
    <author>tc={5A2992BF-75D8-41EC-9B12-952BAB2643F7}</author>
    <author>tc={347D2CB8-5A84-4A42-ADC7-05F77CF1EF27}</author>
    <author>tc={4D3D51C5-8AF9-4AA2-BD97-E38A010ECCA3}</author>
    <author>tc={24437DCB-DD2D-49F3-A82E-10BD5654E340}</author>
    <author>tc={6C52C4A7-F61B-43DE-B809-A47163A10382}</author>
    <author>tc={52044294-6ED0-464F-A39F-3C5EEC86A319}</author>
    <author>tc={523E97FC-A4FA-434B-B615-1A7BE200A552}</author>
    <author>tc={EB5BFACA-B131-45D4-AB40-1F4D9981FEBE}</author>
    <author>tc={CF80ADC7-2FCE-4FC3-94B5-12A1A5ABD420}</author>
    <author>tc={36FC6B85-B587-4CE0-9EFB-A2B431425097}</author>
    <author>tc={5437B899-6361-41F6-A6DF-5771CD8E31C4}</author>
    <author>tc={FE00EE58-F608-4AA6-BFCF-E132FB9529B0}</author>
    <author>tc={17AD6DD9-F961-47AD-83EC-E810E415D28F}</author>
    <author>tc={D428F92E-41D3-454D-8155-F3DEA6FF1033}</author>
    <author>tc={1C88E484-68CC-4085-A3C2-7F23FA3E645C}</author>
    <author>tc={EAD98E80-5FA2-4F7D-8886-59D0B5A7B373}</author>
    <author>tc={3E2AED2F-67C9-4B37-A923-4C9E618A20FC}</author>
    <author>tc={B34F2732-06AE-4DAC-8AE6-6B83D10B8995}</author>
    <author>tc={0D1935BD-13CA-46BE-AB66-E5BCE329CDD6}</author>
    <author>tc={D2D6895C-4A1E-4A7B-97F2-2330773436F7}</author>
    <author>tc={EF0A61FD-4C83-4AAF-910E-365AB787B3C9}</author>
    <author>tc={3F593FF6-C495-4C3F-9172-7033BD7FE6EC}</author>
    <author>tc={853591AD-D81E-4CD0-89C4-FCC8187B150A}</author>
    <author>tc={56581990-D245-426E-A4AD-53F1A2FD1F90}</author>
    <author>tc={85699336-0396-4904-BCCB-FFB8ED851D1E}</author>
    <author>tc={5E48F251-7DF2-4FEB-BA36-E263B8D5C61D}</author>
    <author>tc={11E003CC-171D-47E3-9E72-31216BAE641A}</author>
    <author>tc={5196CC84-8F4B-4689-9B2E-E93F417E83A6}</author>
    <author>tc={FC0C574F-E02D-4A87-96EA-09D8E1A6154C}</author>
    <author>tc={A046DA41-BD43-4EFE-B5EC-DAFD9242CFE9}</author>
    <author>tc={63971614-6DD8-4059-96DF-EE6096DB0BB9}</author>
    <author>tc={56BFBB61-B376-45A7-A1D6-CEC6BC457465}</author>
    <author>tc={57D383CB-2A7C-486F-B682-0B2E4696A9AC}</author>
    <author>tc={ABEE3702-593B-47A4-AC2E-9B5C3711FFAF}</author>
    <author>tc={BEC87A2D-FF74-4EAD-BFA8-8BB2B090FF74}</author>
    <author>tc={B6EC0A38-D5F5-491F-89A4-BE3D9DFC1CC8}</author>
    <author>tc={2F011D1D-D4A0-43D5-9DF9-29F19076464C}</author>
    <author>tc={B6A4611E-0119-47DC-B7F3-4923B66BBFBA}</author>
    <author>tc={74FA45D0-4C4E-4585-B55A-E628C6113C45}</author>
    <author>tc={16A15FDF-21BC-4B88-A4B9-72744371E7D3}</author>
    <author>tc={C83BAF5F-A712-44F8-9686-6917D75104C0}</author>
    <author>tc={8792E949-2470-4A0C-AF37-3E9C4186F73A}</author>
    <author>tc={55EC1CD2-C6FE-4574-A5C9-9338E9C3AF6C}</author>
    <author>tc={314A6992-81AA-4E27-80E4-A9EE1AFEC3AF}</author>
    <author>tc={5EBEFA85-2E5E-43EC-A52F-4C5A7ABBCECA}</author>
    <author>tc={CA45A569-371F-42BD-9030-DEF614585CAA}</author>
    <author>tc={D84F4380-8608-4D2F-9448-DCA21B71FC66}</author>
    <author>tc={FB8FC3CB-C7E6-484F-8BE3-A34553CBBEC3}</author>
    <author>tc={68C98BB4-4652-46A0-A7A9-0DE2DF2AACAC}</author>
    <author>tc={C0A01F35-67DD-429F-9DAB-6AC3BE7F1537}</author>
    <author>tc={AC130A6B-9638-4FB1-9251-039EFED912D1}</author>
    <author>tc={2018B371-6548-4352-BACA-375D24CC5F41}</author>
    <author>tc={276B2C7A-E7B4-493E-8F72-9A0660F6A337}</author>
    <author>tc={0ADA5375-21A3-461D-8C43-E0EA9FC640E3}</author>
    <author>tc={AB7BD124-759D-43A4-BD1D-4C0101BDAF2D}</author>
    <author>tc={9621318F-6554-439C-8CEE-7425DF402D7F}</author>
    <author>tc={64C13703-A273-4EF0-B9AC-A56A47871B84}</author>
    <author>tc={D3AFCE91-B4EE-426E-95FF-AF027BB3FD18}</author>
    <author>tc={406FF110-8C5D-4484-8768-CC5D87BD8B83}</author>
    <author>tc={46C2723F-9A43-4913-9887-C0EDAC29A06E}</author>
    <author>tc={E2023B7D-8223-416B-BF0A-4B598F066E67}</author>
    <author>tc={EA04EAAB-88FF-45D0-B91C-01FF5874DCE6}</author>
    <author>tc={5BB590B8-EFDA-4430-8C6B-DD970DE65704}</author>
    <author>tc={FC462716-E5FB-4885-998C-A0DD12C1C7AF}</author>
    <author>tc={DE995F5A-1E47-4410-86FF-AE28BE288B0E}</author>
    <author>tc={FDEA2661-1E54-4620-B218-FAB1D55FFD11}</author>
    <author>tc={4F37555E-086A-4527-9632-0074F7BB836A}</author>
    <author>tc={DE168CB1-746F-4C95-84C2-E0C3F386B532}</author>
    <author>tc={C0BB0937-B3C4-44A4-9915-F11A25E622B3}</author>
    <author>tc={F46DCF97-3556-4D72-898D-CD588458B25A}</author>
    <author>tc={78D3CE11-7053-4D90-9629-8B4FCC0A2F0B}</author>
    <author>tc={94530F2C-302A-411C-A027-E451B26DAC4F}</author>
    <author>tc={636E2B6E-F022-4C24-8EF9-BA330CA684BB}</author>
    <author>tc={8349FC27-C9EF-4712-AA09-CC10C3CFDA47}</author>
    <author>tc={E2AA62B0-5600-4908-868D-7B3705118A2C}</author>
    <author>tc={DF89C04D-FF65-4B56-AA30-04E8B5184CCB}</author>
    <author>tc={7A774721-5936-4F89-8F1E-A7643E8D58C9}</author>
    <author>tc={1F6CCF41-2535-41CD-8EA9-DD113387B46D}</author>
    <author>tc={75B2D925-4F42-4BCA-8F81-6FAEFBC4121F}</author>
    <author>tc={33B579F3-A90B-401D-9D96-1EC8C4193083}</author>
    <author>tc={38647591-0E4D-4DB6-AA73-B628C0588480}</author>
    <author>tc={BCA6707F-7D69-4F3E-AFFA-ABE00519022B}</author>
    <author>tc={9FD466BB-E258-43FA-BDD0-81B31288C60C}</author>
    <author>tc={E6DB736E-DA93-4207-9C41-FD99126BC2F4}</author>
    <author>tc={C8B4AACC-2A69-4F9C-8C8A-D8A1633E2C1C}</author>
    <author>tc={DC37A05F-525E-4E49-A928-57D4DE0446D7}</author>
    <author>tc={D5490529-A72E-44A1-BDAD-859CE479CF56}</author>
    <author>tc={A0198E2A-DA05-4DB0-B8D0-B0B2D7C4C281}</author>
    <author>tc={93E79508-8A59-41AE-B914-D80D28C4C0FD}</author>
    <author>tc={07DBD97F-1880-49B9-B77C-E506F7BE3211}</author>
    <author>tc={8DC145D3-A680-42EF-9585-E5E395B11F77}</author>
    <author>tc={3F881113-FD8A-479E-8B7A-09989EC68501}</author>
    <author>tc={0BFC8415-CEE5-427A-AA36-F751AD6182E8}</author>
    <author>tc={153E8956-9748-4BD3-A54E-5E165F85128A}</author>
    <author>tc={D9D4B359-8D01-45D3-9951-C302D5ADE133}</author>
    <author>tc={9643E4F5-B1B4-4054-AAC3-D532C32BC3E3}</author>
    <author>tc={A1227423-6253-4F63-8C6F-6AD0E5E1FCA7}</author>
    <author>tc={ACF833A8-26B5-4DFE-B220-E1ADF310CE69}</author>
    <author>tc={485229A9-337D-4A5D-A419-869629C8DDB5}</author>
    <author>tc={40AFF255-6B76-4D47-9004-689002884DCE}</author>
    <author>tc={90094D3F-B1FA-4026-BDA4-D1A3C78593BC}</author>
    <author>tc={44A78650-3A5A-44C6-9995-D23C2CD7CDAE}</author>
    <author>tc={3D00C463-B70F-45D7-AA25-B46B07215542}</author>
    <author>tc={6F962807-9629-4BF1-84F5-E713034C3884}</author>
  </authors>
  <commentList>
    <comment ref="J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Heizanwendungen: kältester Tag des Jahres</t>
        </r>
      </text>
    </comment>
    <comment ref="L1" authorId="1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Heizungen kältester Tag des Jahres</t>
        </r>
      </text>
    </comment>
    <comment ref="M1" authorId="2" shapeId="0" xr:uid="{00000000-0006-0000-0F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Leistungsaufnahme</t>
        </r>
      </text>
    </comment>
    <comment ref="S1" authorId="3" shapeId="0" xr:uid="{00000000-0006-0000-0F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bezogen auf die durchschnittliche Leistung (!)</t>
        </r>
      </text>
    </comment>
    <comment ref="X2" authorId="4" shapeId="0" xr:uid="{00000000-0006-0000-0F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" authorId="5" shapeId="0" xr:uid="{00000000-0006-0000-0F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" authorId="6" shapeId="0" xr:uid="{00000000-0006-0000-0F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3" authorId="7" shapeId="0" xr:uid="{00000000-0006-0000-0F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3" authorId="8" shapeId="0" xr:uid="{00000000-0006-0000-0F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3" authorId="9" shapeId="0" xr:uid="{00000000-0006-0000-0F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4" authorId="10" shapeId="0" xr:uid="{00000000-0006-0000-0F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4" authorId="11" shapeId="0" xr:uid="{00000000-0006-0000-0F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4" authorId="12" shapeId="0" xr:uid="{00000000-0006-0000-0F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5" authorId="13" shapeId="0" xr:uid="{00000000-0006-0000-0F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5" authorId="14" shapeId="0" xr:uid="{00000000-0006-0000-0F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5" authorId="15" shapeId="0" xr:uid="{00000000-0006-0000-0F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6" authorId="16" shapeId="0" xr:uid="{00000000-0006-0000-0F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6" authorId="17" shapeId="0" xr:uid="{00000000-0006-0000-0F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6" authorId="18" shapeId="0" xr:uid="{00000000-0006-0000-0F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L7" authorId="19" shapeId="0" xr:uid="{00000000-0006-0000-0F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M7" authorId="20" shapeId="0" xr:uid="{00000000-0006-0000-0F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  </r>
      </text>
    </comment>
    <comment ref="X7" authorId="21" shapeId="0" xr:uid="{00000000-0006-0000-0F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7" authorId="22" shapeId="0" xr:uid="{00000000-0006-0000-0F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7" authorId="23" shapeId="0" xr:uid="{00000000-0006-0000-0F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8" authorId="24" shapeId="0" xr:uid="{00000000-0006-0000-0F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8" authorId="25" shapeId="0" xr:uid="{00000000-0006-0000-0F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8" authorId="26" shapeId="0" xr:uid="{00000000-0006-0000-0F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9" authorId="27" shapeId="0" xr:uid="{00000000-0006-0000-0F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9" authorId="28" shapeId="0" xr:uid="{00000000-0006-0000-0F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9" authorId="29" shapeId="0" xr:uid="{00000000-0006-0000-0F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L10" authorId="30" shapeId="0" xr:uid="{00000000-0006-0000-0F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inkl. TMP-Verfahren</t>
        </r>
      </text>
    </comment>
    <comment ref="Q10" authorId="31" shapeId="0" xr:uid="{00000000-0006-0000-0F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inkl. TMP-Verfahren</t>
        </r>
      </text>
    </comment>
    <comment ref="X10" authorId="32" shapeId="0" xr:uid="{00000000-0006-0000-0F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0" authorId="33" shapeId="0" xr:uid="{00000000-0006-0000-0F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0" authorId="34" shapeId="0" xr:uid="{00000000-0006-0000-0F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L11" authorId="35" shapeId="0" xr:uid="{00000000-0006-0000-0F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X11" authorId="36" shapeId="0" xr:uid="{00000000-0006-0000-0F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1" authorId="37" shapeId="0" xr:uid="{00000000-0006-0000-0F00-00002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1" authorId="38" shapeId="0" xr:uid="{00000000-0006-0000-0F00-00002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12" authorId="39" shapeId="0" xr:uid="{00000000-0006-0000-0F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2" authorId="40" shapeId="0" xr:uid="{00000000-0006-0000-0F00-00002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2" authorId="41" shapeId="0" xr:uid="{00000000-0006-0000-0F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13" authorId="42" shapeId="0" xr:uid="{00000000-0006-0000-0F00-00002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3" authorId="43" shapeId="0" xr:uid="{00000000-0006-0000-0F00-00002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3" authorId="44" shapeId="0" xr:uid="{00000000-0006-0000-0F00-00002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P14" authorId="45" shapeId="0" xr:uid="{00000000-0006-0000-0F00-00002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4" authorId="46" shapeId="0" xr:uid="{00000000-0006-0000-0F00-00002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M15" authorId="47" shapeId="0" xr:uid="{00000000-0006-0000-0F00-00003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bleibt.</t>
        </r>
      </text>
    </comment>
    <comment ref="AP15" authorId="48" shapeId="0" xr:uid="{00000000-0006-0000-0F00-00003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5" authorId="49" shapeId="0" xr:uid="{00000000-0006-0000-0F00-00003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P16" authorId="50" shapeId="0" xr:uid="{00000000-0006-0000-0F00-00003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6" authorId="51" shapeId="0" xr:uid="{00000000-0006-0000-0F00-00003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P17" authorId="52" shapeId="0" xr:uid="{00000000-0006-0000-0F00-00003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7" authorId="53" shapeId="0" xr:uid="{00000000-0006-0000-0F00-00003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18" authorId="54" shapeId="0" xr:uid="{00000000-0006-0000-0F00-00003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8" authorId="55" shapeId="0" xr:uid="{00000000-0006-0000-0F00-00003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8" authorId="56" shapeId="0" xr:uid="{00000000-0006-0000-0F00-00003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L19" authorId="57" shapeId="0" xr:uid="{00000000-0006-0000-0F00-00003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M19" authorId="58" shapeId="0" xr:uid="{00000000-0006-0000-0F00-00003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  </r>
      </text>
    </comment>
    <comment ref="X19" authorId="59" shapeId="0" xr:uid="{00000000-0006-0000-0F00-00003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9" authorId="60" shapeId="0" xr:uid="{00000000-0006-0000-0F00-00003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9" authorId="61" shapeId="0" xr:uid="{00000000-0006-0000-0F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20" authorId="62" shapeId="0" xr:uid="{00000000-0006-0000-0F00-00003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0" authorId="63" shapeId="0" xr:uid="{00000000-0006-0000-0F00-00004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0" authorId="64" shapeId="0" xr:uid="{00000000-0006-0000-0F00-00004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21" authorId="65" shapeId="0" xr:uid="{00000000-0006-0000-0F00-00004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1" authorId="66" shapeId="0" xr:uid="{00000000-0006-0000-0F00-00004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1" authorId="67" shapeId="0" xr:uid="{00000000-0006-0000-0F00-00004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22" authorId="68" shapeId="0" xr:uid="{00000000-0006-0000-0F00-00004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2" authorId="69" shapeId="0" xr:uid="{00000000-0006-0000-0F00-00004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2" authorId="70" shapeId="0" xr:uid="{00000000-0006-0000-0F00-00004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L23" authorId="71" shapeId="0" xr:uid="{00000000-0006-0000-0F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M23" authorId="72" shapeId="0" xr:uid="{00000000-0006-0000-0F00-00004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  </r>
      </text>
    </comment>
    <comment ref="X23" authorId="73" shapeId="0" xr:uid="{00000000-0006-0000-0F00-00004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3" authorId="74" shapeId="0" xr:uid="{00000000-0006-0000-0F00-00004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3" authorId="75" shapeId="0" xr:uid="{00000000-0006-0000-0F00-00004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24" authorId="76" shapeId="0" xr:uid="{00000000-0006-0000-0F00-00004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4" authorId="77" shapeId="0" xr:uid="{00000000-0006-0000-0F00-00004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4" authorId="78" shapeId="0" xr:uid="{00000000-0006-0000-0F00-00004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25" authorId="79" shapeId="0" xr:uid="{00000000-0006-0000-0F00-00005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5" authorId="80" shapeId="0" xr:uid="{00000000-0006-0000-0F00-00005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5" authorId="81" shapeId="0" xr:uid="{00000000-0006-0000-0F00-00005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O26" authorId="82" shapeId="0" xr:uid="{00000000-0006-0000-0F00-00005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AT26" authorId="83" shapeId="0" xr:uid="{00000000-0006-0000-0F00-00005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  </r>
      </text>
    </comment>
    <comment ref="AO27" authorId="84" shapeId="0" xr:uid="{00000000-0006-0000-0F00-00005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AT27" authorId="85" shapeId="0" xr:uid="{00000000-0006-0000-0F00-00005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  </r>
      </text>
    </comment>
    <comment ref="AO28" authorId="86" shapeId="0" xr:uid="{00000000-0006-0000-0F00-00005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AT28" authorId="87" shapeId="0" xr:uid="{00000000-0006-0000-0F00-00005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  </r>
      </text>
    </comment>
    <comment ref="AO29" authorId="88" shapeId="0" xr:uid="{00000000-0006-0000-0F00-00005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  <comment ref="AT29" authorId="89" shapeId="0" xr:uid="{00000000-0006-0000-0F00-00005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  </r>
      </text>
    </comment>
    <comment ref="A30" authorId="90" shapeId="0" xr:uid="{00000000-0006-0000-0F00-00005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O30" authorId="91" shapeId="0" xr:uid="{00000000-0006-0000-0F00-00005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AT30" authorId="92" shapeId="0" xr:uid="{00000000-0006-0000-0F00-00005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  </r>
      </text>
    </comment>
    <comment ref="A31" authorId="93" shapeId="0" xr:uid="{00000000-0006-0000-0F00-00005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O31" authorId="94" shapeId="0" xr:uid="{00000000-0006-0000-0F00-00005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AT31" authorId="95" shapeId="0" xr:uid="{00000000-0006-0000-0F00-00006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  </r>
      </text>
    </comment>
    <comment ref="A32" authorId="96" shapeId="0" xr:uid="{00000000-0006-0000-0F00-00006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O32" authorId="97" shapeId="0" xr:uid="{00000000-0006-0000-0F00-00006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AT32" authorId="98" shapeId="0" xr:uid="{00000000-0006-0000-0F00-00006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  </r>
      </text>
    </comment>
    <comment ref="A33" authorId="99" shapeId="0" xr:uid="{00000000-0006-0000-0F00-00006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O33" authorId="100" shapeId="0" xr:uid="{00000000-0006-0000-0F00-00006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  <comment ref="AT33" authorId="101" shapeId="0" xr:uid="{00000000-0006-0000-0F00-00006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  </r>
      </text>
    </comment>
    <comment ref="AO34" authorId="102" shapeId="0" xr:uid="{00000000-0006-0000-0F00-00006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AT34" authorId="103" shapeId="0" xr:uid="{00000000-0006-0000-0F00-00006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  </r>
      </text>
    </comment>
    <comment ref="AO35" authorId="104" shapeId="0" xr:uid="{00000000-0006-0000-0F00-00006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AT35" authorId="105" shapeId="0" xr:uid="{00000000-0006-0000-0F00-00006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  </r>
      </text>
    </comment>
    <comment ref="AO36" authorId="106" shapeId="0" xr:uid="{00000000-0006-0000-0F00-00006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AT36" authorId="107" shapeId="0" xr:uid="{00000000-0006-0000-0F00-00006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  </r>
      </text>
    </comment>
    <comment ref="AO37" authorId="108" shapeId="0" xr:uid="{00000000-0006-0000-0F00-00006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  <comment ref="AT37" authorId="109" shapeId="0" xr:uid="{00000000-0006-0000-0F00-00006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  </r>
      </text>
    </comment>
    <comment ref="D38" authorId="110" shapeId="0" xr:uid="{00000000-0006-0000-0F00-00006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38" authorId="111" shapeId="0" xr:uid="{00000000-0006-0000-0F00-00007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L38" authorId="112" shapeId="0" xr:uid="{00000000-0006-0000-0F00-00007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X38" authorId="113" shapeId="0" xr:uid="{00000000-0006-0000-0F00-00007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  </r>
      </text>
    </comment>
    <comment ref="Y38" authorId="114" shapeId="0" xr:uid="{00000000-0006-0000-0F00-00007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  </r>
      </text>
    </comment>
    <comment ref="Z38" authorId="115" shapeId="0" xr:uid="{00000000-0006-0000-0F00-00007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  </r>
      </text>
    </comment>
    <comment ref="AG38" authorId="116" shapeId="0" xr:uid="{00000000-0006-0000-0F00-00007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38" authorId="117" shapeId="0" xr:uid="{00000000-0006-0000-0F00-00007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39" authorId="118" shapeId="0" xr:uid="{00000000-0006-0000-0F00-00008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39" authorId="119" shapeId="0" xr:uid="{00000000-0006-0000-0F00-00008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L39" authorId="120" shapeId="0" xr:uid="{00000000-0006-0000-0F00-00008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N39" authorId="121" shapeId="0" xr:uid="{00000000-0006-0000-0F00-00008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39" authorId="122" shapeId="0" xr:uid="{00000000-0006-0000-0F00-00008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39" authorId="123" shapeId="0" xr:uid="{00000000-0006-0000-0F00-00008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R39" authorId="124" shapeId="0" xr:uid="{00000000-0006-0000-0F00-00008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Y39" authorId="125" shapeId="0" xr:uid="{00000000-0006-0000-0F00-00008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  </r>
      </text>
    </comment>
    <comment ref="Z39" authorId="126" shapeId="0" xr:uid="{00000000-0006-0000-0F00-00008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  </r>
      </text>
    </comment>
    <comment ref="AG39" authorId="127" shapeId="0" xr:uid="{00000000-0006-0000-0F00-00008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39" authorId="128" shapeId="0" xr:uid="{00000000-0006-0000-0F00-00008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0" authorId="129" shapeId="0" xr:uid="{00000000-0006-0000-0F00-00008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0" authorId="130" shapeId="0" xr:uid="{00000000-0006-0000-0F00-00008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L40" authorId="131" shapeId="0" xr:uid="{00000000-0006-0000-0F00-00008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N40" authorId="132" shapeId="0" xr:uid="{00000000-0006-0000-0F00-00009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40" authorId="133" shapeId="0" xr:uid="{00000000-0006-0000-0F00-00009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40" authorId="134" shapeId="0" xr:uid="{00000000-0006-0000-0F00-00009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R40" authorId="135" shapeId="0" xr:uid="{00000000-0006-0000-0F00-00009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Y40" authorId="136" shapeId="0" xr:uid="{00000000-0006-0000-0F00-00009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  </r>
      </text>
    </comment>
    <comment ref="Z40" authorId="137" shapeId="0" xr:uid="{00000000-0006-0000-0F00-00009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  </r>
      </text>
    </comment>
    <comment ref="AG40" authorId="138" shapeId="0" xr:uid="{00000000-0006-0000-0F00-00009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0" authorId="139" shapeId="0" xr:uid="{00000000-0006-0000-0F00-00009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1" authorId="140" shapeId="0" xr:uid="{00000000-0006-0000-0F00-00009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1" authorId="141" shapeId="0" xr:uid="{00000000-0006-0000-0F00-00009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L41" authorId="142" shapeId="0" xr:uid="{00000000-0006-0000-0F00-00009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für Referenzszenario</t>
        </r>
      </text>
    </comment>
    <comment ref="N41" authorId="143" shapeId="0" xr:uid="{00000000-0006-0000-0F00-00009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41" authorId="144" shapeId="0" xr:uid="{00000000-0006-0000-0F00-00009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41" authorId="145" shapeId="0" xr:uid="{00000000-0006-0000-0F00-00009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für Referenzszenario</t>
        </r>
      </text>
    </comment>
    <comment ref="R41" authorId="146" shapeId="0" xr:uid="{00000000-0006-0000-0F00-00009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G41" authorId="147" shapeId="0" xr:uid="{00000000-0006-0000-0F00-00009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1" authorId="148" shapeId="0" xr:uid="{00000000-0006-0000-0F00-0000A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2" authorId="149" shapeId="0" xr:uid="{00000000-0006-0000-0F00-0000A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X42" authorId="150" shapeId="0" xr:uid="{00000000-0006-0000-0F00-0000A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  </r>
      </text>
    </comment>
    <comment ref="Y42" authorId="151" shapeId="0" xr:uid="{00000000-0006-0000-0F00-0000A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 des Jahres</t>
        </r>
      </text>
    </comment>
    <comment ref="Z42" authorId="152" shapeId="0" xr:uid="{00000000-0006-0000-0F00-0000A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 des Jahres</t>
        </r>
      </text>
    </comment>
    <comment ref="AF42" authorId="153" shapeId="0" xr:uid="{00000000-0006-0000-0F00-0000A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G42" authorId="154" shapeId="0" xr:uid="{00000000-0006-0000-0F00-0000A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2" authorId="155" shapeId="0" xr:uid="{00000000-0006-0000-0F00-0000A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3" authorId="156" shapeId="0" xr:uid="{00000000-0006-0000-0F00-0000B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3" authorId="157" shapeId="0" xr:uid="{00000000-0006-0000-0F00-0000B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K43" authorId="158" shapeId="0" xr:uid="{00000000-0006-0000-0F00-0000B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L43" authorId="159" shapeId="0" xr:uid="{00000000-0006-0000-0F00-0000B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N43" authorId="160" shapeId="0" xr:uid="{00000000-0006-0000-0F00-0000B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43" authorId="161" shapeId="0" xr:uid="{00000000-0006-0000-0F00-0000B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43" authorId="162" shapeId="0" xr:uid="{00000000-0006-0000-0F00-0000B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43" authorId="163" shapeId="0" xr:uid="{00000000-0006-0000-0F00-0000B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F43" authorId="164" shapeId="0" xr:uid="{00000000-0006-0000-0F00-0000B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G43" authorId="165" shapeId="0" xr:uid="{00000000-0006-0000-0F00-0000B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3" authorId="166" shapeId="0" xr:uid="{00000000-0006-0000-0F00-0000B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4" authorId="167" shapeId="0" xr:uid="{00000000-0006-0000-0F00-0000B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4" authorId="168" shapeId="0" xr:uid="{00000000-0006-0000-0F00-0000B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K44" authorId="169" shapeId="0" xr:uid="{00000000-0006-0000-0F00-0000C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L44" authorId="170" shapeId="0" xr:uid="{00000000-0006-0000-0F00-0000C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N44" authorId="171" shapeId="0" xr:uid="{00000000-0006-0000-0F00-0000C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44" authorId="172" shapeId="0" xr:uid="{00000000-0006-0000-0F00-0000C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44" authorId="173" shapeId="0" xr:uid="{00000000-0006-0000-0F00-0000C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44" authorId="174" shapeId="0" xr:uid="{00000000-0006-0000-0F00-0000C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F44" authorId="175" shapeId="0" xr:uid="{00000000-0006-0000-0F00-0000C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G44" authorId="176" shapeId="0" xr:uid="{00000000-0006-0000-0F00-0000C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4" authorId="177" shapeId="0" xr:uid="{00000000-0006-0000-0F00-0000C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5" authorId="178" shapeId="0" xr:uid="{00000000-0006-0000-0F00-0000C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5" authorId="179" shapeId="0" xr:uid="{00000000-0006-0000-0F00-0000C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K45" authorId="180" shapeId="0" xr:uid="{00000000-0006-0000-0F00-0000C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N45" authorId="181" shapeId="0" xr:uid="{00000000-0006-0000-0F00-0000C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45" authorId="182" shapeId="0" xr:uid="{00000000-0006-0000-0F00-0000C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45" authorId="183" shapeId="0" xr:uid="{00000000-0006-0000-0F00-0000C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45" authorId="184" shapeId="0" xr:uid="{00000000-0006-0000-0F00-0000C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F45" authorId="185" shapeId="0" xr:uid="{00000000-0006-0000-0F00-0000D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G45" authorId="186" shapeId="0" xr:uid="{00000000-0006-0000-0F00-0000D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5" authorId="187" shapeId="0" xr:uid="{00000000-0006-0000-0F00-0000D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6" authorId="188" shapeId="0" xr:uid="{00000000-0006-0000-0F00-0000D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L46" authorId="189" shapeId="0" xr:uid="{00000000-0006-0000-0F00-0000D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 500+x</t>
        </r>
      </text>
    </comment>
    <comment ref="N46" authorId="190" shapeId="0" xr:uid="{00000000-0006-0000-0F00-0000D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 500+x</t>
        </r>
      </text>
    </comment>
    <comment ref="D47" authorId="191" shapeId="0" xr:uid="{00000000-0006-0000-0F00-0000D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7" authorId="192" shapeId="0" xr:uid="{00000000-0006-0000-0F00-0000E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K47" authorId="193" shapeId="0" xr:uid="{00000000-0006-0000-0F00-0000E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L47" authorId="194" shapeId="0" xr:uid="{00000000-0006-0000-0F00-0000E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N47" authorId="195" shapeId="0" xr:uid="{00000000-0006-0000-0F00-0000E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O47" authorId="196" shapeId="0" xr:uid="{00000000-0006-0000-0F00-0000E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P47" authorId="197" shapeId="0" xr:uid="{00000000-0006-0000-0F00-0000E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Q47" authorId="198" shapeId="0" xr:uid="{00000000-0006-0000-0F00-0000E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R47" authorId="199" shapeId="0" xr:uid="{00000000-0006-0000-0F00-0000E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D48" authorId="200" shapeId="0" xr:uid="{00000000-0006-0000-0F00-0000E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8" authorId="201" shapeId="0" xr:uid="{00000000-0006-0000-0F00-0000E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K48" authorId="202" shapeId="0" xr:uid="{00000000-0006-0000-0F00-0000E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L48" authorId="203" shapeId="0" xr:uid="{00000000-0006-0000-0F00-0000E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N48" authorId="204" shapeId="0" xr:uid="{00000000-0006-0000-0F00-0000E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O48" authorId="205" shapeId="0" xr:uid="{00000000-0006-0000-0F00-0000E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P48" authorId="206" shapeId="0" xr:uid="{00000000-0006-0000-0F00-0000E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Q48" authorId="207" shapeId="0" xr:uid="{00000000-0006-0000-0F00-0000E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R48" authorId="208" shapeId="0" xr:uid="{00000000-0006-0000-0F00-0000F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D49" authorId="209" shapeId="0" xr:uid="{00000000-0006-0000-0F00-0000F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9" authorId="210" shapeId="0" xr:uid="{00000000-0006-0000-0F00-0000F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K49" authorId="211" shapeId="0" xr:uid="{00000000-0006-0000-0F00-0000F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L49" authorId="212" shapeId="0" xr:uid="{00000000-0006-0000-0F00-0000F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N49" authorId="213" shapeId="0" xr:uid="{00000000-0006-0000-0F00-0000F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O49" authorId="214" shapeId="0" xr:uid="{00000000-0006-0000-0F00-0000F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P49" authorId="215" shapeId="0" xr:uid="{00000000-0006-0000-0F00-0000F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Q49" authorId="216" shapeId="0" xr:uid="{00000000-0006-0000-0F00-0000F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R49" authorId="217" shapeId="0" xr:uid="{00000000-0006-0000-0F00-0000F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D50" authorId="218" shapeId="0" xr:uid="{00000000-0006-0000-0F00-0000F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L50" authorId="219" shapeId="0" xr:uid="{00000000-0006-0000-0F00-0000F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Ausgewiesene Potenziale als symmetrisch unterstellt</t>
        </r>
      </text>
    </comment>
    <comment ref="Q50" authorId="220" shapeId="0" xr:uid="{00000000-0006-0000-0F00-0000F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Ausgewiesene Potenziale als symmetrisch unterstellt.</t>
        </r>
      </text>
    </comment>
    <comment ref="D51" authorId="221" shapeId="0" xr:uid="{00000000-0006-0000-0F00-0000F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D52" authorId="222" shapeId="0" xr:uid="{00000000-0006-0000-0F00-0000F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D53" authorId="223" shapeId="0" xr:uid="{00000000-0006-0000-0F00-0000F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D54" authorId="224" shapeId="0" xr:uid="{00000000-0006-0000-0F00-000000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G54" authorId="225" shapeId="0" xr:uid="{00000000-0006-0000-0F00-000001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H54" authorId="226" shapeId="0" xr:uid="{00000000-0006-0000-0F00-000002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D55" authorId="227" shapeId="0" xr:uid="{00000000-0006-0000-0F00-000003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G55" authorId="228" shapeId="0" xr:uid="{00000000-0006-0000-0F00-000004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H55" authorId="229" shapeId="0" xr:uid="{00000000-0006-0000-0F00-000005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D56" authorId="230" shapeId="0" xr:uid="{00000000-0006-0000-0F00-000006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G56" authorId="231" shapeId="0" xr:uid="{00000000-0006-0000-0F00-000007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H56" authorId="232" shapeId="0" xr:uid="{00000000-0006-0000-0F00-000008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D57" authorId="233" shapeId="0" xr:uid="{00000000-0006-0000-0F00-000009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G57" authorId="234" shapeId="0" xr:uid="{00000000-0006-0000-0F00-00000A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H57" authorId="235" shapeId="0" xr:uid="{00000000-0006-0000-0F00-00000B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U61" authorId="236" shapeId="0" xr:uid="{00000000-0006-0000-0F00-00000C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O61" authorId="237" shapeId="0" xr:uid="{00000000-0006-0000-0F00-00000D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U62" authorId="238" shapeId="0" xr:uid="{00000000-0006-0000-0F00-00000E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O62" authorId="239" shapeId="0" xr:uid="{00000000-0006-0000-0F00-00000F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U63" authorId="240" shapeId="0" xr:uid="{00000000-0006-0000-0F00-000010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O63" authorId="241" shapeId="0" xr:uid="{00000000-0006-0000-0F00-000011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U64" authorId="242" shapeId="0" xr:uid="{00000000-0006-0000-0F00-000012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O64" authorId="243" shapeId="0" xr:uid="{00000000-0006-0000-0F00-000013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E2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4" authorId="0" shapeId="0" xr:uid="{00000000-0006-0000-08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5" authorId="0" shapeId="0" xr:uid="{00000000-0006-0000-08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6" authorId="0" shapeId="0" xr:uid="{00000000-0006-0000-08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C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 nicht anders angegeben, Erscheinungsjahr gewählt.</t>
        </r>
      </text>
    </comment>
    <comment ref="G1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nur Lastabschaltung (Werte abgelesen)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tc={B30C8BE7-5968-4CD1-8BB9-2A12F4B801C3}</author>
  </authors>
  <commentList>
    <comment ref="H22" authorId="0" shapeId="0" xr:uid="{00000000-0006-0000-0B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2020</t>
        </r>
      </text>
    </comment>
    <comment ref="H23" authorId="0" shapeId="0" xr:uid="{00000000-0006-0000-0B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2030</t>
        </r>
      </text>
    </comment>
    <comment ref="H26" authorId="0" shapeId="0" xr:uid="{00000000-0006-0000-0B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2020</t>
        </r>
      </text>
    </comment>
    <comment ref="H27" authorId="0" shapeId="0" xr:uid="{00000000-0006-0000-0B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 2020</t>
        </r>
      </text>
    </comment>
    <comment ref="A50" authorId="1" shapeId="0" xr:uid="{00000000-0006-0000-0B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58" authorId="0" shapeId="0" xr:uid="{00000000-0006-0000-0B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9" authorId="0" shapeId="0" xr:uid="{00000000-0006-0000-0B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60" authorId="0" shapeId="0" xr:uid="{00000000-0006-0000-0B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61" authorId="0" shapeId="0" xr:uid="{00000000-0006-0000-0B00-00000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K1" authorId="0" shapeId="0" xr:uid="{00000000-0006-0000-0C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Extrapolation anhand Leistungen / Stromverbrauch</t>
        </r>
      </text>
    </comment>
    <comment ref="F2" authorId="0" shapeId="0" xr:uid="{00000000-0006-0000-0C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errechnet</t>
        </r>
      </text>
    </comment>
    <comment ref="H3" authorId="0" shapeId="0" xr:uid="{00000000-0006-0000-0C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Ausstattungsraten linear interpoliert (S. </t>
        </r>
      </text>
    </comment>
    <comment ref="K10" authorId="0" shapeId="0" xr:uid="{00000000-0006-0000-0C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Summe Kühl- und Gefrieranwendungen</t>
        </r>
      </text>
    </comment>
    <comment ref="E18" authorId="0" shapeId="0" xr:uid="{00000000-0006-0000-0C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fehlende Werte errechnet</t>
        </r>
      </text>
    </comment>
    <comment ref="G18" authorId="0" shapeId="0" xr:uid="{00000000-0006-0000-0C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fehlende Werte errechnet</t>
        </r>
      </text>
    </comment>
    <comment ref="K18" authorId="0" shapeId="0" xr:uid="{00000000-0006-0000-0C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2010 z.T. unplausibel bzw. deutliche Abweichung gg. der Werte aus Scholz et al. 2014</t>
        </r>
      </text>
    </comment>
    <comment ref="L18" authorId="0" shapeId="0" xr:uid="{00000000-0006-0000-0C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GHD 2010 z.T. unplausibel bzw. deutliche Abweichungen gg. der Ergebnisse aus Scholz et al. 2014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Kochems, Johannes</author>
  </authors>
  <commentList>
    <comment ref="C1" authorId="0" shapeId="0" xr:uid="{76E3D9D8-67A0-4DD7-8EDF-4E82C23F59A1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 nicht anders angegeben, Erscheinungsjahr gewählt.</t>
        </r>
      </text>
    </comment>
    <comment ref="G2" authorId="1" shapeId="0" xr:uid="{065113D7-1579-454B-A525-60C4962BE588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Unterscheidung: Strangguss, Strangguss und Blockguss, nur Blockguss</t>
        </r>
      </text>
    </comment>
    <comment ref="J2" authorId="1" shapeId="0" xr:uid="{1DB9E3B3-6149-4B62-8992-8E0022C0D173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Erhöhung / Reduktion um +/- 10 % der mittleren Auslastung</t>
        </r>
      </text>
    </comment>
    <comment ref="M2" authorId="1" shapeId="0" xr:uid="{7C78481E-BF4B-4D5F-8D53-76C3A4E975D2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Erhöhung / Reduktion um +/- 10 % der mittleren Auslastung</t>
        </r>
      </text>
    </comment>
    <comment ref="Q2" authorId="1" shapeId="0" xr:uid="{7788568C-B8DB-406A-82C4-960F134EBE35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20 min pro 8 h Schicht</t>
        </r>
      </text>
    </comment>
    <comment ref="S6" authorId="1" shapeId="0" xr:uid="{4C7FC57B-85E8-4443-B86D-7C9DB4DC1E49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Kompensation innerhalb einer halben Schicht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tc={FB42DF06-10E3-4E37-A6A6-28A07FA9FB3F}</author>
    <author>tc={83B22062-F3BB-4DA9-9304-B34ED6811005}</author>
    <author>tc={A4755949-C1AD-47B1-BAC0-A38D452F164C}</author>
    <author>tc={C1231DC0-6E35-41C4-9083-61CD6FA3574C}</author>
    <author>tc={49C805F7-915C-46AA-A538-9F53C8ACDD93}</author>
    <author>tc={01D0519E-4C7D-43D0-8A37-679BD57C5B3C}</author>
    <author>tc={DF290441-950E-49F7-BFC0-751A668CD9A8}</author>
    <author>tc={CDD362D8-A8F6-47D3-9E42-85BE49D93285}</author>
    <author>tc={046E425C-0033-433C-A9FA-24E22D4F5D51}</author>
    <author>tc={7AAB506C-C6D4-4C60-8B40-1FA3692B7110}</author>
    <author>tc={FEBCC5B2-A179-4B75-BDFC-376CDBDC7727}</author>
    <author>tc={54BCD683-CE8E-4415-BD38-DAAA53CF374B}</author>
    <author>tc={25A7567F-FC63-434A-BE53-27BE96BFC102}</author>
    <author>tc={D9E72B01-1DA5-40BE-A92B-A9EDD41DF071}</author>
    <author>tc={C9AC1E5E-CA20-4518-A2A9-18EA93114341}</author>
    <author>tc={100795C4-C14F-40C8-85C2-01E5748A46D4}</author>
    <author>tc={4973EA7A-C0BE-4DD7-8936-C3A57A9EDD10}</author>
    <author>tc={5C44675F-8D80-46FB-8EB4-50A880E44CC4}</author>
    <author>tc={13809119-DE0E-46A4-B893-E08398126FEA}</author>
    <author>tc={F5CED530-AD75-4D0B-ABD9-E26485FEA056}</author>
  </authors>
  <commentList>
    <comment ref="A1" authorId="0" shapeId="0" xr:uid="{FB42DF06-10E3-4E37-A6A6-28A07FA9FB3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E1" authorId="1" shapeId="0" xr:uid="{83B22062-F3BB-4DA9-9304-B34ED681100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Aussagen getroffen; Annahme, dass jeweils Lastverschiebung betrachtet wird, da positive und negative Regelpotenziale ausgewiesen werden...</t>
        </r>
      </text>
    </comment>
    <comment ref="M1" authorId="2" shapeId="0" xr:uid="{A4755949-C1AD-47B1-BAC0-A38D452F164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  </r>
      </text>
    </comment>
    <comment ref="O1" authorId="3" shapeId="0" xr:uid="{C1231DC0-6E35-41C4-9083-61CD6FA3574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V1" authorId="4" shapeId="0" xr:uid="{49C805F7-915C-46AA-A538-9F53C8ACDD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Schaltdauern korrespondieren mit maximaler / minimaler Potenzialhöhe (Potenzial nichtlinear abnehmend mit zunehmender Schaltdauer)
Antwort:
    grobe Abschätzung von zwei (arbiträren) Stützwerten auf Diagrammen</t>
        </r>
      </text>
    </comment>
    <comment ref="B2" authorId="5" shapeId="0" xr:uid="{01D0519E-4C7D-43D0-8A37-679BD57C5B3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überwiegend in Haushalten zu finden (S. 49)</t>
        </r>
      </text>
    </comment>
    <comment ref="J3" authorId="6" shapeId="0" xr:uid="{DF290441-950E-49F7-BFC0-751A668CD9A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Anzahl in Haushalten; davon 4.000 Tsd. mit zentraler elektrischer Warmwasserbereitung</t>
        </r>
      </text>
    </comment>
    <comment ref="L3" authorId="7" shapeId="0" xr:uid="{CDD362D8-A8F6-47D3-9E42-85BE49D932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(konservative) Annahme: 1/4 des Stromverbrauchs kann genutzt werden für DR</t>
        </r>
      </text>
    </comment>
    <comment ref="M3" authorId="8" shapeId="0" xr:uid="{046E425C-0033-433C-A9FA-24E22D4F5D5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68)</t>
        </r>
      </text>
    </comment>
    <comment ref="O3" authorId="9" shapeId="0" xr:uid="{7AAB506C-C6D4-4C60-8B40-1FA3692B711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68)</t>
        </r>
      </text>
    </comment>
    <comment ref="Q3" authorId="10" shapeId="0" xr:uid="{FEBCC5B2-A179-4B75-BDFC-376CDBDC772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69)</t>
        </r>
      </text>
    </comment>
    <comment ref="B4" authorId="11" shapeId="0" xr:uid="{54BCD683-CE8E-4415-BD38-DAAA53CF374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überwiegend Industrie</t>
        </r>
      </text>
    </comment>
    <comment ref="K5" authorId="12" shapeId="0" xr:uid="{25A7567F-FC63-434A-BE53-27BE96BFC10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  </r>
      </text>
    </comment>
    <comment ref="K6" authorId="13" shapeId="0" xr:uid="{D9E72B01-1DA5-40BE-A92B-A9EDD41DF07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  </r>
      </text>
    </comment>
    <comment ref="A7" authorId="14" shapeId="0" xr:uid="{C9AC1E5E-CA20-4518-A2A9-18EA9311434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Kühl- und Gefriergeräte im Lebensmitteleinzelhandel</t>
        </r>
      </text>
    </comment>
    <comment ref="K7" authorId="15" shapeId="0" xr:uid="{100795C4-C14F-40C8-85C2-01E5748A46D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  </r>
      </text>
    </comment>
    <comment ref="A8" authorId="16" shapeId="0" xr:uid="{4973EA7A-C0BE-4DD7-8936-C3A57A9EDD1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Sonderfall: Umwälzpumpen für Warmwasserheizungen</t>
        </r>
      </text>
    </comment>
    <comment ref="F8" authorId="17" shapeId="0" xr:uid="{5C44675F-8D80-46FB-8EB4-50A880E44CC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positive Regelleistung (S. 140)</t>
        </r>
      </text>
    </comment>
    <comment ref="K8" authorId="18" shapeId="0" xr:uid="{13809119-DE0E-46A4-B893-E08398126FE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Strombedarf für Umwälzpumpen in Deutschland</t>
        </r>
      </text>
    </comment>
    <comment ref="A9" authorId="19" shapeId="0" xr:uid="{F5CED530-AD75-4D0B-ABD9-E26485FEA05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Sonderfall: Umwälzpumpen für Warmwasserheizungen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tc={20888235-6E85-4BB8-AC3B-827139F075CA}</author>
    <author>tc={6AC0FD0F-BD60-4635-9AFD-295774DE7423}</author>
  </authors>
  <commentList>
    <comment ref="P2" authorId="0" shapeId="0" xr:uid="{20888235-6E85-4BB8-AC3B-827139F075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offenbar Datenfehler</t>
        </r>
      </text>
    </comment>
    <comment ref="A4" authorId="1" shapeId="0" xr:uid="{6AC0FD0F-BD60-4635-9AFD-295774DE742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Zell- und Holzstoffherstellung (S. 5)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tc={FBF3ADD0-B56D-4DAE-8F21-CC2347C73D5C}</author>
    <author>jkochems</author>
    <author>tc={94C10CB7-65DC-4B1E-83E5-0941AF46AFE8}</author>
    <author>tc={D115012A-AA3D-402B-BF85-D767EFAA4ACC}</author>
    <author>tc={A06263FC-8A2A-435B-9472-EFF9B92A9514}</author>
  </authors>
  <commentList>
    <comment ref="A1" authorId="0" shapeId="0" xr:uid="{FBF3ADD0-B56D-4DAE-8F21-CC2347C73D5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Tabellenblatt enthält Werte, die je Prozess aggregiert dargestellt wurden (Aggregation jeweils durch Mittelwert- oder Summenbildung erfolgt -&gt; s. Aufbereitungsnotebook)</t>
        </r>
      </text>
    </comment>
    <comment ref="DB1" authorId="1" shapeId="0" xr:uid="{00000000-0006-0000-12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WTT: werktags, tagsüber</t>
        </r>
      </text>
    </comment>
    <comment ref="DE1" authorId="1" shapeId="0" xr:uid="{00000000-0006-0000-12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Samstags, tagsüber</t>
        </r>
      </text>
    </comment>
    <comment ref="DH1" authorId="1" shapeId="0" xr:uid="{00000000-0006-0000-12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SFN: Sonn- und Feiertags</t>
        </r>
      </text>
    </comment>
    <comment ref="A2" authorId="1" shapeId="0" xr:uid="{00000000-0006-0000-12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 hier aggregierte Werte der QSTs</t>
        </r>
      </text>
    </comment>
    <comment ref="FY50" authorId="1" shapeId="0" xr:uid="{00000000-0006-0000-1200-00001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Alle Werte bereits inflationiert von 2017 auf 2018</t>
        </r>
      </text>
    </comment>
    <comment ref="A186" authorId="2" shapeId="0" xr:uid="{00000000-0006-0000-12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Behälterglas</t>
        </r>
      </text>
    </comment>
    <comment ref="A202" authorId="3" shapeId="0" xr:uid="{00000000-0006-0000-12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Holzschleifer und TMP-Verfahren</t>
        </r>
      </text>
    </comment>
    <comment ref="A226" authorId="4" shapeId="0" xr:uid="{00000000-0006-0000-12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Zellstoff- und Altpapieraufbereitung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tc={EE6E04F9-26E9-482D-A026-FC2281CEC518}</author>
    <author>tc={AA34A7A7-DDCC-4A71-8170-389DA35A0E2F}</author>
    <author>tc={9544F0BA-48F1-430C-B777-5EB04D213E44}</author>
    <author>tc={C1DB94E9-D1B1-43A6-BE62-0032FBE2EA36}</author>
    <author>tc={168F2958-2C35-4D6E-A9BF-27CAAFDB4F0D}</author>
    <author>jkochems</author>
    <author>tc={223D4FBC-D6B7-417C-B27A-66564245BE70}</author>
    <author>tc={34DEAD6B-52E4-4A32-B4E8-9485C64B0686}</author>
    <author>tc={3E05DEB4-FDCE-4D4C-BF20-B42C75ECB962}</author>
    <author>tc={FF23A1BB-6B37-48B5-B84E-8C79244A88FD}</author>
    <author>tc={65193C96-4AB2-4A39-8097-FBB0DBD031CE}</author>
    <author>tc={92F93B64-5FA1-4E67-A2BC-3BCCB5FFD2C4}</author>
    <author>tc={B7BBC7AE-7AAB-4E0C-BF45-2A7FE8CB16AD}</author>
  </authors>
  <commentList>
    <comment ref="A1" authorId="0" shapeId="0" xr:uid="{EE6E04F9-26E9-482D-A026-FC2281CEC51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H1" authorId="1" shapeId="0" xr:uid="{AA34A7A7-DDCC-4A71-8170-389DA35A0E2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I1" authorId="2" shapeId="0" xr:uid="{9544F0BA-48F1-430C-B777-5EB04D213E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J1" authorId="3" shapeId="0" xr:uid="{C1DB94E9-D1B1-43A6-BE62-0032FBE2EA3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K1" authorId="4" shapeId="0" xr:uid="{168F2958-2C35-4D6E-A9BF-27CAAFDB4F0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R1" authorId="5" shapeId="0" xr:uid="{00000000-0006-0000-1A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H8" authorId="6" shapeId="0" xr:uid="{00000000-0006-0000-1A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H17" authorId="7" shapeId="0" xr:uid="{34DEAD6B-52E4-4A32-B4E8-9485C64B068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I17" authorId="8" shapeId="0" xr:uid="{3E05DEB4-FDCE-4D4C-BF20-B42C75ECB96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J17" authorId="9" shapeId="0" xr:uid="{FF23A1BB-6B37-48B5-B84E-8C79244A88F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K17" authorId="10" shapeId="0" xr:uid="{65193C96-4AB2-4A39-8097-FBB0DBD031C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AH23" authorId="11" shapeId="0" xr:uid="{00000000-0006-0000-1A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I23" authorId="12" shapeId="0" xr:uid="{00000000-0006-0000-1A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tc={CEA1FD89-1504-4013-9A33-6737BFA3FA3D}</author>
    <author>tc={6B249502-2D9A-4EDD-8F0D-E18FF7151946}</author>
    <author>tc={850613CD-B1FE-4F8E-8640-7E0785E01F2C}</author>
    <author>tc={8BD9C0A2-F337-46DB-A0A0-CF75DD1BB350}</author>
    <author>tc={D0277F0E-3D3A-430B-809F-33E385404677}</author>
    <author>tc={0A684F61-118C-4186-A8F0-E2DFB54825EC}</author>
    <author>tc={F6F526D0-02EC-4667-B09D-E24EBE07B009}</author>
    <author>tc={4D5655EB-FF18-4EC9-949A-2D704DB1B644}</author>
    <author>tc={62EEDFFD-23DF-4882-9CC7-C48796C7089A}</author>
    <author>tc={3F765E9F-E4AB-4FF5-A6AF-217158F779A9}</author>
    <author>tc={76070A1F-64E7-454A-B26A-1A465FB2F42E}</author>
    <author>tc={67CE0A31-1EFA-4DB6-BB10-99D3C54C2789}</author>
    <author>tc={7365EF40-3031-4C27-B82E-B138B7C9FD76}</author>
    <author>tc={9396D2FB-4BE7-4226-8910-E1602C925784}</author>
    <author>tc={A1EEE7B4-D4C7-4FA5-B43E-4DA83E132365}</author>
    <author>tc={D448AF66-6203-440A-A0A6-5C6418C8B224}</author>
    <author>tc={2D554695-7E68-47FA-9B37-3549FF2111A8}</author>
    <author>tc={4F464C07-F1BF-488E-B0A5-A1B6378BCF93}</author>
    <author>tc={E17887BC-E2F7-4415-AA9A-E619BA05D0CC}</author>
    <author>tc={A412C09A-F9C0-4EA1-8446-9182E7838AEA}</author>
    <author>tc={D05C0518-1169-4D08-B0B6-136BE90DA9E6}</author>
    <author>tc={9DC8650D-8F7D-42A4-9044-9DBA02A3A53E}</author>
    <author>tc={F484E73A-8782-4642-AFDC-2CA045D83D53}</author>
    <author>tc={05E3FD7B-1E3A-41A3-B98B-C3175779CDDE}</author>
    <author>tc={65B20F49-A09B-4A29-A272-9DF6DB951849}</author>
    <author>tc={6A4833E7-379F-4F6F-B529-9AEF460D73D6}</author>
    <author>tc={A64FC9A4-252E-48E0-A5C0-82B313044CEF}</author>
    <author>tc={1E36F65A-3104-449C-B538-27CCCBFD7058}</author>
    <author>tc={7887E1AE-11FC-4685-8429-533BC863B0DE}</author>
    <author>tc={065B56C8-126F-4D8B-8A20-5628D12CE25B}</author>
    <author>tc={B04231C8-34AD-4FA5-8EFF-E03BBF0E30AD}</author>
    <author>tc={5EE1D81D-5AE0-40C7-8A96-605C6F7E1C5A}</author>
    <author>tc={A553FF40-6F33-47C3-815C-71061EDE08FD}</author>
    <author>tc={FDA1B1E1-C358-4B3D-AE39-F253E9070D39}</author>
    <author>tc={E1B032F5-B370-4C21-82B3-C7730E626F97}</author>
    <author>tc={58A425E6-C3F3-4796-90AE-C9A8C7F62F54}</author>
  </authors>
  <commentList>
    <comment ref="B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O2" authorId="1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4.000</t>
        </r>
      </text>
    </comment>
    <comment ref="O3" authorId="2" shapeId="0" xr:uid="{00000000-0006-0000-0E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4.100</t>
        </r>
      </text>
    </comment>
    <comment ref="O4" authorId="3" shapeId="0" xr:uid="{00000000-0006-0000-0E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4.100</t>
        </r>
      </text>
    </comment>
    <comment ref="O5" authorId="4" shapeId="0" xr:uid="{00000000-0006-0000-0E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1.600</t>
        </r>
      </text>
    </comment>
    <comment ref="O6" authorId="5" shapeId="0" xr:uid="{00000000-0006-0000-0E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1.640</t>
        </r>
      </text>
    </comment>
    <comment ref="O7" authorId="6" shapeId="0" xr:uid="{00000000-0006-0000-0E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1.640</t>
        </r>
      </text>
    </comment>
    <comment ref="M8" authorId="7" shapeId="0" xr:uid="{00000000-0006-0000-0E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abgestellt auf Maximalwerte</t>
        </r>
      </text>
    </comment>
    <comment ref="O8" authorId="8" shapeId="0" xr:uid="{00000000-0006-0000-0E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32.000</t>
        </r>
      </text>
    </comment>
    <comment ref="O9" authorId="9" shapeId="0" xr:uid="{00000000-0006-0000-0E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16.400</t>
        </r>
      </text>
    </comment>
    <comment ref="O10" authorId="10" shapeId="0" xr:uid="{00000000-0006-0000-0E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10.250</t>
        </r>
      </text>
    </comment>
    <comment ref="O11" authorId="11" shapeId="0" xr:uid="{00000000-0006-0000-0E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3.400</t>
        </r>
      </text>
    </comment>
    <comment ref="O12" authorId="12" shapeId="0" xr:uid="{00000000-0006-0000-0E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13.940</t>
        </r>
      </text>
    </comment>
    <comment ref="O13" authorId="13" shapeId="0" xr:uid="{00000000-0006-0000-0E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27.880</t>
        </r>
      </text>
    </comment>
    <comment ref="O14" authorId="14" shapeId="0" xr:uid="{00000000-0006-0000-0E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2.500</t>
        </r>
      </text>
    </comment>
    <comment ref="O15" authorId="15" shapeId="0" xr:uid="{00000000-0006-0000-0E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1.281</t>
        </r>
      </text>
    </comment>
    <comment ref="O16" authorId="16" shapeId="0" xr:uid="{00000000-0006-0000-0E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256</t>
        </r>
      </text>
    </comment>
    <comment ref="M17" authorId="17" shapeId="0" xr:uid="{00000000-0006-0000-0E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1.059 Vollbenutzungsstunden</t>
        </r>
      </text>
    </comment>
    <comment ref="O17" authorId="18" shapeId="0" xr:uid="{00000000-0006-0000-0E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15.200</t>
        </r>
      </text>
    </comment>
    <comment ref="O18" authorId="19" shapeId="0" xr:uid="{00000000-0006-0000-0E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15.580</t>
        </r>
      </text>
    </comment>
    <comment ref="O19" authorId="20" shapeId="0" xr:uid="{00000000-0006-0000-0E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15.580</t>
        </r>
      </text>
    </comment>
    <comment ref="O20" authorId="21" shapeId="0" xr:uid="{00000000-0006-0000-0E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2.700</t>
        </r>
      </text>
    </comment>
    <comment ref="O21" authorId="22" shapeId="0" xr:uid="{00000000-0006-0000-0E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4.000</t>
        </r>
      </text>
    </comment>
    <comment ref="O22" authorId="23" shapeId="0" xr:uid="{00000000-0006-0000-0E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5.400</t>
        </r>
      </text>
    </comment>
    <comment ref="O23" authorId="24" shapeId="0" xr:uid="{00000000-0006-0000-0E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22.655</t>
        </r>
      </text>
    </comment>
    <comment ref="O24" authorId="25" shapeId="0" xr:uid="{00000000-0006-0000-0E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21.715</t>
        </r>
      </text>
    </comment>
    <comment ref="O25" authorId="26" shapeId="0" xr:uid="{00000000-0006-0000-0E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19.912</t>
        </r>
      </text>
    </comment>
    <comment ref="O26" authorId="27" shapeId="0" xr:uid="{00000000-0006-0000-0E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  </r>
      </text>
    </comment>
    <comment ref="O27" authorId="28" shapeId="0" xr:uid="{00000000-0006-0000-0E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  </r>
      </text>
    </comment>
    <comment ref="O28" authorId="29" shapeId="0" xr:uid="{00000000-0006-0000-0E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  </r>
      </text>
    </comment>
    <comment ref="O29" authorId="30" shapeId="0" xr:uid="{00000000-0006-0000-0E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  </r>
      </text>
    </comment>
    <comment ref="O30" authorId="31" shapeId="0" xr:uid="{00000000-0006-0000-0E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  </r>
      </text>
    </comment>
    <comment ref="O31" authorId="32" shapeId="0" xr:uid="{00000000-0006-0000-0E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  </r>
      </text>
    </comment>
    <comment ref="O32" authorId="33" shapeId="0" xr:uid="{00000000-0006-0000-0E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  </r>
      </text>
    </comment>
    <comment ref="O33" authorId="34" shapeId="0" xr:uid="{00000000-0006-0000-0E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  </r>
      </text>
    </comment>
    <comment ref="O34" authorId="35" shapeId="0" xr:uid="{00000000-0006-0000-0E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tc={CC38F092-F1EC-400D-82EF-62FABF45AD3E}</author>
    <author>tc={D0D10A1D-037F-4330-BFA1-4239240AD855}</author>
    <author>tc={91878450-2B39-4430-9195-0F80744AEB00}</author>
    <author>tc={BBF38ADF-868E-4ABE-8150-31325C33D55D}</author>
    <author>tc={76F768A2-5825-4AFC-BF79-3D2BC6222FE5}</author>
    <author>tc={FD4C7762-1275-4156-A48B-82ABD30985BD}</author>
    <author>tc={D1BC916A-07F8-41CB-A895-E76FBF945AC4}</author>
    <author>tc={FACA42EA-474B-433F-AA8F-9C011F8E42A9}</author>
    <author>tc={3EDC4EFD-A5EC-4108-B1F8-BA3890ECF5A7}</author>
    <author>tc={8BCBF14E-E2DF-4C85-A606-F28153B3011E}</author>
    <author>tc={F81394D2-84E1-4177-947D-3EB42DC4875F}</author>
    <author>tc={4BB0AD5F-61E4-4D1E-A14C-0326526EE034}</author>
    <author>tc={6AEB550C-C2B9-4E81-A815-2913C0C3F5CE}</author>
    <author>tc={25C4E9D5-71E4-49A2-8CF7-35E1A942A6F8}</author>
    <author>tc={A656CD98-4594-4065-B7D3-4278699E57A4}</author>
  </authors>
  <commentList>
    <comment ref="B8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9" authorId="1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0" authorId="2" shapeId="0" xr:uid="{00000000-0006-0000-10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1" authorId="3" shapeId="0" xr:uid="{00000000-0006-0000-10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2" authorId="4" shapeId="0" xr:uid="{00000000-0006-0000-10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3" authorId="5" shapeId="0" xr:uid="{00000000-0006-0000-10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4" authorId="6" shapeId="0" xr:uid="{00000000-0006-0000-10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5" authorId="7" shapeId="0" xr:uid="{00000000-0006-0000-10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6" authorId="8" shapeId="0" xr:uid="{00000000-0006-0000-10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7" authorId="9" shapeId="0" xr:uid="{00000000-0006-0000-10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8" authorId="10" shapeId="0" xr:uid="{00000000-0006-0000-10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9" authorId="11" shapeId="0" xr:uid="{00000000-0006-0000-10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20" authorId="12" shapeId="0" xr:uid="{00000000-0006-0000-10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21" authorId="13" shapeId="0" xr:uid="{00000000-0006-0000-10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22" authorId="14" shapeId="0" xr:uid="{00000000-0006-0000-10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tc={6A66696E-0898-420C-9918-107CBC9A57B0}</author>
    <author>jkochems</author>
    <author>tc={2DCC246B-ACDF-4B7F-8CB4-65608738B2C4}</author>
    <author>tc={AE2C791B-D6C3-44B9-84BB-C80768CA7E93}</author>
    <author>tc={16FC34B1-B7DB-4B44-9AF5-34A376D66714}</author>
  </authors>
  <commentList>
    <comment ref="A1" authorId="0" shapeId="0" xr:uid="{6A66696E-0898-420C-9918-107CBC9A57B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Tabellenblatt enthält detaillierte Werte auf Ebene von Branchen im Sinne einer weiteren Untergliederung der Sektoren
Antwort:
    Detaillierte Werte aus Steurer 2017 werden (aus Zeitgründen) nicht ausgewertet.</t>
        </r>
      </text>
    </comment>
    <comment ref="CA1" authorId="1" shapeId="0" xr:uid="{63FDE02B-F63A-45AD-AD9E-00784FEA4A71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WTT: werktags, tagsüber</t>
        </r>
      </text>
    </comment>
    <comment ref="CD1" authorId="1" shapeId="0" xr:uid="{9DEB0579-B4CF-46DF-894D-6A3CBAF849DC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Samstags, tagsüber</t>
        </r>
      </text>
    </comment>
    <comment ref="CG1" authorId="1" shapeId="0" xr:uid="{CA4DECEB-7D30-42ED-9B3F-EF82651C127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SFN: Sonn- und Feiertags</t>
        </r>
      </text>
    </comment>
    <comment ref="B2" authorId="1" shapeId="0" xr:uid="{CEBE47BE-97B9-4AE7-8967-2676D222E707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Ausführliche Aufschlüsselung Industrie und GHD nur für installierte Leistungen; ansonsten unten aggregierte Werte.</t>
        </r>
      </text>
    </comment>
    <comment ref="B26" authorId="1" shapeId="0" xr:uid="{36AD485F-800F-4A45-B246-FC9A3822AEF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Ausführliche Aufschlüsselung Industrie und GHD nur für installierte Leistungen; ansonsten unten aggregierte Werte.</t>
        </r>
      </text>
    </comment>
    <comment ref="B122" authorId="1" shapeId="0" xr:uid="{D3D8F249-4ACE-47EA-8292-DA1647A6512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Ausführliche Aufschlüsselung Industrie und GHD nur für installierte Leistungen; ansonsten unten aggregierte Werte.</t>
        </r>
      </text>
    </comment>
    <comment ref="EU258" authorId="1" shapeId="0" xr:uid="{EF104D27-C705-4505-8711-3C6F6022EA9F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Umrechnung bereits vorgenommen</t>
        </r>
      </text>
    </comment>
    <comment ref="A370" authorId="2" shapeId="0" xr:uid="{2DCC246B-ACDF-4B7F-8CB4-65608738B2C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Behälterglas</t>
        </r>
      </text>
    </comment>
    <comment ref="A386" authorId="3" shapeId="0" xr:uid="{AE2C791B-D6C3-44B9-84BB-C80768CA7E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Holzschleifer und TMP-Verfahren</t>
        </r>
      </text>
    </comment>
    <comment ref="A410" authorId="4" shapeId="0" xr:uid="{16FC34B1-B7DB-4B44-9AF5-34A376D6671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Zellstoff- und Altpapieraufbereitung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tc={CEA1FD89-1504-4013-9A33-6737BFA3FA3D}</author>
    <author>Kochems, Johannes</author>
  </authors>
  <commentList>
    <comment ref="B1" authorId="0" shapeId="0" xr:uid="{1263A189-5F0D-4AA6-9243-4CB528BF422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A10" authorId="1" shapeId="0" xr:uid="{D47A8AB8-7242-4B3D-A4B0-ED1786B59590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Gefrierhäuser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tc={B30C8BE7-5968-4CD0-8BB9-2A12F4B801C3}</author>
    <author>jkochems</author>
  </authors>
  <commentList>
    <comment ref="A2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C2" authorId="1" shapeId="0" xr:uid="{00000000-0006-0000-0A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3" authorId="1" shapeId="0" xr:uid="{00000000-0006-0000-0A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4" authorId="1" shapeId="0" xr:uid="{00000000-0006-0000-0A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5" authorId="1" shapeId="0" xr:uid="{00000000-0006-0000-0A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6" authorId="1" shapeId="0" xr:uid="{00000000-0006-0000-0A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7" authorId="1" shapeId="0" xr:uid="{00000000-0006-0000-0A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8" authorId="1" shapeId="0" xr:uid="{00000000-0006-0000-0A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9" authorId="1" shapeId="0" xr:uid="{00000000-0006-0000-0A00-00000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A62" authorId="1" shapeId="0" xr:uid="{00000000-0006-0000-0A00-00000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63" authorId="1" shapeId="0" xr:uid="{00000000-0006-0000-0A00-00000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tc={7B5332E6-8577-4F18-8BAB-CF0399BB62AB}</author>
  </authors>
  <commentList>
    <comment ref="A34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tc={BA910BFF-6BA7-4440-85D8-3F38862DF00B}</author>
  </authors>
  <commentList>
    <comment ref="A34" authorId="0" shapeId="0" xr:uid="{79E1AAB6-B204-4879-8199-D09E36FF56C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  <comment ref="B34" authorId="0" shapeId="0" xr:uid="{54A161C1-B267-451E-B8F8-CF970DEF26B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tc={71F5162E-A185-4405-AC55-1222C05701A0}</author>
    <author>tc={BA910BFF-6BA7-4440-85D8-3F38862DF00B}</author>
  </authors>
  <commentList>
    <comment ref="C1" authorId="0" shapeId="0" xr:uid="{CB06DD1F-5D09-4427-AC17-9606F1D6443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matplotlib documentation: https://matplotlib.org/3.1.0/gallery/color/named_colors.html</t>
        </r>
      </text>
    </comment>
    <comment ref="A27" authorId="1" shapeId="0" xr:uid="{93DA4435-7054-4EF0-83D0-37A49FA1AC0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tc={5185CF36-782A-4B45-9DD3-14EE3199423D}</author>
    <author>tc={A4D23BA3-8718-43B5-9741-2BD3224DF571}</author>
    <author>tc={053F4F42-AE94-44F3-9BC8-C50A19A6E3EB}</author>
    <author>tc={212E9F89-28EA-4E48-97B1-015E2B1D4CB8}</author>
  </authors>
  <commentList>
    <comment ref="O1" authorId="0" shapeId="0" xr:uid="{00000000-0006-0000-13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7" authorId="1" shapeId="0" xr:uid="{00000000-0006-0000-13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Celina; kritisch prüfen!</t>
        </r>
      </text>
    </comment>
    <comment ref="Y7" authorId="2" shapeId="0" xr:uid="{00000000-0006-0000-13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kurze Pausen (Celina)</t>
        </r>
      </text>
    </comment>
    <comment ref="W10" authorId="3" shapeId="0" xr:uid="{00000000-0006-0000-13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E11" authorId="4" shapeId="0" xr:uid="{00000000-0006-0000-13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vorziehbar (Celina)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tc={BA910BFF-6BA7-4440-85D8-3F38862DF00B}</author>
  </authors>
  <commentList>
    <comment ref="A34" authorId="0" shapeId="0" xr:uid="{BA910BFF-6BA7-4440-85D8-3F38862DF00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tc={81887FEC-DDC5-418E-9BB2-3F6F3CB6CB16}</author>
    <author>tc={D04B2933-B873-48C3-893E-4CF2A541F51A}</author>
    <author>tc={9ADCAFC6-26CA-43E4-9ED5-1FFE2003EF8D}</author>
    <author>tc={FB37EDFD-0A01-421E-AC89-ED380B2B59DD}</author>
    <author>tc={FE324868-3EED-419B-854F-53AB56A9F95A}</author>
    <author>tc={F82E82CF-082C-4DBE-8805-BAF21B1C1F2B}</author>
    <author>tc={D7206562-633D-4495-AC3F-CAFAA2D72D6D}</author>
    <author>tc={F0057087-7EC1-4BE9-959D-15A7A4FFF81C}</author>
    <author>tc={644BBC7F-A37D-404E-93E0-421C4E06DB1B}</author>
    <author>tc={E9F9D5A6-706A-4C60-9A9D-3E04F013C22C}</author>
    <author>tc={F100EA9D-87E1-4261-BB6B-BBDC71DAE940}</author>
    <author>tc={4DDF85CE-5F56-44FC-8504-04DF55CA0E23}</author>
    <author>tc={4AA08DEE-9468-403B-84DA-B4E71848E299}</author>
    <author>tc={36768E8C-A75E-49FD-8134-A67AE851F97E}</author>
    <author>tc={3D5AFC60-A394-4B3E-AAC1-A09B896092DE}</author>
    <author>tc={0A570BFA-02B9-4ECB-8F92-F7D854791896}</author>
    <author>tc={FC2F993C-CA62-4147-9590-95D9B07BE144}</author>
    <author>tc={E0016CF1-9A91-49E1-BE01-2C1FD7FB5B6A}</author>
    <author>tc={15A83F11-EDF5-4903-BD8F-68E05957AB4C}</author>
    <author>tc={791838BC-5F30-4E94-9AF3-E8F90DF06043}</author>
    <author>tc={B40DEBB1-8615-4C86-92DD-797A31200019}</author>
    <author>tc={CA537709-0A0D-4EE4-ACD0-D67FCF091BC8}</author>
    <author>tc={7B251C24-7CC9-4873-AE68-55B6104A52E0}</author>
    <author>tc={F8DE9911-E9D2-45CD-8938-AE9884848014}</author>
    <author>tc={5976597A-677B-44BF-BDFB-FD92873DE3B1}</author>
    <author>tc={4AC5E621-505E-479E-AA32-6F1A1A42009C}</author>
    <author>tc={1A23B923-CBAC-458C-A07D-8B06BD7F8E81}</author>
    <author>tc={DA5059DB-65DB-4A6E-B76B-91AFF9180B3B}</author>
    <author>tc={06F80E9A-F362-4962-8FA4-F3A2611228F9}</author>
    <author>tc={AF96A984-A1A3-4DEC-B3E0-A889205CBEDC}</author>
    <author>tc={1583A8C4-936D-400B-9362-7012ABE1D904}</author>
    <author>tc={38A6B47D-4738-4615-B4B0-4E4E5E45377F}</author>
    <author>tc={CF070B4E-C835-4898-A896-A2839AE9D649}</author>
    <author>tc={25D6FDD9-C8BB-4509-95E5-15E6B95AA34E}</author>
    <author>tc={C53ED492-2D6C-4728-BE2D-4CB41A0F6BC9}</author>
    <author>tc={3BADFFF8-34F5-4370-AD2F-D0F826B17644}</author>
  </authors>
  <commentList>
    <comment ref="R1" authorId="0" shapeId="0" xr:uid="{00000000-0006-0000-15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" authorId="1" shapeId="0" xr:uid="{81887FEC-DDC5-418E-9BB2-3F6F3CB6CB1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G2" authorId="2" shapeId="0" xr:uid="{D04B2933-B873-48C3-893E-4CF2A541F51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H2" authorId="3" shapeId="0" xr:uid="{9ADCAFC6-26CA-43E4-9ED5-1FFE2003EF8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D3" authorId="4" shapeId="0" xr:uid="{FB37EDFD-0A01-421E-AC89-ED380B2B59D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4" authorId="5" shapeId="0" xr:uid="{FE324868-3EED-419B-854F-53AB56A9F95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G4" authorId="6" shapeId="0" xr:uid="{F82E82CF-082C-4DBE-8805-BAF21B1C1F2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2007</t>
        </r>
      </text>
    </comment>
    <comment ref="R4" authorId="7" shapeId="0" xr:uid="{D7206562-633D-4495-AC3F-CAFAA2D72D6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</t>
        </r>
      </text>
    </comment>
    <comment ref="AG4" authorId="8" shapeId="0" xr:uid="{F0057087-7EC1-4BE9-959D-15A7A4FFF81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H4" authorId="9" shapeId="0" xr:uid="{644BBC7F-A37D-404E-93E0-421C4E06DB1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D5" authorId="10" shapeId="0" xr:uid="{E9F9D5A6-706A-4C60-9A9D-3E04F013C22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6" authorId="11" shapeId="0" xr:uid="{F100EA9D-87E1-4261-BB6B-BBDC71DAE94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7" authorId="12" shapeId="0" xr:uid="{4DDF85CE-5F56-44FC-8504-04DF55CA0E2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8" authorId="13" shapeId="0" xr:uid="{4AA08DEE-9468-403B-84DA-B4E71848E29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Recycling-Industrie; Fallbeispiele für Hochrechnung: n = 2</t>
        </r>
      </text>
    </comment>
    <comment ref="D8" authorId="14" shapeId="0" xr:uid="{36768E8C-A75E-49FD-8134-A67AE851F97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G8" authorId="15" shapeId="0" xr:uid="{3D5AFC60-A394-4B3E-AAC1-A09B896092D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H8" authorId="16" shapeId="0" xr:uid="{0A570BFA-02B9-4ECB-8F92-F7D85479189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D9" authorId="17" shapeId="0" xr:uid="{FC2F993C-CA62-4147-9590-95D9B07BE1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0" authorId="18" shapeId="0" xr:uid="{E0016CF1-9A91-49E1-BE01-2C1FD7FB5B6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N10" authorId="19" shapeId="0" xr:uid="{00000000-0006-0000-15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Lara</t>
        </r>
      </text>
    </comment>
    <comment ref="D11" authorId="20" shapeId="0" xr:uid="{791838BC-5F30-4E94-9AF3-E8F90DF0604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2" authorId="21" shapeId="0" xr:uid="{B40DEBB1-8615-4C86-92DD-797A3120001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3" authorId="22" shapeId="0" xr:uid="{CA537709-0A0D-4EE4-ACD0-D67FCF091BC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4" authorId="23" shapeId="0" xr:uid="{7B251C24-7CC9-4873-AE68-55B6104A52E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15" authorId="24" shapeId="0" xr:uid="{F8DE9911-E9D2-45CD-8938-AE988484801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Fallbeispiele für Hochrechnung: n = 2</t>
        </r>
      </text>
    </comment>
    <comment ref="D15" authorId="25" shapeId="0" xr:uid="{5976597A-677B-44BF-BDFB-FD92873DE3B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G15" authorId="26" shapeId="0" xr:uid="{4AC5E621-505E-479E-AA32-6F1A1A42009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H15" authorId="27" shapeId="0" xr:uid="{1A23B923-CBAC-458C-A07D-8B06BD7F8E8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A16" authorId="28" shapeId="0" xr:uid="{DA5059DB-65DB-4A6E-B76B-91AFF9180B3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Beleuchtung im Gartenbau; Fallbeispiele für Hochrechnung: n = 2</t>
        </r>
      </text>
    </comment>
    <comment ref="D16" authorId="29" shapeId="0" xr:uid="{06F80E9A-F362-4962-8FA4-F3A2611228F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C16" authorId="30" shapeId="0" xr:uid="{AF96A984-A1A3-4DEC-B3E0-A889205CBED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Tage...; Annahme für Fallbeispiel bei 2 Tagen</t>
        </r>
      </text>
    </comment>
    <comment ref="AD16" authorId="31" shapeId="0" xr:uid="{1583A8C4-936D-400B-9362-7012ABE1D90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Erfolgt tatsächlich nachts eine Beleuchtung?! Ist dies nicht schädlich für Pflanzen?</t>
        </r>
      </text>
    </comment>
    <comment ref="AE16" authorId="32" shapeId="0" xr:uid="{38A6B47D-4738-4615-B4B0-4E4E5E45377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innerhalb von 2 Tagen einmal schaltbar</t>
        </r>
      </text>
    </comment>
    <comment ref="A17" authorId="33" shapeId="0" xr:uid="{CF070B4E-C835-4898-A896-A2839AE9D64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Fallbeispiele für Hochrechnung: n = 4</t>
        </r>
      </text>
    </comment>
    <comment ref="D17" authorId="34" shapeId="0" xr:uid="{25D6FDD9-C8BB-4509-95E5-15E6B95AA34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G17" authorId="35" shapeId="0" xr:uid="{C53ED492-2D6C-4728-BE2D-4CB41A0F6BC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H17" authorId="36" shapeId="0" xr:uid="{3BADFFF8-34F5-4370-AD2F-D0F826B176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tc={87FAC640-56F2-4033-B588-A566BBE1139A}</author>
    <author>tc={085364D3-7CFF-4717-BDBF-43D2A01089E4}</author>
    <author>tc={085364D3-7CFF-4718-BDBF-43D2A01089E4}</author>
    <author>tc={B30C8BE7-5968-4CCF-8BB9-2A12F4B801C3}</author>
    <author>tc={19CD1575-8317-4227-B5F4-DA834BE63447}</author>
    <author>tc={1BFB4C6D-6867-441C-9189-60A9B5366CBE}</author>
    <author>tc={B4E0E783-EC0A-4D10-B330-1010A79C5B13}</author>
    <author>tc={26B66002-3AD0-41BF-866F-17FFE4839BB6}</author>
    <author>tc={26B66002-3AD0-41C0-866F-17FFE4839BB6}</author>
    <author>tc={26B66002-3AD0-41C1-866F-17FFE4839BB6}</author>
    <author>tc={26B66002-3AD0-41C2-866F-17FFE4839BB6}</author>
    <author>tc={26B66002-3AD0-41C3-866F-17FFE4839BB6}</author>
    <author>tc={26B66002-3AD0-41C4-866F-17FFE4839BB6}</author>
    <author>tc={26B66002-3AD0-41C5-866F-17FFE4839BB6}</author>
    <author>tc={26B66002-3AD0-41C6-866F-17FFE4839BB6}</author>
    <author>tc={26B66002-3AD0-41C7-866F-17FFE4839BB6}</author>
    <author>tc={26B66002-3AD0-41C8-866F-17FFE4839BB6}</author>
    <author>tc={26B66002-3AD0-41C9-866F-17FFE4839BB6}</author>
    <author>tc={26B66002-3AD0-41CA-866F-17FFE4839BB6}</author>
  </authors>
  <commentList>
    <comment ref="J1" authorId="0" shapeId="0" xr:uid="{00000000-0006-0000-09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Berechnungen s. gesondertes Tabellenblatt; Werte der Industrie für Gesamteuropa!</t>
        </r>
      </text>
    </comment>
    <comment ref="W1" authorId="1" shapeId="0" xr:uid="{00000000-0006-0000-09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Wirkungsgrad sinkt mit Länge der Aktivierung.</t>
        </r>
      </text>
    </comment>
    <comment ref="F2" authorId="0" shapeId="0" xr:uid="{00000000-0006-0000-09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J2" authorId="0" shapeId="0" xr:uid="{00000000-0006-0000-09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6" authorId="0" shapeId="0" xr:uid="{00000000-0006-0000-09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Q6" authorId="2" shapeId="0" xr:uid="{00000000-0006-0000-09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arithmetisches Mittel über Stromverbrauchsanteile von Membran- und Amalgamverfahren</t>
        </r>
      </text>
    </comment>
    <comment ref="R6" authorId="3" shapeId="0" xr:uid="{00000000-0006-0000-09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arithmetisches Mittel über Stromverbrauchsanteile von Membran- und Amalgamverfahren</t>
        </r>
      </text>
    </comment>
    <comment ref="A8" authorId="0" shapeId="0" xr:uid="{00000000-0006-0000-0900-00000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2030 komplette Umstellung auf Membranverfahren</t>
        </r>
      </text>
    </comment>
    <comment ref="J10" authorId="0" shapeId="0" xr:uid="{00000000-0006-0000-09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14" authorId="0" shapeId="0" xr:uid="{00000000-0006-0000-0900-00000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18" authorId="0" shapeId="0" xr:uid="{00000000-0006-0000-09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AD18" authorId="0" shapeId="0" xr:uid="{00000000-0006-0000-0900-00000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4 / 12 / 16 / 36 Stunden</t>
        </r>
      </text>
    </comment>
    <comment ref="J22" authorId="0" shapeId="0" xr:uid="{00000000-0006-0000-09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26" authorId="0" shapeId="0" xr:uid="{00000000-0006-0000-0900-00001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30" authorId="0" shapeId="0" xr:uid="{00000000-0006-0000-0900-00001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34" authorId="0" shapeId="0" xr:uid="{00000000-0006-0000-0900-00001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38" authorId="0" shapeId="0" xr:uid="{00000000-0006-0000-0900-00001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42" authorId="0" shapeId="0" xr:uid="{00000000-0006-0000-0900-00001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R46" authorId="0" shapeId="0" xr:uid="{00000000-0006-0000-0900-00001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S46" authorId="0" shapeId="0" xr:uid="{00000000-0006-0000-09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AD46" authorId="0" shapeId="0" xr:uid="{00000000-0006-0000-09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Angabe S. 175: Vorziehen / Verzögern 2 / 6 Stunden</t>
        </r>
      </text>
    </comment>
    <comment ref="AK46" authorId="0" shapeId="0" xr:uid="{00000000-0006-0000-0900-00001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195: kein Jahreslimit</t>
        </r>
      </text>
    </comment>
    <comment ref="R47" authorId="0" shapeId="0" xr:uid="{00000000-0006-0000-0900-00001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S47" authorId="0" shapeId="0" xr:uid="{00000000-0006-0000-0900-00001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R48" authorId="0" shapeId="0" xr:uid="{00000000-0006-0000-0900-00001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S48" authorId="0" shapeId="0" xr:uid="{00000000-0006-0000-0900-00001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R49" authorId="0" shapeId="0" xr:uid="{00000000-0006-0000-0900-00002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S49" authorId="0" shapeId="0" xr:uid="{00000000-0006-0000-0900-00002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A50" authorId="4" shapeId="0" xr:uid="{00000000-0006-0000-09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S50" authorId="0" shapeId="0" xr:uid="{00000000-0006-0000-0900-00002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AK50" authorId="0" shapeId="0" xr:uid="{00000000-0006-0000-0900-00002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Jahreslimit</t>
        </r>
      </text>
    </comment>
    <comment ref="AQ50" authorId="5" shapeId="0" xr:uid="{00000000-0006-0000-09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3 %</t>
        </r>
      </text>
    </comment>
    <comment ref="S51" authorId="0" shapeId="0" xr:uid="{00000000-0006-0000-0900-00002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S52" authorId="0" shapeId="0" xr:uid="{00000000-0006-0000-0900-00002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S53" authorId="0" shapeId="0" xr:uid="{00000000-0006-0000-0900-00002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A54" authorId="0" shapeId="0" xr:uid="{00000000-0006-0000-0900-00002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J54" authorId="0" shapeId="0" xr:uid="{00000000-0006-0000-0900-00002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Aussage in Anhang A-1: Gesamtverbrauch GHD 2010 136 TWh; lt. Tabelle auf S. 54 Gesamtstrombedarf für gesamtes Untersuchungsgebiet</t>
        </r>
      </text>
    </comment>
    <comment ref="N54" authorId="0" shapeId="0" xr:uid="{00000000-0006-0000-0900-00002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55" authorId="0" shapeId="0" xr:uid="{00000000-0006-0000-0900-00002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6" authorId="0" shapeId="0" xr:uid="{00000000-0006-0000-0900-00002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7" authorId="0" shapeId="0" xr:uid="{00000000-0006-0000-0900-00002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N66" authorId="0" shapeId="0" xr:uid="{00000000-0006-0000-0900-00002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T74" authorId="0" shapeId="0" xr:uid="{00000000-0006-0000-0900-00003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eigene Annahme (Mittelwert)</t>
        </r>
      </text>
    </comment>
    <comment ref="Y74" authorId="0" shapeId="0" xr:uid="{00000000-0006-0000-0900-00003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F74" authorId="0" shapeId="0" xr:uid="{00000000-0006-0000-0900-00003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diskrete Stufen: 4, 8, 12</t>
        </r>
      </text>
    </comment>
    <comment ref="AK74" authorId="0" shapeId="0" xr:uid="{00000000-0006-0000-0900-00003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Jahreslimit</t>
        </r>
      </text>
    </comment>
    <comment ref="Y75" authorId="0" shapeId="0" xr:uid="{00000000-0006-0000-0900-00003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76" authorId="0" shapeId="0" xr:uid="{00000000-0006-0000-0900-00003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77" authorId="0" shapeId="0" xr:uid="{00000000-0006-0000-0900-00003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T78" authorId="0" shapeId="0" xr:uid="{00000000-0006-0000-0900-00003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eigene Annahme (Mittelwert)</t>
        </r>
      </text>
    </comment>
    <comment ref="Y78" authorId="0" shapeId="0" xr:uid="{00000000-0006-0000-0900-00003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79" authorId="0" shapeId="0" xr:uid="{00000000-0006-0000-0900-00003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80" authorId="0" shapeId="0" xr:uid="{00000000-0006-0000-0900-00003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81" authorId="0" shapeId="0" xr:uid="{00000000-0006-0000-0900-00003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J90" authorId="0" shapeId="0" xr:uid="{00000000-0006-0000-0900-00003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Haushaltsstromverbrauch mit ca. 400 TWh/a 2010 lt. S. 55 -&gt; bezogen auf gesamtes Untersuchungsgebiet EU!</t>
        </r>
      </text>
    </comment>
    <comment ref="AQ90" authorId="6" shapeId="0" xr:uid="{00000000-0006-0000-0900-00003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3 %</t>
        </r>
      </text>
    </comment>
    <comment ref="M91" authorId="7" shapeId="0" xr:uid="{00000000-0006-0000-09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Überprüfen; Werte Celina</t>
        </r>
      </text>
    </comment>
    <comment ref="N98" authorId="0" shapeId="0" xr:uid="{00000000-0006-0000-0900-00004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2010 z.T. unplausibel bzw. deutliche Abweichung gg. der Werte aus Scholz et al. 2014</t>
        </r>
      </text>
    </comment>
    <comment ref="P98" authorId="0" shapeId="0" xr:uid="{00000000-0006-0000-0900-00004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GHD 2010 z.T. unplausibel bzw. deutliche Abweichungen gg. der Ergebnisse aus Scholz et al. 2014</t>
        </r>
      </text>
    </comment>
    <comment ref="AB98" authorId="0" shapeId="0" xr:uid="{00000000-0006-0000-0900-00004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bezogen auf einzelne Anwendung?</t>
        </r>
      </text>
    </comment>
    <comment ref="AF98" authorId="8" shapeId="0" xr:uid="{00000000-0006-0000-0900-00004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98" authorId="0" shapeId="0" xr:uid="{00000000-0006-0000-0900-00004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99" authorId="9" shapeId="0" xr:uid="{00000000-0006-0000-09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99" authorId="0" shapeId="0" xr:uid="{00000000-0006-0000-0900-00004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0" authorId="10" shapeId="0" xr:uid="{00000000-0006-0000-0900-00004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0" authorId="0" shapeId="0" xr:uid="{00000000-0006-0000-0900-00004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1" authorId="11" shapeId="0" xr:uid="{00000000-0006-0000-0900-00004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1" authorId="0" shapeId="0" xr:uid="{00000000-0006-0000-0900-00004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N102" authorId="0" shapeId="0" xr:uid="{00000000-0006-0000-0900-00004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F102" authorId="12" shapeId="0" xr:uid="{00000000-0006-0000-0900-00004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2" authorId="0" shapeId="0" xr:uid="{00000000-0006-0000-0900-00005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3" authorId="13" shapeId="0" xr:uid="{00000000-0006-0000-0900-00005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3" authorId="0" shapeId="0" xr:uid="{00000000-0006-0000-0900-00005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4" authorId="14" shapeId="0" xr:uid="{00000000-0006-0000-0900-00005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4" authorId="0" shapeId="0" xr:uid="{00000000-0006-0000-0900-00005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5" authorId="15" shapeId="0" xr:uid="{00000000-0006-0000-0900-00005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5" authorId="0" shapeId="0" xr:uid="{00000000-0006-0000-0900-00005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N106" authorId="0" shapeId="0" xr:uid="{00000000-0006-0000-0900-00005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F106" authorId="16" shapeId="0" xr:uid="{00000000-0006-0000-0900-00005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6" authorId="0" shapeId="0" xr:uid="{00000000-0006-0000-0900-00005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7" authorId="17" shapeId="0" xr:uid="{00000000-0006-0000-0900-00005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7" authorId="0" shapeId="0" xr:uid="{00000000-0006-0000-0900-00005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8" authorId="18" shapeId="0" xr:uid="{00000000-0006-0000-0900-00005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8" authorId="0" shapeId="0" xr:uid="{00000000-0006-0000-0900-00005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9" authorId="19" shapeId="0" xr:uid="{00000000-0006-0000-0900-00005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9" authorId="0" shapeId="0" xr:uid="{00000000-0006-0000-0900-00005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Y114" authorId="0" shapeId="0" xr:uid="{00000000-0006-0000-0900-00006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15" authorId="0" shapeId="0" xr:uid="{00000000-0006-0000-0900-00006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16" authorId="0" shapeId="0" xr:uid="{00000000-0006-0000-0900-00006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17" authorId="0" shapeId="0" xr:uid="{00000000-0006-0000-0900-00006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18" authorId="0" shapeId="0" xr:uid="{00000000-0006-0000-0900-00006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19" authorId="0" shapeId="0" xr:uid="{00000000-0006-0000-0900-00006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20" authorId="0" shapeId="0" xr:uid="{00000000-0006-0000-0900-00006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21" authorId="0" shapeId="0" xr:uid="{00000000-0006-0000-0900-00006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tc={885E4A94-FB6A-41DE-B30D-9B9547517552}</author>
    <author>tc={67001094-AC4E-4496-B794-54322D685FA1}</author>
    <author>tc={A523BF2E-E4AA-407F-9BB4-C51E938A9162}</author>
    <author>tc={D1269D35-AE27-4571-AEE7-DE054EEEB92E}</author>
    <author>tc={E31ADA97-82D8-4606-96A3-FC11B193DD12}</author>
  </authors>
  <commentList>
    <comment ref="M1" authorId="0" shapeId="0" xr:uid="{885E4A94-FB6A-41DE-B30D-9B954751755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scheinen unplausibel; ggf. andere Interpretation des flexiblen Anteils / Anteils an den Energiemärkten</t>
        </r>
      </text>
    </comment>
    <comment ref="B20" authorId="1" shapeId="0" xr:uid="{67001094-AC4E-4496-B794-54322D685FA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und Haushalte!</t>
        </r>
      </text>
    </comment>
    <comment ref="B21" authorId="2" shapeId="0" xr:uid="{A523BF2E-E4AA-407F-9BB4-C51E938A916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und Haushalte!</t>
        </r>
      </text>
    </comment>
    <comment ref="A22" authorId="3" shapeId="0" xr:uid="{D1269D35-AE27-4571-AEE7-DE054EEEB92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Gesamtheit aller Industrieprozesse</t>
        </r>
      </text>
    </comment>
    <comment ref="A23" authorId="4" shapeId="0" xr:uid="{E31ADA97-82D8-4606-96A3-FC11B193DD1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Gesamtheit aller Industrieprozesse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tc={253CB2AB-FA7A-47C9-ACB8-E01B36106653}</author>
    <author>tc={3E208A53-E842-47B0-B1A6-BEBA4D3AEF51}</author>
    <author>tc={2A946C5C-A7E6-462B-87B4-BE6F256A9450}</author>
  </authors>
  <commentList>
    <comment ref="B1" authorId="0" shapeId="0" xr:uid="{253CB2AB-FA7A-47C9-ACB8-E01B3610665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G1" authorId="1" shapeId="0" xr:uid="{3E208A53-E842-47B0-B1A6-BEBA4D3AEF5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Spezifizierung, daher Annahme, dass durchschnittliche Potenziale ausgewiesen</t>
        </r>
      </text>
    </comment>
    <comment ref="H1" authorId="2" shapeId="0" xr:uid="{2A946C5C-A7E6-462B-87B4-BE6F256A945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Spezifizierung, daher Annahme, dass durchschnittliche Werte ausgewiesen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tc={CB5E755F-AF9C-4DAA-9177-59F730B36FD1}</author>
    <author>tc={69437706-E979-4FB6-BB3C-EB2D9ECD0FB7}</author>
    <author>tc={6409B205-9A19-4EA8-AA61-EEC3CEA4C07F}</author>
    <author>tc={8FCA4682-7310-41E2-8636-94041655F8C4}</author>
    <author>tc={05F84056-7F2F-493B-8AA6-0B3215129AC6}</author>
    <author>tc={B6A389C3-BBD2-45B5-99DD-F7078C62EC11}</author>
    <author>tc={5F4ED064-43D6-404E-BE2A-73994E7F6479}</author>
    <author>tc={0696EF0F-FE16-49F6-AEF7-25BC6EBFC74D}</author>
    <author>tc={9A0DEA94-BB06-49EB-997C-F207749CC8FE}</author>
    <author>tc={E1A9EB2E-AE2E-4835-B6B9-C81B71FF638C}</author>
    <author>tc={14F7FD4E-E6C0-4467-8D55-6EC233EBA815}</author>
    <author>tc={51A1D957-53C7-405E-8C16-11C79DBBBC27}</author>
    <author>tc={BA41DB57-77BF-4891-B726-BFAF3E6D9AA8}</author>
    <author>tc={E0B66563-4F24-40B3-A346-24F1F5E73B97}</author>
    <author>tc={3B60D020-86E7-4A07-BE56-8F07DA322E62}</author>
    <author>tc={9A712665-7E30-4086-BCCD-65F5F39FCE8A}</author>
    <author>tc={166AB3CD-3AA9-4B13-B2CC-709B138CEBB2}</author>
    <author>tc={8D2688E9-289E-4ABF-82E7-FA296F0FA476}</author>
    <author>tc={241E3776-3ABF-474E-8D98-46F8ABBED4B3}</author>
    <author>tc={C1C5A97C-19E1-4113-AAE9-8F97EF60CCC5}</author>
    <author>tc={04336AA6-67EB-4446-9343-A1FA53A674B0}</author>
    <author>tc={0207F2BB-C7FA-4CAE-9756-9E252FBDB838}</author>
    <author>tc={4508892D-E1C5-4124-A383-DC28C461D2F0}</author>
    <author>tc={4FB65C6F-2931-482F-997A-8B3586AC7E81}</author>
    <author>tc={FB4BB279-A819-480F-ACC1-89842F953617}</author>
    <author>tc={1DA0D4E2-AE2A-44FF-B659-4A6D371C2BDC}</author>
    <author>tc={4E1E4F47-CAF7-4A92-B41B-F63126AEE779}</author>
    <author>tc={4F399106-F420-449F-A9AD-EDF6649D8E15}</author>
    <author>tc={880A00B7-5B16-40F5-B814-A2CC483594B6}</author>
    <author>tc={FAAC014A-B97F-42D8-AAC8-4559F54259CA}</author>
    <author>tc={D28FD05D-2F10-4C5F-81B3-D5DB1B8C292B}</author>
    <author>tc={71C967DF-0DE2-482B-932F-06B0D48AA2CD}</author>
    <author>tc={14440FB0-1DDC-4692-8CB4-5FBBB70A1B0F}</author>
    <author>tc={92F0A39B-0AA8-4A6A-90E5-173AFEC9B410}</author>
    <author>tc={FAD28DF2-1480-44A6-93F9-E37194264D8B}</author>
    <author>tc={79354FF0-EA1B-4A5A-8DD3-B6D9145FF845}</author>
    <author>tc={B6E7B2D1-C1A8-4842-9563-8F43D021EED6}</author>
    <author>tc={4E64D677-A9A3-40AB-B7F9-EF708AE2268E}</author>
    <author>tc={FD515933-2B32-4A00-9CC3-15E0CFD54C7A}</author>
    <author>tc={1073DAB8-6914-4A02-AC3B-6DA75D918D49}</author>
    <author>tc={962CC2FC-B47A-41D1-9F50-AD8561F7129E}</author>
    <author>tc={4678BD87-FE9F-4620-A2C8-7BF2C0A758DB}</author>
  </authors>
  <commentList>
    <comment ref="O2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AF2" authorId="1" shapeId="0" xr:uid="{00000000-0006-0000-11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Kosten resultierend aus Wirkungsgradeinbußen</t>
        </r>
      </text>
    </comment>
    <comment ref="O3" authorId="2" shapeId="0" xr:uid="{00000000-0006-0000-11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4" authorId="3" shapeId="0" xr:uid="{00000000-0006-0000-11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5" authorId="4" shapeId="0" xr:uid="{00000000-0006-0000-11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6" authorId="5" shapeId="0" xr:uid="{00000000-0006-0000-11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AG6" authorId="6" shapeId="0" xr:uid="{00000000-0006-0000-11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Kosten resultierend aus Wirkungsgradeinbußen; nur für den Abruf negativer Leistung</t>
        </r>
      </text>
    </comment>
    <comment ref="O7" authorId="7" shapeId="0" xr:uid="{00000000-0006-0000-11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8" authorId="8" shapeId="0" xr:uid="{00000000-0006-0000-11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9" authorId="9" shapeId="0" xr:uid="{00000000-0006-0000-11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0" authorId="10" shapeId="0" xr:uid="{00000000-0006-0000-11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1" authorId="11" shapeId="0" xr:uid="{00000000-0006-0000-11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2" authorId="12" shapeId="0" xr:uid="{00000000-0006-0000-11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3" authorId="13" shapeId="0" xr:uid="{00000000-0006-0000-11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4" authorId="14" shapeId="0" xr:uid="{00000000-0006-0000-11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5" authorId="15" shapeId="0" xr:uid="{00000000-0006-0000-11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6" authorId="16" shapeId="0" xr:uid="{00000000-0006-0000-11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7" authorId="17" shapeId="0" xr:uid="{00000000-0006-0000-11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8" authorId="18" shapeId="0" xr:uid="{00000000-0006-0000-11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9" authorId="19" shapeId="0" xr:uid="{00000000-0006-0000-11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0" authorId="20" shapeId="0" xr:uid="{00000000-0006-0000-11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1" authorId="21" shapeId="0" xr:uid="{00000000-0006-0000-11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2" authorId="22" shapeId="0" xr:uid="{00000000-0006-0000-11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3" authorId="23" shapeId="0" xr:uid="{00000000-0006-0000-11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4" authorId="24" shapeId="0" xr:uid="{00000000-0006-0000-11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5" authorId="25" shapeId="0" xr:uid="{00000000-0006-0000-11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H26" authorId="26" shapeId="0" xr:uid="{4E1E4F47-CAF7-4A92-B41B-F63126AEE77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J26" authorId="27" shapeId="0" xr:uid="{4F399106-F420-449F-A9AD-EDF6649D8E1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A27" authorId="28" shapeId="0" xr:uid="{00000000-0006-0000-11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H27" authorId="29" shapeId="0" xr:uid="{FAAC014A-B97F-42D8-AAC8-4559F54259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J27" authorId="30" shapeId="0" xr:uid="{D28FD05D-2F10-4C5F-81B3-D5DB1B8C292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R27" authorId="31" shapeId="0" xr:uid="{00000000-0006-0000-11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wenige Minuten (S. 95)</t>
        </r>
      </text>
    </comment>
    <comment ref="H28" authorId="32" shapeId="0" xr:uid="{14440FB0-1DDC-4692-8CB4-5FBBB70A1B0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J28" authorId="33" shapeId="0" xr:uid="{92F0A39B-0AA8-4A6A-90E5-173AFEC9B41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A29" authorId="34" shapeId="0" xr:uid="{00000000-0006-0000-11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Druckluft Sonderfall; eigentlich ungeeignet (S. 97)</t>
        </r>
      </text>
    </comment>
    <comment ref="H29" authorId="35" shapeId="0" xr:uid="{79354FF0-EA1B-4A5A-8DD3-B6D9145FF84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J29" authorId="36" shapeId="0" xr:uid="{B6E7B2D1-C1A8-4842-9563-8F43D021EED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H30" authorId="37" shapeId="0" xr:uid="{4E64D677-A9A3-40AB-B7F9-EF708AE2268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J30" authorId="38" shapeId="0" xr:uid="{FD515933-2B32-4A00-9CC3-15E0CFD54C7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W30" authorId="39" shapeId="0" xr:uid="{00000000-0006-0000-11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1 Stunde; bei Vorhandensein eines Speichers (S. 96)</t>
        </r>
      </text>
    </comment>
    <comment ref="AE31" authorId="40" shapeId="0" xr:uid="{00000000-0006-0000-1100-00002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Leistungen &gt; 500 kW</t>
        </r>
      </text>
    </comment>
    <comment ref="AJ31" authorId="41" shapeId="0" xr:uid="{00000000-0006-0000-11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 bei Leistungen &lt; 500 kW</t>
        </r>
      </text>
    </comment>
  </commentList>
</comments>
</file>

<file path=xl/sharedStrings.xml><?xml version="1.0" encoding="utf-8"?>
<sst xmlns="http://schemas.openxmlformats.org/spreadsheetml/2006/main" count="20174" uniqueCount="1345">
  <si>
    <t>Prozess</t>
  </si>
  <si>
    <t>Fundstelle Potenzial pos.</t>
  </si>
  <si>
    <t>Fundstelle Potenzial neg.</t>
  </si>
  <si>
    <t>Verschiebedauer (h)</t>
  </si>
  <si>
    <t>max. Abrufhäufigkeit pro Woche</t>
  </si>
  <si>
    <t>Fundstelle Schaltdauer</t>
  </si>
  <si>
    <t>Fundstelle Verschiebedauer</t>
  </si>
  <si>
    <t>Fundstelle max. Abrufhäufigkeit</t>
  </si>
  <si>
    <t>Jahr</t>
  </si>
  <si>
    <t>Aktivierungsdauer (h)</t>
  </si>
  <si>
    <t>Regenerationsdauer (h)</t>
  </si>
  <si>
    <t>Investitionsausgaben €_2018/kW</t>
  </si>
  <si>
    <t>Erscheinungsjahr</t>
  </si>
  <si>
    <t>€ Indexwert (VPI)</t>
  </si>
  <si>
    <t>Zeitverfügbarkeit?</t>
  </si>
  <si>
    <t>Fundstelle Regenerationsdauer</t>
  </si>
  <si>
    <t>Fundstelle Zeitverfügbarkeit</t>
  </si>
  <si>
    <t>Fundstelle Invest</t>
  </si>
  <si>
    <t>Fundstelle var. Kosten</t>
  </si>
  <si>
    <t>Fundstelle fixe Kosten</t>
  </si>
  <si>
    <t>Bemerkungen</t>
  </si>
  <si>
    <t>Fundstelle Bemerkungen</t>
  </si>
  <si>
    <t>Stromverbrauch</t>
  </si>
  <si>
    <t>Vollbenutzungsstunden</t>
  </si>
  <si>
    <t>Mindestleistung</t>
  </si>
  <si>
    <t>flexible Leistung</t>
  </si>
  <si>
    <t>Quelle</t>
  </si>
  <si>
    <t>Chlor-Alkali-Elektrolyse</t>
  </si>
  <si>
    <t>Verfahrenstyp</t>
  </si>
  <si>
    <t>Amalgam</t>
  </si>
  <si>
    <t>Diaphragma</t>
  </si>
  <si>
    <t>Membran</t>
  </si>
  <si>
    <t>Gesamt</t>
  </si>
  <si>
    <t>53-55</t>
  </si>
  <si>
    <t>durchschnittliche Auslastung</t>
  </si>
  <si>
    <t>Stromverbrauch (TWh)</t>
  </si>
  <si>
    <t>Nennleistung (MW)</t>
  </si>
  <si>
    <t>durchschnittliche Leistung (MW)</t>
  </si>
  <si>
    <t>flexible Leistung (MW)</t>
  </si>
  <si>
    <t>Luftzerlegung</t>
  </si>
  <si>
    <t>56-57</t>
  </si>
  <si>
    <t>flexible Leistung min (MW)</t>
  </si>
  <si>
    <t>flexible Leistung max (MW)</t>
  </si>
  <si>
    <t>Aluminiumherstellung</t>
  </si>
  <si>
    <t>Primäraluminium</t>
  </si>
  <si>
    <t>Nennleistung min (MW)</t>
  </si>
  <si>
    <t>Nennleistung max (MW)</t>
  </si>
  <si>
    <t>Potenzial pos. min MW</t>
  </si>
  <si>
    <t>Potenzial pos. max MW</t>
  </si>
  <si>
    <t>eigene Anmerkung</t>
  </si>
  <si>
    <t>Mittelwertbildung Potenzial pos.</t>
  </si>
  <si>
    <t>Primäraluminiumelektrolyse</t>
  </si>
  <si>
    <t>Mindestauslastung</t>
  </si>
  <si>
    <t>Mindestleistung MW</t>
  </si>
  <si>
    <t>Maximalleistung MW</t>
  </si>
  <si>
    <t>installierte Leistung MW</t>
  </si>
  <si>
    <t>Fundstelle Mindestleistung</t>
  </si>
  <si>
    <t>Fundstelle Maximalleistung</t>
  </si>
  <si>
    <t>Fundstelle installierte Leistung</t>
  </si>
  <si>
    <t>Kommentar</t>
  </si>
  <si>
    <t>Diaphragma-Verfahren für LMM ungeeignet</t>
  </si>
  <si>
    <t>53-55, 69</t>
  </si>
  <si>
    <t>56, 69</t>
  </si>
  <si>
    <t>57-58, 69</t>
  </si>
  <si>
    <t>53-55, eigene Berechnung</t>
  </si>
  <si>
    <t>56, eigene Berechnung</t>
  </si>
  <si>
    <t>56-67, 69</t>
  </si>
  <si>
    <t>56-57, eigene Berechnung</t>
  </si>
  <si>
    <t>57-58, eigene Berechnung</t>
  </si>
  <si>
    <t>Primärkupferherstellung</t>
  </si>
  <si>
    <t>Annahme</t>
  </si>
  <si>
    <t>Analog zu Aluminiumindustrie angenommen</t>
  </si>
  <si>
    <t>58, eigene Berechnung</t>
  </si>
  <si>
    <t>Zinkelektrolyse</t>
  </si>
  <si>
    <t>Holzstoffherstellung</t>
  </si>
  <si>
    <t>59-62, 69</t>
  </si>
  <si>
    <t>59-62, eigene Berechnung</t>
  </si>
  <si>
    <t>Altpapieraufbereitung</t>
  </si>
  <si>
    <t>Papiermaschinen</t>
  </si>
  <si>
    <t>Steichmaschinen und Kalander</t>
  </si>
  <si>
    <t>nur kurzfristig verfügbar</t>
  </si>
  <si>
    <t>Elektrostahlherstellung</t>
  </si>
  <si>
    <t>62-64, 69</t>
  </si>
  <si>
    <t>62-64, eigene Berechnung</t>
  </si>
  <si>
    <t>flexibilisierbarer Anteil</t>
  </si>
  <si>
    <t>64-66, 69</t>
  </si>
  <si>
    <t>64-66, eigene Berechnung und Annahmen</t>
  </si>
  <si>
    <t>leichtes Absinken des Potenzials wegen steigender Effizienz</t>
  </si>
  <si>
    <t>QST Kühlung (Ernährungsindustrie)</t>
  </si>
  <si>
    <t>im Sommer deutlich höher als im Winter</t>
  </si>
  <si>
    <t>67, 69</t>
  </si>
  <si>
    <t>67, eigene Berechnungen</t>
  </si>
  <si>
    <t>59-62</t>
  </si>
  <si>
    <t>67, eigene Annahme</t>
  </si>
  <si>
    <t>ausgewiesenes Pot. pos. MW (falls abweichend)</t>
  </si>
  <si>
    <t>Fundstelle Aktivierungsdauer</t>
  </si>
  <si>
    <t>max. Abrufhäufigkeit pro Jahr</t>
  </si>
  <si>
    <t>Prozesskälte Lebensmittelindustrie</t>
  </si>
  <si>
    <t>470 MW durchschnittlich Verfügbar bei 16 h/d Betrieb</t>
  </si>
  <si>
    <t>Prozesskälte sonstige</t>
  </si>
  <si>
    <t>Klimatisierung Bürogebäude</t>
  </si>
  <si>
    <t>Klimatisierung Einzelhandel</t>
  </si>
  <si>
    <t>Klimatisierung Hotelgebäude</t>
  </si>
  <si>
    <t>Klimatisierung Gastronomie</t>
  </si>
  <si>
    <t>Funstelle flexibierbarer Anteil</t>
  </si>
  <si>
    <t>69, eigene Berechnung</t>
  </si>
  <si>
    <t>71-73, 79</t>
  </si>
  <si>
    <t>71-73, eigene Berechnungen</t>
  </si>
  <si>
    <t>Anstieg des Potenzials um ca. 1/3 bis 2020 (625 MW/470 MW durchschnittlich)</t>
  </si>
  <si>
    <t>73-74, 79</t>
  </si>
  <si>
    <t>73-74, eigene Berechnungen</t>
  </si>
  <si>
    <t>79, eigene Berechnungen</t>
  </si>
  <si>
    <t>keine expliziten Angaben im Text</t>
  </si>
  <si>
    <t>Durchschnittliche Leistung MW</t>
  </si>
  <si>
    <t>Fundstelle durchschnittliche Leistung</t>
  </si>
  <si>
    <t>Werte für 2020 linear interpoliert mit Daten von S. 77</t>
  </si>
  <si>
    <t>74-77, 79</t>
  </si>
  <si>
    <t>74-77, eigene Berechnungen</t>
  </si>
  <si>
    <t>77, 79</t>
  </si>
  <si>
    <t>77, eigene Berechnungen</t>
  </si>
  <si>
    <t>Maximalauslastung</t>
  </si>
  <si>
    <t>deutlicher Anstieg bis 2030 angenommen (S. 77)</t>
  </si>
  <si>
    <t>78, 79</t>
  </si>
  <si>
    <t>78, eigene Berechnungen</t>
  </si>
  <si>
    <t>Nostromsysteme / Back-Up-Server / Mobilfunkstationen</t>
  </si>
  <si>
    <t>78-79</t>
  </si>
  <si>
    <t>Industrie</t>
  </si>
  <si>
    <t>GHD</t>
  </si>
  <si>
    <t>Sektorenzuordnung</t>
  </si>
  <si>
    <t>Waschmaschinen</t>
  </si>
  <si>
    <t>Trockner</t>
  </si>
  <si>
    <t>Spülmaschinen</t>
  </si>
  <si>
    <t>Kühlschrank</t>
  </si>
  <si>
    <t>Gefriergerät</t>
  </si>
  <si>
    <t>Wärmepumpen</t>
  </si>
  <si>
    <t>Warmwasser Haushalte</t>
  </si>
  <si>
    <t>Warmwasser GHD</t>
  </si>
  <si>
    <t>Nachtspeicher GHD</t>
  </si>
  <si>
    <t>Nachtspeicher Haushalte</t>
  </si>
  <si>
    <t>Haushalte</t>
  </si>
  <si>
    <t>85, eigene Berechnungen</t>
  </si>
  <si>
    <t>82-83</t>
  </si>
  <si>
    <t>Regelpotenzial je Haushalt für Kühlanwendungen und Weiße Ware insgesamt 141 W (Sommer 122 W, Winter 160 W) -&gt; 5,5 GW in Summe (S. 82-83)</t>
  </si>
  <si>
    <t>Annahme für eigene Hochrechnung: 39 Mio. Haushalte</t>
  </si>
  <si>
    <t>Investitionsausgaben je Anschlusspunkt (€_2018)</t>
  </si>
  <si>
    <t>Fundstelle Investition je Anschlusspunkt</t>
  </si>
  <si>
    <t>Potenzial pos. MW Durchschnitt</t>
  </si>
  <si>
    <t>Potenzial neg. min MW2</t>
  </si>
  <si>
    <t>Potenzial neg. MW Durchschnitt4</t>
  </si>
  <si>
    <t>stark jahreszeiten und temperaturabhängig; faktisch nur im Winter</t>
  </si>
  <si>
    <t>Umwälzpumpen Haushalte</t>
  </si>
  <si>
    <t>nur Abschaltung; nur Während Heizperiode</t>
  </si>
  <si>
    <t>415, eigene Berechnungen</t>
  </si>
  <si>
    <t>Potenzial neg. min MW</t>
  </si>
  <si>
    <t>Potenzial neg. max MW</t>
  </si>
  <si>
    <t>Potenzial neg. MW Durchschnitt</t>
  </si>
  <si>
    <t>Schaltdauer pos. (h)</t>
  </si>
  <si>
    <t>Schaltdauer neg. (h)</t>
  </si>
  <si>
    <t>Lastverschiebung</t>
  </si>
  <si>
    <t>Lastverzicht</t>
  </si>
  <si>
    <t>binär</t>
  </si>
  <si>
    <t>Fundstelle Lastverschiebung</t>
  </si>
  <si>
    <t>Fundstelle Lastverzicht</t>
  </si>
  <si>
    <t>417-418</t>
  </si>
  <si>
    <t>Weiße Ware (ohne Kühlung) gesamt</t>
  </si>
  <si>
    <t>Maximum 11-14 Uhr</t>
  </si>
  <si>
    <t>Betriebsdauer mit zwei Stunden angenommen</t>
  </si>
  <si>
    <t>Roh- und Zementmühlen</t>
  </si>
  <si>
    <t>nachts Potenzial zur Kapazitätsreduktion</t>
  </si>
  <si>
    <t>nachts Reduktionspotenzial</t>
  </si>
  <si>
    <t>Probleme mit Lagerbarkeit von Chlor; Rückgang Stromintensität wegen Umstellung auf Membranverfahren</t>
  </si>
  <si>
    <t>bei Abschaltzeit von mehr als 30 Minuten Prozess neu zu beginnen</t>
  </si>
  <si>
    <t>Stoffaufbereitung Holzstoff</t>
  </si>
  <si>
    <t>wegen geringem Leistungsbedarf nicht weiter betrachtet (S. 424)</t>
  </si>
  <si>
    <t>wegen langer Aktivierungszeit von 12 Stunden ausgeschlossen (S. 424)</t>
  </si>
  <si>
    <t>422, 425</t>
  </si>
  <si>
    <t>423, 425</t>
  </si>
  <si>
    <t>424, 425</t>
  </si>
  <si>
    <t>414, 427</t>
  </si>
  <si>
    <t>Annahme: identisch wie 2010</t>
  </si>
  <si>
    <t>Annahme: Hochskalierung über Wärmepumpenzahl</t>
  </si>
  <si>
    <t>max. Investitionsausgaben €_2018/kW</t>
  </si>
  <si>
    <t>min. Investitionsausgaben €_2018/kW</t>
  </si>
  <si>
    <t>Ernährungsindustrie (gesamt)</t>
  </si>
  <si>
    <t>Chemieindustrie (gesamt)</t>
  </si>
  <si>
    <t>Papierindustrie (gesamt)</t>
  </si>
  <si>
    <t>Metallverarbeitung (gesamt)</t>
  </si>
  <si>
    <t>Kfz-Industrie (gesamt)</t>
  </si>
  <si>
    <t>Maschinenbau (gesamt)</t>
  </si>
  <si>
    <t>Glasindustrie (gesamt)</t>
  </si>
  <si>
    <t>restliche Industrie (gesamt)</t>
  </si>
  <si>
    <t>Werte für Lastabschaltung von 1 Stunde; alternativ 4 Stunden, 15 min und 5 min dargestellt</t>
  </si>
  <si>
    <t>Werte abgelesen aus Abb. Auf S. 15</t>
  </si>
  <si>
    <t>Werte pos. Potenzial aus Tabelle (S. 425) in MW</t>
  </si>
  <si>
    <t>Industrieprozess</t>
  </si>
  <si>
    <t>Spezifizierung</t>
  </si>
  <si>
    <t>Summe</t>
  </si>
  <si>
    <t>Membranverfahren</t>
  </si>
  <si>
    <t>Spezifizierung Verfahren</t>
  </si>
  <si>
    <t>Diaphragmaverfahren</t>
  </si>
  <si>
    <t>Amalgamverfahren</t>
  </si>
  <si>
    <t>423, 425, 460</t>
  </si>
  <si>
    <t>422, 425, 460</t>
  </si>
  <si>
    <t>424, 425, 460</t>
  </si>
  <si>
    <t>424, 460</t>
  </si>
  <si>
    <t>davon größter Anteil Refiner; konfligierende Angabe auf S. 460: bis zu 24 h Verschiebung</t>
  </si>
  <si>
    <t>Prozesskälte gesamt</t>
  </si>
  <si>
    <t>Prozesswärme gesamt</t>
  </si>
  <si>
    <t>Belüftung gesamt</t>
  </si>
  <si>
    <t>Klimakälte gesamt</t>
  </si>
  <si>
    <t>Heizsysteme gesamt</t>
  </si>
  <si>
    <t>Verschiebedauer min. (h)</t>
  </si>
  <si>
    <t>Verschiebedauer max (h)</t>
  </si>
  <si>
    <t>nur im Sommer</t>
  </si>
  <si>
    <t>Werte pos. Potenzial aus Tabelle (S. 525) in MW</t>
  </si>
  <si>
    <t>422, 425, 460, 525</t>
  </si>
  <si>
    <t>423, 425, 460, 525</t>
  </si>
  <si>
    <t>423. 425, 460, 525</t>
  </si>
  <si>
    <t>424, 425, 460, 525</t>
  </si>
  <si>
    <t>Druckluft gesamt</t>
  </si>
  <si>
    <t>überwiegend in der Lebensmittelindustrie; 572 MW pos. Potenzial aus chemischer Industrie nur für Lastabwurf</t>
  </si>
  <si>
    <t>Kläranlagen</t>
  </si>
  <si>
    <t>Schaltdauer pos. max (h)</t>
  </si>
  <si>
    <t>Schaltdauer pos. Min (h)</t>
  </si>
  <si>
    <t>Schaltdauer neg min (h)</t>
  </si>
  <si>
    <t>Schaltdauer neg. max (h)</t>
  </si>
  <si>
    <t>427, 530</t>
  </si>
  <si>
    <t>variable Kosten €_2018/MWh</t>
  </si>
  <si>
    <t>var. Kosten min. €_2018/MWh</t>
  </si>
  <si>
    <t>var. Kosten max. €_2018/MWh</t>
  </si>
  <si>
    <t>427, 532</t>
  </si>
  <si>
    <t>Lastverschiebung durch hihe Auslastung erschwert</t>
  </si>
  <si>
    <t>Durchschnittsauslastung</t>
  </si>
  <si>
    <t>Fundstelle Durchschnittsauslastung</t>
  </si>
  <si>
    <t>hohe variable Kosten wegen Verschiebung des Prozesses in Nachtzeiten (Personalkosten)</t>
  </si>
  <si>
    <t>Kürzel</t>
  </si>
  <si>
    <t>Kurzbeleg</t>
  </si>
  <si>
    <t>Titel</t>
  </si>
  <si>
    <t>Klo09</t>
  </si>
  <si>
    <t>Mol10</t>
  </si>
  <si>
    <t>Molly et al. 2010</t>
  </si>
  <si>
    <t>Roo10</t>
  </si>
  <si>
    <t>Roon und Gobmaier 2010</t>
  </si>
  <si>
    <t>Pau11</t>
  </si>
  <si>
    <t>Paulus und Borggrefe 2011</t>
  </si>
  <si>
    <t>Ape12</t>
  </si>
  <si>
    <t>Apel et al. 2012</t>
  </si>
  <si>
    <t>dena-Netzstudie II. Integration erneuerbarer Energien in die deutsche Stromversorgung im Zeitraum 2015 – 2020 mit Ausblick 2025</t>
  </si>
  <si>
    <t>Demand Response in der Industrie - Status und Potenziale in Deutschland</t>
  </si>
  <si>
    <t>The potential of demand-side management in energy-intensive industries for electricity markets in Germany</t>
  </si>
  <si>
    <t>Demand Side Integration - Lastverschiebungspotenziale in Deutschland</t>
  </si>
  <si>
    <t>Arbeitspaket Funktionsfähigkeit EOM &amp; Impact-Analyse Kapazitätsmechanismen</t>
  </si>
  <si>
    <t>Potentiale regelbarer Lasten in einem Energieversorgungssystem mit wachsendem Anteil erneuerbarer Energien</t>
  </si>
  <si>
    <t>Demand-Side Management im Strommarkt - Technologiesteckbrief zur Analyse "Flexibilitätskonzepte für die Stromversorgung 2050"</t>
  </si>
  <si>
    <t>Verbundforschungsvorhaben Merit Order der Energiespeicherung im Jahr 2030, Teil 2: Technoökonomische Analyse Funktionaler Energiespeicher</t>
  </si>
  <si>
    <t>Zeitlich und regional aufgelöstes industrielles Lastflexibilisierungs-potenzial als Beitrag zur Integration Erneuerbarer Energien</t>
  </si>
  <si>
    <t>Analyse von Demand Side Integration im Hinblick auf eine effiziente und umweltfreundliche Energieversorgung</t>
  </si>
  <si>
    <t>r2b 2014</t>
  </si>
  <si>
    <t>Langrock et al. 2015</t>
  </si>
  <si>
    <t>Styczynski und Sauer 2015
(Elsner et al. 2015)</t>
  </si>
  <si>
    <t>Pellinger und Schmid 2016</t>
  </si>
  <si>
    <t>Gruber 2017</t>
  </si>
  <si>
    <t>Steurer 2017</t>
  </si>
  <si>
    <t>r2b14</t>
  </si>
  <si>
    <t>Klobasa 2007 / 2009</t>
  </si>
  <si>
    <t>Gil15</t>
  </si>
  <si>
    <t>Gru17</t>
  </si>
  <si>
    <t>Ste17</t>
  </si>
  <si>
    <t>Lan15</t>
  </si>
  <si>
    <t>Pel16</t>
  </si>
  <si>
    <t>Sty15</t>
  </si>
  <si>
    <t>Werte eingepflegt</t>
  </si>
  <si>
    <t>Enscheidung</t>
  </si>
  <si>
    <t>ja</t>
  </si>
  <si>
    <t>nein</t>
  </si>
  <si>
    <t>Dynamische Simulation eines Lastmanagements und Integration von Windenergie in ein Elektrizitätsnetz auf Landesebene unter regelungs- technischen Kostengesichtspunkten</t>
  </si>
  <si>
    <t>teils</t>
  </si>
  <si>
    <t>Kupfer- und Zinkelektrolyse</t>
  </si>
  <si>
    <t>Lastabwurf zur Blackout-Prävention</t>
  </si>
  <si>
    <t>Potenzial pos. Lastverschiebung MW</t>
  </si>
  <si>
    <t>Potenzial pos. Literatur MW</t>
  </si>
  <si>
    <t>Potenzial neg. Lastverschiebung MW</t>
  </si>
  <si>
    <t>Potenzial neg. Literatur MW</t>
  </si>
  <si>
    <t>Geschirrspüler</t>
  </si>
  <si>
    <t>Kühl- / Gefrierkombination</t>
  </si>
  <si>
    <t>Potenzial pos. Sommer MW</t>
  </si>
  <si>
    <t>Potenzial pos. Winter MW</t>
  </si>
  <si>
    <t>Potenzial neg. Sommer MW</t>
  </si>
  <si>
    <t>Potenzial neg. Winter MW</t>
  </si>
  <si>
    <t>Büros / Textilbetriebe gesamt</t>
  </si>
  <si>
    <t>Handel gesamt</t>
  </si>
  <si>
    <t>Gastgewerbe gesamt</t>
  </si>
  <si>
    <t>Landwirtschaft gesamt</t>
  </si>
  <si>
    <t>Gartenbau gesamt</t>
  </si>
  <si>
    <t>Bäder gesamt</t>
  </si>
  <si>
    <t>Wäschereien gesamt</t>
  </si>
  <si>
    <t>produzierendes Gewerge gesamt</t>
  </si>
  <si>
    <t>Baugewerbe gesamt</t>
  </si>
  <si>
    <t>97-98</t>
  </si>
  <si>
    <t>37, 112</t>
  </si>
  <si>
    <t>Bandlast, aber Elektrolyseöfen pro Tag ca. 2-3 Minuten weggeschaltet; Lastabwurf höchstens alle drei Tage; Lastreduktion auf Teillast einmal pro Tag</t>
  </si>
  <si>
    <t>41, 112</t>
  </si>
  <si>
    <t>41, 111</t>
  </si>
  <si>
    <t>46, 112</t>
  </si>
  <si>
    <t>47, 112</t>
  </si>
  <si>
    <t>47, 111</t>
  </si>
  <si>
    <t>Planung für längeren Zeitraum (zusammenhängende Zeitschritte)</t>
  </si>
  <si>
    <t>50, 112</t>
  </si>
  <si>
    <t>einzelne Charge von 50-120 min kann nicht mehr unterbrochen werden</t>
  </si>
  <si>
    <t>Wasserwirtschaft (Klärgas-BHKW)</t>
  </si>
  <si>
    <t>Lasterhöhung</t>
  </si>
  <si>
    <t>Abschaltung Klärgas-BHKW zur Erhöhung Fremdstrombezug</t>
  </si>
  <si>
    <t>57, 111-112</t>
  </si>
  <si>
    <t>tagsüber</t>
  </si>
  <si>
    <t>61-62</t>
  </si>
  <si>
    <t>Einschaltzeiten vorrangig zwischen 14 und 20 Uhr</t>
  </si>
  <si>
    <t>Unterbrechung bis zu dreimal täglich für 2 Stunden</t>
  </si>
  <si>
    <t>Problem</t>
  </si>
  <si>
    <t>Trennung pos / neg</t>
  </si>
  <si>
    <t>Dateninkonsistenzen</t>
  </si>
  <si>
    <t>eigene Festlegung auf (plausiblen) Wert durch sorgfältige Analyse der Studie auf Indizien zu verwendeten Werten</t>
  </si>
  <si>
    <t>Lastabwurf / Lastverzicht</t>
  </si>
  <si>
    <t>teilweise implizit je nach angegebenen Auslastungen und Wording "Verschiebeleistung" / "Abschaltleistung"</t>
  </si>
  <si>
    <t>Spannbreite für Werte angegeben</t>
  </si>
  <si>
    <t>Methodischer Ansatz zur Ermittlung von Kennwerten</t>
  </si>
  <si>
    <t>Chlor-Alkali-Elektrolyse und Luftzerlegung</t>
  </si>
  <si>
    <t>Zementindustrie (Roh- und Zementmühlen, Drehrohröfen)</t>
  </si>
  <si>
    <t>flexibilisierbarer Anteil an Durchschnittslast</t>
  </si>
  <si>
    <t>53-54</t>
  </si>
  <si>
    <t>fixe Kosten min. €_2018/kW*a</t>
  </si>
  <si>
    <t>fixe Kosten €_2018/kW*a</t>
  </si>
  <si>
    <t>427, 531</t>
  </si>
  <si>
    <t>Lastmanagement als Beitrag zur Deckung des Spitzenlastbedarfs in Süddeutschland (Lastmanagement für Systemdienstleistungen und zur Reduktion der Spitzenlast)</t>
  </si>
  <si>
    <t>Bub13, S. 92</t>
  </si>
  <si>
    <t>Last am Wochendende um 30 % über der Last unter der Woche</t>
  </si>
  <si>
    <t>Klo13, S. 44</t>
  </si>
  <si>
    <t>Klo13, S. 45</t>
  </si>
  <si>
    <t>atypische Netznutzung; Leistungsaufnahme am Wochenende typischerweise höher</t>
  </si>
  <si>
    <t>Klo13, S. 47</t>
  </si>
  <si>
    <t>Klo13, S. 46</t>
  </si>
  <si>
    <t>Klo13, S. 49</t>
  </si>
  <si>
    <t>Klo13, S. 59</t>
  </si>
  <si>
    <t>Klo13, S. 76-77</t>
  </si>
  <si>
    <t>max. 4 h Abschaltung pro Tag; max. 1 h zusammenhängend</t>
  </si>
  <si>
    <t>Klo13, S. 73-74, 78</t>
  </si>
  <si>
    <t>Klo13, S. 73-74</t>
  </si>
  <si>
    <t>Bel15</t>
  </si>
  <si>
    <t>Foc11</t>
  </si>
  <si>
    <t>Krz13</t>
  </si>
  <si>
    <t>Belitz 2015</t>
  </si>
  <si>
    <t>Focken et al. 2011</t>
  </si>
  <si>
    <t>Krzikalla et al. 2013</t>
  </si>
  <si>
    <t>Liebe und Wissner 2015</t>
  </si>
  <si>
    <t>Stötzer 2012</t>
  </si>
  <si>
    <t>Charaktersisierung von Lastmanagement in Haushalten und dessen Integration in die Elektrizitätswirtschaft</t>
  </si>
  <si>
    <t>Kurz- bis mittelfristig realisierbare Marktpotenziale für die Anwendung von Demand Response im gewerblichen Sektor</t>
  </si>
  <si>
    <t>Möglichkeiten zum Ausgleich fluktuierender Einspeisungen aus Erneuerbaren Energien</t>
  </si>
  <si>
    <t>Der flexible Verbraucher - Potenziale zur Lastverlagerung im Haushaltsbereich</t>
  </si>
  <si>
    <t>Demand Side Integration in elektrischen Verteilnetzen</t>
  </si>
  <si>
    <t>v.a. in Maschinenbau, Metall- und Chemieindustrie</t>
  </si>
  <si>
    <t>60-61</t>
  </si>
  <si>
    <t>elektrische Raumheizung gesamt</t>
  </si>
  <si>
    <t>Klimaanlagen</t>
  </si>
  <si>
    <t>Umrechnung Kostenangaben</t>
  </si>
  <si>
    <t>Datenbasis</t>
  </si>
  <si>
    <t>sofern nicht explizit angegeben, Veröffentlichungsjahr der Studie gewählt</t>
  </si>
  <si>
    <t>Kategorisierung</t>
  </si>
  <si>
    <t>Zuordnung zu vorhandener Kategorisierung, sofern möglich; sonst Neudefinition von Kategorien</t>
  </si>
  <si>
    <t>keine Einschränkungen</t>
  </si>
  <si>
    <t>saisonal</t>
  </si>
  <si>
    <t>Calciumcarbidherstellung</t>
  </si>
  <si>
    <t>Luftverflüssigung</t>
  </si>
  <si>
    <t>tageszeitlich</t>
  </si>
  <si>
    <t>Prozesskälte Gastronomie</t>
  </si>
  <si>
    <t>Trinkwasserpumpen</t>
  </si>
  <si>
    <t>vorziehen</t>
  </si>
  <si>
    <t>verzögern</t>
  </si>
  <si>
    <t>stündlich</t>
  </si>
  <si>
    <t>Temperaturabhängigkeit?</t>
  </si>
  <si>
    <t>Annahme: Vollauslastung Industriepozesse</t>
  </si>
  <si>
    <t>Annahme: Auslastung im Winter 20 % geringer als im Sommer; Senkung in Mittagszeit auf 2/3 der nächtlichen Last</t>
  </si>
  <si>
    <t>Annahme: Wochenende mit 40 % (Samstag) bzw. 50 % (Sonntag) geringerem Bedarf</t>
  </si>
  <si>
    <t>Annahme: nachts 50 % Auslastung</t>
  </si>
  <si>
    <t>Annahme: Strombedarf Kälteanwendungen im Winter 10 % niedriger als im Sommer; nachts 20 % geringer als tagsüber</t>
  </si>
  <si>
    <t>Annahme: Betrieb in Schwachlastzeiten; Auslastung tagsüber 2/3 geringer als nachts</t>
  </si>
  <si>
    <t>Annahme: Bestimmt durch Tagesablauf (Prior 1997)</t>
  </si>
  <si>
    <t>Annahme: Raumwärmebedarf anhand von Gradtagszahlen abgeschätzt</t>
  </si>
  <si>
    <t>flex. Anteil pos.</t>
  </si>
  <si>
    <t>flex. Anteil neg.</t>
  </si>
  <si>
    <t>Kühl- und Gefrieranwendungen</t>
  </si>
  <si>
    <t>Fundstelle verzögern/vorziehen</t>
  </si>
  <si>
    <t>Fundstelle Mindestauslastung</t>
  </si>
  <si>
    <t>Durchschnittsauslastung in etwa als Mittelwert angenommen</t>
  </si>
  <si>
    <t>Änderung des spez. Verbrauchs (% p.a.)</t>
  </si>
  <si>
    <t>Änderung der Produktionskapazität (% p.a.)</t>
  </si>
  <si>
    <t>StV (TWh)</t>
  </si>
  <si>
    <t>spez. Verbrauch (kWh/t)</t>
  </si>
  <si>
    <t>Produktionskapazität Mt</t>
  </si>
  <si>
    <t>GHD gesamt</t>
  </si>
  <si>
    <t>Anteil am sektoralen Verbrauch (%)</t>
  </si>
  <si>
    <t>56, eigene Berechnungen</t>
  </si>
  <si>
    <t>Änderung gg. 2010</t>
  </si>
  <si>
    <t>Gruppenzuordnung</t>
  </si>
  <si>
    <t>Prozesskälte Handel</t>
  </si>
  <si>
    <t>HVAC_All</t>
  </si>
  <si>
    <t>CollingWater_ComInd</t>
  </si>
  <si>
    <t>ProcessShift_Ind</t>
  </si>
  <si>
    <t>WashingEq_Res</t>
  </si>
  <si>
    <t>ProcessShed_Ind</t>
  </si>
  <si>
    <t>StorHeat_Res_Com</t>
  </si>
  <si>
    <t>Wirkungsgrad (%)</t>
  </si>
  <si>
    <t>Fundstelle Wirkungsgrad</t>
  </si>
  <si>
    <t>Wirkungsgrad min. (%)</t>
  </si>
  <si>
    <t>Wirkungsgrad max. (%)</t>
  </si>
  <si>
    <t>Zementherstellung / Behälterglas</t>
  </si>
  <si>
    <t>Aluminium / Luftzerlegung</t>
  </si>
  <si>
    <t>93-94, abgelesene Werte, eigene Berechnungen</t>
  </si>
  <si>
    <t>Aktivierungsdauer max (h)</t>
  </si>
  <si>
    <t>106, 110</t>
  </si>
  <si>
    <t>soziotech. Pot. pos. min (MW)</t>
  </si>
  <si>
    <t>soziotech. Pot. neg. min (MW)</t>
  </si>
  <si>
    <t>soziotech. Pot. neg. max (MW)</t>
  </si>
  <si>
    <t>soziotech. Pot. neg. (MW)</t>
  </si>
  <si>
    <t>112, 113</t>
  </si>
  <si>
    <t>114; eigene Berechnungen</t>
  </si>
  <si>
    <t>1.100 MW Potenzial akzeptiert; Möglichkeiten für Lasterhöhungen in Stoffaufbereitung; Büttner bestimmt Speicherpotenzial</t>
  </si>
  <si>
    <t>Schaltdauer pos. min (h)</t>
  </si>
  <si>
    <t>117-118</t>
  </si>
  <si>
    <t>117, 120</t>
  </si>
  <si>
    <t>470 MW Potenzial akzeptiert; Selbstverpflichtung, bereits bis 2020 aus Amalgam-Verfahren auszusteigen; Aufteilung in mehrere einzeln schaltbare Elektrolysezellen (S. 114); Chlorspeicher determiniert Lastflexibilitätspotenzial (S. 115); Vollabschaltung nur dann möglich, wenn nur ein nachgelagerter Strang (techn. Pot.); bei mehreren Strängen Abschaltungen im Umfang von 20 bis 50 % der Last (S. 124)</t>
  </si>
  <si>
    <t>eigene Berechnung</t>
  </si>
  <si>
    <t>128-129</t>
  </si>
  <si>
    <t>Flexibilität durch Lichtbogenofen (S. 128); Flexibilität bei Blockguss; keine / kaum Flexibilität bei Strangguss (S. 124-127)</t>
  </si>
  <si>
    <t>133-134</t>
  </si>
  <si>
    <t>137, 140</t>
  </si>
  <si>
    <t>135, 138, 142</t>
  </si>
  <si>
    <t>142-143</t>
  </si>
  <si>
    <t>Auslastung NT größer als HT; starke Konjunktur- und Witterungsabhängigkeit; Flexpotenzial pos. nur im Produktionszeitraum zwischen März und November verfügbar; in HT-Zeit nur 22 MW Potenzial</t>
  </si>
  <si>
    <t>Flexibilitätspotenzial wesentlich abhängig von Speichergrößen (S. 136); geringes soziotechnisches Flexpot. Pos. Wegen hoher Opportunitätskosten --&gt; nur wenige Zeiten mit entsprechenden Preisen; keine Abschaltung in der Glasproduktion, da Schmelzwanne kontinuierlicher Prozess ist (S. 143)</t>
  </si>
  <si>
    <t>136, 142-143</t>
  </si>
  <si>
    <t>hohe Unsicherheiten in Hochrechnung</t>
  </si>
  <si>
    <t>Auskühlung der Elektrolysen als begrenzender Faktor auf Abrufdauer</t>
  </si>
  <si>
    <t>146, 153</t>
  </si>
  <si>
    <t>146-147</t>
  </si>
  <si>
    <t>147-148</t>
  </si>
  <si>
    <t>152-153</t>
  </si>
  <si>
    <t>Ausblick Zukunft</t>
  </si>
  <si>
    <t>Fundstelle Ausblick</t>
  </si>
  <si>
    <t>gleichbleibend bis ansteigend; Investitionen in Speicher denkbar</t>
  </si>
  <si>
    <t>stabil; Einstellung Amalgam-Verfahren; Membran-Verfahren flexibler; Investitionen in Speicher (zu) hoch</t>
  </si>
  <si>
    <t>gleichbleibend</t>
  </si>
  <si>
    <t>175-176</t>
  </si>
  <si>
    <t>Rückgang des technischen Potenzials</t>
  </si>
  <si>
    <t>kontinuierlich</t>
  </si>
  <si>
    <t>08-22 Uhr</t>
  </si>
  <si>
    <t>Sommer (Frühjahr / Herbst)</t>
  </si>
  <si>
    <t>22-06 Uhr</t>
  </si>
  <si>
    <t>22-23</t>
  </si>
  <si>
    <t>Winter (Frühjahr / Herbst)</t>
  </si>
  <si>
    <t>kontinuierlich (16 h/d)</t>
  </si>
  <si>
    <t>Winter (Frühjahr / Herbst) (4 h/d)</t>
  </si>
  <si>
    <t>Potenziale sehr kleinteilig ausgewiesen</t>
  </si>
  <si>
    <t>Wahl derjenigen Potenziale mit Schaltdauern im Stundenbereich</t>
  </si>
  <si>
    <t>Diagrammdarstellung</t>
  </si>
  <si>
    <t>Klobasa et al. 2013 (Buber et al. 2013)</t>
  </si>
  <si>
    <t>Sch 50</t>
  </si>
  <si>
    <t>Sch 52, Sch 56, eigene Berechnung</t>
  </si>
  <si>
    <t>Sch 52</t>
  </si>
  <si>
    <t>Sch 54</t>
  </si>
  <si>
    <t>Sch 55</t>
  </si>
  <si>
    <t>Sch 158</t>
  </si>
  <si>
    <t>Sch 160</t>
  </si>
  <si>
    <t>Sch 162</t>
  </si>
  <si>
    <t>Sch 175</t>
  </si>
  <si>
    <t>Sch 50, Sch 175</t>
  </si>
  <si>
    <t>Sch 158-164, Sch 50, Sch 175</t>
  </si>
  <si>
    <t>Gil 196</t>
  </si>
  <si>
    <t>Gil 197</t>
  </si>
  <si>
    <t>saisonal, stündlich</t>
  </si>
  <si>
    <t>Sch 50, Gil 13</t>
  </si>
  <si>
    <t>tageszeitlich, stündlich</t>
  </si>
  <si>
    <t>Gil 17</t>
  </si>
  <si>
    <t>Anzahl Haushalte (Mio.)</t>
  </si>
  <si>
    <t>Ausstattungsraten</t>
  </si>
  <si>
    <t>Leistung je Einheit (kW)</t>
  </si>
  <si>
    <t>Stromverbrauch gesamt (TWh)</t>
  </si>
  <si>
    <t>Leistung gesamt (MW)</t>
  </si>
  <si>
    <t>Stromverbrauch je Einheit (kWh)</t>
  </si>
  <si>
    <t>flex. Leistung pos.</t>
  </si>
  <si>
    <t>flex. Leistung neg.</t>
  </si>
  <si>
    <t>191-193, 20,22, eigene Berechnung</t>
  </si>
  <si>
    <t>Gils et al. 2015a (Scholz et al. 2014; Gils et al. 2014, 2015b)</t>
  </si>
  <si>
    <t>Balancing of Intermittent Renewable Power Generation by Demand Response and Thermal Energy Storage 
(Möglichkeiten und Grenzen des Lastausgleichs durch Energiespeicher, verschieb-bare Lasten und stromgeführte KWK bei hohem Anteil fluktuierender erneuerbarer Stromerzeugung; Assessment of the theoretical demand response potential in Europe, in: Energies, Vol. 57, S. 1-18; )</t>
  </si>
  <si>
    <t>Gil 191-193, Gil 20,Gil 22, eigene Berechnung</t>
  </si>
  <si>
    <t>HeatingAC_Res</t>
  </si>
  <si>
    <t>HVAC_ComInd</t>
  </si>
  <si>
    <t>Sch 175, Gil 105</t>
  </si>
  <si>
    <t>durchschnittliche Verfügbarkeit (% p.a.)</t>
  </si>
  <si>
    <t>Fundstelle durchschn. Verfügbarkeit</t>
  </si>
  <si>
    <t>Gil 106</t>
  </si>
  <si>
    <t>Sch 175, Gil 106</t>
  </si>
  <si>
    <t>max. Abrufhäufigkeit pro Tag</t>
  </si>
  <si>
    <t>Sch 158-164, Sch 50, Sch 175, Gil 106</t>
  </si>
  <si>
    <t>Sch 50, Sch 175, Gil 106</t>
  </si>
  <si>
    <t>Sch 50, Gil 106</t>
  </si>
  <si>
    <t>Sch 158-164, Sch 50, Gil 106</t>
  </si>
  <si>
    <t>Außentemperatur (°C)</t>
  </si>
  <si>
    <t>S. 98</t>
  </si>
  <si>
    <t>Potenzial pos. min wärmster Tag MW</t>
  </si>
  <si>
    <t>Potenzial pos. max wärmster Tag MW</t>
  </si>
  <si>
    <t>Potenzial neg. min wärmster Tag MW</t>
  </si>
  <si>
    <t>Potenzial neg. max wärmster Tag MW</t>
  </si>
  <si>
    <t>Fortschreibung historischer Werte, sofern keine abweichenden Angaben; sonst Skalierung über veränderten Anlagenbestand und ggf. veränderte Anlagenparameter bzw. über Stromverbrauch bzw. installierte Leistungen</t>
  </si>
  <si>
    <t>Zukünftige Potenziale / Interpolation fehlender Potenzialwerte</t>
  </si>
  <si>
    <t>starke Abhängigkeit des Abschaltpotenzials von der Außentemperatur; durchgehende Lastinanspruchnahme</t>
  </si>
  <si>
    <t>im unflexiblen Basislastgang Speicherbeladung zwischen 18:00 und 9 Uhr; sonst keine Lastinanspruchnahme, d.h. kein Abschaltpotenzial</t>
  </si>
  <si>
    <t>96, 111</t>
  </si>
  <si>
    <t>Fundstelle Betriebsstunden</t>
  </si>
  <si>
    <t>107, 111</t>
  </si>
  <si>
    <t>109, 111</t>
  </si>
  <si>
    <t>109, 112</t>
  </si>
  <si>
    <t>100, 109, 112</t>
  </si>
  <si>
    <t>103, 112</t>
  </si>
  <si>
    <t>91, 96, 110, 111</t>
  </si>
  <si>
    <t>110, 112</t>
  </si>
  <si>
    <t>107, 112</t>
  </si>
  <si>
    <t>hohe Speicherverluste von bis zu 50 %, da Kompressoren nicht in optimalem Betriebspunkt arbeiten (S. 132)</t>
  </si>
  <si>
    <t>starke tageszeitliche Schwankung; orientiert an Gesamtprofil (tagsüber v.a. Verschiebepotenzial); stark saisonabhängig; Maximum an Werktagen um ca. 20 Uhr; Winter und Wochenenden tendenziell höher als an Werktagen und Sommermonaten</t>
  </si>
  <si>
    <t>134, 142</t>
  </si>
  <si>
    <t>134, 137, 142</t>
  </si>
  <si>
    <t>Annahme positiver Potenziale, falls Verwendungszweck Regelleistung im Fokust steht; Annahme symmetrischer Potenziale bei Lastverschiebung, falls Trennung pos / neg nicht explizit ausgewiesen; falls keine Zuordnung möglich, Ausschluss der Studie</t>
  </si>
  <si>
    <t>132, 142</t>
  </si>
  <si>
    <t>Anteil Potenzial neg. (an Wert von 2012)</t>
  </si>
  <si>
    <t>Anteil Potenzial pos. (an Wert von 2012)</t>
  </si>
  <si>
    <t>S. 199</t>
  </si>
  <si>
    <t>Beleuchtung</t>
  </si>
  <si>
    <t>Kälteanwendungen gesamt</t>
  </si>
  <si>
    <t>Pumpen gesamt</t>
  </si>
  <si>
    <t>In den Wintermonaten nicht oder kaum produziert; Auslastungen nachts und am Wochenende höher</t>
  </si>
  <si>
    <t>max. Abrufhäufigkeit min. pro Jahr</t>
  </si>
  <si>
    <t>max. Abrufhäufigkeit max. pro Jahr</t>
  </si>
  <si>
    <t>Potenzial pos. max MW Lastverzicht</t>
  </si>
  <si>
    <t>QST gesamt</t>
  </si>
  <si>
    <t>213, 214, 216, eigene Berechnungen</t>
  </si>
  <si>
    <t>213, 214, 216, 217, eigene Berechnungen</t>
  </si>
  <si>
    <t>216, 217, eigene Berechnungen</t>
  </si>
  <si>
    <t>Zeilenbeschriftungen</t>
  </si>
  <si>
    <t>Gesamtergebnis</t>
  </si>
  <si>
    <t>(Alle)</t>
  </si>
  <si>
    <t>Summe von Potenzial pos. max MW</t>
  </si>
  <si>
    <t>Summe von Potenzial neg. max MW</t>
  </si>
  <si>
    <t>mittlere Verfügbarkeit 500 Stunden pro Jahr</t>
  </si>
  <si>
    <t>238, 244</t>
  </si>
  <si>
    <t>239, 243</t>
  </si>
  <si>
    <t>232, 239, 243</t>
  </si>
  <si>
    <t>flexibilisierbarer Anteil an installierter Leistung</t>
  </si>
  <si>
    <t>flexibilisierbarer Anteil pos. an Durchschnittsauslastung</t>
  </si>
  <si>
    <t>Betriebsstunden p.a.</t>
  </si>
  <si>
    <t>57, 60</t>
  </si>
  <si>
    <t>Fahrweise in Nachtproduktion nicht mehr stark verbreitet; tageszeitliche Zuordnung der Betriebszeiten erschwert (S. 63)</t>
  </si>
  <si>
    <t>74-76</t>
  </si>
  <si>
    <t>Wirkungsgrad pos.</t>
  </si>
  <si>
    <t>Wirkungsgrad neg.</t>
  </si>
  <si>
    <t>95-97</t>
  </si>
  <si>
    <t>Regenerationsdauer pos. (h)</t>
  </si>
  <si>
    <t>Regenerationsdauer neg. (h)</t>
  </si>
  <si>
    <t>Überschneidungen von Quellen</t>
  </si>
  <si>
    <t>Zusammenfassung, dann, wenn Kennwerte in nahezu allen Fällen übereinstimmend waren: z.B. für Publikationen Scholz (2014) und Gils (2015); Im Regelfall bei projektbegleitenden Dissertationen oder Auskoppelungen von Fachartikeln</t>
  </si>
  <si>
    <t>Zusammenfassung</t>
  </si>
  <si>
    <t>Im Falle sehr detaillierter Ausweisung von Kennwerten (z.B. Steurer 2017) erfolgt Zusammenfassung auf dem Niveau auf dem auch Potenziale i.e.S., d. h. schaltbare Leistungen angegeben sind.</t>
  </si>
  <si>
    <t>fehlende Kennwerte</t>
  </si>
  <si>
    <t>Guss (Aluminium, Eisen)</t>
  </si>
  <si>
    <t>Primärmetalle (Zink, Kupfer, Silizium, Graphit)</t>
  </si>
  <si>
    <t>Sauerstoffherstellung</t>
  </si>
  <si>
    <t>Deaconverfahren</t>
  </si>
  <si>
    <t>Al, primär</t>
  </si>
  <si>
    <t>Zn, Cu, Si, Graphit</t>
  </si>
  <si>
    <t>E-Stahl</t>
  </si>
  <si>
    <t>Guss: Al, Fe</t>
  </si>
  <si>
    <t>Holzstoffherstellung (Holzschliff / TMP)</t>
  </si>
  <si>
    <t>Zellstoff und Altpapier</t>
  </si>
  <si>
    <t>Calciumcarbid</t>
  </si>
  <si>
    <t>Zement- und Rohmehlmühlen</t>
  </si>
  <si>
    <t>Glas</t>
  </si>
  <si>
    <t>Potenzial pos. MW Durchschnitt min</t>
  </si>
  <si>
    <t>Potenzial pos. MW Durchschnitt max</t>
  </si>
  <si>
    <t>Potenzial neg. MW Durchschnitt min</t>
  </si>
  <si>
    <t>Potenzial neg. MW Durchschnitt max</t>
  </si>
  <si>
    <t>Mindestauslastung min</t>
  </si>
  <si>
    <t>Mindestauslastung max</t>
  </si>
  <si>
    <t>Durchschnittsauslastung min</t>
  </si>
  <si>
    <t>Durchschnittsauslastung max</t>
  </si>
  <si>
    <t>installierte Leistung MW durch</t>
  </si>
  <si>
    <t>installierte Leistung MW min</t>
  </si>
  <si>
    <t>installierte Leistung MW max</t>
  </si>
  <si>
    <t>Durchschnittsauslastung durch</t>
  </si>
  <si>
    <t>Maximalauslastung min</t>
  </si>
  <si>
    <t>Maximalauslastung durch</t>
  </si>
  <si>
    <t>Maximalauslastung max</t>
  </si>
  <si>
    <t>Mindestleistung MW min</t>
  </si>
  <si>
    <t>Mindestleistung MW durch</t>
  </si>
  <si>
    <t>Mindestleistung MW max</t>
  </si>
  <si>
    <t>Mindestauslastung durch</t>
  </si>
  <si>
    <t>Durchschnittliche Leistung MW min</t>
  </si>
  <si>
    <t>Durchschnittliche Leistung MW durch</t>
  </si>
  <si>
    <t>Durchschnittliche Leistung MW max</t>
  </si>
  <si>
    <t>Maximalleistung MW min</t>
  </si>
  <si>
    <t>Maximalleistung MW durch</t>
  </si>
  <si>
    <t>Maximalleistung MW max</t>
  </si>
  <si>
    <t>Aktivierungsdauer (h) pos durch</t>
  </si>
  <si>
    <t>Aktivierungsdauer (h) pos min</t>
  </si>
  <si>
    <t>Aktivierungsdauer (h) pos max</t>
  </si>
  <si>
    <t>Aktivierungsdauer (h) neg durch</t>
  </si>
  <si>
    <t>Aktivierungsdauer (h) neg min</t>
  </si>
  <si>
    <t>Aktivierungsdauer (h) neg max</t>
  </si>
  <si>
    <t>Verschiebedauer bei sofortiger Kompensation (h)</t>
  </si>
  <si>
    <t>Verschiebedauer bei sofortiger Kompensation (h) min</t>
  </si>
  <si>
    <t>Verschiebedauer bei sofortiger Kompensation (h) max</t>
  </si>
  <si>
    <t>max. Abrufhäufigkeit pro Jahr pos durch</t>
  </si>
  <si>
    <t>max. Abrufhäufigkeit pro Jahr pos min</t>
  </si>
  <si>
    <t>max. Abrufhäufigkeit pro Jahr pos max</t>
  </si>
  <si>
    <t>max. Abrufhäufigkeit pro Jahr pos Lastverzicht durch</t>
  </si>
  <si>
    <t>max. Abrufhäufigkeit pro Jahr pos Lastverzicht min</t>
  </si>
  <si>
    <t>max. Abrufhäufigkeit pro Jahr pos Lastverzicht max</t>
  </si>
  <si>
    <t>max. Abrufhäufigkeit pro Jahr neg durch</t>
  </si>
  <si>
    <t>max. Abrufhäufigkeit pro Jahr neg min</t>
  </si>
  <si>
    <t>max. Abrufhäufigkeit pro Jahr neg max</t>
  </si>
  <si>
    <t>fixe Kosten €_2018/kW*a max</t>
  </si>
  <si>
    <t>fixe Kosten €_2018/kW*a min</t>
  </si>
  <si>
    <t>var. Kosten Lastverzicht €_2018/MWh</t>
  </si>
  <si>
    <t>var. Kosten Lastverzicht €_2018/MWh min</t>
  </si>
  <si>
    <t>var. Kosten Lastverzicht €_2018/MWh max</t>
  </si>
  <si>
    <t>var. Kosten Lastabwurf €_2018/MWh</t>
  </si>
  <si>
    <t>var. Kosten Lastabwurf €_2018/MWh min</t>
  </si>
  <si>
    <t>var. Kosten Lastabwurf €_2018/MWh max</t>
  </si>
  <si>
    <t>c_Ber_RL_pos durch €/MW*d</t>
  </si>
  <si>
    <t>c_Ber_RL_pos €/MW*d min</t>
  </si>
  <si>
    <t>c_Ber_RL_pos €/MW*d max</t>
  </si>
  <si>
    <t>c_Ber_RL_neg €/MW*d</t>
  </si>
  <si>
    <t>c_Ber_RL_neg €/MW*d min</t>
  </si>
  <si>
    <t>c_Ber_RL_neg €/MW*d max</t>
  </si>
  <si>
    <t>198-199</t>
  </si>
  <si>
    <t>166, 168, 223</t>
  </si>
  <si>
    <t>182, 223</t>
  </si>
  <si>
    <t>Berechnung der Kennwerte s. separate Excel-Arbeitsmappe im Unterordner "Einzelstudien"</t>
  </si>
  <si>
    <t>181-182</t>
  </si>
  <si>
    <t>gleichmäßiger Strombezug</t>
  </si>
  <si>
    <t>historisch gewachsene Überkapazitäten; HT-NT-Fahrweise</t>
  </si>
  <si>
    <t>historisch gewachsene Überkapazitäten; HT-NT-Fahrweise; Winterstillstand</t>
  </si>
  <si>
    <t>Branche</t>
  </si>
  <si>
    <t>Klimatisierungsanlagen</t>
  </si>
  <si>
    <t>Lüftungsanlagen</t>
  </si>
  <si>
    <t>Gefriergeräte</t>
  </si>
  <si>
    <t>Kühlgeräte</t>
  </si>
  <si>
    <t>Zerkleinerer</t>
  </si>
  <si>
    <t xml:space="preserve">Beherbergung </t>
  </si>
  <si>
    <t xml:space="preserve">Büros </t>
  </si>
  <si>
    <t xml:space="preserve">Ernährungsindustrie </t>
  </si>
  <si>
    <t xml:space="preserve">Fahrzeugbau </t>
  </si>
  <si>
    <t xml:space="preserve">Gastronomie </t>
  </si>
  <si>
    <t xml:space="preserve">Gartenbau </t>
  </si>
  <si>
    <t xml:space="preserve">Handel </t>
  </si>
  <si>
    <t xml:space="preserve">Kunststoffindustrie </t>
  </si>
  <si>
    <t xml:space="preserve">Krankenhäuser </t>
  </si>
  <si>
    <t xml:space="preserve">Landwirtschaft </t>
  </si>
  <si>
    <t xml:space="preserve">Maschinenbau </t>
  </si>
  <si>
    <t xml:space="preserve">Metallbearbeitung </t>
  </si>
  <si>
    <t xml:space="preserve">Recycling </t>
  </si>
  <si>
    <t xml:space="preserve">Wasserversorgung </t>
  </si>
  <si>
    <t xml:space="preserve">Beh_KA </t>
  </si>
  <si>
    <t xml:space="preserve">Beh_KM </t>
  </si>
  <si>
    <t xml:space="preserve">Beh_LA </t>
  </si>
  <si>
    <t xml:space="preserve">Büro_KA </t>
  </si>
  <si>
    <t xml:space="preserve">Büro_KM </t>
  </si>
  <si>
    <t xml:space="preserve">Büro_LA </t>
  </si>
  <si>
    <t xml:space="preserve">EI_KA </t>
  </si>
  <si>
    <t xml:space="preserve">EI_KM </t>
  </si>
  <si>
    <t xml:space="preserve">EI_LA </t>
  </si>
  <si>
    <t xml:space="preserve">ESH </t>
  </si>
  <si>
    <t xml:space="preserve">Fzb_KA </t>
  </si>
  <si>
    <t xml:space="preserve">Fzb_LA </t>
  </si>
  <si>
    <t xml:space="preserve">GG </t>
  </si>
  <si>
    <t xml:space="preserve">GS </t>
  </si>
  <si>
    <t xml:space="preserve">Gast_KA </t>
  </si>
  <si>
    <t xml:space="preserve">Gast_KM </t>
  </si>
  <si>
    <t xml:space="preserve">Gast_LA </t>
  </si>
  <si>
    <t xml:space="preserve">Gb </t>
  </si>
  <si>
    <t xml:space="preserve">Ha_KA </t>
  </si>
  <si>
    <t xml:space="preserve">Ha_KM </t>
  </si>
  <si>
    <t xml:space="preserve">Ha_LA </t>
  </si>
  <si>
    <t xml:space="preserve">KA </t>
  </si>
  <si>
    <t xml:space="preserve">KG </t>
  </si>
  <si>
    <t xml:space="preserve">KI_KA </t>
  </si>
  <si>
    <t xml:space="preserve">KI_LA </t>
  </si>
  <si>
    <t xml:space="preserve">Krh_KA </t>
  </si>
  <si>
    <t xml:space="preserve">Krh_KM </t>
  </si>
  <si>
    <t xml:space="preserve">Krh_LA </t>
  </si>
  <si>
    <t xml:space="preserve">Kühlh_KM </t>
  </si>
  <si>
    <t xml:space="preserve">Lw_K_KM </t>
  </si>
  <si>
    <t xml:space="preserve">Lw_LA </t>
  </si>
  <si>
    <t xml:space="preserve">Mach_KA </t>
  </si>
  <si>
    <t xml:space="preserve">Mach_LA </t>
  </si>
  <si>
    <t xml:space="preserve">Meb_KA </t>
  </si>
  <si>
    <t xml:space="preserve">Meb_LA </t>
  </si>
  <si>
    <t xml:space="preserve">Rec </t>
  </si>
  <si>
    <t xml:space="preserve">UP </t>
  </si>
  <si>
    <t xml:space="preserve">WM </t>
  </si>
  <si>
    <t xml:space="preserve">WP </t>
  </si>
  <si>
    <t xml:space="preserve">WT </t>
  </si>
  <si>
    <t xml:space="preserve">WW </t>
  </si>
  <si>
    <t xml:space="preserve">Wv </t>
  </si>
  <si>
    <t>Prozesskälte Krankenhäuser</t>
  </si>
  <si>
    <t>Durchschnittsauslastung durch Sommer WTT</t>
  </si>
  <si>
    <t>Durchschnittsauslastung min Sommer WTT</t>
  </si>
  <si>
    <t>Durchschnittsauslastung max Sommer WTT</t>
  </si>
  <si>
    <t>Durchschnittsauslastung durch Sommer SaT</t>
  </si>
  <si>
    <t>Durchschnittsauslastung min Sommer SaT</t>
  </si>
  <si>
    <t>Durchschnittsauslastung max Sommer SaT</t>
  </si>
  <si>
    <t>Durchschnittsauslastung durch Sommer SFN</t>
  </si>
  <si>
    <t>Durchschnittsauslastung min Sommer SFN</t>
  </si>
  <si>
    <t>Durchschnittsauslastung max Sommer SFN</t>
  </si>
  <si>
    <t>Durchschnittsauslastung durch Übergangszeit WTT</t>
  </si>
  <si>
    <t>Durchschnittsauslastung min Übergangszeit WTT</t>
  </si>
  <si>
    <t>Durchschnittsauslastung max Übergangszeit WTT</t>
  </si>
  <si>
    <t>Durchschnittsauslastung durch Übergangszeit SaT</t>
  </si>
  <si>
    <t>Durchschnittsauslastung min Übergangszeit SaT</t>
  </si>
  <si>
    <t>Durchschnittsauslastung max Übergangszeit SaT</t>
  </si>
  <si>
    <t>Durchschnittsauslastung durch Übergangszeit SFN</t>
  </si>
  <si>
    <t>Durchschnittsauslastung min Übergangszeit SFN</t>
  </si>
  <si>
    <t>Durchschnittsauslastung max Übergangszeit SFN</t>
  </si>
  <si>
    <t>Durchschnittsauslastung durch Winter WTT</t>
  </si>
  <si>
    <t>Durchschnittsauslastung min Winter WTT</t>
  </si>
  <si>
    <t>Durchschnittsauslastung max Winter WTT</t>
  </si>
  <si>
    <t>Durchschnittsauslastung durch Winter SaT</t>
  </si>
  <si>
    <t>Durchschnittsauslastung min Winter SaT</t>
  </si>
  <si>
    <t>Durchschnittsauslastung max Winter SaT</t>
  </si>
  <si>
    <t>Durchschnittsauslastung durch Winter SFN</t>
  </si>
  <si>
    <t>Durchschnittsauslastung min Winter SFN</t>
  </si>
  <si>
    <t>Durchschnittsauslastung max Winter SFN</t>
  </si>
  <si>
    <t>Fundstelle Lasterhöhung</t>
  </si>
  <si>
    <t>temporäre Sortierung</t>
  </si>
  <si>
    <t>Ursprüngliche Prozessbezeichnung</t>
  </si>
  <si>
    <t>Pumpanlagen</t>
  </si>
  <si>
    <t>Elektrospeicherheizungen</t>
  </si>
  <si>
    <t>Umwälzpumpe</t>
  </si>
  <si>
    <t>Warmwasser</t>
  </si>
  <si>
    <t>Waschmaschine</t>
  </si>
  <si>
    <t>KZältemaschinen</t>
  </si>
  <si>
    <t>WZärmepumpen</t>
  </si>
  <si>
    <t>WZäschetrockner</t>
  </si>
  <si>
    <t>Potenzial pos. MW Sommer WTT</t>
  </si>
  <si>
    <t>Potenzial pos. MW min Sommer WTT</t>
  </si>
  <si>
    <t>Potenzial pos. MW max Sommer WTT</t>
  </si>
  <si>
    <t>Potenzial neg. MW Sommer WTT</t>
  </si>
  <si>
    <t>Potenzial neg. MW min Sommer WTT</t>
  </si>
  <si>
    <t>Potenzial neg. MW max Sommer WTT</t>
  </si>
  <si>
    <t>Potenzial pos. MW Sommer SaT</t>
  </si>
  <si>
    <t>Potenzial pos. MW min Sommer SaT</t>
  </si>
  <si>
    <t>Potenzial pos. MW max Sommer SaT</t>
  </si>
  <si>
    <t>Potenzial neg. MW Sommer SaT</t>
  </si>
  <si>
    <t>Potenzial neg. MW min Sommer SaT</t>
  </si>
  <si>
    <t>Potenzial neg. MW max Sommer SaT</t>
  </si>
  <si>
    <t>Potenzial pos. MW Sommer SFN</t>
  </si>
  <si>
    <t>Potenzial pos. MW min Sommer SFN</t>
  </si>
  <si>
    <t>Potenzial pos. MW max Sommer SFN</t>
  </si>
  <si>
    <t>Potenzial neg. MW Sommer SFN</t>
  </si>
  <si>
    <t>Potenzial neg. MW min Sommer SFN</t>
  </si>
  <si>
    <t>Potenzial neg. MW max Sommer SFN</t>
  </si>
  <si>
    <t>Potenzial pos. MW Übergangszeit WTT</t>
  </si>
  <si>
    <t>Potenzial pos. MW min Übergangszeit WTT</t>
  </si>
  <si>
    <t>Potenzial pos. MW max Übergangszeit WTT</t>
  </si>
  <si>
    <t>Potenzial neg. MW Übergangszeit WTT</t>
  </si>
  <si>
    <t>Potenzial neg. MW min Übergangszeit WTT</t>
  </si>
  <si>
    <t>Potenzial neg. MW max Übergangszeit WTT</t>
  </si>
  <si>
    <t>Potenzial pos. MW Übergangszeit SaT</t>
  </si>
  <si>
    <t>Potenzial pos. MW min Übergangszeit SaT</t>
  </si>
  <si>
    <t>Potenzial pos. MW max Übergangszeit SaT</t>
  </si>
  <si>
    <t>Potenzial neg. MW Übergangszeit SaT</t>
  </si>
  <si>
    <t>Potenzial neg. MW min Übergangszeit SaT</t>
  </si>
  <si>
    <t>Potenzial neg. MW max Übergangszeit SaT</t>
  </si>
  <si>
    <t>Potenzial pos. MW Übergangszeit SFN</t>
  </si>
  <si>
    <t>Potenzial pos. MW min Übergangszeit SFN</t>
  </si>
  <si>
    <t>Potenzial pos. MW max Übergangszeit SFN</t>
  </si>
  <si>
    <t>Potenzial neg. MW Übergangszeit SFN</t>
  </si>
  <si>
    <t>Potenzial neg. MW min Übergangszeit SFN</t>
  </si>
  <si>
    <t>Potenzial neg. MW max Übergangszeit SFN</t>
  </si>
  <si>
    <t>Potenzial pos. MW Winter WTT</t>
  </si>
  <si>
    <t>Potenzial pos. MW min Winter WTT</t>
  </si>
  <si>
    <t>Potenzial pos. MW max Winter WTT</t>
  </si>
  <si>
    <t>Potenzial neg. MW Winter WTT</t>
  </si>
  <si>
    <t>Potenzial neg. MW min Winter WTT</t>
  </si>
  <si>
    <t>Potenzial neg. MW max Winter WTT</t>
  </si>
  <si>
    <t>Potenzial pos. MW Winter SaT</t>
  </si>
  <si>
    <t>Potenzial pos. MW min Winter SaT</t>
  </si>
  <si>
    <t>Potenzial pos. MW max Winter SaT</t>
  </si>
  <si>
    <t>Potenzial neg. MW Winter SaT</t>
  </si>
  <si>
    <t>Potenzial neg. MW min Winter SaT</t>
  </si>
  <si>
    <t>Potenzial neg. MW max Winter SaT</t>
  </si>
  <si>
    <t>Potenzial pos. MW Winter SFN</t>
  </si>
  <si>
    <t>Potenzial pos. MW min Winter SFN</t>
  </si>
  <si>
    <t>Potenzial pos. MW max Winter SFN</t>
  </si>
  <si>
    <t>Potenzial neg. MW Winter SFN</t>
  </si>
  <si>
    <t>Potenzial neg. MW min Winter SFN</t>
  </si>
  <si>
    <t>Potenzial neg. MW max Winter SFN</t>
  </si>
  <si>
    <t>Z</t>
  </si>
  <si>
    <t xml:space="preserve">KZühlhäuser </t>
  </si>
  <si>
    <t>171-174, 184-195, eigene Berechnungen</t>
  </si>
  <si>
    <t>Stoe12</t>
  </si>
  <si>
    <t>Betrieb 24 Stunden pro Tag</t>
  </si>
  <si>
    <t>Widerstandsheizer</t>
  </si>
  <si>
    <t>Induktionsöfen</t>
  </si>
  <si>
    <t>33-34</t>
  </si>
  <si>
    <t>68-69</t>
  </si>
  <si>
    <t>Natrium-Hochdruckdampflampen benötigen Zeit zum Abkühlen -&gt; Regenerationsdauer;
im Winter und während Nachtstunden Verschiebepotenziale größer;
bei hoher Benutzungsdauer (18 h/d) Verschiebepotenziale gering</t>
  </si>
  <si>
    <t>Verdampfer der älteren Kühlhäuser schalten häufiger (alle 1-2 Stunden); Verdampfer bei neueren Kühlhäusern schalten nur nachts</t>
  </si>
  <si>
    <t>Verschiebung innerhalb eines Tages</t>
  </si>
  <si>
    <t>Quelle:</t>
  </si>
  <si>
    <t>Lad18</t>
  </si>
  <si>
    <t>Ladwig 2018</t>
  </si>
  <si>
    <t>Demand Side Management in Deutschland zur Systemintegration erneuerbarer Energien</t>
  </si>
  <si>
    <t>Industrie (gesamt)</t>
  </si>
  <si>
    <t>heute genutztes Potenzial, das auf Regelleistungsmärkten vermarktet wird</t>
  </si>
  <si>
    <t>Speicher von Relevanz für Verschiebungsdauern</t>
  </si>
  <si>
    <t>Haushalte (gesamt)</t>
  </si>
  <si>
    <t>30-31</t>
  </si>
  <si>
    <t>hohe Saisonalität; geringe Gleichzeitigkeit</t>
  </si>
  <si>
    <t>Zuschaltpotenzial (neg) im Sommer; Abschaltpotenzial (pos) im Winter</t>
  </si>
  <si>
    <t>Elektrokessel (Fernwärme) und Elektrodenheizkessel (dezentral)</t>
  </si>
  <si>
    <t>vereinzelter Einsatz zur Erzeugung negativer SRL</t>
  </si>
  <si>
    <t>Elektrofahrzeuge</t>
  </si>
  <si>
    <t>feste Schaltzeiten</t>
  </si>
  <si>
    <t>15, 23</t>
  </si>
  <si>
    <t>max. Abschaltpotenzial im Winter</t>
  </si>
  <si>
    <t>Stromverbrauch in TWh</t>
  </si>
  <si>
    <t>Sta06</t>
  </si>
  <si>
    <t>Stadler 2006</t>
  </si>
  <si>
    <t>Demand Response - Nichtelektrische Speicher für Elektrizitätsversorgungssysteme mit hohem Anteil erneuerbarer Energien</t>
  </si>
  <si>
    <t>Gob12</t>
  </si>
  <si>
    <t>Gobmaier et al. 2012</t>
  </si>
  <si>
    <t>Simulationsgestützte Prognose des elektrischen Lastverhaltens</t>
  </si>
  <si>
    <t>Lie15</t>
  </si>
  <si>
    <t>Klo13</t>
  </si>
  <si>
    <t>Blu13</t>
  </si>
  <si>
    <t>Blum und Braun 2013</t>
  </si>
  <si>
    <t>Potentialanalyse für das Demand Side Managament im deutschen Industriesektor und die Integration in die Stromwirtschaft</t>
  </si>
  <si>
    <t>Potenzial neg. max GWh</t>
  </si>
  <si>
    <t>Potenzial pos. max GWh</t>
  </si>
  <si>
    <t>Hen15</t>
  </si>
  <si>
    <t>Henning und Sauer 2015</t>
  </si>
  <si>
    <t>Demand-Side Management im Wärmemarkt - Technologiesteckbrief zur Analyse "Flexibilitätskonzepte für die Stromversorgung 2050"</t>
  </si>
  <si>
    <t>Elektrodenheizkessel</t>
  </si>
  <si>
    <t>Hybrid-Wärmepumpe</t>
  </si>
  <si>
    <t>zus. Betriebskosten p.a. min. (€)</t>
  </si>
  <si>
    <t>zus. Betriebskosten p.a. max. (€)</t>
  </si>
  <si>
    <t>Vollbenutzungsstunden h/a</t>
  </si>
  <si>
    <t>Fundstelle Betriebskosten</t>
  </si>
  <si>
    <t>Haa17</t>
  </si>
  <si>
    <t>Haasz 2017</t>
  </si>
  <si>
    <t>Entwicklung von Methoden zur Abbildung von Demand Side Management in einem optimierenden Energiesystemmodell. Fallbeispiele für Deutschland in den Sektoren Industrie, Gewerbe, Handel, Dienstleistungen und Haushalte</t>
  </si>
  <si>
    <t>flexibilisierbarer Anteil pos.</t>
  </si>
  <si>
    <t>flexibilisierbarer Anteil neg.</t>
  </si>
  <si>
    <t>Potenzial neg. MW Durchschnitt Winter</t>
  </si>
  <si>
    <t>Potenzial neg. MW Durchschnitt Sommer</t>
  </si>
  <si>
    <t>Potenzial pos. MW Durchschnitt Winter</t>
  </si>
  <si>
    <t>Potenzial pos. MW Durchschnitt Sommer</t>
  </si>
  <si>
    <t>Stromverbrauch von TWh</t>
  </si>
  <si>
    <t>Stromverbrauch bis TWh</t>
  </si>
  <si>
    <t>Fundstelle Stromverbrauch</t>
  </si>
  <si>
    <t>Einfluss des Demand Side Managements auf den Kraftwerkseinsatz in Europa</t>
  </si>
  <si>
    <t>Gro13</t>
  </si>
  <si>
    <t>Grote et al. 2013</t>
  </si>
  <si>
    <t>Kühlhäuser + Lebensmittel</t>
  </si>
  <si>
    <t>alle</t>
  </si>
  <si>
    <t>Zementmühlen</t>
  </si>
  <si>
    <t>nur Amalgam- und Diaphragma-Verfahren</t>
  </si>
  <si>
    <t>Rohmühle wegen zu geringer Leistungen ausgeschlossen</t>
  </si>
  <si>
    <t>GHD und Haushalte</t>
  </si>
  <si>
    <t>sonstige</t>
  </si>
  <si>
    <t>Power-to-Gas</t>
  </si>
  <si>
    <t>Power-to-Heat</t>
  </si>
  <si>
    <t>Tageszeit, Wochentag</t>
  </si>
  <si>
    <t>Wochentag</t>
  </si>
  <si>
    <t>Tageszeit</t>
  </si>
  <si>
    <t>Verfahren</t>
  </si>
  <si>
    <t>spez. StV kWh/t</t>
  </si>
  <si>
    <t>Fundstelle Produktion</t>
  </si>
  <si>
    <t>Fundstelle Vollbenutzungsstunden</t>
  </si>
  <si>
    <t>47-48</t>
  </si>
  <si>
    <t>49-50, 197</t>
  </si>
  <si>
    <t>47, 197</t>
  </si>
  <si>
    <t>51, 197</t>
  </si>
  <si>
    <t>47-48, 197</t>
  </si>
  <si>
    <t>jährliche Produktion kt MIN</t>
  </si>
  <si>
    <t>jährliche Produktion kt REF</t>
  </si>
  <si>
    <t>jährliche Produktion kt MAX</t>
  </si>
  <si>
    <t>Anzahl Anlangen MIN (Tsd.)</t>
  </si>
  <si>
    <t>Anzahl Anlangen REF (Tsd.)</t>
  </si>
  <si>
    <t>Anzahl Anlangen MAX (Tsd.)</t>
  </si>
  <si>
    <t>Entwicklungsfaktor MIN (1)</t>
  </si>
  <si>
    <t>Entwicklungsfaktor REF (1)</t>
  </si>
  <si>
    <t>Entwicklungsfaktor MAX (1)</t>
  </si>
  <si>
    <t>Fundstelle Anzahl Anlagen</t>
  </si>
  <si>
    <t>Fundstelle Entwicklungsfaktor</t>
  </si>
  <si>
    <t>Hochrechnung über Stromverbrauchsentwicklung</t>
  </si>
  <si>
    <t>Bemerkungen 2</t>
  </si>
  <si>
    <t>Im MAX-Szenario Wärmepumpenentwicklung berücksichtigt; daher Wert im Referenzszenario höher</t>
  </si>
  <si>
    <t>Pot. pos. MW errechnet</t>
  </si>
  <si>
    <t>Ladung Nachtspeicher in der Nacht (22-6 Uhr)</t>
  </si>
  <si>
    <t>31; 117</t>
  </si>
  <si>
    <t>Fundstelle Aktivierungskosten</t>
  </si>
  <si>
    <t>Aktivierungskosten: Angabe, wie hoch Strompreis maximal sein darf um konkurrenzfähig gegenüber konventioneller Alternative zu sein; Potenzial abhängig von Wärmeprofil, EE-Überschussangebot; Wärmegestehungskosten des Erdgas-Spitzenlastkessels als Referenz -&gt; Berechnung der maximalen Höhe des Strompreises, bei dem Elektrokessel konkurrenzfähig gegenüber Erdgas-Spitzenlastkessel ist</t>
  </si>
  <si>
    <t>Aktivierungskosten: Angabe, wie hoch Strompreis maximal sein darf um konkurrenzfähig gegenüber konventioneller Alternative zu sein; Einsatz bei dem Strompreis, wo Erzeugung über Power-to-Gas günstiger ist als konventionelles Erdgas</t>
  </si>
  <si>
    <t>jährliche Produktion kt</t>
  </si>
  <si>
    <t>Anzahl Anlangen (Tsd.)</t>
  </si>
  <si>
    <t>spez. StV min in kWh/m^2 * a</t>
  </si>
  <si>
    <t>spez. StV max in kWh/m^2 * a</t>
  </si>
  <si>
    <t>Verschiebepotenzial in TWh</t>
  </si>
  <si>
    <t>Fundstelle verschiebbare Energiemenge</t>
  </si>
  <si>
    <t>94-95</t>
  </si>
  <si>
    <t>95-96</t>
  </si>
  <si>
    <t>94-96</t>
  </si>
  <si>
    <t>Warmwasserspeicher</t>
  </si>
  <si>
    <t>168-169</t>
  </si>
  <si>
    <t>Aryandoust et al. 2017</t>
  </si>
  <si>
    <t>The potential and usefulness of demand response to provide electricity system services</t>
  </si>
  <si>
    <t>Ary17</t>
  </si>
  <si>
    <t>Öfen</t>
  </si>
  <si>
    <t>elektrische Direktheizung</t>
  </si>
  <si>
    <t>Raumwärme</t>
  </si>
  <si>
    <t>Verschiebedauer max sofortig (h)</t>
  </si>
  <si>
    <t>Verschiebedauer max bei Vorankündigung (h)</t>
  </si>
  <si>
    <t>Verschiebedauer abhängig von Nutzerakzeptanz</t>
  </si>
  <si>
    <t>Prozess (ursprüngliche Kategorien)</t>
  </si>
  <si>
    <t>Kupfer- und Zinkherstellung (Elektrolyse)</t>
  </si>
  <si>
    <t>Holz- und Zellstoffherstellung</t>
  </si>
  <si>
    <t>Altpapierrecycling (Pulper)</t>
  </si>
  <si>
    <t>Papierveredelung (Streichmaschinen und Kalander)</t>
  </si>
  <si>
    <t>Elektrostahlherstellung (Lichtbogenofen)</t>
  </si>
  <si>
    <t>Zementherstellung</t>
  </si>
  <si>
    <t>Kühlung (Lebensmittelindustrie)</t>
  </si>
  <si>
    <t>Belüftung</t>
  </si>
  <si>
    <t>Prozesskälte</t>
  </si>
  <si>
    <t>Klimakälte</t>
  </si>
  <si>
    <t>Warmwasserbereitstellung</t>
  </si>
  <si>
    <t>Nachtspeicherheizungen</t>
  </si>
  <si>
    <t>Notstromaggregate, Back-Up-Server und Mobilfunkstationen</t>
  </si>
  <si>
    <t>Wäschetrockner</t>
  </si>
  <si>
    <t>Kühlschränke</t>
  </si>
  <si>
    <t>Gefrierschränke und -truhen</t>
  </si>
  <si>
    <t>Heizungsumwälzpumpen</t>
  </si>
  <si>
    <t>Prozesswärme</t>
  </si>
  <si>
    <t>Druckluftanwendungen</t>
  </si>
  <si>
    <t>Abwasserbehandlung</t>
  </si>
  <si>
    <t>Kühl- und Gefrierkombinationen</t>
  </si>
  <si>
    <t>Calciumcarbid-Herstellung (Lichtbogenofen)</t>
  </si>
  <si>
    <t>Pumpenanwendungen in der Wasserversorgung</t>
  </si>
  <si>
    <t>Prozesskategorie 1</t>
  </si>
  <si>
    <t>Prozesskategorie 2</t>
  </si>
  <si>
    <t>Prozesskategorie 3</t>
  </si>
  <si>
    <t>Ernährungsindustrie gesamt</t>
  </si>
  <si>
    <t>Chemieindustrie gesamt</t>
  </si>
  <si>
    <t>Kfz-Industrie gesamt</t>
  </si>
  <si>
    <t>Maschinenbau gesamt</t>
  </si>
  <si>
    <t>Glasindustrie gesamt</t>
  </si>
  <si>
    <t>Behälterglasindustrie</t>
  </si>
  <si>
    <t>Papierherstellung</t>
  </si>
  <si>
    <t>Metallbearbeitung (Wärmebehandlung)</t>
  </si>
  <si>
    <t>Pumpenanwendungen</t>
  </si>
  <si>
    <t>Silizium-Metall (Lichtbogenofen)</t>
  </si>
  <si>
    <t>Graphitelektroden (Graphitierungsofen)</t>
  </si>
  <si>
    <t>Hybrid-Wärmeerzeugungssysteme (Widerstandserhitzer / Wärmepumpe + Erdgas-Brennwertkessel)</t>
  </si>
  <si>
    <t>Gießereien (Induktionsofen)</t>
  </si>
  <si>
    <t>Elektrische Öfen</t>
  </si>
  <si>
    <t>Elektromobilität</t>
  </si>
  <si>
    <t>Industrie gesamt</t>
  </si>
  <si>
    <t>Haushalte gesamt</t>
  </si>
  <si>
    <t>elektrische Direktheizungen</t>
  </si>
  <si>
    <t>Büros und Textilbetriebe gesamt</t>
  </si>
  <si>
    <t>produzierendes Gewerbe gesamt</t>
  </si>
  <si>
    <t>keine Erhöhung, da hohe Auslastung</t>
  </si>
  <si>
    <t>durch Spannungsstufenschalter auch Erhöhungspotenzial bei Auslastung nahe 100 %, da Spannung je Elektrolysezelle erhöht werden kann</t>
  </si>
  <si>
    <t>kein Erhöhungspotenzial wegen hoher Auslastung und geringer Flexibilität</t>
  </si>
  <si>
    <t>kein Erhöhungspotenzial und keine Unterbrechbarkeit von Chargen</t>
  </si>
  <si>
    <t>vor- und nachgelagerte Speichermöglichkeiten bedingen Erhöhungspotenzial</t>
  </si>
  <si>
    <t>Aktivierungsdauer min (h)</t>
  </si>
  <si>
    <t>Stromverbrauch in TWh MIN</t>
  </si>
  <si>
    <t>Stromverbrauch in TWh REF</t>
  </si>
  <si>
    <t>Stromverbrauch in TWh MAX</t>
  </si>
  <si>
    <t>86-91</t>
  </si>
  <si>
    <t>soziotech. Pot. pos. max (MW)</t>
  </si>
  <si>
    <t>Industrie Lastverschiebung (gesamt)</t>
  </si>
  <si>
    <t>Industrie Lastverzicht (gesamt)</t>
  </si>
  <si>
    <t>Potenzial pos. max MW Literatur</t>
  </si>
  <si>
    <t>Potenzial neg. max MW Literatur</t>
  </si>
  <si>
    <t>Durchschnittsauslastung Literatur</t>
  </si>
  <si>
    <t>Durchschnittliche Leistung MW Literatur</t>
  </si>
  <si>
    <t>Durchschnittsauslastung Hochrechnung</t>
  </si>
  <si>
    <t>Durchschnittliche Leistung MW Hochrechnung</t>
  </si>
  <si>
    <t>Maximalleistung MW Literatur</t>
  </si>
  <si>
    <t>Maximalleistung MW Hochrechnung</t>
  </si>
  <si>
    <t>installierte Leistung MW Literatur</t>
  </si>
  <si>
    <t>installierte Leistung MW Hochrechnung</t>
  </si>
  <si>
    <t>10, 67</t>
  </si>
  <si>
    <t>17, 77</t>
  </si>
  <si>
    <t>20, 88</t>
  </si>
  <si>
    <t>Potenzial pos. max MW Referenz</t>
  </si>
  <si>
    <t>Potenzial pos. max MW optimistisch (Szenario 2)</t>
  </si>
  <si>
    <t>Potenzial neg. max MW Referenz</t>
  </si>
  <si>
    <t>Potenzial neg. max MW optimistisch (Szenario 2)</t>
  </si>
  <si>
    <t>flexibilisierbarer Anteil Referenz</t>
  </si>
  <si>
    <t>flexibilisierbarer Anteil optimistisch (Szenario 2)</t>
  </si>
  <si>
    <t>Maximalleistung MW Referenz</t>
  </si>
  <si>
    <t>Maximalleistung MW optimistisch (Szenario 2)</t>
  </si>
  <si>
    <t>Verschiebedauer (h) Referenz</t>
  </si>
  <si>
    <t>Verschiebedauer (h) optimistisch (Szenario 2)</t>
  </si>
  <si>
    <t>90-91</t>
  </si>
  <si>
    <t>Chlor-Alkali-Elektrolyse (Amalgamverfahren)</t>
  </si>
  <si>
    <t>Chlor-Alkali-Elektrolyse (Membranverfahren)</t>
  </si>
  <si>
    <t>Farbe (matplotlib strings)</t>
  </si>
  <si>
    <t>mediumturquoise</t>
  </si>
  <si>
    <t>cornflowerblue</t>
  </si>
  <si>
    <t>darkorange</t>
  </si>
  <si>
    <t>goldenrod</t>
  </si>
  <si>
    <t>peru</t>
  </si>
  <si>
    <t>linen</t>
  </si>
  <si>
    <t>peachpuff</t>
  </si>
  <si>
    <t>chocolate</t>
  </si>
  <si>
    <t>gold</t>
  </si>
  <si>
    <t>dimgrey</t>
  </si>
  <si>
    <t>powderblue</t>
  </si>
  <si>
    <t>lightblue</t>
  </si>
  <si>
    <t>lightskyblue</t>
  </si>
  <si>
    <t>paleturquoise</t>
  </si>
  <si>
    <t>blanchedalmond</t>
  </si>
  <si>
    <t>salmon</t>
  </si>
  <si>
    <t>orangered</t>
  </si>
  <si>
    <t>darkred</t>
  </si>
  <si>
    <t>deepskyblue</t>
  </si>
  <si>
    <t>maroon</t>
  </si>
  <si>
    <t>lightsalmon</t>
  </si>
  <si>
    <t>whitesmoke</t>
  </si>
  <si>
    <t>mistyrose</t>
  </si>
  <si>
    <t>plum</t>
  </si>
  <si>
    <t>purple</t>
  </si>
  <si>
    <t>darkorchid</t>
  </si>
  <si>
    <t>fuchsia</t>
  </si>
  <si>
    <t>deeppink</t>
  </si>
  <si>
    <t>pink</t>
  </si>
  <si>
    <t>indigo</t>
  </si>
  <si>
    <t>darkslateblue</t>
  </si>
  <si>
    <t>tan</t>
  </si>
  <si>
    <t>indianred</t>
  </si>
  <si>
    <t>teal</t>
  </si>
  <si>
    <t>black</t>
  </si>
  <si>
    <t>darkgoldenrod</t>
  </si>
  <si>
    <t>beige</t>
  </si>
  <si>
    <t>darkkhaki</t>
  </si>
  <si>
    <t>lemonchiffon</t>
  </si>
  <si>
    <t>forestgreen</t>
  </si>
  <si>
    <t>yellowgreen</t>
  </si>
  <si>
    <t>blueviolet</t>
  </si>
  <si>
    <t>rosybrown</t>
  </si>
  <si>
    <t>lightseagreen</t>
  </si>
  <si>
    <t>rebeccapurple</t>
  </si>
  <si>
    <t>mechanische Energie (gesamt)</t>
  </si>
  <si>
    <t>aquamarine</t>
  </si>
  <si>
    <t>yellow</t>
  </si>
  <si>
    <t>blue</t>
  </si>
  <si>
    <t>silver</t>
  </si>
  <si>
    <t>olive</t>
  </si>
  <si>
    <t>coral</t>
  </si>
  <si>
    <t>orange</t>
  </si>
  <si>
    <t>wheat</t>
  </si>
  <si>
    <t>red</t>
  </si>
  <si>
    <t>gainsboro</t>
  </si>
  <si>
    <t>QST</t>
  </si>
  <si>
    <t>Einstufung</t>
  </si>
  <si>
    <t>Haushaltsanwendung</t>
  </si>
  <si>
    <t>Power-to-X</t>
  </si>
  <si>
    <t>spez. StV kWh/t min</t>
  </si>
  <si>
    <t>spez. StV kWh/t max</t>
  </si>
  <si>
    <t>35, eigene Berechnung</t>
  </si>
  <si>
    <t>38, 41</t>
  </si>
  <si>
    <t>38, 41, eigene Berechnung</t>
  </si>
  <si>
    <t/>
  </si>
  <si>
    <t>37, 112-113</t>
  </si>
  <si>
    <t>max. Abrufhäufigkeit pro Jahr Lastverschiebung</t>
  </si>
  <si>
    <t>max. Abrufhäufigkeit pro Jahr Lastverzicht</t>
  </si>
  <si>
    <t>Potenzial pos. Lastabwurf MW aus Teillast</t>
  </si>
  <si>
    <t>Befragung: Zellstoffherstellung und Altpapier für LMM ungeeignet</t>
  </si>
  <si>
    <t>Lastabwurf zur Blackout-Prävention; Abstich- / Chargenzeit 50-120 Minuten</t>
  </si>
  <si>
    <t>38, 42</t>
  </si>
  <si>
    <t>38, 43</t>
  </si>
  <si>
    <t>durchgehender Betrieb am Wochenende; diskontinuierlicher Betrieb in der Woche (nachts); Winterstillstand ca. 6 Wochen</t>
  </si>
  <si>
    <t>Rohmehlmühlen und Drehrohröfen für LMM ungeeignet</t>
  </si>
  <si>
    <t>nur Warmwasserspeicher; keine Durchlauferhitzer</t>
  </si>
  <si>
    <t>Erfassung von Minima und Maxima vorgenommen; bei Potenzialen jeweils Wahl des Maximums; bei Zeitdauern, Kosten und sonstigen Kennwerten Bildung arithmetischer Mittelwerte -&gt; Mittelwertbildung im Nachgang stark eingeschränkt, da zusätzliche Datenpunkte Analyseergebnis beeinflussen!</t>
  </si>
  <si>
    <t>Falls kein Auffüllen oder Errechnen aus sonstigen Angaben möglich ist, offen lassen des jeweiligen Kennwertes, was zu heterogenem Stichprobenumfang je Kennwert führt;
soweit möglich: Berechnung fehlender Kennwerte aus den vorhandenen Angaben</t>
  </si>
  <si>
    <t>nur Wasseraufbereitung; in Wasserverteilung kein Potenzial</t>
  </si>
  <si>
    <t>vollständige, kurzfristige Verlagerung</t>
  </si>
  <si>
    <t>Potenzial pos. MW Hochrechnung</t>
  </si>
  <si>
    <t>Potenzial neg. MW Hochrechnung</t>
  </si>
  <si>
    <t>Revisionszeiten</t>
  </si>
  <si>
    <t>Gil 15, Sch 52, eigene Berechnung</t>
  </si>
  <si>
    <t>52, 143-150 (implizit), eigene Annahme</t>
  </si>
  <si>
    <t>Elektrostahlherstellung als Batchprozess in Chargen von 50 bis 120 Minuten; Chargen können verschoben werden</t>
  </si>
  <si>
    <t>Bub, S. 94</t>
  </si>
  <si>
    <t>Nachholung schwierig, da Prozess nur auf ursprüngliches Lastniveau zurückgefahren werden kann</t>
  </si>
  <si>
    <t>Bub13, S. 94</t>
  </si>
  <si>
    <t>Bub13, S. 98</t>
  </si>
  <si>
    <t>15 min für Abschalten, 30 Minuten für Anschalten der Zementmühlen</t>
  </si>
  <si>
    <t>Vollbenutzungsstunden min</t>
  </si>
  <si>
    <t>Vollbenutzungsstunden max</t>
  </si>
  <si>
    <t>Lagerkosten von 7.000 bis 9.000 € -&gt; variabler Kostenanteil maßgeblich abhängig von Zahl der Abrufe</t>
  </si>
  <si>
    <t>Dauer je Charge 30 bis 120 min</t>
  </si>
  <si>
    <t>Durchschnittsauslastung im Betriebszeitraum</t>
  </si>
  <si>
    <t>Schmelzzeit 45 Minuten, 15 Minuten zum Leeren und Befüllen des Ofens</t>
  </si>
  <si>
    <t>flexibilisierbarer Anteil min</t>
  </si>
  <si>
    <t>flexibilisierbarer Anteil max</t>
  </si>
  <si>
    <t>flexibilisierbarer Anteil neg. an Durchschnittsauslastung</t>
  </si>
  <si>
    <t>aqua</t>
  </si>
  <si>
    <t>Prozesskälte Kühlhäuser</t>
  </si>
  <si>
    <t>abweichend von Ausweisung bei Klobasa (2009) der Industrie zugeordnet statt dem GHD-Sektor</t>
  </si>
  <si>
    <t>Fundstelle flexibilisierbarer Anteil</t>
  </si>
  <si>
    <t>-</t>
  </si>
  <si>
    <t>Nutzung Prozesskategorie 1</t>
  </si>
  <si>
    <t>Kühlhäuser</t>
  </si>
  <si>
    <t>Potenzial pos. max MW bei Vollauslastung Lastverzicht</t>
  </si>
  <si>
    <t>Schaltdauer pos. min (h) Lastverzicht</t>
  </si>
  <si>
    <t>Schaltdauer pos. max (h) Lastverzicht</t>
  </si>
  <si>
    <t>Potenzial pos. MW Durchschnitt Lastverzicht</t>
  </si>
  <si>
    <t>Schaltdauer pos. (h) Lastverzicht</t>
  </si>
  <si>
    <t>Potenzial pos. MW Lastverzicht</t>
  </si>
  <si>
    <t>Potenzial pos. max MW Lastverschiebung</t>
  </si>
  <si>
    <t>Potenzial pos. min MW Lastverzicht</t>
  </si>
  <si>
    <t>Versuch, Kennwerte möglichst exakt zu übernehmen; Tool: WebPlot Digitizer</t>
  </si>
  <si>
    <t>max. Abrufhäufigkeit min. pro Jahr Lastverzicht</t>
  </si>
  <si>
    <t>max. Abrufhäufigkeit max. pro Jahr Lastverzicht</t>
  </si>
  <si>
    <t>Potenzial pos. MW Durchschnitt min Lastverzicht</t>
  </si>
  <si>
    <t>Potenzial pos. MW Durchschnitt max Lastverzicht</t>
  </si>
  <si>
    <t>Potenzial pos. MW Winter SFN Lastzverzicht</t>
  </si>
  <si>
    <t>Potenzial pos. MW min Winter SFN Lastzverzicht</t>
  </si>
  <si>
    <t>Potenzial pos. MW max Winter SFN Lastzverzicht</t>
  </si>
  <si>
    <t>Potenzial pos. MW Winter SaT Lastverzicht</t>
  </si>
  <si>
    <t>Potenzial pos. MW min Winter SaT Lastverzicht</t>
  </si>
  <si>
    <t>Potenzial pos. MW max Winter SaT Lastverzicht</t>
  </si>
  <si>
    <t>Potenzial pos. MW Winter WTT Lastverzicht</t>
  </si>
  <si>
    <t>Potenzial pos. MW min Winter WTT Lastverzicht</t>
  </si>
  <si>
    <t>Potenzial pos. MW max Winter WTT Lastverzicht</t>
  </si>
  <si>
    <t>Potenzial pos. MW Übergangszeit SFN Lastverzicht</t>
  </si>
  <si>
    <t>Potenzial pos. MW min Übergangszeit SFN Lastverzicht</t>
  </si>
  <si>
    <t>Potenzial pos. MW max Übergangszeit SFN Lastverzicht</t>
  </si>
  <si>
    <t>Potenzial pos. MW Übergangszeit SaT Lastverzicht</t>
  </si>
  <si>
    <t>Potenzial pos. MW min Übergangszeit SaT Lastverzicht</t>
  </si>
  <si>
    <t>Potenzial pos. MW max Übergangszeit SaT Lastverzicht</t>
  </si>
  <si>
    <t>Potenzial pos. MW Übergangszeit WTT Lastverzicht</t>
  </si>
  <si>
    <t>Potenzial pos. MW min Übergangszeit WTT Lastverzicht</t>
  </si>
  <si>
    <t>Potenzial pos. MW max Übergangszeit WTT Lastverzicht</t>
  </si>
  <si>
    <t>Potenzial pos. MW Sommer SaT Lastverzicht</t>
  </si>
  <si>
    <t>Potenzial pos. MW min Sommer SaT Lastverzicht</t>
  </si>
  <si>
    <t>Potenzial pos. MW max Sommer SaT Lastverzicht</t>
  </si>
  <si>
    <t>Potenzial pos. MW Sommer WTT Lastverzicht</t>
  </si>
  <si>
    <t>Potenzial pos. MW min Sommer WTT Lastverzicht</t>
  </si>
  <si>
    <t>Potenzial pos. MW max Sommer WTT Lastverzicht</t>
  </si>
  <si>
    <t>nicht explizit angegeben, aber implizit bestimmbar</t>
  </si>
  <si>
    <t>wirtschaftliches Potenzial</t>
  </si>
  <si>
    <t>implizit</t>
  </si>
  <si>
    <t>Prozesskategorie</t>
  </si>
  <si>
    <t>Nutzung?</t>
  </si>
  <si>
    <t>Statistisches Bundesamt (Destatis) 2022: Verbraucherpreisindex (inkl. Veränderungsraten): Deutschland, Jahre, https://www-genesis.destatis.de/genesis/online?sequenz=tabelleErgebnis&amp;selectionname=61111-0001&amp;startjahr=1991, Abruf am 20.07.2022, eigene Umrechnung</t>
  </si>
  <si>
    <t>Inflationierung auf Jahr 2020 über Verbraucherpreisindex anhand des Erscheinungsjahres der Studie</t>
  </si>
  <si>
    <t>Sau19</t>
  </si>
  <si>
    <t>Sauer et al. 2019</t>
  </si>
  <si>
    <t>Energieflexibilität in der deutschen Industrie. Ergebnisse aus dem Kopernikus-Projekt - Synchronisierte und energieadaptive Produktionstechnik zur flexiblen Ausrichtung von Industrieprozessen auf eine fluktuierende Energieversorgung (SynErgie).</t>
  </si>
  <si>
    <t>Fundstelle Lasterzicht</t>
  </si>
  <si>
    <t>Sau 479</t>
  </si>
  <si>
    <t>Sau 474</t>
  </si>
  <si>
    <t>Sau 476-477</t>
  </si>
  <si>
    <t>Sau 490</t>
  </si>
  <si>
    <t>Aus XVIII</t>
  </si>
  <si>
    <t>Aus 159</t>
  </si>
  <si>
    <t>Aus 157</t>
  </si>
  <si>
    <t>Aus XVIII, Aus 160</t>
  </si>
  <si>
    <t>Sau 491</t>
  </si>
  <si>
    <t>Sau 515</t>
  </si>
  <si>
    <t>Sau 590</t>
  </si>
  <si>
    <t>Sau 636</t>
  </si>
  <si>
    <t>gleichmäßige Auslastung; Batch.Prozess ca. 2/3 Power-On-Zeit; 1-2 Revisionen von 2-3 Wochen im Sommer / über Weihnachten; effektiv 52 % Power-On-Zeit (ca. 22 % Zeit für Abstich / Nebenzeiten)</t>
  </si>
  <si>
    <t>Sau 479, Aus 64-65</t>
  </si>
  <si>
    <t>Aus 62, Aus 64-65</t>
  </si>
  <si>
    <t>Aus 105</t>
  </si>
  <si>
    <t>Saisonale Schwankungen im Betrieb abhängig von Bauindustrie; in der Hauptsaison (Frühjahr-Herbst) teilweise kein Flexibilisierungspotenzial -&gt; für Zementmühlen; bei Rohmühlen keine starke Saisonalität</t>
  </si>
  <si>
    <t>Aus 20, Aus 112</t>
  </si>
  <si>
    <t>Aus 114</t>
  </si>
  <si>
    <t>Aus XVIII, Aus 120-121</t>
  </si>
  <si>
    <t>Aus XVIII, Aus 122</t>
  </si>
  <si>
    <t>Aus 156</t>
  </si>
  <si>
    <t>Aus XVIII, Aus 158</t>
  </si>
  <si>
    <t>Fundstelle Investitionsausgaben</t>
  </si>
  <si>
    <t>Aus 161</t>
  </si>
  <si>
    <t>Fundstelle Abrufhäufigkeit</t>
  </si>
  <si>
    <t>Aus 175</t>
  </si>
  <si>
    <t>Mue19</t>
  </si>
  <si>
    <t>Müller et al. 2019</t>
  </si>
  <si>
    <t>Regionales Flexibilitäts-Potenzial dezentraler Anlagen</t>
  </si>
  <si>
    <t>Potenzial pos. MW Tag 4 h</t>
  </si>
  <si>
    <t>Potenzial pos. MW Tag 2 h</t>
  </si>
  <si>
    <t>Potenzial pos. MW Tag 30 min</t>
  </si>
  <si>
    <t>Potenzial pos. MW Tag 15 min</t>
  </si>
  <si>
    <t>Potenzial pos. MW Nacht 4 h</t>
  </si>
  <si>
    <t>Potenzial pos. MW Nacht 2 h</t>
  </si>
  <si>
    <t>Potenzial pos. MW Nacht 30 min</t>
  </si>
  <si>
    <t>Potenzial pos. MW Nacht 15 min</t>
  </si>
  <si>
    <t>Werte aus Plot extrahiert</t>
  </si>
  <si>
    <t>Mue 10</t>
  </si>
  <si>
    <t>Potenzial neg. MW Tag 4 h</t>
  </si>
  <si>
    <t>Potenzial neg. MW Tag 2 h</t>
  </si>
  <si>
    <t>Potenzial neg. MW Tag 30 min</t>
  </si>
  <si>
    <t>Potenzial neg. MW Tag 15 min</t>
  </si>
  <si>
    <t>Potenzial neg. MW Nacht 4 h</t>
  </si>
  <si>
    <t>Potenzial neg. MW Nacht 2 h</t>
  </si>
  <si>
    <t>Potenzial neg. MW Nacht 30 min</t>
  </si>
  <si>
    <t>Potenzial neg. MW Nacht 15 min</t>
  </si>
  <si>
    <t>Hei21</t>
  </si>
  <si>
    <t>Heitkötter 2021</t>
  </si>
  <si>
    <t>Assessment of the regionalised demand response potential in Germany using an open source tool and dataset</t>
  </si>
  <si>
    <t>Stromverbrauch in TWh errechnet</t>
  </si>
  <si>
    <t>Werte größtenteils extrahiert aus Zeitreihen</t>
  </si>
  <si>
    <t>errechnet</t>
  </si>
  <si>
    <t>Fundstelle Maximalauslastung</t>
  </si>
  <si>
    <t>Woh20</t>
  </si>
  <si>
    <t>Wohlfahrt et al. 2020</t>
  </si>
  <si>
    <t>Demand response in the service sector – Theoretical, technical and practical potentials</t>
  </si>
  <si>
    <t>Mae18</t>
  </si>
  <si>
    <t>Mäkle-Huß et al. 2018</t>
  </si>
  <si>
    <t>Large-scale demand response and its implications for spot prices, load and policies: Insights from the German-Austrian electricity market</t>
  </si>
  <si>
    <t>Werte extrahiert aus Diagramm mit Webplotdigitizer</t>
  </si>
  <si>
    <t>Jet21</t>
  </si>
  <si>
    <t>Jetter et al. 2021</t>
  </si>
  <si>
    <t>Regionale Lastmanagementpotenziale. Quantifizierung bestehender und zukünftiger Lastmanagementpotenziale in Deutschland</t>
  </si>
  <si>
    <t>flexibilisierbarer Anteil Lastreduktion</t>
  </si>
  <si>
    <t>flexibilisierbarer Anteil Lastverzicht</t>
  </si>
  <si>
    <t>Rechenzentren</t>
  </si>
  <si>
    <t>67-69</t>
  </si>
  <si>
    <t>var. Kosten min. €_2020/MWh</t>
  </si>
  <si>
    <t>var. Kosten max. €_2020/MWh</t>
  </si>
  <si>
    <t>Investitionsausgaben €_2020/kW</t>
  </si>
  <si>
    <t>variable Kosten €_2020/MWh</t>
  </si>
  <si>
    <t>variable Kosten Lastverzicht €_2020/MWh</t>
  </si>
  <si>
    <t>fixe Kosten min. €_2020/kW*a</t>
  </si>
  <si>
    <t>fixe Kosten €_2020/kW*a</t>
  </si>
  <si>
    <t>min. Investitionsausgaben €_2020/kW</t>
  </si>
  <si>
    <t>max. Investitionsausgaben €_2020/kW</t>
  </si>
  <si>
    <t>variable Kosten pos. €_2020/MWh</t>
  </si>
  <si>
    <t>variable Kosten neg. €_2020/MWh</t>
  </si>
  <si>
    <t>Investitionsausgaben je Anschlusspunkt (€_2020)</t>
  </si>
  <si>
    <t>Betriebskosten €_2020/kW*a</t>
  </si>
  <si>
    <t>var. Kosten Lastverschiebung €_2020/MWh</t>
  </si>
  <si>
    <t>var. Kosten Lastverzicht €_2020/MWh min</t>
  </si>
  <si>
    <t>var. Kosten Lastverzicht €_2020/MWh max</t>
  </si>
  <si>
    <t>var. Kosten min. Lastverzicht €_2020/MWh</t>
  </si>
  <si>
    <t>var. Kosten max. Lastverzicht €_2020/MWh</t>
  </si>
  <si>
    <t>fixe Kosten max. €_2020/kW*a</t>
  </si>
  <si>
    <t>Aktivierungskosten [€_2020/MW(h)]</t>
  </si>
  <si>
    <t>var. Kosten Lastverzicht €_2020/MWh</t>
  </si>
  <si>
    <t>fixe Kosten max €_2020/kW*a</t>
  </si>
  <si>
    <t>var. Kosten min. Lastverschiebung €_2020/MWh</t>
  </si>
  <si>
    <t>var. Kosten max. Lastverschiebung €_2020/MWh</t>
  </si>
  <si>
    <t>fixe Kosten €_2020/a</t>
  </si>
  <si>
    <t>var. Kosten Lastverschiebung €_2020/MWh min</t>
  </si>
  <si>
    <t>var. Kosten Lastverschiebung €_2020/MWh max</t>
  </si>
  <si>
    <t>fixe Kosten €_2020/kW*a min</t>
  </si>
  <si>
    <t>fixe Kosten €_2020/kW*a max</t>
  </si>
  <si>
    <t>variable Kosten €_2020/kWh</t>
  </si>
  <si>
    <t>KÜH</t>
  </si>
  <si>
    <t>KÜS</t>
  </si>
  <si>
    <t>LAW</t>
  </si>
  <si>
    <t>GIE</t>
  </si>
  <si>
    <t>CHL</t>
  </si>
  <si>
    <t>PAP</t>
  </si>
  <si>
    <t>ZEM</t>
  </si>
  <si>
    <t>BEL</t>
  </si>
  <si>
    <t>PRO</t>
  </si>
  <si>
    <t>WAR</t>
  </si>
  <si>
    <t>NOT</t>
  </si>
  <si>
    <t>WAS</t>
  </si>
  <si>
    <t>WÄS</t>
  </si>
  <si>
    <t>GES</t>
  </si>
  <si>
    <t>ERN</t>
  </si>
  <si>
    <t>CHE</t>
  </si>
  <si>
    <t>MET</t>
  </si>
  <si>
    <t>KFZ</t>
  </si>
  <si>
    <t>MAS</t>
  </si>
  <si>
    <t>GLA</t>
  </si>
  <si>
    <t>IND</t>
  </si>
  <si>
    <t>DRU</t>
  </si>
  <si>
    <t>ABW</t>
  </si>
  <si>
    <t>BÜR</t>
  </si>
  <si>
    <t>HAN</t>
  </si>
  <si>
    <t>GAS</t>
  </si>
  <si>
    <t>BÄD</t>
  </si>
  <si>
    <t>BAU</t>
  </si>
  <si>
    <t>PUM</t>
  </si>
  <si>
    <t>KÄL</t>
  </si>
  <si>
    <t>ZER</t>
  </si>
  <si>
    <t>HAU</t>
  </si>
  <si>
    <t>LUF</t>
  </si>
  <si>
    <t>KUZ</t>
  </si>
  <si>
    <t>HOZ</t>
  </si>
  <si>
    <t>ALU</t>
  </si>
  <si>
    <t>TRO</t>
  </si>
  <si>
    <t>ALP</t>
  </si>
  <si>
    <t>KÜL</t>
  </si>
  <si>
    <t>KÜK</t>
  </si>
  <si>
    <t>KLK</t>
  </si>
  <si>
    <t>PUW</t>
  </si>
  <si>
    <t>PRH</t>
  </si>
  <si>
    <t>STK</t>
  </si>
  <si>
    <t>EST</t>
  </si>
  <si>
    <t>LÜF</t>
  </si>
  <si>
    <t>PRK</t>
  </si>
  <si>
    <t>NSH</t>
  </si>
  <si>
    <t>WP</t>
  </si>
  <si>
    <t>HUP</t>
  </si>
  <si>
    <t>WW</t>
  </si>
  <si>
    <t>PAM</t>
  </si>
  <si>
    <t>PRW</t>
  </si>
  <si>
    <t>GAB</t>
  </si>
  <si>
    <t>C+L</t>
  </si>
  <si>
    <t>CAC</t>
  </si>
  <si>
    <t>Z+B</t>
  </si>
  <si>
    <t>HYW</t>
  </si>
  <si>
    <t>EHK</t>
  </si>
  <si>
    <t>ELM</t>
  </si>
  <si>
    <t>PtG</t>
  </si>
  <si>
    <t>PtH</t>
  </si>
  <si>
    <t>ELÖ</t>
  </si>
  <si>
    <t>ELD</t>
  </si>
  <si>
    <t>RW</t>
  </si>
  <si>
    <t>ELH</t>
  </si>
  <si>
    <t>SPÜ</t>
  </si>
  <si>
    <t>Prozesskategorie short</t>
  </si>
  <si>
    <t>REZ</t>
  </si>
  <si>
    <t>green</t>
  </si>
  <si>
    <t>palevioletred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</si>
</sst>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€_-;\-* #,##0.00\ _€_-;_-* &quot;-&quot;??\ _€_-;_-@_-"/>
    <numFmt numFmtId="164" formatCode="0.0"/>
    <numFmt numFmtId="165" formatCode="#,##0.0"/>
    <numFmt numFmtId="166" formatCode="#,##0.000"/>
    <numFmt numFmtId="167" formatCode="#,##0.0000"/>
    <numFmt numFmtId="168" formatCode="0.0%"/>
    <numFmt numFmtId="169" formatCode="_-* #,##0.0\ _€_-;\-* #,##0.0\ _€_-;_-* &quot;-&quot;??\ _€_-;_-@_-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Arial"/>
      <family val="2"/>
    </font>
    <font>
      <b/>
      <sz val="9"/>
      <color indexed="81"/>
      <name val="Segoe U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2" fillId="0" borderId="1" xfId="0" applyFont="1" applyBorder="1"/>
    <xf numFmtId="0" fontId="1" fillId="2" borderId="2" xfId="0" applyFont="1" applyFill="1" applyBorder="1"/>
    <xf numFmtId="0" fontId="1" fillId="2" borderId="0" xfId="0" applyFont="1" applyFill="1"/>
    <xf numFmtId="9" fontId="1" fillId="0" borderId="0" xfId="0" applyNumberFormat="1" applyFont="1"/>
    <xf numFmtId="164" fontId="1" fillId="0" borderId="0" xfId="0" applyNumberFormat="1" applyFont="1"/>
    <xf numFmtId="9" fontId="1" fillId="0" borderId="0" xfId="1" applyFont="1"/>
    <xf numFmtId="0" fontId="4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/>
    <xf numFmtId="9" fontId="1" fillId="2" borderId="0" xfId="1" applyFont="1" applyFill="1"/>
    <xf numFmtId="0" fontId="6" fillId="0" borderId="0" xfId="0" applyFont="1"/>
    <xf numFmtId="165" fontId="1" fillId="2" borderId="0" xfId="0" applyNumberFormat="1" applyFont="1" applyFill="1"/>
    <xf numFmtId="165" fontId="1" fillId="0" borderId="0" xfId="0" applyNumberFormat="1" applyFont="1"/>
    <xf numFmtId="165" fontId="1" fillId="0" borderId="0" xfId="1" applyNumberFormat="1" applyFont="1"/>
    <xf numFmtId="0" fontId="8" fillId="0" borderId="0" xfId="0" applyFont="1"/>
    <xf numFmtId="165" fontId="8" fillId="0" borderId="0" xfId="0" applyNumberFormat="1" applyFont="1"/>
    <xf numFmtId="165" fontId="8" fillId="0" borderId="0" xfId="1" applyNumberFormat="1" applyFont="1"/>
    <xf numFmtId="9" fontId="8" fillId="0" borderId="0" xfId="1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4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9" fillId="0" borderId="0" xfId="0" applyFont="1"/>
    <xf numFmtId="165" fontId="9" fillId="0" borderId="0" xfId="0" applyNumberFormat="1" applyFont="1"/>
    <xf numFmtId="165" fontId="9" fillId="0" borderId="0" xfId="1" applyNumberFormat="1" applyFont="1"/>
    <xf numFmtId="9" fontId="9" fillId="0" borderId="0" xfId="1" applyFont="1"/>
    <xf numFmtId="164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/>
    <xf numFmtId="10" fontId="1" fillId="0" borderId="0" xfId="0" applyNumberFormat="1" applyFont="1"/>
    <xf numFmtId="10" fontId="1" fillId="2" borderId="0" xfId="0" applyNumberFormat="1" applyFont="1" applyFill="1"/>
    <xf numFmtId="168" fontId="1" fillId="0" borderId="0" xfId="0" applyNumberFormat="1" applyFont="1"/>
    <xf numFmtId="168" fontId="1" fillId="0" borderId="0" xfId="1" applyNumberFormat="1" applyFont="1"/>
    <xf numFmtId="1" fontId="1" fillId="0" borderId="0" xfId="0" applyNumberFormat="1" applyFont="1"/>
    <xf numFmtId="1" fontId="1" fillId="0" borderId="0" xfId="1" applyNumberFormat="1" applyFont="1"/>
    <xf numFmtId="2" fontId="1" fillId="0" borderId="0" xfId="1" applyNumberFormat="1" applyFont="1"/>
    <xf numFmtId="168" fontId="9" fillId="0" borderId="0" xfId="0" applyNumberFormat="1" applyFont="1"/>
    <xf numFmtId="9" fontId="9" fillId="0" borderId="0" xfId="0" applyNumberFormat="1" applyFont="1"/>
    <xf numFmtId="3" fontId="1" fillId="0" borderId="0" xfId="1" applyNumberFormat="1" applyFont="1"/>
    <xf numFmtId="3" fontId="8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8" fillId="0" borderId="0" xfId="0" applyNumberFormat="1" applyFont="1"/>
    <xf numFmtId="0" fontId="1" fillId="3" borderId="0" xfId="0" applyFont="1" applyFill="1"/>
    <xf numFmtId="0" fontId="2" fillId="0" borderId="0" xfId="0" applyFont="1" applyAlignment="1">
      <alignment horizontal="center" vertical="top"/>
    </xf>
    <xf numFmtId="0" fontId="1" fillId="0" borderId="0" xfId="0" quotePrefix="1" applyFont="1"/>
    <xf numFmtId="0" fontId="11" fillId="0" borderId="0" xfId="0" applyFont="1"/>
    <xf numFmtId="165" fontId="11" fillId="0" borderId="0" xfId="0" applyNumberFormat="1" applyFont="1"/>
    <xf numFmtId="165" fontId="11" fillId="0" borderId="0" xfId="1" applyNumberFormat="1" applyFont="1"/>
    <xf numFmtId="9" fontId="11" fillId="0" borderId="0" xfId="1" applyNumberFormat="1" applyFont="1"/>
    <xf numFmtId="9" fontId="11" fillId="0" borderId="0" xfId="1" applyFont="1"/>
    <xf numFmtId="0" fontId="11" fillId="0" borderId="0" xfId="0" applyNumberFormat="1" applyFont="1"/>
    <xf numFmtId="164" fontId="11" fillId="0" borderId="0" xfId="0" applyNumberFormat="1" applyFont="1"/>
    <xf numFmtId="0" fontId="11" fillId="0" borderId="0" xfId="0" applyFont="1" applyAlignment="1">
      <alignment horizontal="right"/>
    </xf>
    <xf numFmtId="0" fontId="11" fillId="0" borderId="0" xfId="0" applyFont="1" applyAlignment="1"/>
    <xf numFmtId="9" fontId="1" fillId="0" borderId="0" xfId="1" applyNumberFormat="1" applyFont="1"/>
    <xf numFmtId="0" fontId="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65" fontId="12" fillId="0" borderId="0" xfId="1" applyNumberFormat="1" applyFont="1"/>
    <xf numFmtId="9" fontId="12" fillId="0" borderId="0" xfId="1" applyNumberFormat="1" applyFont="1"/>
    <xf numFmtId="164" fontId="12" fillId="0" borderId="0" xfId="0" applyNumberFormat="1" applyFont="1"/>
    <xf numFmtId="0" fontId="12" fillId="0" borderId="0" xfId="0" applyFont="1" applyAlignment="1">
      <alignment horizontal="right"/>
    </xf>
    <xf numFmtId="3" fontId="9" fillId="0" borderId="0" xfId="1" applyNumberFormat="1" applyFont="1"/>
    <xf numFmtId="3" fontId="12" fillId="0" borderId="0" xfId="1" applyNumberFormat="1" applyFont="1"/>
    <xf numFmtId="0" fontId="13" fillId="0" borderId="0" xfId="0" applyFont="1"/>
    <xf numFmtId="165" fontId="13" fillId="0" borderId="0" xfId="0" applyNumberFormat="1" applyFont="1"/>
    <xf numFmtId="165" fontId="13" fillId="0" borderId="0" xfId="1" applyNumberFormat="1" applyFont="1"/>
    <xf numFmtId="0" fontId="13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Fill="1"/>
    <xf numFmtId="165" fontId="1" fillId="0" borderId="0" xfId="0" applyNumberFormat="1" applyFont="1" applyFill="1"/>
    <xf numFmtId="3" fontId="1" fillId="0" borderId="0" xfId="0" applyNumberFormat="1" applyFont="1" applyFill="1"/>
    <xf numFmtId="9" fontId="1" fillId="0" borderId="0" xfId="1" applyFont="1" applyFill="1"/>
    <xf numFmtId="3" fontId="1" fillId="0" borderId="0" xfId="1" applyNumberFormat="1" applyFont="1" applyFill="1"/>
    <xf numFmtId="164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1" fillId="0" borderId="0" xfId="0" applyFont="1" applyFill="1"/>
    <xf numFmtId="166" fontId="1" fillId="0" borderId="0" xfId="1" applyNumberFormat="1" applyFont="1"/>
    <xf numFmtId="3" fontId="11" fillId="0" borderId="0" xfId="1" applyNumberFormat="1" applyFont="1"/>
    <xf numFmtId="0" fontId="1" fillId="0" borderId="0" xfId="0" applyFont="1" applyAlignment="1">
      <alignment wrapText="1"/>
    </xf>
    <xf numFmtId="0" fontId="2" fillId="0" borderId="3" xfId="0" applyFont="1" applyBorder="1"/>
    <xf numFmtId="0" fontId="1" fillId="2" borderId="3" xfId="0" applyFont="1" applyFill="1" applyBorder="1"/>
    <xf numFmtId="0" fontId="14" fillId="2" borderId="3" xfId="0" applyFont="1" applyFill="1" applyBorder="1"/>
    <xf numFmtId="0" fontId="14" fillId="0" borderId="0" xfId="0" applyFont="1"/>
    <xf numFmtId="0" fontId="14" fillId="2" borderId="0" xfId="0" applyFont="1" applyFill="1"/>
    <xf numFmtId="0" fontId="1" fillId="0" borderId="2" xfId="0" applyFont="1" applyBorder="1"/>
    <xf numFmtId="0" fontId="14" fillId="0" borderId="2" xfId="0" applyFont="1" applyBorder="1"/>
    <xf numFmtId="164" fontId="15" fillId="0" borderId="0" xfId="0" applyNumberFormat="1" applyFont="1"/>
    <xf numFmtId="165" fontId="15" fillId="0" borderId="0" xfId="0" applyNumberFormat="1" applyFont="1"/>
    <xf numFmtId="0" fontId="15" fillId="0" borderId="0" xfId="0" applyFont="1"/>
    <xf numFmtId="0" fontId="15" fillId="0" borderId="0" xfId="0" applyNumberFormat="1" applyFont="1"/>
    <xf numFmtId="1" fontId="11" fillId="0" borderId="0" xfId="0" applyNumberFormat="1" applyFont="1"/>
    <xf numFmtId="0" fontId="16" fillId="0" borderId="0" xfId="0" applyFont="1" applyFill="1"/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Border="1"/>
    <xf numFmtId="0" fontId="14" fillId="2" borderId="0" xfId="0" applyFont="1" applyFill="1" applyBorder="1"/>
    <xf numFmtId="0" fontId="14" fillId="0" borderId="0" xfId="0" applyFont="1" applyBorder="1"/>
    <xf numFmtId="0" fontId="0" fillId="0" borderId="0" xfId="0" applyBorder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6" fillId="0" borderId="0" xfId="0" applyFont="1"/>
    <xf numFmtId="165" fontId="16" fillId="0" borderId="0" xfId="0" applyNumberFormat="1" applyFont="1"/>
    <xf numFmtId="0" fontId="16" fillId="0" borderId="0" xfId="0" applyFont="1" applyAlignment="1">
      <alignment horizontal="right"/>
    </xf>
    <xf numFmtId="0" fontId="16" fillId="0" borderId="0" xfId="0" applyNumberFormat="1" applyFont="1"/>
    <xf numFmtId="165" fontId="6" fillId="0" borderId="0" xfId="0" applyNumberFormat="1" applyFont="1"/>
    <xf numFmtId="0" fontId="6" fillId="0" borderId="0" xfId="0" applyNumberFormat="1" applyFont="1"/>
    <xf numFmtId="0" fontId="17" fillId="0" borderId="0" xfId="0" applyFont="1"/>
    <xf numFmtId="165" fontId="2" fillId="0" borderId="0" xfId="0" applyNumberFormat="1" applyFont="1"/>
    <xf numFmtId="9" fontId="16" fillId="0" borderId="0" xfId="1" applyFont="1"/>
    <xf numFmtId="2" fontId="0" fillId="0" borderId="0" xfId="0" applyNumberFormat="1"/>
    <xf numFmtId="0" fontId="0" fillId="0" borderId="0" xfId="0" applyFont="1" applyBorder="1" applyAlignment="1">
      <alignment horizontal="left" vertical="top"/>
    </xf>
    <xf numFmtId="2" fontId="18" fillId="0" borderId="0" xfId="0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 wrapText="1"/>
    </xf>
    <xf numFmtId="2" fontId="1" fillId="2" borderId="0" xfId="0" applyNumberFormat="1" applyFont="1" applyFill="1"/>
    <xf numFmtId="9" fontId="1" fillId="0" borderId="0" xfId="0" applyNumberFormat="1" applyFont="1" applyFill="1"/>
    <xf numFmtId="0" fontId="20" fillId="0" borderId="0" xfId="0" applyFont="1"/>
    <xf numFmtId="0" fontId="20" fillId="0" borderId="0" xfId="0" applyFont="1" applyAlignment="1">
      <alignment horizontal="right"/>
    </xf>
    <xf numFmtId="0" fontId="20" fillId="2" borderId="0" xfId="0" applyFont="1" applyFill="1"/>
    <xf numFmtId="2" fontId="1" fillId="0" borderId="0" xfId="0" applyNumberFormat="1" applyFont="1" applyFill="1"/>
    <xf numFmtId="169" fontId="1" fillId="0" borderId="0" xfId="2" applyNumberFormat="1" applyFont="1" applyFill="1"/>
    <xf numFmtId="0" fontId="20" fillId="0" borderId="0" xfId="0" applyFont="1" applyFill="1"/>
    <xf numFmtId="9" fontId="1" fillId="0" borderId="0" xfId="1" applyFont="1" applyFill="1" applyBorder="1"/>
    <xf numFmtId="9" fontId="1" fillId="0" borderId="4" xfId="1" applyFont="1" applyFill="1" applyBorder="1"/>
    <xf numFmtId="9" fontId="20" fillId="0" borderId="0" xfId="1" applyNumberFormat="1" applyFont="1" applyFill="1"/>
    <xf numFmtId="0" fontId="21" fillId="0" borderId="0" xfId="0" applyFont="1" applyFill="1"/>
  </cellXfs>
  <cellStyles count="3">
    <cellStyle name="Komma" xfId="2" builtinId="3"/>
    <cellStyle name="Prozent" xfId="1" builtinId="5"/>
    <cellStyle name="Standard" xfId="0" builtinId="0"/>
  </cellStyles>
  <dxfs count="19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2" formatCode="0.00"/>
    </dxf>
    <dxf>
      <font>
        <sz val="10"/>
        <name val="Arial"/>
        <family val="2"/>
        <scheme val="none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pivotCacheDefinition" Target="pivotCache/pivotCacheDefinition1.xml"/><Relationship Id="rId55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[Potenziale_Lastmanagement.xlsx]Pivot_Example_Pel16!PivotTable1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Pivot_Example_Pel16!$B$4</c:f>
              <c:strCache>
                <c:ptCount val="1"/>
                <c:pt idx="0">
                  <c:v>Summe von Potenzial pos. max 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Pivot_Example_Pel16!$A$5:$A$89</c:f>
              <c:multiLvlStrCache>
                <c:ptCount val="66"/>
                <c:lvl>
                  <c:pt idx="0">
                    <c:v>2010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2015</c:v>
                  </c:pt>
                  <c:pt idx="6">
                    <c:v>2020</c:v>
                  </c:pt>
                  <c:pt idx="7">
                    <c:v>2025</c:v>
                  </c:pt>
                  <c:pt idx="8">
                    <c:v>2030</c:v>
                  </c:pt>
                  <c:pt idx="9">
                    <c:v>2015</c:v>
                  </c:pt>
                  <c:pt idx="10">
                    <c:v>2020</c:v>
                  </c:pt>
                  <c:pt idx="11">
                    <c:v>2025</c:v>
                  </c:pt>
                  <c:pt idx="12">
                    <c:v>2030</c:v>
                  </c:pt>
                  <c:pt idx="13">
                    <c:v>2015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2015</c:v>
                  </c:pt>
                  <c:pt idx="18">
                    <c:v>2020</c:v>
                  </c:pt>
                  <c:pt idx="19">
                    <c:v>2025</c:v>
                  </c:pt>
                  <c:pt idx="20">
                    <c:v>2030</c:v>
                  </c:pt>
                  <c:pt idx="21">
                    <c:v>2010</c:v>
                  </c:pt>
                  <c:pt idx="22">
                    <c:v>2015</c:v>
                  </c:pt>
                  <c:pt idx="23">
                    <c:v>2020</c:v>
                  </c:pt>
                  <c:pt idx="24">
                    <c:v>2025</c:v>
                  </c:pt>
                  <c:pt idx="25">
                    <c:v>2030</c:v>
                  </c:pt>
                  <c:pt idx="26">
                    <c:v>2010</c:v>
                  </c:pt>
                  <c:pt idx="27">
                    <c:v>2015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2015</c:v>
                  </c:pt>
                  <c:pt idx="32">
                    <c:v>2020</c:v>
                  </c:pt>
                  <c:pt idx="33">
                    <c:v>2025</c:v>
                  </c:pt>
                  <c:pt idx="34">
                    <c:v>2030</c:v>
                  </c:pt>
                  <c:pt idx="35">
                    <c:v>2015</c:v>
                  </c:pt>
                  <c:pt idx="36">
                    <c:v>2020</c:v>
                  </c:pt>
                  <c:pt idx="37">
                    <c:v>2025</c:v>
                  </c:pt>
                  <c:pt idx="38">
                    <c:v>2030</c:v>
                  </c:pt>
                  <c:pt idx="39">
                    <c:v>2015</c:v>
                  </c:pt>
                  <c:pt idx="40">
                    <c:v>2020</c:v>
                  </c:pt>
                  <c:pt idx="41">
                    <c:v>2025</c:v>
                  </c:pt>
                  <c:pt idx="42">
                    <c:v>2030</c:v>
                  </c:pt>
                  <c:pt idx="43">
                    <c:v>2010</c:v>
                  </c:pt>
                  <c:pt idx="44">
                    <c:v>2015</c:v>
                  </c:pt>
                  <c:pt idx="45">
                    <c:v>2020</c:v>
                  </c:pt>
                  <c:pt idx="46">
                    <c:v>2025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2020</c:v>
                  </c:pt>
                  <c:pt idx="50">
                    <c:v>2025</c:v>
                  </c:pt>
                  <c:pt idx="51">
                    <c:v>2030</c:v>
                  </c:pt>
                  <c:pt idx="52">
                    <c:v>2010</c:v>
                  </c:pt>
                  <c:pt idx="53">
                    <c:v>2015</c:v>
                  </c:pt>
                  <c:pt idx="54">
                    <c:v>2020</c:v>
                  </c:pt>
                  <c:pt idx="55">
                    <c:v>2025</c:v>
                  </c:pt>
                  <c:pt idx="56">
                    <c:v>2030</c:v>
                  </c:pt>
                  <c:pt idx="57">
                    <c:v>2010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2015</c:v>
                  </c:pt>
                  <c:pt idx="63">
                    <c:v>2020</c:v>
                  </c:pt>
                  <c:pt idx="64">
                    <c:v>2025</c:v>
                  </c:pt>
                  <c:pt idx="65">
                    <c:v>2030</c:v>
                  </c:pt>
                </c:lvl>
                <c:lvl>
                  <c:pt idx="0">
                    <c:v>Beleuchtung</c:v>
                  </c:pt>
                  <c:pt idx="1">
                    <c:v>Belüftung gesamt</c:v>
                  </c:pt>
                  <c:pt idx="5">
                    <c:v>Chlor-Alkali-Elektrolyse</c:v>
                  </c:pt>
                  <c:pt idx="9">
                    <c:v>Druckluft gesamt</c:v>
                  </c:pt>
                  <c:pt idx="13">
                    <c:v>Elektrostahlherstellung</c:v>
                  </c:pt>
                  <c:pt idx="17">
                    <c:v>Holzstoffherstellung</c:v>
                  </c:pt>
                  <c:pt idx="21">
                    <c:v>Kälteanwendungen gesamt</c:v>
                  </c:pt>
                  <c:pt idx="22">
                    <c:v>Kühl- und Gefrieranwendungen</c:v>
                  </c:pt>
                  <c:pt idx="26">
                    <c:v>Nachtspeicher Haushalte</c:v>
                  </c:pt>
                  <c:pt idx="31">
                    <c:v>Papiermaschinen</c:v>
                  </c:pt>
                  <c:pt idx="35">
                    <c:v>Primäraluminiumelektrolyse</c:v>
                  </c:pt>
                  <c:pt idx="39">
                    <c:v>Prozesskälte gesamt</c:v>
                  </c:pt>
                  <c:pt idx="43">
                    <c:v>Pumpen gesamt</c:v>
                  </c:pt>
                  <c:pt idx="44">
                    <c:v>QST gesamt</c:v>
                  </c:pt>
                  <c:pt idx="48">
                    <c:v>Zementherstellung</c:v>
                  </c:pt>
                  <c:pt idx="52">
                    <c:v>Wärmepumpen</c:v>
                  </c:pt>
                  <c:pt idx="57">
                    <c:v>Warmwasser Haushalte</c:v>
                  </c:pt>
                  <c:pt idx="62">
                    <c:v>Weiße Ware (ohne Kühlung) gesamt</c:v>
                  </c:pt>
                </c:lvl>
              </c:multiLvlStrCache>
            </c:multiLvlStrRef>
          </c:cat>
          <c:val>
            <c:numRef>
              <c:f>Pivot_Example_Pel16!$B$5:$B$89</c:f>
              <c:numCache>
                <c:formatCode>General</c:formatCode>
                <c:ptCount val="66"/>
                <c:pt idx="1">
                  <c:v>1000</c:v>
                </c:pt>
                <c:pt idx="5">
                  <c:v>593</c:v>
                </c:pt>
                <c:pt idx="6">
                  <c:v>539.8955223880597</c:v>
                </c:pt>
                <c:pt idx="7">
                  <c:v>706.09286898839139</c:v>
                </c:pt>
                <c:pt idx="8">
                  <c:v>699.20895522388059</c:v>
                </c:pt>
                <c:pt idx="9">
                  <c:v>2000</c:v>
                </c:pt>
                <c:pt idx="13">
                  <c:v>713</c:v>
                </c:pt>
                <c:pt idx="14">
                  <c:v>710.15936254980079</c:v>
                </c:pt>
                <c:pt idx="15">
                  <c:v>731.93758300132811</c:v>
                </c:pt>
                <c:pt idx="16">
                  <c:v>714.89375830013284</c:v>
                </c:pt>
                <c:pt idx="17">
                  <c:v>311</c:v>
                </c:pt>
                <c:pt idx="18">
                  <c:v>288.83847980997626</c:v>
                </c:pt>
                <c:pt idx="19">
                  <c:v>255.59619952494063</c:v>
                </c:pt>
                <c:pt idx="20">
                  <c:v>226.78622327790976</c:v>
                </c:pt>
                <c:pt idx="22">
                  <c:v>0</c:v>
                </c:pt>
                <c:pt idx="23">
                  <c:v>300</c:v>
                </c:pt>
                <c:pt idx="24">
                  <c:v>700</c:v>
                </c:pt>
                <c:pt idx="25">
                  <c:v>1200</c:v>
                </c:pt>
                <c:pt idx="26">
                  <c:v>9400</c:v>
                </c:pt>
                <c:pt idx="27">
                  <c:v>9000</c:v>
                </c:pt>
                <c:pt idx="28">
                  <c:v>7300</c:v>
                </c:pt>
                <c:pt idx="29">
                  <c:v>5600</c:v>
                </c:pt>
                <c:pt idx="30">
                  <c:v>3900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281</c:v>
                </c:pt>
                <c:pt idx="36">
                  <c:v>277</c:v>
                </c:pt>
                <c:pt idx="37">
                  <c:v>257</c:v>
                </c:pt>
                <c:pt idx="38">
                  <c:v>238</c:v>
                </c:pt>
                <c:pt idx="39">
                  <c:v>1000</c:v>
                </c:pt>
                <c:pt idx="44">
                  <c:v>1177</c:v>
                </c:pt>
                <c:pt idx="45">
                  <c:v>1101</c:v>
                </c:pt>
                <c:pt idx="46">
                  <c:v>1142</c:v>
                </c:pt>
                <c:pt idx="47">
                  <c:v>1179</c:v>
                </c:pt>
                <c:pt idx="48">
                  <c:v>154</c:v>
                </c:pt>
                <c:pt idx="49">
                  <c:v>152.22988505747128</c:v>
                </c:pt>
                <c:pt idx="50">
                  <c:v>151.34482758620689</c:v>
                </c:pt>
                <c:pt idx="51">
                  <c:v>149.57471264367817</c:v>
                </c:pt>
                <c:pt idx="52">
                  <c:v>990</c:v>
                </c:pt>
                <c:pt idx="53">
                  <c:v>1000</c:v>
                </c:pt>
                <c:pt idx="54">
                  <c:v>1500</c:v>
                </c:pt>
                <c:pt idx="55">
                  <c:v>1900</c:v>
                </c:pt>
                <c:pt idx="56">
                  <c:v>2400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0</c:v>
                </c:pt>
                <c:pt idx="63">
                  <c:v>700</c:v>
                </c:pt>
                <c:pt idx="64">
                  <c:v>1600</c:v>
                </c:pt>
                <c:pt idx="65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5-4E78-BB33-B2CB88A14E0E}"/>
            </c:ext>
          </c:extLst>
        </c:ser>
        <c:ser>
          <c:idx val="1"/>
          <c:order val="1"/>
          <c:tx>
            <c:strRef>
              <c:f>Pivot_Example_Pel16!$C$4</c:f>
              <c:strCache>
                <c:ptCount val="1"/>
                <c:pt idx="0">
                  <c:v>Summe von Potenzial neg. max MW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Pivot_Example_Pel16!$A$5:$A$89</c:f>
              <c:multiLvlStrCache>
                <c:ptCount val="66"/>
                <c:lvl>
                  <c:pt idx="0">
                    <c:v>2010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2015</c:v>
                  </c:pt>
                  <c:pt idx="6">
                    <c:v>2020</c:v>
                  </c:pt>
                  <c:pt idx="7">
                    <c:v>2025</c:v>
                  </c:pt>
                  <c:pt idx="8">
                    <c:v>2030</c:v>
                  </c:pt>
                  <c:pt idx="9">
                    <c:v>2015</c:v>
                  </c:pt>
                  <c:pt idx="10">
                    <c:v>2020</c:v>
                  </c:pt>
                  <c:pt idx="11">
                    <c:v>2025</c:v>
                  </c:pt>
                  <c:pt idx="12">
                    <c:v>2030</c:v>
                  </c:pt>
                  <c:pt idx="13">
                    <c:v>2015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2015</c:v>
                  </c:pt>
                  <c:pt idx="18">
                    <c:v>2020</c:v>
                  </c:pt>
                  <c:pt idx="19">
                    <c:v>2025</c:v>
                  </c:pt>
                  <c:pt idx="20">
                    <c:v>2030</c:v>
                  </c:pt>
                  <c:pt idx="21">
                    <c:v>2010</c:v>
                  </c:pt>
                  <c:pt idx="22">
                    <c:v>2015</c:v>
                  </c:pt>
                  <c:pt idx="23">
                    <c:v>2020</c:v>
                  </c:pt>
                  <c:pt idx="24">
                    <c:v>2025</c:v>
                  </c:pt>
                  <c:pt idx="25">
                    <c:v>2030</c:v>
                  </c:pt>
                  <c:pt idx="26">
                    <c:v>2010</c:v>
                  </c:pt>
                  <c:pt idx="27">
                    <c:v>2015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2015</c:v>
                  </c:pt>
                  <c:pt idx="32">
                    <c:v>2020</c:v>
                  </c:pt>
                  <c:pt idx="33">
                    <c:v>2025</c:v>
                  </c:pt>
                  <c:pt idx="34">
                    <c:v>2030</c:v>
                  </c:pt>
                  <c:pt idx="35">
                    <c:v>2015</c:v>
                  </c:pt>
                  <c:pt idx="36">
                    <c:v>2020</c:v>
                  </c:pt>
                  <c:pt idx="37">
                    <c:v>2025</c:v>
                  </c:pt>
                  <c:pt idx="38">
                    <c:v>2030</c:v>
                  </c:pt>
                  <c:pt idx="39">
                    <c:v>2015</c:v>
                  </c:pt>
                  <c:pt idx="40">
                    <c:v>2020</c:v>
                  </c:pt>
                  <c:pt idx="41">
                    <c:v>2025</c:v>
                  </c:pt>
                  <c:pt idx="42">
                    <c:v>2030</c:v>
                  </c:pt>
                  <c:pt idx="43">
                    <c:v>2010</c:v>
                  </c:pt>
                  <c:pt idx="44">
                    <c:v>2015</c:v>
                  </c:pt>
                  <c:pt idx="45">
                    <c:v>2020</c:v>
                  </c:pt>
                  <c:pt idx="46">
                    <c:v>2025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2020</c:v>
                  </c:pt>
                  <c:pt idx="50">
                    <c:v>2025</c:v>
                  </c:pt>
                  <c:pt idx="51">
                    <c:v>2030</c:v>
                  </c:pt>
                  <c:pt idx="52">
                    <c:v>2010</c:v>
                  </c:pt>
                  <c:pt idx="53">
                    <c:v>2015</c:v>
                  </c:pt>
                  <c:pt idx="54">
                    <c:v>2020</c:v>
                  </c:pt>
                  <c:pt idx="55">
                    <c:v>2025</c:v>
                  </c:pt>
                  <c:pt idx="56">
                    <c:v>2030</c:v>
                  </c:pt>
                  <c:pt idx="57">
                    <c:v>2010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2015</c:v>
                  </c:pt>
                  <c:pt idx="63">
                    <c:v>2020</c:v>
                  </c:pt>
                  <c:pt idx="64">
                    <c:v>2025</c:v>
                  </c:pt>
                  <c:pt idx="65">
                    <c:v>2030</c:v>
                  </c:pt>
                </c:lvl>
                <c:lvl>
                  <c:pt idx="0">
                    <c:v>Beleuchtung</c:v>
                  </c:pt>
                  <c:pt idx="1">
                    <c:v>Belüftung gesamt</c:v>
                  </c:pt>
                  <c:pt idx="5">
                    <c:v>Chlor-Alkali-Elektrolyse</c:v>
                  </c:pt>
                  <c:pt idx="9">
                    <c:v>Druckluft gesamt</c:v>
                  </c:pt>
                  <c:pt idx="13">
                    <c:v>Elektrostahlherstellung</c:v>
                  </c:pt>
                  <c:pt idx="17">
                    <c:v>Holzstoffherstellung</c:v>
                  </c:pt>
                  <c:pt idx="21">
                    <c:v>Kälteanwendungen gesamt</c:v>
                  </c:pt>
                  <c:pt idx="22">
                    <c:v>Kühl- und Gefrieranwendungen</c:v>
                  </c:pt>
                  <c:pt idx="26">
                    <c:v>Nachtspeicher Haushalte</c:v>
                  </c:pt>
                  <c:pt idx="31">
                    <c:v>Papiermaschinen</c:v>
                  </c:pt>
                  <c:pt idx="35">
                    <c:v>Primäraluminiumelektrolyse</c:v>
                  </c:pt>
                  <c:pt idx="39">
                    <c:v>Prozesskälte gesamt</c:v>
                  </c:pt>
                  <c:pt idx="43">
                    <c:v>Pumpen gesamt</c:v>
                  </c:pt>
                  <c:pt idx="44">
                    <c:v>QST gesamt</c:v>
                  </c:pt>
                  <c:pt idx="48">
                    <c:v>Zementherstellung</c:v>
                  </c:pt>
                  <c:pt idx="52">
                    <c:v>Wärmepumpen</c:v>
                  </c:pt>
                  <c:pt idx="57">
                    <c:v>Warmwasser Haushalte</c:v>
                  </c:pt>
                  <c:pt idx="62">
                    <c:v>Weiße Ware (ohne Kühlung) gesamt</c:v>
                  </c:pt>
                </c:lvl>
              </c:multiLvlStrCache>
            </c:multiLvlStrRef>
          </c:cat>
          <c:val>
            <c:numRef>
              <c:f>Pivot_Example_Pel16!$C$5:$C$89</c:f>
              <c:numCache>
                <c:formatCode>General</c:formatCode>
                <c:ptCount val="66"/>
                <c:pt idx="5">
                  <c:v>603</c:v>
                </c:pt>
                <c:pt idx="6">
                  <c:v>549</c:v>
                </c:pt>
                <c:pt idx="7">
                  <c:v>718</c:v>
                </c:pt>
                <c:pt idx="8">
                  <c:v>711</c:v>
                </c:pt>
                <c:pt idx="9">
                  <c:v>2000</c:v>
                </c:pt>
                <c:pt idx="13">
                  <c:v>753</c:v>
                </c:pt>
                <c:pt idx="14">
                  <c:v>750</c:v>
                </c:pt>
                <c:pt idx="15">
                  <c:v>773</c:v>
                </c:pt>
                <c:pt idx="16">
                  <c:v>755</c:v>
                </c:pt>
                <c:pt idx="17">
                  <c:v>421</c:v>
                </c:pt>
                <c:pt idx="18">
                  <c:v>391</c:v>
                </c:pt>
                <c:pt idx="19">
                  <c:v>346</c:v>
                </c:pt>
                <c:pt idx="20">
                  <c:v>307</c:v>
                </c:pt>
                <c:pt idx="22">
                  <c:v>0</c:v>
                </c:pt>
                <c:pt idx="23">
                  <c:v>300</c:v>
                </c:pt>
                <c:pt idx="24">
                  <c:v>700</c:v>
                </c:pt>
                <c:pt idx="25">
                  <c:v>1200</c:v>
                </c:pt>
                <c:pt idx="26">
                  <c:v>9400</c:v>
                </c:pt>
                <c:pt idx="27">
                  <c:v>9000</c:v>
                </c:pt>
                <c:pt idx="28">
                  <c:v>7300</c:v>
                </c:pt>
                <c:pt idx="29">
                  <c:v>5600</c:v>
                </c:pt>
                <c:pt idx="30">
                  <c:v>3900</c:v>
                </c:pt>
                <c:pt idx="35">
                  <c:v>281</c:v>
                </c:pt>
                <c:pt idx="36">
                  <c:v>277</c:v>
                </c:pt>
                <c:pt idx="37">
                  <c:v>257</c:v>
                </c:pt>
                <c:pt idx="38">
                  <c:v>238</c:v>
                </c:pt>
                <c:pt idx="39">
                  <c:v>1250</c:v>
                </c:pt>
                <c:pt idx="44">
                  <c:v>1177</c:v>
                </c:pt>
                <c:pt idx="45">
                  <c:v>1101</c:v>
                </c:pt>
                <c:pt idx="46">
                  <c:v>1142</c:v>
                </c:pt>
                <c:pt idx="47">
                  <c:v>1179</c:v>
                </c:pt>
                <c:pt idx="48">
                  <c:v>174</c:v>
                </c:pt>
                <c:pt idx="49">
                  <c:v>172</c:v>
                </c:pt>
                <c:pt idx="50">
                  <c:v>171</c:v>
                </c:pt>
                <c:pt idx="51">
                  <c:v>169</c:v>
                </c:pt>
                <c:pt idx="52">
                  <c:v>320</c:v>
                </c:pt>
                <c:pt idx="53">
                  <c:v>417.77777777777777</c:v>
                </c:pt>
                <c:pt idx="54">
                  <c:v>560</c:v>
                </c:pt>
                <c:pt idx="55">
                  <c:v>720</c:v>
                </c:pt>
                <c:pt idx="56">
                  <c:v>835.55555555555554</c:v>
                </c:pt>
                <c:pt idx="57">
                  <c:v>7400</c:v>
                </c:pt>
                <c:pt idx="58">
                  <c:v>7400</c:v>
                </c:pt>
                <c:pt idx="59">
                  <c:v>7400</c:v>
                </c:pt>
                <c:pt idx="60">
                  <c:v>7400</c:v>
                </c:pt>
                <c:pt idx="61">
                  <c:v>7400</c:v>
                </c:pt>
                <c:pt idx="62">
                  <c:v>0</c:v>
                </c:pt>
                <c:pt idx="63">
                  <c:v>700</c:v>
                </c:pt>
                <c:pt idx="64">
                  <c:v>1600</c:v>
                </c:pt>
                <c:pt idx="65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5-4E78-BB33-B2CB88A1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131344"/>
        <c:axId val="1438131904"/>
      </c:barChart>
      <c:catAx>
        <c:axId val="14381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8131904"/>
        <c:crosses val="autoZero"/>
        <c:auto val="1"/>
        <c:lblAlgn val="ctr"/>
        <c:lblOffset val="100"/>
        <c:noMultiLvlLbl val="0"/>
      </c:catAx>
      <c:valAx>
        <c:axId val="14381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81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4</xdr:row>
      <xdr:rowOff>185737</xdr:rowOff>
    </xdr:from>
    <xdr:to>
      <xdr:col>17</xdr:col>
      <xdr:colOff>114299</xdr:colOff>
      <xdr:row>31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18E4C6-483F-4B16-9DCE-51527EFAE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hannes Kochems" id="{51F1A2BF-5699-4337-B875-D53DBF6DE656}" userId="5db53a5ae892ca42" providerId="Windows Live"/>
  <person displayName="Johannes Kochems" id="{71FC54F3-5E8D-460B-9FCF-F7AD63FF6B98}" userId="Johannes Kochems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es Kochems" refreshedDate="43546.619410069441" createdVersion="6" refreshedVersion="6" minRefreshableVersion="3" recordCount="66" xr:uid="{00000000-000A-0000-FFFF-FFFF00000000}">
  <cacheSource type="worksheet">
    <worksheetSource name="Tabelle58971119"/>
  </cacheSource>
  <cacheFields count="82">
    <cacheField name="Prozess" numFmtId="0">
      <sharedItems count="18">
        <s v="Primäraluminiumelektrolyse"/>
        <s v="Chlor-Alkali-Elektrolyse"/>
        <s v="Holzstoffherstellung"/>
        <s v="Papiermaschinen"/>
        <s v="Elektrostahlherstellung"/>
        <s v="Roh- und Zementmühlen"/>
        <s v="Prozesskälte gesamt"/>
        <s v="Belüftung gesamt"/>
        <s v="Druckluft gesamt"/>
        <s v="Nachtspeicher Haushalte"/>
        <s v="Wärmepumpen"/>
        <s v="Warmwasser Haushalte"/>
        <s v="Kühl- und Gefrieranwendungen"/>
        <s v="Weiße Ware (ohne Kühlung) gesamt"/>
        <s v="Beleuchtung"/>
        <s v="Kälteanwendungen gesamt"/>
        <s v="Pumpen gesamt"/>
        <s v="QST gesamt"/>
      </sharedItems>
    </cacheField>
    <cacheField name="Sektorenzuordnung" numFmtId="0">
      <sharedItems count="2">
        <s v="Industrie"/>
        <s v="Haushalte"/>
      </sharedItems>
    </cacheField>
    <cacheField name="Jahr" numFmtId="0">
      <sharedItems containsSemiMixedTypes="0" containsString="0" containsNumber="1" containsInteger="1" minValue="2010" maxValue="2030" count="5">
        <n v="2015"/>
        <n v="2020"/>
        <n v="2025"/>
        <n v="2030"/>
        <n v="2010"/>
      </sharedItems>
    </cacheField>
    <cacheField name="Lastverschiebung" numFmtId="0">
      <sharedItems containsString="0" containsBlank="1" containsNumber="1" containsInteger="1" minValue="0" maxValue="1"/>
    </cacheField>
    <cacheField name="Lastverzicht" numFmtId="0">
      <sharedItems containsString="0" containsBlank="1" containsNumber="1" containsInteger="1" minValue="0" maxValue="1"/>
    </cacheField>
    <cacheField name="Gesamtstromverbrauch min. (TWh)" numFmtId="0">
      <sharedItems containsString="0" containsBlank="1" containsNumber="1" minValue="2.379" maxValue="20.399999999999999"/>
    </cacheField>
    <cacheField name="Gesamtstromverbrauch max. (TWh)" numFmtId="0">
      <sharedItems containsString="0" containsBlank="1" containsNumber="1" minValue="3.6" maxValue="14.5"/>
    </cacheField>
    <cacheField name="Gesamtstromverbrauch (TWh)" numFmtId="0">
      <sharedItems containsString="0" containsBlank="1" containsNumber="1" minValue="3.6" maxValue="13"/>
    </cacheField>
    <cacheField name="Potenzial pos. min MW" numFmtId="165">
      <sharedItems containsString="0" containsBlank="1" containsNumber="1" minValue="11.153846153846155" maxValue="1723.3333333333333" count="12">
        <m/>
        <n v="29"/>
        <n v="22.30769230769231"/>
        <n v="17.846153846153847"/>
        <n v="13.384615384615385"/>
        <n v="11.153846153846155"/>
        <n v="660"/>
        <n v="861.66666666666663"/>
        <n v="1155"/>
        <n v="1485"/>
        <n v="1723.3333333333333"/>
        <n v="500"/>
      </sharedItems>
    </cacheField>
    <cacheField name="Potenzial pos. min wärmster Tag MW" numFmtId="165">
      <sharedItems containsString="0" containsBlank="1" containsNumber="1" minValue="0" maxValue="500"/>
    </cacheField>
    <cacheField name="Potenzial pos. MW Durchschnitt" numFmtId="165">
      <sharedItems containsNonDate="0" containsString="0" containsBlank="1"/>
    </cacheField>
    <cacheField name="Potenzial pos. max MW" numFmtId="165">
      <sharedItems containsString="0" containsBlank="1" containsNumber="1" minValue="0" maxValue="9400"/>
    </cacheField>
    <cacheField name="Potenzial pos. max MW Lastverzicht" numFmtId="165">
      <sharedItems containsString="0" containsBlank="1" containsNumber="1" minValue="901.61052631578957" maxValue="2720"/>
    </cacheField>
    <cacheField name="Potenzial pos. max wärmster Tag MW" numFmtId="165">
      <sharedItems containsString="0" containsBlank="1" containsNumber="1" minValue="18" maxValue="500"/>
    </cacheField>
    <cacheField name="ausgewiesenes Pot. pos. MW (falls abweichend)" numFmtId="165">
      <sharedItems containsNonDate="0" containsString="0" containsBlank="1"/>
    </cacheField>
    <cacheField name="Potenzial neg. min MW" numFmtId="165">
      <sharedItems containsString="0" containsBlank="1" containsNumber="1" containsInteger="1" minValue="0" maxValue="500"/>
    </cacheField>
    <cacheField name="Potenzial neg. min wärmster Tag MW" numFmtId="165">
      <sharedItems containsString="0" containsBlank="1" containsNumber="1" minValue="10" maxValue="500"/>
    </cacheField>
    <cacheField name="Potenzial neg. MW Durchschnitt" numFmtId="165">
      <sharedItems containsNonDate="0" containsString="0" containsBlank="1"/>
    </cacheField>
    <cacheField name="Potenzial neg. max MW" numFmtId="165">
      <sharedItems containsString="0" containsBlank="1" containsNumber="1" minValue="0" maxValue="9400"/>
    </cacheField>
    <cacheField name="Potenzial neg. max wärmster Tag MW" numFmtId="165">
      <sharedItems containsString="0" containsBlank="1" containsNumber="1" minValue="120" maxValue="7400"/>
    </cacheField>
    <cacheField name="Mindestleistung MW" numFmtId="165">
      <sharedItems containsNonDate="0" containsString="0" containsBlank="1"/>
    </cacheField>
    <cacheField name="Mindestauslastung" numFmtId="165">
      <sharedItems containsNonDate="0" containsString="0" containsBlank="1"/>
    </cacheField>
    <cacheField name="flexibilisierbarer Anteil" numFmtId="9">
      <sharedItems containsString="0" containsBlank="1" containsNumber="1" minValue="0.25" maxValue="1"/>
    </cacheField>
    <cacheField name="Durchschnittsauslastung" numFmtId="9">
      <sharedItems containsString="0" containsBlank="1" containsNumber="1" minValue="6.8493150684931503E-2" maxValue="0.22831050228310501"/>
    </cacheField>
    <cacheField name="Betriebsstunden (h)" numFmtId="3">
      <sharedItems containsString="0" containsBlank="1" containsNumber="1" containsInteger="1" minValue="3000" maxValue="7700"/>
    </cacheField>
    <cacheField name="Durchschnittliche Leistung MW" numFmtId="165">
      <sharedItems containsString="0" containsBlank="1" containsNumber="1" containsInteger="1" minValue="421" maxValue="1126"/>
    </cacheField>
    <cacheField name="Maximalleistung MW" numFmtId="165">
      <sharedItems containsNonDate="0" containsString="0" containsBlank="1"/>
    </cacheField>
    <cacheField name="Maximalauslastung" numFmtId="9">
      <sharedItems containsNonDate="0" containsString="0" containsBlank="1"/>
    </cacheField>
    <cacheField name="installierte Leistung MW" numFmtId="165">
      <sharedItems containsNonDate="0" containsString="0" containsBlank="1"/>
    </cacheField>
    <cacheField name="Wirkungsgrad (%)" numFmtId="9">
      <sharedItems containsString="0" containsBlank="1" containsNumber="1" containsInteger="1" minValue="1" maxValue="1"/>
    </cacheField>
    <cacheField name="Aktivierungsdauer (h)" numFmtId="0">
      <sharedItems containsString="0" containsBlank="1" containsNumber="1" minValue="8.3333333333333329E-2" maxValue="8.3333333333333329E-2"/>
    </cacheField>
    <cacheField name="Schaltdauer pos. Min (h)" numFmtId="0">
      <sharedItems containsString="0" containsBlank="1" containsNumber="1" minValue="1.6666666666666666E-2" maxValue="2"/>
    </cacheField>
    <cacheField name="Schaltdauer pos. max (h)" numFmtId="0">
      <sharedItems containsString="0" containsBlank="1" containsNumber="1" minValue="0.5" maxValue="107"/>
    </cacheField>
    <cacheField name="Schaltdauer pos. (h)" numFmtId="0">
      <sharedItems containsString="0" containsBlank="1" containsNumber="1" minValue="0.5" maxValue="2"/>
    </cacheField>
    <cacheField name="Schaltdauer neg min (h)" numFmtId="0">
      <sharedItems containsString="0" containsBlank="1" containsNumber="1" minValue="0.5" maxValue="2"/>
    </cacheField>
    <cacheField name="Schaltdauer neg. max (h)" numFmtId="0">
      <sharedItems containsString="0" containsBlank="1" containsNumber="1" containsInteger="1" minValue="3" maxValue="5"/>
    </cacheField>
    <cacheField name="Schaltdauer neg. (h)" numFmtId="0">
      <sharedItems containsString="0" containsBlank="1" containsNumber="1" containsInteger="1" minValue="1" maxValue="3"/>
    </cacheField>
    <cacheField name="Verschiebedauer min. (h)" numFmtId="0">
      <sharedItems containsString="0" containsBlank="1" containsNumber="1" containsInteger="1" minValue="0" maxValue="3"/>
    </cacheField>
    <cacheField name="Verschiebedauer max (h)" numFmtId="0">
      <sharedItems containsString="0" containsBlank="1" containsNumber="1" containsInteger="1" minValue="8" maxValue="67"/>
    </cacheField>
    <cacheField name="Verschiebedauer (h)" numFmtId="0">
      <sharedItems containsString="0" containsBlank="1" containsNumber="1" containsInteger="1" minValue="2" maxValue="8"/>
    </cacheField>
    <cacheField name="Regenerationsdauer (h)" numFmtId="0">
      <sharedItems containsNonDate="0" containsString="0" containsBlank="1"/>
    </cacheField>
    <cacheField name="Zeitverfügbarkeit?" numFmtId="0">
      <sharedItems containsBlank="1"/>
    </cacheField>
    <cacheField name="max. Abrufhäufigkeit pro Woche" numFmtId="0">
      <sharedItems containsNonDate="0" containsString="0" containsBlank="1"/>
    </cacheField>
    <cacheField name="max. Abrufhäufigkeit min. pro Jahr" numFmtId="0">
      <sharedItems containsString="0" containsBlank="1" containsNumber="1" containsInteger="1" minValue="20" maxValue="20"/>
    </cacheField>
    <cacheField name="max. Abrufhäufigkeit max. pro Jahr" numFmtId="0">
      <sharedItems containsString="0" containsBlank="1" containsNumber="1" containsInteger="1" minValue="50" maxValue="50"/>
    </cacheField>
    <cacheField name="max. Abrufhäufigkeit pro Jahr" numFmtId="0">
      <sharedItems containsString="0" containsBlank="1" containsNumber="1" containsInteger="1" minValue="35" maxValue="35"/>
    </cacheField>
    <cacheField name="min. Investitionsausgaben €_2018/kW" numFmtId="165">
      <sharedItems containsNonDate="0" containsString="0" containsBlank="1"/>
    </cacheField>
    <cacheField name="max. Investitionsausgaben €_2018/kW" numFmtId="165">
      <sharedItems containsNonDate="0" containsString="0" containsBlank="1"/>
    </cacheField>
    <cacheField name="Investitionsausgaben €_2018/kW" numFmtId="0">
      <sharedItems containsString="0" containsBlank="1" containsNumber="1" minValue="0.50658561296859173" maxValue="6.281661600810537"/>
    </cacheField>
    <cacheField name="var. Kosten min. €_2018/MWh" numFmtId="164">
      <sharedItems containsString="0" containsBlank="1" containsNumber="1" containsInteger="1" minValue="0" maxValue="0"/>
    </cacheField>
    <cacheField name="var. Kosten max. €_2018/MWh" numFmtId="164">
      <sharedItems containsString="0" containsBlank="1" containsNumber="1" minValue="97.264437689969611" maxValue="438.70314083080041"/>
    </cacheField>
    <cacheField name="variable Kosten €_2018/MWh" numFmtId="164">
      <sharedItems containsNonDate="0" containsString="0" containsBlank="1"/>
    </cacheField>
    <cacheField name="fixe Kosten min. €_2018/kW*a" numFmtId="164">
      <sharedItems containsNonDate="0" containsString="0" containsBlank="1"/>
    </cacheField>
    <cacheField name="fixe Kosten €_2018/kW*a" numFmtId="164">
      <sharedItems containsString="0" containsBlank="1" containsNumber="1" minValue="5.0658561296859174E-2" maxValue="5.0658561296859174E-2"/>
    </cacheField>
    <cacheField name="fixe Kosten €_2018/a" numFmtId="164">
      <sharedItems containsString="0" containsBlank="1" containsNumber="1" minValue="42.553191489361701" maxValue="67.882472137791282"/>
    </cacheField>
    <cacheField name="Investitionsausgaben je Anschlusspunkt (€_2018)" numFmtId="0">
      <sharedItems containsString="0" containsBlank="1" containsNumber="1" minValue="222.89766970618035" maxValue="359.67578520770013"/>
    </cacheField>
    <cacheField name="Bemerkungen" numFmtId="0">
      <sharedItems containsBlank="1"/>
    </cacheField>
    <cacheField name="Fundstelle Lastverschiebung" numFmtId="0">
      <sharedItems containsString="0" containsBlank="1" containsNumber="1" containsInteger="1" minValue="213" maxValue="213"/>
    </cacheField>
    <cacheField name="Fundstelle Lastverzicht" numFmtId="0">
      <sharedItems containsString="0" containsBlank="1" containsNumber="1" containsInteger="1" minValue="214" maxValue="214"/>
    </cacheField>
    <cacheField name="Fundstelle Gesamtstromverbrauch" numFmtId="0">
      <sharedItems containsString="0" containsBlank="1" containsNumber="1" containsInteger="1" minValue="101" maxValue="102"/>
    </cacheField>
    <cacheField name="Fundstelle Potenzial pos." numFmtId="0">
      <sharedItems containsBlank="1" containsMixedTypes="1" containsNumber="1" containsInteger="1" minValue="109" maxValue="142"/>
    </cacheField>
    <cacheField name="Fundstelle Potenzial neg." numFmtId="0">
      <sharedItems containsBlank="1" containsMixedTypes="1" containsNumber="1" containsInteger="1" minValue="109" maxValue="142"/>
    </cacheField>
    <cacheField name="Fundstelle Mindestleistung" numFmtId="0">
      <sharedItems containsNonDate="0" containsString="0" containsBlank="1"/>
    </cacheField>
    <cacheField name="Funstelle flexibierbarer Anteil" numFmtId="0">
      <sharedItems containsString="0" containsBlank="1" containsNumber="1" containsInteger="1" minValue="213" maxValue="213"/>
    </cacheField>
    <cacheField name="Fundstelle Durchschnittsauslastung" numFmtId="0">
      <sharedItems containsString="0" containsBlank="1" containsNumber="1" containsInteger="1" minValue="111" maxValue="112"/>
    </cacheField>
    <cacheField name="Fundstelle Betriebsstunden" numFmtId="0">
      <sharedItems containsString="0" containsBlank="1" containsNumber="1" containsInteger="1" minValue="111" maxValue="213"/>
    </cacheField>
    <cacheField name="Fundstelle durchschnittliche Leistung" numFmtId="0">
      <sharedItems containsString="0" containsBlank="1" containsNumber="1" containsInteger="1" minValue="111" maxValue="112"/>
    </cacheField>
    <cacheField name="Fundstelle Maximalleistung" numFmtId="0">
      <sharedItems containsNonDate="0" containsString="0" containsBlank="1"/>
    </cacheField>
    <cacheField name="Fundstelle installierte Leistung" numFmtId="0">
      <sharedItems containsNonDate="0" containsString="0" containsBlank="1"/>
    </cacheField>
    <cacheField name="Fundstelle Wirkungsgrad" numFmtId="0">
      <sharedItems containsBlank="1" containsMixedTypes="1" containsNumber="1" containsInteger="1" minValue="111" maxValue="112"/>
    </cacheField>
    <cacheField name="Fundstelle Aktivierungsdauer" numFmtId="0">
      <sharedItems containsString="0" containsBlank="1" containsNumber="1" containsInteger="1" minValue="111" maxValue="242"/>
    </cacheField>
    <cacheField name="Fundstelle Schaltdauer" numFmtId="0">
      <sharedItems containsBlank="1" containsMixedTypes="1" containsNumber="1" containsInteger="1" minValue="109" maxValue="213"/>
    </cacheField>
    <cacheField name="Fundstelle Verschiebedauer" numFmtId="0">
      <sharedItems containsBlank="1" containsMixedTypes="1" containsNumber="1" containsInteger="1" minValue="142" maxValue="213"/>
    </cacheField>
    <cacheField name="Fundstelle Regenerationsdauer" numFmtId="0">
      <sharedItems containsNonDate="0" containsString="0" containsBlank="1"/>
    </cacheField>
    <cacheField name="Fundstelle Zeitverfügbarkeit" numFmtId="0">
      <sharedItems containsBlank="1" containsMixedTypes="1" containsNumber="1" containsInteger="1" minValue="142" maxValue="212"/>
    </cacheField>
    <cacheField name="Fundstelle max. Abrufhäufigkeit" numFmtId="0">
      <sharedItems containsString="0" containsBlank="1" containsNumber="1" containsInteger="1" minValue="213" maxValue="213"/>
    </cacheField>
    <cacheField name="Fundstelle Invest" numFmtId="0">
      <sharedItems containsString="0" containsBlank="1" containsNumber="1" containsInteger="1" minValue="238" maxValue="239"/>
    </cacheField>
    <cacheField name="Fundstelle var. Kosten" numFmtId="0">
      <sharedItems containsBlank="1"/>
    </cacheField>
    <cacheField name="Fundstelle fixe Kosten" numFmtId="0">
      <sharedItems containsBlank="1" containsMixedTypes="1" containsNumber="1" containsInteger="1" minValue="107" maxValue="239"/>
    </cacheField>
    <cacheField name="Fundstelle Investition je Anschlusspunkt" numFmtId="0">
      <sharedItems containsBlank="1" containsMixedTypes="1" containsNumber="1" containsInteger="1" minValue="107" maxValue="142"/>
    </cacheField>
    <cacheField name="Fundstelle Bemerkungen" numFmtId="0">
      <sharedItems containsNonDate="0" containsString="0" containsBlank="1"/>
    </cacheField>
    <cacheField name="eigene Anmerku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x v="0"/>
    <n v="1"/>
    <n v="1"/>
    <n v="6.8659999999999997"/>
    <m/>
    <m/>
    <x v="0"/>
    <m/>
    <m/>
    <n v="281"/>
    <n v="1126"/>
    <m/>
    <m/>
    <m/>
    <m/>
    <m/>
    <n v="281"/>
    <m/>
    <m/>
    <m/>
    <n v="0.25"/>
    <m/>
    <n v="6100"/>
    <n v="1126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0"/>
    <x v="0"/>
    <x v="1"/>
    <n v="1"/>
    <n v="1"/>
    <m/>
    <m/>
    <m/>
    <x v="0"/>
    <m/>
    <m/>
    <n v="277"/>
    <n v="1107"/>
    <m/>
    <m/>
    <m/>
    <m/>
    <m/>
    <n v="277"/>
    <m/>
    <m/>
    <m/>
    <n v="0.2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0"/>
    <x v="0"/>
    <x v="2"/>
    <n v="1"/>
    <n v="1"/>
    <m/>
    <m/>
    <m/>
    <x v="0"/>
    <m/>
    <m/>
    <n v="257"/>
    <n v="1029"/>
    <m/>
    <m/>
    <m/>
    <m/>
    <m/>
    <n v="257"/>
    <m/>
    <m/>
    <m/>
    <n v="0.2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0"/>
    <x v="0"/>
    <x v="3"/>
    <n v="1"/>
    <n v="1"/>
    <m/>
    <m/>
    <m/>
    <x v="0"/>
    <m/>
    <m/>
    <n v="238"/>
    <n v="951"/>
    <m/>
    <m/>
    <m/>
    <m/>
    <m/>
    <n v="238"/>
    <m/>
    <m/>
    <m/>
    <n v="0.2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0"/>
    <n v="1"/>
    <n v="1"/>
    <n v="7.7439999999999998"/>
    <m/>
    <m/>
    <x v="0"/>
    <m/>
    <m/>
    <n v="593"/>
    <n v="988"/>
    <m/>
    <m/>
    <m/>
    <m/>
    <m/>
    <n v="603"/>
    <m/>
    <m/>
    <m/>
    <n v="0.6"/>
    <m/>
    <n v="7700"/>
    <n v="1006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1"/>
    <n v="1"/>
    <n v="1"/>
    <m/>
    <m/>
    <m/>
    <x v="0"/>
    <m/>
    <m/>
    <n v="539.8955223880597"/>
    <n v="1247.2763419483101"/>
    <m/>
    <m/>
    <m/>
    <m/>
    <m/>
    <n v="549"/>
    <m/>
    <m/>
    <m/>
    <n v="0.6"/>
    <m/>
    <n v="77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2"/>
    <n v="1"/>
    <n v="1"/>
    <m/>
    <m/>
    <m/>
    <x v="0"/>
    <m/>
    <m/>
    <n v="706.09286898839139"/>
    <n v="1234.5089463220675"/>
    <m/>
    <m/>
    <m/>
    <m/>
    <m/>
    <n v="718"/>
    <m/>
    <m/>
    <m/>
    <n v="0.6"/>
    <m/>
    <n v="77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3"/>
    <n v="1"/>
    <n v="1"/>
    <m/>
    <m/>
    <m/>
    <x v="0"/>
    <m/>
    <m/>
    <n v="699.20895522388059"/>
    <n v="1613.6023856858847"/>
    <m/>
    <m/>
    <m/>
    <m/>
    <m/>
    <n v="711"/>
    <m/>
    <m/>
    <m/>
    <n v="0.6"/>
    <m/>
    <n v="77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0"/>
    <n v="1"/>
    <n v="1"/>
    <n v="3.1590000000000003"/>
    <m/>
    <m/>
    <x v="0"/>
    <m/>
    <m/>
    <n v="311"/>
    <m/>
    <m/>
    <m/>
    <m/>
    <m/>
    <m/>
    <n v="421"/>
    <m/>
    <m/>
    <m/>
    <n v="1"/>
    <m/>
    <n v="7500"/>
    <n v="421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1"/>
    <n v="1"/>
    <n v="1"/>
    <m/>
    <m/>
    <m/>
    <x v="0"/>
    <m/>
    <m/>
    <n v="288.83847980997626"/>
    <m/>
    <m/>
    <m/>
    <m/>
    <m/>
    <m/>
    <n v="391"/>
    <m/>
    <m/>
    <m/>
    <n v="1"/>
    <m/>
    <n v="75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2"/>
    <n v="1"/>
    <n v="1"/>
    <m/>
    <m/>
    <m/>
    <x v="0"/>
    <m/>
    <m/>
    <n v="255.59619952494063"/>
    <m/>
    <m/>
    <m/>
    <m/>
    <m/>
    <m/>
    <n v="346"/>
    <m/>
    <m/>
    <m/>
    <n v="1"/>
    <m/>
    <n v="75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3"/>
    <n v="1"/>
    <n v="1"/>
    <m/>
    <m/>
    <m/>
    <x v="0"/>
    <m/>
    <m/>
    <n v="226.78622327790976"/>
    <m/>
    <m/>
    <m/>
    <m/>
    <m/>
    <m/>
    <n v="307"/>
    <m/>
    <m/>
    <m/>
    <n v="1"/>
    <m/>
    <n v="75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3"/>
    <x v="0"/>
    <x v="0"/>
    <n v="0"/>
    <n v="1"/>
    <n v="20.399999999999999"/>
    <m/>
    <m/>
    <x v="0"/>
    <m/>
    <m/>
    <n v="0"/>
    <n v="27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3"/>
    <x v="0"/>
    <x v="1"/>
    <n v="0"/>
    <n v="1"/>
    <m/>
    <m/>
    <m/>
    <x v="0"/>
    <m/>
    <m/>
    <n v="0"/>
    <n v="2524.2578710644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3"/>
    <x v="0"/>
    <x v="2"/>
    <n v="0"/>
    <n v="1"/>
    <m/>
    <m/>
    <m/>
    <x v="0"/>
    <m/>
    <m/>
    <n v="0"/>
    <n v="2237.16941529235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3"/>
    <x v="0"/>
    <x v="3"/>
    <n v="0"/>
    <n v="1"/>
    <m/>
    <m/>
    <m/>
    <x v="0"/>
    <m/>
    <m/>
    <n v="0"/>
    <n v="1984.3358320839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4"/>
    <x v="0"/>
    <x v="0"/>
    <n v="0"/>
    <n v="1"/>
    <n v="6.1230000000000002"/>
    <m/>
    <m/>
    <x v="0"/>
    <m/>
    <m/>
    <n v="713"/>
    <n v="1114"/>
    <m/>
    <m/>
    <m/>
    <m/>
    <m/>
    <n v="753"/>
    <m/>
    <m/>
    <m/>
    <n v="0.75"/>
    <m/>
    <n v="6100"/>
    <n v="1004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4"/>
    <x v="0"/>
    <x v="1"/>
    <n v="1"/>
    <n v="1"/>
    <m/>
    <m/>
    <m/>
    <x v="0"/>
    <m/>
    <m/>
    <n v="710.15936254980079"/>
    <n v="1109.2352437981181"/>
    <m/>
    <m/>
    <m/>
    <m/>
    <m/>
    <n v="750"/>
    <m/>
    <m/>
    <m/>
    <n v="0.7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4"/>
    <x v="0"/>
    <x v="2"/>
    <n v="1"/>
    <n v="1"/>
    <m/>
    <m/>
    <m/>
    <x v="0"/>
    <m/>
    <m/>
    <n v="731.93758300132811"/>
    <n v="1153.071000855432"/>
    <m/>
    <m/>
    <m/>
    <m/>
    <m/>
    <n v="773"/>
    <m/>
    <m/>
    <m/>
    <n v="0.7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4"/>
    <x v="0"/>
    <x v="3"/>
    <n v="1"/>
    <n v="1"/>
    <m/>
    <m/>
    <m/>
    <x v="0"/>
    <m/>
    <m/>
    <n v="714.89375830013284"/>
    <n v="1116.8588537211292"/>
    <m/>
    <m/>
    <m/>
    <m/>
    <m/>
    <n v="755"/>
    <m/>
    <m/>
    <m/>
    <n v="0.7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5"/>
    <x v="0"/>
    <x v="0"/>
    <n v="1"/>
    <n v="1"/>
    <n v="2.379"/>
    <m/>
    <m/>
    <x v="0"/>
    <m/>
    <m/>
    <n v="154"/>
    <n v="921"/>
    <m/>
    <m/>
    <m/>
    <m/>
    <m/>
    <n v="174"/>
    <m/>
    <m/>
    <m/>
    <n v="0.4"/>
    <m/>
    <n v="5500"/>
    <n v="432"/>
    <m/>
    <m/>
    <m/>
    <m/>
    <n v="8.3333333333333329E-2"/>
    <m/>
    <m/>
    <n v="1"/>
    <m/>
    <m/>
    <n v="1"/>
    <m/>
    <m/>
    <n v="4"/>
    <m/>
    <s v="In den Wintermonaten nicht oder kaum produziert; Auslastungen nachts und am Wochenende höher"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5"/>
    <x v="0"/>
    <x v="1"/>
    <n v="1"/>
    <n v="1"/>
    <m/>
    <m/>
    <m/>
    <x v="0"/>
    <m/>
    <m/>
    <n v="152.22988505747128"/>
    <n v="916.59330143540672"/>
    <m/>
    <m/>
    <m/>
    <m/>
    <m/>
    <n v="172"/>
    <m/>
    <m/>
    <m/>
    <n v="0.4"/>
    <m/>
    <n v="5500"/>
    <m/>
    <m/>
    <m/>
    <m/>
    <m/>
    <n v="8.3333333333333329E-2"/>
    <m/>
    <m/>
    <n v="1"/>
    <m/>
    <m/>
    <n v="1"/>
    <m/>
    <m/>
    <n v="4"/>
    <m/>
    <m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5"/>
    <x v="0"/>
    <x v="2"/>
    <n v="1"/>
    <n v="1"/>
    <m/>
    <m/>
    <m/>
    <x v="0"/>
    <m/>
    <m/>
    <n v="151.34482758620689"/>
    <n v="910.42392344497603"/>
    <m/>
    <m/>
    <m/>
    <m/>
    <m/>
    <n v="171"/>
    <m/>
    <m/>
    <m/>
    <n v="0.4"/>
    <m/>
    <n v="5500"/>
    <m/>
    <m/>
    <m/>
    <m/>
    <m/>
    <n v="8.3333333333333329E-2"/>
    <m/>
    <m/>
    <n v="1"/>
    <m/>
    <m/>
    <n v="1"/>
    <m/>
    <m/>
    <n v="4"/>
    <m/>
    <m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5"/>
    <x v="0"/>
    <x v="3"/>
    <n v="1"/>
    <n v="1"/>
    <m/>
    <m/>
    <m/>
    <x v="0"/>
    <m/>
    <m/>
    <n v="149.57471264367817"/>
    <n v="901.61052631578957"/>
    <m/>
    <m/>
    <m/>
    <m/>
    <m/>
    <n v="169"/>
    <m/>
    <m/>
    <m/>
    <n v="0.4"/>
    <m/>
    <n v="5500"/>
    <m/>
    <m/>
    <m/>
    <m/>
    <m/>
    <n v="8.3333333333333329E-2"/>
    <m/>
    <m/>
    <n v="1"/>
    <m/>
    <m/>
    <n v="1"/>
    <m/>
    <m/>
    <n v="4"/>
    <m/>
    <m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6"/>
    <x v="0"/>
    <x v="0"/>
    <n v="1"/>
    <n v="0"/>
    <m/>
    <m/>
    <m/>
    <x v="0"/>
    <m/>
    <m/>
    <n v="1000"/>
    <m/>
    <m/>
    <m/>
    <m/>
    <m/>
    <m/>
    <n v="1250"/>
    <m/>
    <m/>
    <m/>
    <m/>
    <m/>
    <m/>
    <m/>
    <m/>
    <m/>
    <m/>
    <m/>
    <m/>
    <m/>
    <m/>
    <m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x v="1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x v="2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x v="3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x v="0"/>
    <n v="0"/>
    <n v="1"/>
    <m/>
    <m/>
    <m/>
    <x v="0"/>
    <m/>
    <m/>
    <n v="1000"/>
    <m/>
    <m/>
    <m/>
    <m/>
    <m/>
    <m/>
    <m/>
    <m/>
    <m/>
    <m/>
    <m/>
    <m/>
    <m/>
    <m/>
    <m/>
    <m/>
    <m/>
    <m/>
    <m/>
    <n v="0.25"/>
    <n v="2"/>
    <n v="0.5"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n v="211"/>
    <m/>
    <m/>
    <m/>
    <m/>
    <n v="238"/>
    <m/>
    <m/>
    <m/>
    <m/>
    <m/>
  </r>
  <r>
    <x v="7"/>
    <x v="0"/>
    <x v="1"/>
    <n v="0"/>
    <n v="1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7"/>
    <x v="0"/>
    <x v="2"/>
    <n v="0"/>
    <n v="1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7"/>
    <x v="0"/>
    <x v="3"/>
    <n v="0"/>
    <n v="1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0"/>
    <n v="1"/>
    <n v="0"/>
    <m/>
    <m/>
    <m/>
    <x v="0"/>
    <m/>
    <m/>
    <n v="2000"/>
    <m/>
    <m/>
    <m/>
    <m/>
    <m/>
    <m/>
    <n v="2000"/>
    <m/>
    <m/>
    <m/>
    <m/>
    <m/>
    <m/>
    <m/>
    <m/>
    <m/>
    <m/>
    <m/>
    <m/>
    <m/>
    <m/>
    <m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1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n v="8.3333333333333329E-2"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2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n v="8.3333333333333329E-2"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3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n v="8.3333333333333329E-2"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9"/>
    <x v="1"/>
    <x v="4"/>
    <n v="1"/>
    <n v="0"/>
    <n v="13"/>
    <n v="13"/>
    <n v="13"/>
    <x v="1"/>
    <n v="0"/>
    <m/>
    <n v="9400"/>
    <m/>
    <n v="180"/>
    <m/>
    <n v="0"/>
    <n v="31"/>
    <m/>
    <n v="9400"/>
    <n v="350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n v="8"/>
    <m/>
    <s v="im unflexiblen Basislastgang Speicherbeladung zwischen 18:00 und 9 Uhr; sonst keine Lastinanspruchnahme, d.h. kein Abschaltpotenzial"/>
    <m/>
    <m/>
    <m/>
    <m/>
    <m/>
    <m/>
    <m/>
    <m/>
    <m/>
    <m/>
    <m/>
    <m/>
    <m/>
    <m/>
    <m/>
    <m/>
    <m/>
    <n v="101"/>
    <s v="100, 109, 112"/>
    <s v="109, 112"/>
    <m/>
    <m/>
    <n v="111"/>
    <n v="111"/>
    <n v="111"/>
    <m/>
    <m/>
    <n v="111"/>
    <n v="111"/>
    <s v="96, 111"/>
    <s v="109, 111"/>
    <m/>
    <s v="91, 96, 110, 111"/>
    <m/>
    <m/>
    <m/>
    <s v="107, 111"/>
    <s v="107, 111"/>
    <m/>
    <m/>
  </r>
  <r>
    <x v="9"/>
    <x v="1"/>
    <x v="0"/>
    <n v="1"/>
    <n v="0"/>
    <n v="9"/>
    <n v="12"/>
    <n v="10"/>
    <x v="2"/>
    <n v="0"/>
    <m/>
    <n v="9000"/>
    <m/>
    <n v="138.46153846153848"/>
    <m/>
    <n v="0"/>
    <n v="23.846153846153847"/>
    <m/>
    <n v="9000"/>
    <n v="269.23076923076923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67.882472137791282"/>
    <n v="359.67578520770013"/>
    <m/>
    <m/>
    <m/>
    <n v="101"/>
    <n v="112"/>
    <n v="112"/>
    <m/>
    <m/>
    <n v="111"/>
    <n v="111"/>
    <n v="111"/>
    <m/>
    <m/>
    <n v="111"/>
    <n v="111"/>
    <s v="96, 111"/>
    <s v="109, 111"/>
    <m/>
    <s v="91, 96, 110, 111"/>
    <m/>
    <m/>
    <m/>
    <n v="111"/>
    <n v="111"/>
    <m/>
    <m/>
  </r>
  <r>
    <x v="9"/>
    <x v="1"/>
    <x v="1"/>
    <n v="1"/>
    <n v="0"/>
    <n v="6"/>
    <n v="11"/>
    <n v="8"/>
    <x v="3"/>
    <n v="0"/>
    <m/>
    <n v="7300"/>
    <m/>
    <n v="110.76923076923077"/>
    <m/>
    <n v="0"/>
    <n v="19.076923076923077"/>
    <m/>
    <n v="7300"/>
    <n v="215.38461538461539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59.777102330293822"/>
    <n v="314.08308004052685"/>
    <m/>
    <m/>
    <m/>
    <n v="101"/>
    <n v="112"/>
    <n v="112"/>
    <m/>
    <m/>
    <n v="111"/>
    <n v="111"/>
    <n v="111"/>
    <m/>
    <m/>
    <n v="111"/>
    <n v="111"/>
    <s v="96, 111"/>
    <s v="109, 111"/>
    <m/>
    <s v="91, 96, 110, 111"/>
    <m/>
    <m/>
    <m/>
    <n v="111"/>
    <n v="111"/>
    <m/>
    <m/>
  </r>
  <r>
    <x v="9"/>
    <x v="1"/>
    <x v="2"/>
    <n v="1"/>
    <n v="0"/>
    <n v="5"/>
    <n v="10"/>
    <n v="6"/>
    <x v="4"/>
    <n v="0"/>
    <m/>
    <n v="5600"/>
    <m/>
    <n v="83.07692307692308"/>
    <m/>
    <n v="0"/>
    <n v="14.307692307692308"/>
    <m/>
    <n v="5600"/>
    <n v="161.53846153846155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50.658561296859169"/>
    <n v="268.49037487335357"/>
    <m/>
    <m/>
    <m/>
    <n v="101"/>
    <n v="112"/>
    <n v="112"/>
    <m/>
    <m/>
    <n v="111"/>
    <n v="111"/>
    <n v="111"/>
    <m/>
    <m/>
    <n v="111"/>
    <n v="111"/>
    <s v="96, 111"/>
    <s v="109, 111"/>
    <m/>
    <s v="91, 96, 110, 111"/>
    <m/>
    <m/>
    <m/>
    <n v="111"/>
    <n v="111"/>
    <m/>
    <m/>
  </r>
  <r>
    <x v="9"/>
    <x v="1"/>
    <x v="3"/>
    <n v="1"/>
    <n v="0"/>
    <n v="3"/>
    <n v="10"/>
    <n v="5"/>
    <x v="5"/>
    <n v="0"/>
    <m/>
    <n v="3900"/>
    <m/>
    <n v="69.230769230769241"/>
    <m/>
    <n v="0"/>
    <n v="11.923076923076923"/>
    <m/>
    <n v="3900"/>
    <n v="134.61538461538461"/>
    <m/>
    <m/>
    <m/>
    <n v="6.8493150684931503E-2"/>
    <n v="3000"/>
    <m/>
    <m/>
    <m/>
    <m/>
    <n v="1"/>
    <n v="8.3333333333333329E-2"/>
    <n v="2"/>
    <n v="30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42.553191489361701"/>
    <n v="222.89766970618035"/>
    <m/>
    <m/>
    <m/>
    <n v="101"/>
    <s v="100, 109, 112"/>
    <s v="109, 112"/>
    <m/>
    <m/>
    <n v="111"/>
    <n v="111"/>
    <n v="111"/>
    <m/>
    <m/>
    <n v="111"/>
    <n v="111"/>
    <s v="96, 111"/>
    <s v="109, 111"/>
    <m/>
    <s v="91, 96, 110, 111"/>
    <m/>
    <m/>
    <m/>
    <s v="107, 112"/>
    <s v="107, 112"/>
    <m/>
    <m/>
  </r>
  <r>
    <x v="10"/>
    <x v="1"/>
    <x v="4"/>
    <n v="1"/>
    <n v="0"/>
    <n v="3.6"/>
    <n v="3.6"/>
    <n v="3.6"/>
    <x v="6"/>
    <n v="8"/>
    <m/>
    <n v="990"/>
    <m/>
    <n v="18"/>
    <m/>
    <n v="0"/>
    <n v="10"/>
    <m/>
    <n v="320"/>
    <n v="120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m/>
    <m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0"/>
    <n v="1"/>
    <n v="0"/>
    <n v="3.6"/>
    <n v="5.2"/>
    <n v="4.7"/>
    <x v="7"/>
    <n v="10.444444444444445"/>
    <m/>
    <n v="1000"/>
    <m/>
    <n v="23.5"/>
    <m/>
    <n v="0"/>
    <n v="13.055555555555555"/>
    <m/>
    <n v="417.77777777777777"/>
    <n v="156.66666666666666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67.882472137791282"/>
    <n v="359.67578520770013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1"/>
    <n v="1"/>
    <n v="0"/>
    <n v="3.6"/>
    <n v="7.8"/>
    <n v="6.3"/>
    <x v="8"/>
    <n v="14"/>
    <m/>
    <n v="1500"/>
    <m/>
    <n v="31.5"/>
    <m/>
    <n v="0"/>
    <n v="17.5"/>
    <m/>
    <n v="560"/>
    <n v="210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59.777102330293822"/>
    <n v="314.08308004052685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2"/>
    <n v="1"/>
    <n v="0"/>
    <n v="3.6"/>
    <n v="10.9"/>
    <n v="8.1"/>
    <x v="9"/>
    <n v="18"/>
    <m/>
    <n v="1900"/>
    <m/>
    <n v="40.5"/>
    <m/>
    <n v="0"/>
    <n v="22.5"/>
    <m/>
    <n v="720"/>
    <n v="270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50.658561296859169"/>
    <n v="268.49037487335357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3"/>
    <n v="1"/>
    <n v="0"/>
    <n v="3.6"/>
    <n v="14.5"/>
    <n v="9.4"/>
    <x v="10"/>
    <n v="20.888888888888889"/>
    <m/>
    <n v="2400"/>
    <m/>
    <n v="47"/>
    <m/>
    <n v="0"/>
    <n v="26.111111111111111"/>
    <m/>
    <n v="835.55555555555554"/>
    <n v="313.33333333333331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42.553191489361701"/>
    <n v="222.89766970618035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07"/>
    <n v="107"/>
    <m/>
    <m/>
  </r>
  <r>
    <x v="11"/>
    <x v="1"/>
    <x v="4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n v="109"/>
    <n v="109"/>
    <m/>
    <m/>
    <m/>
    <m/>
    <m/>
    <m/>
    <m/>
    <m/>
    <m/>
    <n v="109"/>
    <m/>
    <m/>
    <m/>
    <m/>
    <m/>
    <m/>
    <m/>
    <m/>
    <m/>
    <m/>
  </r>
  <r>
    <x v="11"/>
    <x v="1"/>
    <x v="0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67.882472137791282"/>
    <n v="359.67578520770013"/>
    <m/>
    <m/>
    <m/>
    <m/>
    <n v="109"/>
    <n v="109"/>
    <m/>
    <m/>
    <m/>
    <m/>
    <m/>
    <m/>
    <m/>
    <m/>
    <m/>
    <m/>
    <m/>
    <m/>
    <m/>
    <m/>
    <m/>
    <m/>
    <m/>
    <m/>
    <m/>
    <m/>
  </r>
  <r>
    <x v="11"/>
    <x v="1"/>
    <x v="1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59.777102330293822"/>
    <n v="314.08308004052685"/>
    <m/>
    <m/>
    <m/>
    <m/>
    <n v="109"/>
    <n v="109"/>
    <m/>
    <m/>
    <m/>
    <m/>
    <m/>
    <m/>
    <m/>
    <m/>
    <m/>
    <m/>
    <m/>
    <m/>
    <m/>
    <m/>
    <m/>
    <m/>
    <m/>
    <m/>
    <m/>
    <m/>
  </r>
  <r>
    <x v="11"/>
    <x v="1"/>
    <x v="2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50.658561296859169"/>
    <n v="268.49037487335357"/>
    <m/>
    <m/>
    <m/>
    <m/>
    <n v="109"/>
    <n v="109"/>
    <m/>
    <m/>
    <m/>
    <m/>
    <m/>
    <m/>
    <m/>
    <m/>
    <m/>
    <m/>
    <m/>
    <m/>
    <m/>
    <m/>
    <m/>
    <m/>
    <m/>
    <m/>
    <m/>
    <m/>
  </r>
  <r>
    <x v="11"/>
    <x v="1"/>
    <x v="3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42.553191489361701"/>
    <n v="222.89766970618035"/>
    <m/>
    <m/>
    <m/>
    <m/>
    <n v="109"/>
    <n v="109"/>
    <m/>
    <m/>
    <m/>
    <m/>
    <m/>
    <m/>
    <m/>
    <m/>
    <m/>
    <m/>
    <m/>
    <m/>
    <m/>
    <m/>
    <m/>
    <m/>
    <m/>
    <m/>
    <m/>
    <m/>
  </r>
  <r>
    <x v="12"/>
    <x v="1"/>
    <x v="0"/>
    <n v="1"/>
    <n v="0"/>
    <m/>
    <m/>
    <m/>
    <x v="0"/>
    <m/>
    <m/>
    <n v="0"/>
    <m/>
    <m/>
    <m/>
    <m/>
    <m/>
    <m/>
    <n v="0"/>
    <m/>
    <m/>
    <m/>
    <m/>
    <m/>
    <m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m/>
    <s v="hohe Speicherverluste von bis zu 50 %, da Kompressoren nicht in optimalem Betriebspunkt arbeiten (S. 132)"/>
    <m/>
    <m/>
    <m/>
    <n v="142"/>
    <n v="142"/>
    <m/>
    <m/>
    <m/>
    <m/>
    <m/>
    <m/>
    <m/>
    <s v="132, 142"/>
    <m/>
    <n v="131"/>
    <n v="142"/>
    <m/>
    <n v="142"/>
    <m/>
    <m/>
    <m/>
    <n v="142"/>
    <n v="142"/>
    <m/>
    <m/>
  </r>
  <r>
    <x v="12"/>
    <x v="1"/>
    <x v="1"/>
    <n v="1"/>
    <n v="0"/>
    <m/>
    <m/>
    <m/>
    <x v="0"/>
    <m/>
    <m/>
    <n v="300"/>
    <m/>
    <m/>
    <m/>
    <m/>
    <m/>
    <m/>
    <n v="300"/>
    <m/>
    <m/>
    <m/>
    <m/>
    <m/>
    <m/>
    <m/>
    <m/>
    <m/>
    <m/>
    <n v="1"/>
    <m/>
    <m/>
    <n v="3"/>
    <m/>
    <m/>
    <m/>
    <m/>
    <m/>
    <m/>
    <m/>
    <m/>
    <m/>
    <m/>
    <m/>
    <m/>
    <m/>
    <m/>
    <m/>
    <m/>
    <m/>
    <m/>
    <m/>
    <m/>
    <m/>
    <m/>
    <m/>
    <s v="hohe Speicherverluste von bis zu 50 %, da Kompressoren nicht in optimalem Betriebspunkt arbeiten (S. 132)"/>
    <m/>
    <m/>
    <m/>
    <n v="142"/>
    <n v="142"/>
    <m/>
    <m/>
    <m/>
    <m/>
    <m/>
    <m/>
    <m/>
    <s v="132, 142"/>
    <m/>
    <n v="131"/>
    <n v="142"/>
    <m/>
    <n v="142"/>
    <m/>
    <m/>
    <m/>
    <n v="142"/>
    <n v="142"/>
    <m/>
    <m/>
  </r>
  <r>
    <x v="12"/>
    <x v="1"/>
    <x v="2"/>
    <n v="1"/>
    <n v="0"/>
    <m/>
    <m/>
    <m/>
    <x v="0"/>
    <m/>
    <m/>
    <n v="700"/>
    <m/>
    <m/>
    <m/>
    <m/>
    <m/>
    <m/>
    <n v="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2"/>
    <n v="142"/>
    <m/>
    <m/>
    <m/>
    <m/>
    <m/>
    <m/>
    <m/>
    <s v="132, 142"/>
    <m/>
    <m/>
    <n v="142"/>
    <m/>
    <n v="142"/>
    <m/>
    <m/>
    <m/>
    <n v="142"/>
    <n v="142"/>
    <m/>
    <m/>
  </r>
  <r>
    <x v="12"/>
    <x v="1"/>
    <x v="3"/>
    <n v="1"/>
    <n v="0"/>
    <m/>
    <m/>
    <m/>
    <x v="0"/>
    <m/>
    <m/>
    <n v="1200"/>
    <m/>
    <m/>
    <m/>
    <m/>
    <m/>
    <m/>
    <n v="1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2"/>
    <n v="142"/>
    <m/>
    <m/>
    <m/>
    <m/>
    <m/>
    <m/>
    <m/>
    <s v="132, 142"/>
    <m/>
    <m/>
    <n v="142"/>
    <m/>
    <n v="142"/>
    <m/>
    <m/>
    <m/>
    <n v="142"/>
    <n v="142"/>
    <m/>
    <m/>
  </r>
  <r>
    <x v="13"/>
    <x v="1"/>
    <x v="0"/>
    <n v="1"/>
    <n v="0"/>
    <m/>
    <m/>
    <m/>
    <x v="0"/>
    <m/>
    <m/>
    <n v="0"/>
    <m/>
    <m/>
    <m/>
    <m/>
    <m/>
    <m/>
    <n v="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67.882472137791282"/>
    <n v="359.67578520770013"/>
    <m/>
    <m/>
    <m/>
    <m/>
    <n v="142"/>
    <n v="142"/>
    <m/>
    <m/>
    <m/>
    <m/>
    <m/>
    <m/>
    <m/>
    <s v="132, 142"/>
    <m/>
    <s v="134, 142"/>
    <s v="134, 137, 142"/>
    <m/>
    <n v="142"/>
    <m/>
    <m/>
    <m/>
    <n v="142"/>
    <n v="142"/>
    <m/>
    <m/>
  </r>
  <r>
    <x v="13"/>
    <x v="1"/>
    <x v="1"/>
    <n v="1"/>
    <n v="0"/>
    <m/>
    <m/>
    <m/>
    <x v="0"/>
    <m/>
    <m/>
    <n v="700"/>
    <m/>
    <m/>
    <m/>
    <m/>
    <m/>
    <m/>
    <n v="70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59.777102330293822"/>
    <n v="314.08308004052685"/>
    <m/>
    <m/>
    <m/>
    <m/>
    <n v="142"/>
    <n v="142"/>
    <m/>
    <m/>
    <m/>
    <m/>
    <m/>
    <m/>
    <m/>
    <s v="132, 142"/>
    <m/>
    <n v="142"/>
    <n v="142"/>
    <m/>
    <n v="142"/>
    <m/>
    <m/>
    <m/>
    <n v="142"/>
    <n v="142"/>
    <m/>
    <m/>
  </r>
  <r>
    <x v="13"/>
    <x v="1"/>
    <x v="2"/>
    <n v="1"/>
    <n v="0"/>
    <m/>
    <m/>
    <m/>
    <x v="0"/>
    <m/>
    <m/>
    <n v="1600"/>
    <m/>
    <m/>
    <m/>
    <m/>
    <m/>
    <m/>
    <n v="160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50.658561296859169"/>
    <n v="268.49037487335357"/>
    <m/>
    <m/>
    <m/>
    <m/>
    <n v="142"/>
    <n v="142"/>
    <m/>
    <m/>
    <m/>
    <m/>
    <m/>
    <m/>
    <m/>
    <s v="132, 142"/>
    <m/>
    <n v="142"/>
    <n v="142"/>
    <m/>
    <n v="142"/>
    <m/>
    <m/>
    <m/>
    <n v="142"/>
    <n v="142"/>
    <m/>
    <m/>
  </r>
  <r>
    <x v="13"/>
    <x v="1"/>
    <x v="3"/>
    <n v="1"/>
    <n v="0"/>
    <m/>
    <m/>
    <m/>
    <x v="0"/>
    <m/>
    <m/>
    <n v="2700"/>
    <m/>
    <m/>
    <m/>
    <m/>
    <m/>
    <m/>
    <n v="270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42.553191489361701"/>
    <n v="222.89766970618035"/>
    <m/>
    <m/>
    <m/>
    <m/>
    <n v="142"/>
    <n v="142"/>
    <m/>
    <m/>
    <m/>
    <m/>
    <m/>
    <m/>
    <m/>
    <s v="132, 142"/>
    <m/>
    <n v="142"/>
    <n v="142"/>
    <m/>
    <n v="142"/>
    <m/>
    <m/>
    <m/>
    <n v="142"/>
    <n v="142"/>
    <m/>
    <m/>
  </r>
  <r>
    <x v="14"/>
    <x v="0"/>
    <x v="4"/>
    <n v="0"/>
    <n v="1"/>
    <m/>
    <m/>
    <m/>
    <x v="0"/>
    <m/>
    <m/>
    <m/>
    <m/>
    <m/>
    <m/>
    <m/>
    <m/>
    <m/>
    <m/>
    <m/>
    <m/>
    <m/>
    <m/>
    <m/>
    <m/>
    <m/>
    <m/>
    <m/>
    <m/>
    <m/>
    <m/>
    <n v="1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"/>
    <m/>
    <m/>
    <m/>
    <m/>
    <m/>
    <m/>
    <m/>
    <m/>
    <m/>
    <m/>
  </r>
  <r>
    <x v="15"/>
    <x v="0"/>
    <x v="4"/>
    <n v="1"/>
    <n v="0"/>
    <m/>
    <m/>
    <m/>
    <x v="0"/>
    <m/>
    <m/>
    <m/>
    <m/>
    <m/>
    <m/>
    <m/>
    <m/>
    <m/>
    <m/>
    <m/>
    <m/>
    <m/>
    <m/>
    <m/>
    <m/>
    <m/>
    <m/>
    <m/>
    <m/>
    <m/>
    <m/>
    <n v="0.2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"/>
    <m/>
    <m/>
    <m/>
    <m/>
    <m/>
    <m/>
    <m/>
    <m/>
    <m/>
    <m/>
  </r>
  <r>
    <x v="16"/>
    <x v="0"/>
    <x v="4"/>
    <n v="1"/>
    <n v="0"/>
    <m/>
    <m/>
    <m/>
    <x v="0"/>
    <m/>
    <m/>
    <m/>
    <m/>
    <m/>
    <m/>
    <m/>
    <m/>
    <m/>
    <m/>
    <m/>
    <m/>
    <m/>
    <m/>
    <m/>
    <m/>
    <m/>
    <m/>
    <m/>
    <m/>
    <m/>
    <m/>
    <n v="1.6666666666666666E-2"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"/>
    <m/>
    <m/>
    <m/>
    <m/>
    <m/>
    <m/>
    <m/>
    <m/>
    <m/>
    <m/>
  </r>
  <r>
    <x v="17"/>
    <x v="0"/>
    <x v="0"/>
    <m/>
    <m/>
    <m/>
    <m/>
    <m/>
    <x v="0"/>
    <m/>
    <m/>
    <n v="1177"/>
    <m/>
    <m/>
    <m/>
    <m/>
    <m/>
    <m/>
    <n v="1177"/>
    <m/>
    <m/>
    <m/>
    <m/>
    <m/>
    <m/>
    <m/>
    <m/>
    <m/>
    <m/>
    <m/>
    <m/>
    <m/>
    <m/>
    <m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17"/>
    <x v="0"/>
    <x v="1"/>
    <m/>
    <m/>
    <m/>
    <m/>
    <m/>
    <x v="0"/>
    <m/>
    <m/>
    <n v="1101"/>
    <m/>
    <m/>
    <m/>
    <m/>
    <m/>
    <m/>
    <n v="1101"/>
    <m/>
    <m/>
    <m/>
    <m/>
    <m/>
    <m/>
    <m/>
    <m/>
    <m/>
    <m/>
    <m/>
    <m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17"/>
    <x v="0"/>
    <x v="2"/>
    <m/>
    <m/>
    <m/>
    <m/>
    <m/>
    <x v="0"/>
    <m/>
    <m/>
    <n v="1142"/>
    <m/>
    <m/>
    <m/>
    <m/>
    <m/>
    <m/>
    <n v="1142"/>
    <m/>
    <m/>
    <m/>
    <m/>
    <m/>
    <m/>
    <m/>
    <m/>
    <m/>
    <m/>
    <m/>
    <m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17"/>
    <x v="0"/>
    <x v="3"/>
    <m/>
    <m/>
    <m/>
    <m/>
    <m/>
    <x v="0"/>
    <m/>
    <m/>
    <n v="1179"/>
    <m/>
    <m/>
    <m/>
    <m/>
    <m/>
    <m/>
    <n v="1179"/>
    <m/>
    <m/>
    <m/>
    <m/>
    <m/>
    <m/>
    <m/>
    <m/>
    <m/>
    <m/>
    <m/>
    <m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20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4:C89" firstHeaderRow="0" firstDataRow="1" firstDataCol="1" rowPageCount="1" colPageCount="1"/>
  <pivotFields count="82">
    <pivotField axis="axisRow" showAll="0">
      <items count="19">
        <item x="14"/>
        <item x="7"/>
        <item x="1"/>
        <item x="8"/>
        <item x="4"/>
        <item x="2"/>
        <item x="15"/>
        <item x="12"/>
        <item x="9"/>
        <item x="3"/>
        <item x="0"/>
        <item x="6"/>
        <item x="16"/>
        <item x="17"/>
        <item n="Zementherstellung" x="5"/>
        <item x="10"/>
        <item x="11"/>
        <item x="1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13">
        <item x="5"/>
        <item x="4"/>
        <item x="3"/>
        <item x="2"/>
        <item x="1"/>
        <item x="11"/>
        <item x="6"/>
        <item x="7"/>
        <item x="8"/>
        <item x="9"/>
        <item x="10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85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>
      <x v="7"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me von Potenzial pos. max MW" fld="11" baseField="0" baseItem="0"/>
    <dataField name="Summe von Potenzial neg. max MW" fld="1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le589711" displayName="Tabelle589711" ref="A1:BP79" totalsRowShown="0" headerRowDxfId="1933" dataDxfId="1932" tableBorderDxfId="1931">
  <autoFilter ref="A1:BP79" xr:uid="{00000000-0009-0000-0100-00000A000000}"/>
  <tableColumns count="68">
    <tableColumn id="1" xr3:uid="{00000000-0010-0000-0600-000001000000}" name="Prozess" dataDxfId="1930"/>
    <tableColumn id="47" xr3:uid="{00000000-0010-0000-0600-00002F000000}" name="Sektorenzuordnung" dataDxfId="1929"/>
    <tableColumn id="2" xr3:uid="{00000000-0010-0000-0600-000002000000}" name="Jahr" dataDxfId="1928"/>
    <tableColumn id="52" xr3:uid="{00000000-0010-0000-0600-000034000000}" name="Lastverschiebung" dataDxfId="1927"/>
    <tableColumn id="53" xr3:uid="{00000000-0010-0000-0600-000035000000}" name="Lastverzicht" dataDxfId="1926"/>
    <tableColumn id="79" xr3:uid="{00000000-0010-0000-0600-00004F000000}" name="Lasterhöhung" dataDxfId="1925"/>
    <tableColumn id="72" xr3:uid="{B20C2450-827E-4E13-B508-1E5560999F24}" name="jährliche Produktion kt" dataDxfId="1924"/>
    <tableColumn id="80" xr3:uid="{DFD6CD8B-0CA5-4FCC-87E6-3CFB7ABB390A}" name="spez. StV kWh/t min" dataDxfId="1923"/>
    <tableColumn id="85" xr3:uid="{D2B50151-4C2D-452C-9AA6-50848499803C}" name="spez. StV kWh/t" dataDxfId="1922"/>
    <tableColumn id="82" xr3:uid="{F9CC59E2-4EA8-4A85-A748-2DECF5E1243F}" name="spez. StV kWh/t max" dataDxfId="1921"/>
    <tableColumn id="84" xr3:uid="{4EBA232D-7458-44C1-9938-CA0F8B9C2D25}" name="Stromverbrauch in TWh" dataDxfId="1920"/>
    <tableColumn id="70" xr3:uid="{00000000-0010-0000-0600-000046000000}" name="Potenzial pos. Lastabwurf MW aus Teillast" dataDxfId="1919"/>
    <tableColumn id="69" xr3:uid="{00000000-0010-0000-0600-000045000000}" name="Potenzial pos. Lastverschiebung MW" dataDxfId="1918"/>
    <tableColumn id="75" xr3:uid="{00000000-0010-0000-0600-00004B000000}" name="Potenzial pos. Sommer MW" dataDxfId="1917"/>
    <tableColumn id="76" xr3:uid="{00000000-0010-0000-0600-00004C000000}" name="Potenzial pos. Winter MW" dataDxfId="1916"/>
    <tableColumn id="71" xr3:uid="{00000000-0010-0000-0600-000047000000}" name="Potenzial pos. Literatur MW" dataDxfId="1915"/>
    <tableColumn id="5" xr3:uid="{00000000-0010-0000-0600-000005000000}" name="Potenzial pos. max MW Lastverzicht" dataDxfId="1914"/>
    <tableColumn id="88" xr3:uid="{0116290E-AD3D-4C10-9D75-C27257168336}" name="Potenzial pos. max MW bei Vollauslastung Lastverzicht" dataDxfId="1913"/>
    <tableColumn id="73" xr3:uid="{00000000-0010-0000-0600-000049000000}" name="Potenzial neg. Lastverschiebung MW" dataDxfId="1912"/>
    <tableColumn id="50" xr3:uid="{00000000-0010-0000-0600-000032000000}" name="Potenzial neg. min MW" dataDxfId="1911"/>
    <tableColumn id="78" xr3:uid="{00000000-0010-0000-0600-00004E000000}" name="Potenzial neg. Sommer MW" dataDxfId="1910"/>
    <tableColumn id="77" xr3:uid="{00000000-0010-0000-0600-00004D000000}" name="Potenzial neg. Winter MW" dataDxfId="1909"/>
    <tableColumn id="74" xr3:uid="{00000000-0010-0000-0600-00004A000000}" name="Potenzial neg. Literatur MW" dataDxfId="1908"/>
    <tableColumn id="6" xr3:uid="{00000000-0010-0000-0600-000006000000}" name="Potenzial neg. max MW" dataDxfId="1907"/>
    <tableColumn id="7" xr3:uid="{00000000-0010-0000-0600-000007000000}" name="Mindestleistung MW" dataDxfId="1906"/>
    <tableColumn id="8" xr3:uid="{00000000-0010-0000-0600-000008000000}" name="Mindestauslastung" dataDxfId="1905" dataCellStyle="Prozent"/>
    <tableColumn id="86" xr3:uid="{51E77986-45AB-4F86-B8F7-3619215F5E7B}" name="Vollbenutzungsstunden h/a" dataDxfId="1904" dataCellStyle="Prozent"/>
    <tableColumn id="65" xr3:uid="{00000000-0010-0000-0600-000041000000}" name="Durchschnittsauslastung" dataDxfId="1903" dataCellStyle="Prozent"/>
    <tableColumn id="90" xr3:uid="{55ED8CB6-95BF-4607-9513-32CC667B409B}" name="Durchschnittsauslastung im Betriebszeitraum" dataDxfId="1902" dataCellStyle="Prozent"/>
    <tableColumn id="44" xr3:uid="{00000000-0010-0000-0600-00002C000000}" name="Durchschnittliche Leistung MW" dataDxfId="1901" dataCellStyle="Prozent">
      <calculatedColumnFormula>IF(Tabelle589711[[#This Row],[installierte Leistung MW]]&lt;&gt;"",Tabelle589711[[#This Row],[Durchschnittsauslastung]]*Tabelle589711[[#This Row],[installierte Leistung MW]],"")</calculatedColumnFormula>
    </tableColumn>
    <tableColumn id="10" xr3:uid="{00000000-0010-0000-0600-00000A000000}" name="installierte Leistung MW" dataDxfId="1900"/>
    <tableColumn id="92" xr3:uid="{ED84D14C-0AAC-4396-98E3-612BB7B8063E}" name="installierte Leistung MW min" dataDxfId="1899"/>
    <tableColumn id="91" xr3:uid="{4CCEE92F-967B-4215-8454-3B960F4FA6FB}" name="installierte Leistung MW max" dataDxfId="1898"/>
    <tableColumn id="68" xr3:uid="{00000000-0010-0000-0600-000044000000}" name="Aktivierungsdauer min (h)" dataDxfId="1897">
      <calculatedColumnFormula>0.01/60</calculatedColumnFormula>
    </tableColumn>
    <tableColumn id="67" xr3:uid="{00000000-0010-0000-0600-000043000000}" name="Aktivierungsdauer max (h)" dataDxfId="1896"/>
    <tableColumn id="11" xr3:uid="{00000000-0010-0000-0600-00000B000000}" name="Aktivierungsdauer (h)" dataDxfId="1895">
      <calculatedColumnFormula>0.1/60</calculatedColumnFormula>
    </tableColumn>
    <tableColumn id="94" xr3:uid="{5BD248D6-711B-4031-BA4A-E0D79C9A3F85}" name="Schaltdauer pos. min (h) Lastverzicht" dataDxfId="1894"/>
    <tableColumn id="93" xr3:uid="{64C7741E-23F4-4D9C-87A3-A1DBBCC978A0}" name="Schaltdauer pos. max (h) Lastverzicht" dataDxfId="1893"/>
    <tableColumn id="61" xr3:uid="{00000000-0010-0000-0600-00003D000000}" name="Schaltdauer pos. min (h)" dataDxfId="1892"/>
    <tableColumn id="60" xr3:uid="{00000000-0010-0000-0600-00003C000000}" name="Schaltdauer pos. max (h)" dataDxfId="1891"/>
    <tableColumn id="12" xr3:uid="{00000000-0010-0000-0600-00000C000000}" name="Schaltdauer pos. (h)" dataDxfId="1890"/>
    <tableColumn id="62" xr3:uid="{00000000-0010-0000-0600-00003E000000}" name="Schaltdauer neg. max (h)" dataDxfId="1889"/>
    <tableColumn id="51" xr3:uid="{00000000-0010-0000-0600-000033000000}" name="Schaltdauer neg. (h)" dataDxfId="1888"/>
    <tableColumn id="13" xr3:uid="{00000000-0010-0000-0600-00000D000000}" name="Verschiebedauer (h)" dataDxfId="1887"/>
    <tableColumn id="14" xr3:uid="{00000000-0010-0000-0600-00000E000000}" name="Regenerationsdauer (h)" dataDxfId="1886"/>
    <tableColumn id="15" xr3:uid="{00000000-0010-0000-0600-00000F000000}" name="Zeitverfügbarkeit?" dataDxfId="1885"/>
    <tableColumn id="16" xr3:uid="{00000000-0010-0000-0600-000010000000}" name="max. Abrufhäufigkeit pro Woche" dataDxfId="1884"/>
    <tableColumn id="40" xr3:uid="{00000000-0010-0000-0600-000028000000}" name="max. Abrufhäufigkeit pro Jahr Lastverschiebung" dataDxfId="1883"/>
    <tableColumn id="89" xr3:uid="{181B7AEA-F0FD-4284-AA00-65D9D8BA6197}" name="max. Abrufhäufigkeit pro Jahr Lastverzicht" dataDxfId="1882">
      <calculatedColumnFormula>Tabelle589711[[#This Row],[max. Abrufhäufigkeit pro Jahr Lastverschiebung]]/3</calculatedColumnFormula>
    </tableColumn>
    <tableColumn id="20" xr3:uid="{00000000-0010-0000-0600-000014000000}" name="Bemerkungen" dataDxfId="1881"/>
    <tableColumn id="55" xr3:uid="{00000000-0010-0000-0600-000037000000}" name="Fundstelle Lastverschiebung" dataDxfId="1880"/>
    <tableColumn id="54" xr3:uid="{00000000-0010-0000-0600-000036000000}" name="Fundstelle Lastverzicht" dataDxfId="1879"/>
    <tableColumn id="81" xr3:uid="{BFFF0E9D-5762-4501-9AED-3BE243495168}" name="Fundstelle Produktion" dataDxfId="1878"/>
    <tableColumn id="83" xr3:uid="{7C89B8C1-6B07-4858-BE2D-E0BB2B86EB93}" name="Fundstelle Stromverbrauch" dataDxfId="1877"/>
    <tableColumn id="21" xr3:uid="{00000000-0010-0000-0600-000015000000}" name="Fundstelle Potenzial pos." dataDxfId="1876"/>
    <tableColumn id="22" xr3:uid="{00000000-0010-0000-0600-000016000000}" name="Fundstelle Potenzial neg." dataDxfId="1875"/>
    <tableColumn id="23" xr3:uid="{00000000-0010-0000-0600-000017000000}" name="Fundstelle Mindestleistung" dataDxfId="1874"/>
    <tableColumn id="87" xr3:uid="{DBDEEC53-1C5F-4139-8131-941377563E46}" name="Fundstelle Vollbenutzungsstunden" dataDxfId="1873"/>
    <tableColumn id="66" xr3:uid="{00000000-0010-0000-0600-000042000000}" name="Fundstelle Durchschnittsauslastung" dataDxfId="1872"/>
    <tableColumn id="45" xr3:uid="{00000000-0010-0000-0600-00002D000000}" name="Fundstelle durchschnittliche Leistung" dataDxfId="1871"/>
    <tableColumn id="25" xr3:uid="{00000000-0010-0000-0600-000019000000}" name="Fundstelle installierte Leistung" dataDxfId="1870"/>
    <tableColumn id="39" xr3:uid="{00000000-0010-0000-0600-000027000000}" name="Fundstelle Aktivierungsdauer" dataDxfId="1869"/>
    <tableColumn id="26" xr3:uid="{00000000-0010-0000-0600-00001A000000}" name="Fundstelle Schaltdauer" dataDxfId="1868"/>
    <tableColumn id="27" xr3:uid="{00000000-0010-0000-0600-00001B000000}" name="Fundstelle Verschiebedauer" dataDxfId="1867"/>
    <tableColumn id="28" xr3:uid="{00000000-0010-0000-0600-00001C000000}" name="Fundstelle Regenerationsdauer" dataDxfId="1866"/>
    <tableColumn id="29" xr3:uid="{00000000-0010-0000-0600-00001D000000}" name="Fundstelle Zeitverfügbarkeit" dataDxfId="1865"/>
    <tableColumn id="30" xr3:uid="{00000000-0010-0000-0600-00001E000000}" name="Fundstelle max. Abrufhäufigkeit" dataDxfId="1864"/>
    <tableColumn id="34" xr3:uid="{00000000-0010-0000-0600-000022000000}" name="Fundstelle Bemerkungen" dataDxfId="186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394490D-9212-4113-B115-5667447D6819}" name="Tabelle589711172832" displayName="Tabelle589711172832" ref="A1:Y12" totalsRowShown="0" headerRowDxfId="1529" dataDxfId="1528" tableBorderDxfId="1527">
  <autoFilter ref="A1:Y12" xr:uid="{F701B2EC-E2AD-4208-957E-2645E6882D66}"/>
  <tableColumns count="25">
    <tableColumn id="1" xr3:uid="{DC6BC179-EF4B-4362-85B7-F94DCFF1400E}" name="Prozess" dataDxfId="1526"/>
    <tableColumn id="47" xr3:uid="{1E562F7D-0294-4D8A-8E3A-1A8AC50C13C5}" name="Sektorenzuordnung" dataDxfId="1525"/>
    <tableColumn id="2" xr3:uid="{557A65FD-3A5C-463A-97EE-0E6CF65B4C27}" name="Jahr" dataDxfId="1524"/>
    <tableColumn id="52" xr3:uid="{59337E75-E973-46A2-85CD-5E4C30936482}" name="Lastverschiebung" dataDxfId="1523"/>
    <tableColumn id="53" xr3:uid="{47DDB4D2-154C-4604-86E0-D2ECD974853B}" name="Lastverzicht" dataDxfId="1522"/>
    <tableColumn id="68" xr3:uid="{B5CE66E4-D69D-4D9B-BE03-A44C94AEECD6}" name="Lasterhöhung" dataDxfId="1521"/>
    <tableColumn id="76" xr3:uid="{CD72026E-AAC6-4DC5-BEBD-38776B6EC245}" name="Stromverbrauch von TWh" dataDxfId="1520"/>
    <tableColumn id="69" xr3:uid="{397FF19B-0798-4828-AE6C-0781813F0841}" name="Stromverbrauch bis TWh" dataDxfId="1519"/>
    <tableColumn id="75" xr3:uid="{86F5F6FB-3FE5-4447-8E6F-28626C87AB9E}" name="Potenzial pos. MW Durchschnitt Winter" dataDxfId="1518"/>
    <tableColumn id="38" xr3:uid="{34B8C0F8-29BC-4993-AD7C-89E8CFEFD0DA}" name="Potenzial pos. MW Durchschnitt Sommer" dataDxfId="1517"/>
    <tableColumn id="5" xr3:uid="{C9FBA385-3319-410C-9E95-D75ADAF90F00}" name="Potenzial pos. max MW" dataDxfId="1516"/>
    <tableColumn id="41" xr3:uid="{F6BCC037-E74A-46E2-A7BB-951C2F3F046C}" name="Potenzial neg. MW Durchschnitt Winter" dataDxfId="1515"/>
    <tableColumn id="74" xr3:uid="{7501D560-A540-4CF0-9493-781F98A90DBE}" name="Potenzial neg. MW Durchschnitt Sommer" dataDxfId="1514"/>
    <tableColumn id="6" xr3:uid="{BA722911-42F2-4D14-915F-A100E95C2268}" name="Potenzial neg. max MW" dataDxfId="1513"/>
    <tableColumn id="36" xr3:uid="{7021F6C5-608E-4A20-9686-037C7C0EE956}" name="flexibilisierbarer Anteil pos." dataDxfId="1512" dataCellStyle="Prozent"/>
    <tableColumn id="73" xr3:uid="{116DBAF6-360B-41D4-AFF4-2B005B4105BE}" name="flexibilisierbarer Anteil neg." dataDxfId="1511" dataCellStyle="Prozent"/>
    <tableColumn id="9" xr3:uid="{F1FC41B8-1308-4099-9233-0D4F701AC58B}" name="Maximalleistung MW" dataDxfId="1510"/>
    <tableColumn id="70" xr3:uid="{2FE6B4A1-7D5C-423E-B5D0-6DD8C39E40FA}" name="Betriebskosten €_2020/kW*a" dataDxfId="1509">
      <calculatedColumnFormula>2.43*Umrechnungsfaktoren!$B$15/Umrechnungsfaktoren!$B$7</calculatedColumnFormula>
    </tableColumn>
    <tableColumn id="20" xr3:uid="{A15C4103-9178-4ADD-A090-ECAC24C99A7C}" name="Bemerkungen" dataDxfId="1508"/>
    <tableColumn id="77" xr3:uid="{B8DB8FCD-1760-4661-9C41-1B90392388F2}" name="Fundstelle Stromverbrauch" dataDxfId="1507"/>
    <tableColumn id="21" xr3:uid="{D199A964-2A23-4A9C-9953-6C8672990CBB}" name="Fundstelle Potenzial pos." dataDxfId="1506"/>
    <tableColumn id="22" xr3:uid="{DD4DA05A-F4A6-4604-9694-92DA6E401C4B}" name="Fundstelle Potenzial neg." dataDxfId="1505"/>
    <tableColumn id="43" xr3:uid="{1E167E9E-CEFD-4CFA-B585-1E08BFEA0D2B}" name="Fundstelle flexibilisierbarer Anteil" dataDxfId="1504"/>
    <tableColumn id="24" xr3:uid="{4C5D21DA-3386-479F-BA98-D4AE50E16868}" name="Fundstelle Maximalleistung" dataDxfId="1503"/>
    <tableColumn id="72" xr3:uid="{931407FA-5243-49A1-9BD0-1031DBA7B183}" name="Fundstelle Betriebskosten" dataDxfId="1502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E193408-247E-4F12-B696-53F555444677}" name="Tabelle58971145" displayName="Tabelle58971145" ref="A1:AM31" totalsRowShown="0" headerRowDxfId="1501" dataDxfId="1500" tableBorderDxfId="1499">
  <autoFilter ref="A1:AM31" xr:uid="{00000000-0009-0000-0100-00000A000000}"/>
  <tableColumns count="39">
    <tableColumn id="1" xr3:uid="{9BEA42D4-2EF2-41EA-9518-BE34A51B6F34}" name="Prozess" dataDxfId="1498"/>
    <tableColumn id="47" xr3:uid="{C08C1B11-814C-4D0C-97A2-781DD12C0F2D}" name="Sektorenzuordnung" dataDxfId="1497"/>
    <tableColumn id="2" xr3:uid="{BCB6F9B1-0AE5-413C-AC12-35F36864EFE3}" name="Jahr" dataDxfId="1496"/>
    <tableColumn id="52" xr3:uid="{0106CB6B-E3B0-4692-8C80-38757DD9542D}" name="Lastverschiebung" dataDxfId="1495"/>
    <tableColumn id="53" xr3:uid="{61F179E0-4148-45AC-8605-2CB624AEA339}" name="Lastverzicht" dataDxfId="1494"/>
    <tableColumn id="79" xr3:uid="{DE94320C-CAC1-4011-B462-A4FAD773F3A0}" name="Lasterhöhung" dataDxfId="1493"/>
    <tableColumn id="84" xr3:uid="{B81FCAD3-28B5-40CB-A5D9-D3EEC1391FFF}" name="Stromverbrauch in TWh" dataDxfId="1492"/>
    <tableColumn id="11" xr3:uid="{7E756253-6AE1-492B-8DF7-2826EB2DD91A}" name="Stromverbrauch in TWh errechnet" dataDxfId="1491"/>
    <tableColumn id="69" xr3:uid="{1A147A1B-FEA4-49D6-AAB4-324FFB9D75F0}" name="Potenzial pos. Lastverschiebung MW" dataDxfId="1490"/>
    <tableColumn id="14" xr3:uid="{C6784EE0-CDC2-42A7-9732-0ACE0E5C308B}" name="Potenzial pos. min MW" dataDxfId="1489"/>
    <tableColumn id="12" xr3:uid="{AC43B148-ABE9-45F6-B3A5-36CC332142A4}" name="Potenzial pos. max MW" dataDxfId="1488"/>
    <tableColumn id="73" xr3:uid="{2E26CE25-10F4-42B4-8D4A-A0244F49AF69}" name="Potenzial neg. Lastverschiebung MW" dataDxfId="1487"/>
    <tableColumn id="50" xr3:uid="{455645D8-B6ED-44DF-917C-3878B5C20E6E}" name="Potenzial neg. min MW" dataDxfId="1486"/>
    <tableColumn id="78" xr3:uid="{2B4A884B-12BA-4345-895F-1F3B25E3597B}" name="Potenzial neg. max MW" dataDxfId="1485"/>
    <tableColumn id="17" xr3:uid="{869B572D-D6EE-4BEA-AE9C-1F6ABC49CB1A}" name="installierte Leistung MW" dataDxfId="1484"/>
    <tableColumn id="7" xr3:uid="{4A644916-0C78-497F-A0CE-BEC2292C4326}" name="Mindestleistung MW" dataDxfId="1483"/>
    <tableColumn id="18" xr3:uid="{49E89E89-CF45-43A9-9065-C588E4948E64}" name="Maximalleistung MW" dataDxfId="1482"/>
    <tableColumn id="8" xr3:uid="{DDF8383F-6B63-40BD-AAB0-C47D873BD960}" name="Mindestauslastung" dataDxfId="1481" dataCellStyle="Prozent"/>
    <tableColumn id="3" xr3:uid="{E0C7BBDA-4865-454A-8F09-DB8A82CE6921}" name="Maximalauslastung" dataDxfId="1480" dataCellStyle="Prozent"/>
    <tableColumn id="4" xr3:uid="{036D0E72-ED58-47F4-AD36-8017DE18F4D6}" name="flexibilisierbarer Anteil an installierter Leistung" dataDxfId="1479" dataCellStyle="Prozent"/>
    <tableColumn id="13" xr3:uid="{2DE4F162-BCD1-4BEA-BA50-36C5B0CC9C4B}" name="Verschiebedauer (h)" dataDxfId="1478"/>
    <tableColumn id="15" xr3:uid="{50EE543D-3C82-400A-A79C-64F697242FDB}" name="Zeitverfügbarkeit?" dataDxfId="1477"/>
    <tableColumn id="89" xr3:uid="{F9EE2269-04CC-4F93-A3CC-191AF640F8FA}" name="Investitionsausgaben €_2020/kW" dataDxfId="1476"/>
    <tableColumn id="10" xr3:uid="{B96CF8EC-2416-415B-B9EB-A03C70EE6A83}" name="variable Kosten €_2020/MWh" dataDxfId="1475"/>
    <tableColumn id="9" xr3:uid="{7EC1AC58-F7F2-4CCC-B32C-830F756D1E91}" name="fixe Kosten €_2020/kW*a" dataDxfId="1474"/>
    <tableColumn id="20" xr3:uid="{1EE6D910-AACC-4FF9-BC23-DD8EE6774AC1}" name="Bemerkungen" dataDxfId="1473"/>
    <tableColumn id="55" xr3:uid="{AC6E994A-9A5E-4E07-82F5-B03EAB73D957}" name="Fundstelle Lastverschiebung" dataDxfId="1472"/>
    <tableColumn id="54" xr3:uid="{5661A07C-C6D3-4992-98D4-B646E82208B8}" name="Fundstelle Lastverzicht" dataDxfId="1471"/>
    <tableColumn id="83" xr3:uid="{5BF37C88-B135-4EA6-B59D-76E9D4F796DA}" name="Fundstelle Stromverbrauch" dataDxfId="1470"/>
    <tableColumn id="21" xr3:uid="{95C58A8D-2335-44E7-BA0B-E8F31C7039A9}" name="Fundstelle Potenzial pos." dataDxfId="1469"/>
    <tableColumn id="22" xr3:uid="{F1EE5E8F-AD0E-495E-8374-13CBB0B5BE92}" name="Fundstelle Potenzial neg." dataDxfId="1468"/>
    <tableColumn id="23" xr3:uid="{F7275A52-188B-462A-A931-6AF93FC790C6}" name="Fundstelle Mindestleistung" dataDxfId="1467"/>
    <tableColumn id="87" xr3:uid="{535FBF6F-2DA8-4D0B-A0A2-108D3631A8E4}" name="Fundstelle Maximalleistung" dataDxfId="1466"/>
    <tableColumn id="19" xr3:uid="{13D456B7-8BE3-47CA-B8BD-A8378D02C324}" name="Fundstelle Maximalauslastung" dataDxfId="1465"/>
    <tableColumn id="66" xr3:uid="{CEEC9F0C-F71E-45B9-AC82-0D8BD8B0BD19}" name="Fundstelle flexibilisierbarer Anteil" dataDxfId="1464"/>
    <tableColumn id="25" xr3:uid="{9298F3C5-E1DF-4359-AE7E-926B13598CC8}" name="Fundstelle installierte Leistung" dataDxfId="1463"/>
    <tableColumn id="27" xr3:uid="{DB091A7C-5C90-4358-91DE-63815B2C2073}" name="Fundstelle Verschiebedauer" dataDxfId="1462"/>
    <tableColumn id="29" xr3:uid="{F03E711E-D7A9-42FF-B283-F9103D47B8FA}" name="Fundstelle Zeitverfügbarkeit" dataDxfId="1461"/>
    <tableColumn id="34" xr3:uid="{FA0B6F4A-1963-484F-8A5B-5CD5D652341E}" name="Fundstelle Bemerkungen" dataDxfId="1460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70B4467-5655-4FB4-B499-7E2249628D9B}" name="Tabelle5897111728" displayName="Tabelle5897111728" ref="A1:AF7" totalsRowShown="0" headerRowDxfId="1459" dataDxfId="1458" tableBorderDxfId="1457">
  <autoFilter ref="A1:AF7" xr:uid="{AE11E327-A0B3-4E98-A3F3-1BDD32A06945}"/>
  <tableColumns count="32">
    <tableColumn id="1" xr3:uid="{1B6C1A63-9A69-45F9-8F63-0C1CCD81B33F}" name="Prozess" dataDxfId="1456"/>
    <tableColumn id="47" xr3:uid="{DD252FB6-A304-4598-9F7B-E9C47270DF1F}" name="Sektorenzuordnung" dataDxfId="1455"/>
    <tableColumn id="2" xr3:uid="{166090E1-D564-44D6-9E47-5CC8D4CAB587}" name="Jahr" dataDxfId="1454"/>
    <tableColumn id="52" xr3:uid="{78681D84-5EBB-413A-A252-15B395CF771F}" name="Lastverschiebung" dataDxfId="1453"/>
    <tableColumn id="53" xr3:uid="{F96A7A76-11EE-443F-8727-346CF40F0D46}" name="Lastverzicht" dataDxfId="1452"/>
    <tableColumn id="68" xr3:uid="{3F4677B5-D8D2-4AA4-8039-6C8F6E4D935E}" name="Lasterhöhung" dataDxfId="1451"/>
    <tableColumn id="5" xr3:uid="{1D9C9BAF-69D5-414A-BABA-D73F3772627A}" name="Potenzial pos. max MW" dataDxfId="1450"/>
    <tableColumn id="6" xr3:uid="{542E41EB-2424-468B-A6AB-A29A7ED9EF8C}" name="Potenzial neg. max MW" dataDxfId="1449"/>
    <tableColumn id="65" xr3:uid="{0EEFB969-ECD7-40FB-B2E0-1AFDEB243AC9}" name="Durchschnittsauslastung" dataDxfId="1448" dataCellStyle="Prozent">
      <calculatedColumnFormula>Tabelle5897111728[[#This Row],[Vollbenutzungsstunden h/a]]/8760</calculatedColumnFormula>
    </tableColumn>
    <tableColumn id="71" xr3:uid="{1E26E7E8-26F0-452A-A67C-2FE0C67D697B}" name="Vollbenutzungsstunden h/a" dataDxfId="1447" dataCellStyle="Prozent"/>
    <tableColumn id="44" xr3:uid="{9D342217-0BA8-4BA0-968F-27651EB3D823}" name="Durchschnittliche Leistung MW" dataDxfId="1446" dataCellStyle="Prozent"/>
    <tableColumn id="9" xr3:uid="{83877863-389D-4EB9-809C-D57ED1124005}" name="Maximalleistung MW" dataDxfId="1445"/>
    <tableColumn id="11" xr3:uid="{AFE627B7-F2B2-4D99-958E-9558063501E2}" name="Aktivierungsdauer (h)" dataDxfId="1444">
      <calculatedColumnFormula>60/3600</calculatedColumnFormula>
    </tableColumn>
    <tableColumn id="13" xr3:uid="{6D352065-FCB4-4073-A8C1-A29BDB3DB40E}" name="Verschiebedauer (h)" dataDxfId="1443"/>
    <tableColumn id="16" xr3:uid="{E041B129-E315-4420-8E19-A0F40B389798}" name="max. Abrufhäufigkeit pro Woche" dataDxfId="1442">
      <calculatedColumnFormula>7</calculatedColumnFormula>
    </tableColumn>
    <tableColumn id="57" xr3:uid="{63811DD0-9579-4F52-B31C-DAC28FEB5628}" name="min. Investitionsausgaben €_2020/kW" dataDxfId="1441">
      <calculatedColumnFormula>0</calculatedColumnFormula>
    </tableColumn>
    <tableColumn id="56" xr3:uid="{EB322A90-3156-4958-A962-44A0D3ABE274}" name="max. Investitionsausgaben €_2020/kW" dataDxfId="1440">
      <calculatedColumnFormula>100*Umrechnungsfaktoren!$B$15/Umrechnungsfaktoren!$B$12</calculatedColumnFormula>
    </tableColumn>
    <tableColumn id="70" xr3:uid="{2A27CBA6-227A-4C0E-A88C-BC7CFE0576F6}" name="zus. Betriebskosten p.a. min. (€)" dataDxfId="1439">
      <calculatedColumnFormula>10*Umrechnungsfaktoren!$B$15/Umrechnungsfaktoren!$B$12</calculatedColumnFormula>
    </tableColumn>
    <tableColumn id="69" xr3:uid="{BEE68730-C882-4535-9344-E0220DD4467C}" name="zus. Betriebskosten p.a. max. (€)" dataDxfId="1438">
      <calculatedColumnFormula>10</calculatedColumnFormula>
    </tableColumn>
    <tableColumn id="19" xr3:uid="{8F50806E-FFB1-43D1-812E-5D7AAA75EF88}" name="fixe Kosten €_2020/kW*a" dataDxfId="1437">
      <calculatedColumnFormula>10*Umrechnungsfaktoren!$B$15/Umrechnungsfaktoren!$B$12</calculatedColumnFormula>
    </tableColumn>
    <tableColumn id="55" xr3:uid="{67896037-C30A-448B-B01F-5651610E7263}" name="Fundstelle Lastverschiebung" dataDxfId="1436"/>
    <tableColumn id="21" xr3:uid="{B2A11AAA-EF31-44EC-962D-A3EF057CC02E}" name="Fundstelle Potenzial pos." dataDxfId="1435"/>
    <tableColumn id="22" xr3:uid="{46D3FC14-1E62-4B6A-93E0-EA54A57D30C3}" name="Fundstelle Potenzial neg." dataDxfId="1434"/>
    <tableColumn id="66" xr3:uid="{C0399ECB-FD3A-4F0E-913E-412EDA197D96}" name="Fundstelle Durchschnittsauslastung" dataDxfId="1433"/>
    <tableColumn id="45" xr3:uid="{CCAD7132-2CCC-47BE-853B-8E8CEA6B2B46}" name="Fundstelle durchschnittliche Leistung" dataDxfId="1432"/>
    <tableColumn id="24" xr3:uid="{BBD85B9D-122D-405D-B2EF-EA28AADE45DA}" name="Fundstelle Maximalleistung" dataDxfId="1431"/>
    <tableColumn id="39" xr3:uid="{1F0D4C5A-13F6-40B4-81C8-BC51805E38E5}" name="Fundstelle Aktivierungsdauer" dataDxfId="1430"/>
    <tableColumn id="27" xr3:uid="{058434D0-4C28-446F-AE30-225302A314DD}" name="Fundstelle Verschiebedauer" dataDxfId="1429"/>
    <tableColumn id="30" xr3:uid="{4B166F0A-394A-4BFD-9BC2-2662AFEEEF76}" name="Fundstelle max. Abrufhäufigkeit" dataDxfId="1428"/>
    <tableColumn id="31" xr3:uid="{76303978-F198-4D18-BAB9-16C145518465}" name="Fundstelle Invest" dataDxfId="1427"/>
    <tableColumn id="72" xr3:uid="{A495F14A-EF03-4EBF-A509-5E28149924C6}" name="Fundstelle Betriebskosten" dataDxfId="1426"/>
    <tableColumn id="33" xr3:uid="{EC86EA94-5314-4CA8-8171-76927E856A81}" name="Fundstelle fixe Kosten" dataDxfId="1425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A6B7B5E-F297-47A4-B2D8-6822A4FA0D3C}" name="Tabelle548" displayName="Tabelle548" ref="A1:AW49" totalsRowShown="0" headerRowDxfId="1424" dataDxfId="1423" tableBorderDxfId="1422">
  <autoFilter ref="A1:AW49" xr:uid="{00000000-0009-0000-0100-000005000000}"/>
  <tableColumns count="49">
    <tableColumn id="1" xr3:uid="{FFC90C93-33FD-47A1-B64D-8DB528C3475C}" name="Prozess" dataDxfId="1421"/>
    <tableColumn id="47" xr3:uid="{B17CBC92-C1C0-4DA3-B865-13DA078AAA6D}" name="Sektorenzuordnung" dataDxfId="1420"/>
    <tableColumn id="2" xr3:uid="{D18B465F-7A9C-47FE-AF73-F83296713B73}" name="Jahr" dataDxfId="1419"/>
    <tableColumn id="51" xr3:uid="{7C5E405E-BFD3-4E1F-873B-333DEDAB35BB}" name="Lastverschiebung" dataDxfId="1418"/>
    <tableColumn id="52" xr3:uid="{644774FC-88FA-436E-96C5-5D274596EF61}" name="Lastverzicht" dataDxfId="1417"/>
    <tableColumn id="4" xr3:uid="{AB89944B-4E46-4EF5-BD5F-702AB9BC4C6D}" name="Lasterhöhung" dataDxfId="1416"/>
    <tableColumn id="42" xr3:uid="{29D23DBF-0E08-48A4-BF60-E34BC543579A}" name="Stromverbrauch in TWh" dataDxfId="1415"/>
    <tableColumn id="11" xr3:uid="{DD6A822E-ED97-42F0-A14A-3770FD62D8EC}" name="installierte Leistung MW" dataDxfId="1414"/>
    <tableColumn id="15" xr3:uid="{E870E8AA-0CD2-4D83-8978-C631D291777B}" name="jährliche Produktion kt" dataDxfId="1413"/>
    <tableColumn id="38" xr3:uid="{7F09EC0D-71D6-498B-AA21-380AC0639EF7}" name="Vollbenutzungsstunden h/a" dataDxfId="1412"/>
    <tableColumn id="36" xr3:uid="{497A01B1-EFD3-48B8-A229-FD7D62F6A9D7}" name="flexibilisierbarer Anteil" dataDxfId="1411" dataCellStyle="Prozent"/>
    <tableColumn id="17" xr3:uid="{CD015777-97AB-4A8C-8C03-A401C78A19EF}" name="flexibilisierbarer Anteil Lastreduktion" dataDxfId="1410" dataCellStyle="Prozent"/>
    <tableColumn id="56" xr3:uid="{F89A3971-3A95-47D7-AAD0-850FD8D14AE5}" name="Potenzial pos. min MW" dataDxfId="1409" dataCellStyle="Prozent"/>
    <tableColumn id="50" xr3:uid="{4F5A1BFA-5D54-4C2D-AF25-90D4C8AAEB7E}" name="Potenzial pos. MW Durchschnitt" dataDxfId="1408" dataCellStyle="Komma"/>
    <tableColumn id="41" xr3:uid="{F0E3FEDF-4497-42B1-84BA-36ADA4664B4B}" name="Potenzial pos. max MW" dataDxfId="1407" dataCellStyle="Komma"/>
    <tableColumn id="59" xr3:uid="{59EA4B2E-0875-48C9-9016-B199B76CA901}" name="Potenzial neg. min MW" dataDxfId="1406" dataCellStyle="Komma"/>
    <tableColumn id="57" xr3:uid="{B4B6F41E-88F1-4467-ADD0-29F1E9409484}" name="Potenzial neg. MW Durchschnitt" dataDxfId="1405" dataCellStyle="Komma"/>
    <tableColumn id="45" xr3:uid="{87D3FAF0-1985-4FED-85D0-842DC7E53EDC}" name="Potenzial neg. max MW" dataDxfId="1404"/>
    <tableColumn id="60" xr3:uid="{1B683813-4658-4369-82F3-8556F19E1B8D}" name="Potenzial pos. min MW Lastverzicht" dataDxfId="1403"/>
    <tableColumn id="44" xr3:uid="{651BB214-2ACC-4649-88E6-F3814435D637}" name="Potenzial pos. MW Lastverzicht" dataDxfId="1402" dataCellStyle="Komma"/>
    <tableColumn id="61" xr3:uid="{100CDD29-40CC-454D-B35E-0F1C8D8FED5E}" name="Potenzial pos. max MW Lastverzicht" dataDxfId="1401" dataCellStyle="Komma"/>
    <tableColumn id="16" xr3:uid="{70338E25-1927-4A8E-938F-E812A85D809F}" name="flexibilisierbarer Anteil Lastverzicht" dataDxfId="1400" dataCellStyle="Prozent"/>
    <tableColumn id="58" xr3:uid="{1DBF7067-F935-4084-B1E2-3EF36A029975}" name="Schaltdauer pos. (h) Lastverzicht" dataDxfId="1399"/>
    <tableColumn id="13" xr3:uid="{8AE7638C-87D5-47CD-BC3C-30D80791750D}" name="Verschiebedauer (h)" dataDxfId="1398"/>
    <tableColumn id="14" xr3:uid="{9BB1B3FD-4BA6-41C1-B765-89320F8CC361}" name="Regenerationsdauer (h)" dataDxfId="1397"/>
    <tableColumn id="40" xr3:uid="{E2D30A2E-5A01-43EB-A39D-4AD04CB368D8}" name="max. Abrufhäufigkeit pro Jahr" dataDxfId="1396"/>
    <tableColumn id="31" xr3:uid="{DEC6139F-93AA-487C-9934-C244A862C7A0}" name="var. Kosten Lastverschiebung €_2020/MWh" dataDxfId="1395"/>
    <tableColumn id="29" xr3:uid="{DC078A4F-53BE-4F4F-84DF-9BBBFAADBB6B}" name="var. Kosten Lastverzicht €_2020/MWh min" dataDxfId="1394">
      <calculatedColumnFormula>461/Umrechnungsfaktoren!$B$16/Umrechnungsfaktoren!$B$17</calculatedColumnFormula>
    </tableColumn>
    <tableColumn id="19" xr3:uid="{8178311D-EDDC-4F67-B995-F5B059ED5501}" name="var. Kosten Lastverzicht €_2020/MWh max" dataDxfId="1393"/>
    <tableColumn id="18" xr3:uid="{76146F68-5ABF-450C-8F65-22C85A1BCA20}" name="Investitionsausgaben €_2020/kW" dataDxfId="1392">
      <calculatedColumnFormula>2.3/Umrechnungsfaktoren!$B$16/Umrechnungsfaktoren!$B$17</calculatedColumnFormula>
    </tableColumn>
    <tableColumn id="32" xr3:uid="{FD27ED20-944F-4083-A405-38E6EF1F4FD8}" name="fixe Kosten €_2020/kW*a" dataDxfId="1391">
      <calculatedColumnFormula>2/Umrechnungsfaktoren!$B$16/Umrechnungsfaktoren!$B$17</calculatedColumnFormula>
    </tableColumn>
    <tableColumn id="20" xr3:uid="{C6119E3F-CA0B-4C2E-8DFC-0DA81B1C4BC0}" name="Bemerkungen" dataDxfId="1390"/>
    <tableColumn id="54" xr3:uid="{7930F405-CE76-4D55-BD96-FF7979E2D2D1}" name="Fundstelle Lastverschiebung" dataDxfId="1389"/>
    <tableColumn id="53" xr3:uid="{DB72F530-E7E1-4931-94BF-27E60F7681C0}" name="Fundstelle Lastverzicht" dataDxfId="1388"/>
    <tableColumn id="55" xr3:uid="{5CBF49A2-A9F4-449E-886F-EE1AED514EEA}" name="Fundstelle Stromverbrauch" dataDxfId="1387"/>
    <tableColumn id="39" xr3:uid="{D4A378A3-7E21-4EEB-82A3-F090EB1DA2C8}" name="Fundstelle Vollbenutzungsstunden" dataDxfId="1386"/>
    <tableColumn id="48" xr3:uid="{7AEA3154-1E68-4EE2-AADF-C0A8D305FE1A}" name="Fundstelle Potenzial pos." dataDxfId="1385"/>
    <tableColumn id="46" xr3:uid="{60B91F3C-E7D9-4CB2-9669-D883C96F2ED3}" name="Fundstelle Potenzial neg." dataDxfId="1384"/>
    <tableColumn id="43" xr3:uid="{F66B27DE-0570-46C9-AEF4-DDD66B787FBA}" name="Fundstelle flexibilisierbarer Anteil" dataDxfId="1383"/>
    <tableColumn id="25" xr3:uid="{E0D5435F-3EB7-4B84-A193-B6C3BFCD5A7B}" name="Fundstelle installierte Leistung" dataDxfId="1382"/>
    <tableColumn id="26" xr3:uid="{836FA7BC-7C19-44FF-A1CE-03E99FAB4EDD}" name="Fundstelle Schaltdauer" dataDxfId="1381"/>
    <tableColumn id="27" xr3:uid="{B393F5A6-E324-453B-9879-88CBCB0289B2}" name="Fundstelle Verschiebedauer" dataDxfId="1380"/>
    <tableColumn id="28" xr3:uid="{BDECFF06-4C52-4C72-9592-5F6FEA23FF00}" name="Fundstelle Regenerationsdauer" dataDxfId="1379"/>
    <tableColumn id="30" xr3:uid="{6C580842-0D12-428A-B2B7-59A05F5FB31C}" name="Fundstelle max. Abrufhäufigkeit" dataDxfId="1378"/>
    <tableColumn id="49" xr3:uid="{C7FC4624-9D83-4505-979F-86969C9510FC}" name="Fundstelle Invest" dataDxfId="1377"/>
    <tableColumn id="33" xr3:uid="{9DE11023-071D-4CB1-B70F-7C1C2547643A}" name="Fundstelle var. Kosten"/>
    <tableColumn id="37" xr3:uid="{3BE7B3EB-55E6-4E99-B94E-2F6A106C4539}" name="Fundstelle fixe Kosten"/>
    <tableColumn id="34" xr3:uid="{DAFE2601-9456-45B0-84AE-CBEE6642694E}" name="Fundstelle Bemerkungen" dataDxfId="1376"/>
    <tableColumn id="35" xr3:uid="{F0CADE1C-6453-40C3-AF45-4A390DB20ED9}" name="eigene Anmerkung" dataDxfId="1375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le5" displayName="Tabelle5" ref="A1:AU65" totalsRowShown="0" headerRowDxfId="1374" dataDxfId="1373" tableBorderDxfId="1372">
  <autoFilter ref="A1:AU65" xr:uid="{00000000-0009-0000-0100-000005000000}"/>
  <tableColumns count="47">
    <tableColumn id="1" xr3:uid="{00000000-0010-0000-0000-000001000000}" name="Prozess" dataDxfId="1371"/>
    <tableColumn id="47" xr3:uid="{00000000-0010-0000-0000-00002F000000}" name="Sektorenzuordnung" dataDxfId="1370"/>
    <tableColumn id="2" xr3:uid="{00000000-0010-0000-0000-000002000000}" name="Jahr" dataDxfId="1369"/>
    <tableColumn id="51" xr3:uid="{00000000-0010-0000-0000-000033000000}" name="Lastverschiebung" dataDxfId="1368"/>
    <tableColumn id="52" xr3:uid="{00000000-0010-0000-0000-000034000000}" name="Lastverzicht" dataDxfId="1367"/>
    <tableColumn id="4" xr3:uid="{D0856174-3D23-4F02-ADDE-B692295B8697}" name="Lasterhöhung" dataDxfId="1366"/>
    <tableColumn id="42" xr3:uid="{00000000-0010-0000-0000-00002A000000}" name="Stromverbrauch in TWh" dataDxfId="1365"/>
    <tableColumn id="3" xr3:uid="{00000000-0010-0000-0000-000003000000}" name="Potenzial pos. min MW" dataDxfId="1364"/>
    <tableColumn id="5" xr3:uid="{00000000-0010-0000-0000-000005000000}" name="Potenzial pos. MW Durchschnitt" dataDxfId="1363"/>
    <tableColumn id="56" xr3:uid="{5D8BF37C-B6DA-4DAE-85EF-97EDCAB29827}" name="Potenzial pos. max MW" dataDxfId="1362"/>
    <tableColumn id="57" xr3:uid="{3F62AF89-957C-4C53-9BD5-87186AEE5FE0}" name="Potenzial pos. MW Lastverzicht" dataDxfId="1361"/>
    <tableColumn id="37" xr3:uid="{00000000-0010-0000-0000-000025000000}" name="ausgewiesenes Pot. pos. MW (falls abweichend)" dataDxfId="1360"/>
    <tableColumn id="50" xr3:uid="{00000000-0010-0000-0000-000032000000}" name="Potenzial neg. min MW" dataDxfId="1359"/>
    <tableColumn id="41" xr3:uid="{00000000-0010-0000-0000-000029000000}" name="Potenzial neg. MW Durchschnitt" dataDxfId="1358">
      <calculatedColumnFormula>Tabelle5[[#This Row],[Potenzial pos. MW Durchschnitt]]</calculatedColumnFormula>
    </tableColumn>
    <tableColumn id="6" xr3:uid="{00000000-0010-0000-0000-000006000000}" name="Potenzial neg. max MW" dataDxfId="1357">
      <calculatedColumnFormula>Tabelle5[[#This Row],[Potenzial pos. max MW]]</calculatedColumnFormula>
    </tableColumn>
    <tableColumn id="7" xr3:uid="{00000000-0010-0000-0000-000007000000}" name="Mindestleistung MW" dataDxfId="1356"/>
    <tableColumn id="8" xr3:uid="{00000000-0010-0000-0000-000008000000}" name="Mindestauslastung" dataDxfId="1355" dataCellStyle="Prozent"/>
    <tableColumn id="36" xr3:uid="{00000000-0010-0000-0000-000024000000}" name="flexibilisierbarer Anteil an installierter Leistung" dataDxfId="1354" dataCellStyle="Prozent">
      <calculatedColumnFormula>(1-Tabelle5[[#This Row],[Mindestauslastung]])</calculatedColumnFormula>
    </tableColumn>
    <tableColumn id="44" xr3:uid="{00000000-0010-0000-0000-00002C000000}" name="Durchschnittliche Leistung MW" dataDxfId="1353" dataCellStyle="Prozent"/>
    <tableColumn id="9" xr3:uid="{00000000-0010-0000-0000-000009000000}" name="Maximalleistung MW" dataDxfId="1352">
      <calculatedColumnFormula>Tabelle5[[#This Row],[Potenzial pos. MW Durchschnitt]]*0.95</calculatedColumnFormula>
    </tableColumn>
    <tableColumn id="46" xr3:uid="{00000000-0010-0000-0000-00002E000000}" name="Maximalauslastung" dataDxfId="1351" dataCellStyle="Prozent">
      <calculatedColumnFormula>Tabelle5[[#This Row],[Maximalleistung MW]]/Tabelle5[[#This Row],[installierte Leistung MW]]</calculatedColumnFormula>
    </tableColumn>
    <tableColumn id="10" xr3:uid="{00000000-0010-0000-0000-00000A000000}" name="installierte Leistung MW" dataDxfId="1350"/>
    <tableColumn id="12" xr3:uid="{00000000-0010-0000-0000-00000C000000}" name="Schaltdauer pos. (h)" dataDxfId="1349"/>
    <tableColumn id="58" xr3:uid="{C34DB603-C3DF-483E-9871-B4D242E37733}" name="Schaltdauer pos. (h) Lastverzicht" dataDxfId="1348"/>
    <tableColumn id="13" xr3:uid="{00000000-0010-0000-0000-00000D000000}" name="Verschiebedauer (h)" dataDxfId="1347"/>
    <tableColumn id="14" xr3:uid="{00000000-0010-0000-0000-00000E000000}" name="Regenerationsdauer (h)" dataDxfId="1346"/>
    <tableColumn id="40" xr3:uid="{00000000-0010-0000-0000-000028000000}" name="max. Abrufhäufigkeit pro Jahr" dataDxfId="1345"/>
    <tableColumn id="59" xr3:uid="{AD737D38-5C2B-4AC5-A4FE-E51446E5D338}" name="max. Abrufhäufigkeit pro Jahr Lastverzicht" dataDxfId="1344"/>
    <tableColumn id="20" xr3:uid="{00000000-0010-0000-0000-000014000000}" name="Bemerkungen" dataDxfId="1343"/>
    <tableColumn id="38" xr3:uid="{9EAA064E-6572-4AF4-B302-841704B9BCF9}" name="Bemerkungen 2" dataDxfId="1342"/>
    <tableColumn id="54" xr3:uid="{00000000-0010-0000-0000-000036000000}" name="Fundstelle Lastverschiebung" dataDxfId="1341"/>
    <tableColumn id="53" xr3:uid="{00000000-0010-0000-0000-000035000000}" name="Fundstelle Lastverzicht" dataDxfId="1340"/>
    <tableColumn id="55" xr3:uid="{00000000-0010-0000-0000-000037000000}" name="Fundstelle Stromverbrauch" dataDxfId="1339"/>
    <tableColumn id="21" xr3:uid="{00000000-0010-0000-0000-000015000000}" name="Fundstelle Potenzial pos." dataDxfId="1338"/>
    <tableColumn id="22" xr3:uid="{00000000-0010-0000-0000-000016000000}" name="Fundstelle Potenzial neg." dataDxfId="1337"/>
    <tableColumn id="23" xr3:uid="{00000000-0010-0000-0000-000017000000}" name="Fundstelle Mindestleistung" dataDxfId="1336"/>
    <tableColumn id="43" xr3:uid="{00000000-0010-0000-0000-00002B000000}" name="Fundstelle flexibilisierbarer Anteil" dataDxfId="1335"/>
    <tableColumn id="45" xr3:uid="{00000000-0010-0000-0000-00002D000000}" name="Fundstelle durchschnittliche Leistung" dataDxfId="1334"/>
    <tableColumn id="24" xr3:uid="{00000000-0010-0000-0000-000018000000}" name="Fundstelle Maximalleistung" dataDxfId="1333"/>
    <tableColumn id="25" xr3:uid="{00000000-0010-0000-0000-000019000000}" name="Fundstelle installierte Leistung" dataDxfId="1332"/>
    <tableColumn id="26" xr3:uid="{00000000-0010-0000-0000-00001A000000}" name="Fundstelle Schaltdauer" dataDxfId="1331"/>
    <tableColumn id="27" xr3:uid="{00000000-0010-0000-0000-00001B000000}" name="Fundstelle Verschiebedauer" dataDxfId="1330"/>
    <tableColumn id="28" xr3:uid="{00000000-0010-0000-0000-00001C000000}" name="Fundstelle Regenerationsdauer" dataDxfId="1329"/>
    <tableColumn id="30" xr3:uid="{00000000-0010-0000-0000-00001E000000}" name="Fundstelle max. Abrufhäufigkeit" dataDxfId="1328"/>
    <tableColumn id="49" xr3:uid="{00000000-0010-0000-0000-000031000000}" name="Fundstelle Investition je Anschlusspunkt" dataDxfId="1327"/>
    <tableColumn id="34" xr3:uid="{00000000-0010-0000-0000-000022000000}" name="Fundstelle Bemerkungen" dataDxfId="1326"/>
    <tableColumn id="35" xr3:uid="{00000000-0010-0000-0000-000023000000}" name="eigene Anmerkung" dataDxfId="1325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25" displayName="Tabelle25" ref="A1:Q13" totalsRowShown="0" headerRowDxfId="1324" dataDxfId="1323">
  <autoFilter ref="A1:Q13" xr:uid="{00000000-0009-0000-0100-000004000000}"/>
  <tableColumns count="17">
    <tableColumn id="1" xr3:uid="{00000000-0010-0000-0100-000001000000}" name="Prozess" dataDxfId="1322"/>
    <tableColumn id="8" xr3:uid="{00000000-0010-0000-0100-000008000000}" name="Verfahrenstyp" dataDxfId="1321"/>
    <tableColumn id="2" xr3:uid="{00000000-0010-0000-0100-000002000000}" name="Jahr" dataDxfId="1320"/>
    <tableColumn id="3" xr3:uid="{00000000-0010-0000-0100-000003000000}" name="Stromverbrauch (TWh)" dataDxfId="1319"/>
    <tableColumn id="4" xr3:uid="{00000000-0010-0000-0100-000004000000}" name="Vollbenutzungsstunden" dataDxfId="1318">
      <calculatedColumnFormula>Tabelle25[[#This Row],[durchschnittliche Auslastung]]*8760</calculatedColumnFormula>
    </tableColumn>
    <tableColumn id="9" xr3:uid="{00000000-0010-0000-0100-000009000000}" name="Nennleistung (MW)" dataDxfId="1317">
      <calculatedColumnFormula>Tabelle25[[#This Row],[flexible Leistung (MW)]]/Tabelle25[[#This Row],[Mindestauslastung]]</calculatedColumnFormula>
    </tableColumn>
    <tableColumn id="15" xr3:uid="{00000000-0010-0000-0100-00000F000000}" name="Nennleistung min (MW)" dataDxfId="1316"/>
    <tableColumn id="14" xr3:uid="{00000000-0010-0000-0100-00000E000000}" name="Nennleistung max (MW)" dataDxfId="1315"/>
    <tableColumn id="10" xr3:uid="{00000000-0010-0000-0100-00000A000000}" name="durchschnittliche Auslastung" dataDxfId="1314"/>
    <tableColumn id="11" xr3:uid="{00000000-0010-0000-0100-00000B000000}" name="durchschnittliche Leistung (MW)" dataDxfId="1313">
      <calculatedColumnFormula>Tabelle25[[#This Row],[Nennleistung (MW)]]*Tabelle25[[#This Row],[durchschnittliche Auslastung]]</calculatedColumnFormula>
    </tableColumn>
    <tableColumn id="5" xr3:uid="{00000000-0010-0000-0100-000005000000}" name="Mindestauslastung" dataDxfId="1312"/>
    <tableColumn id="17" xr3:uid="{00000000-0010-0000-0100-000011000000}" name="Mindestleistung" dataDxfId="1311">
      <calculatedColumnFormula>Tabelle25[[#This Row],[Mindestauslastung]]*Tabelle25[[#This Row],[Nennleistung (MW)]]</calculatedColumnFormula>
    </tableColumn>
    <tableColumn id="6" xr3:uid="{00000000-0010-0000-0100-000006000000}" name="flexible Leistung (MW)" dataDxfId="1310"/>
    <tableColumn id="13" xr3:uid="{00000000-0010-0000-0100-00000D000000}" name="flexible Leistung min (MW)" dataDxfId="1309"/>
    <tableColumn id="12" xr3:uid="{00000000-0010-0000-0100-00000C000000}" name="flexible Leistung max (MW)" dataDxfId="1308"/>
    <tableColumn id="7" xr3:uid="{00000000-0010-0000-0100-000007000000}" name="Quelle" dataDxfId="1307"/>
    <tableColumn id="18" xr3:uid="{00000000-0010-0000-0100-000012000000}" name="Kommentar" dataDxfId="1306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elle58971113" displayName="Tabelle58971113" ref="A1:AS13" totalsRowShown="0" headerRowDxfId="1305" dataDxfId="1304" tableBorderDxfId="1303">
  <autoFilter ref="A1:AS13" xr:uid="{00000000-0009-0000-0100-00000C000000}"/>
  <tableColumns count="45">
    <tableColumn id="1" xr3:uid="{00000000-0010-0000-0700-000001000000}" name="Prozess" dataDxfId="1302"/>
    <tableColumn id="47" xr3:uid="{00000000-0010-0000-0700-00002F000000}" name="Sektorenzuordnung" dataDxfId="1301"/>
    <tableColumn id="2" xr3:uid="{00000000-0010-0000-0700-000002000000}" name="Jahr" dataDxfId="1300"/>
    <tableColumn id="52" xr3:uid="{00000000-0010-0000-0700-000034000000}" name="Lastverschiebung" dataDxfId="1299"/>
    <tableColumn id="53" xr3:uid="{00000000-0010-0000-0700-000035000000}" name="Lastverzicht" dataDxfId="1298"/>
    <tableColumn id="67" xr3:uid="{7E3C871E-20C5-4135-84BD-2810B287A8FE}" name="Lasterhöhung" dataDxfId="1297"/>
    <tableColumn id="3" xr3:uid="{00000000-0010-0000-0700-000003000000}" name="Potenzial pos. min MW" dataDxfId="1296"/>
    <tableColumn id="5" xr3:uid="{00000000-0010-0000-0700-000005000000}" name="Potenzial pos. max MW" dataDxfId="1295"/>
    <tableColumn id="71" xr3:uid="{67DA03BE-7279-49D8-8270-B2CE5E348AB5}" name="Potenzial pos. max MW Lastverschiebung" dataDxfId="1294"/>
    <tableColumn id="50" xr3:uid="{00000000-0010-0000-0700-000032000000}" name="Potenzial neg. min MW" dataDxfId="1293"/>
    <tableColumn id="6" xr3:uid="{00000000-0010-0000-0700-000006000000}" name="Potenzial neg. max MW" dataDxfId="1292">
      <calculatedColumnFormula>IF(Tabelle58971113[[#This Row],[Potenzial pos. max MW]]&lt;&gt;"",Tabelle58971113[[#This Row],[Potenzial pos. max MW]],"")</calculatedColumnFormula>
    </tableColumn>
    <tableColumn id="36" xr3:uid="{00000000-0010-0000-0700-000024000000}" name="flexibilisierbarer Anteil an installierter Leistung" dataDxfId="1291" dataCellStyle="Prozent"/>
    <tableColumn id="70" xr3:uid="{A0775093-56D8-4011-AB3D-D2AA82C07830}" name="Vollbenutzungsstunden min" dataDxfId="1290" dataCellStyle="Prozent">
      <calculatedColumnFormula>IF(Tabelle58971113[[#This Row],[Durchschnittsauslastung min]]&lt;&gt;"",Tabelle58971113[[#This Row],[Durchschnittsauslastung min]]*8760,"")</calculatedColumnFormula>
    </tableColumn>
    <tableColumn id="69" xr3:uid="{EDFEC840-390B-41AA-9F46-85809F7F6B1D}" name="Vollbenutzungsstunden max" dataDxfId="1289" dataCellStyle="Prozent">
      <calculatedColumnFormula>IF(Tabelle58971113[[#This Row],[Durchschnittsauslastung max]]&lt;&gt;"",Tabelle58971113[[#This Row],[Durchschnittsauslastung max]]*8760,"")</calculatedColumnFormula>
    </tableColumn>
    <tableColumn id="68" xr3:uid="{B8087AD1-24D2-4654-92A2-375BE2B98C40}" name="Durchschnittsauslastung min" dataDxfId="1288" dataCellStyle="Prozent"/>
    <tableColumn id="65" xr3:uid="{00000000-0010-0000-0700-000041000000}" name="Durchschnittsauslastung max" dataDxfId="1287" dataCellStyle="Prozent">
      <calculatedColumnFormula>AVERAGE(5000,6000)/8760</calculatedColumnFormula>
    </tableColumn>
    <tableColumn id="44" xr3:uid="{00000000-0010-0000-0700-00002C000000}" name="Durchschnittliche Leistung MW" dataDxfId="1286" dataCellStyle="Prozent">
      <calculatedColumnFormula>IF(Tabelle58971113[[#This Row],[installierte Leistung MW]]&lt;&gt;"",Tabelle58971113[[#This Row],[Durchschnittsauslastung max]]*Tabelle58971113[[#This Row],[installierte Leistung MW]],"")</calculatedColumnFormula>
    </tableColumn>
    <tableColumn id="10" xr3:uid="{00000000-0010-0000-0700-00000A000000}" name="installierte Leistung MW" dataDxfId="1285">
      <calculatedColumnFormula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calculatedColumnFormula>
    </tableColumn>
    <tableColumn id="11" xr3:uid="{00000000-0010-0000-0700-00000B000000}" name="Aktivierungsdauer (h)" dataDxfId="1284"/>
    <tableColumn id="61" xr3:uid="{00000000-0010-0000-0700-00003D000000}" name="Schaltdauer pos. min (h)" dataDxfId="1283"/>
    <tableColumn id="60" xr3:uid="{00000000-0010-0000-0700-00003C000000}" name="Schaltdauer pos. max (h)" dataDxfId="1282"/>
    <tableColumn id="12" xr3:uid="{00000000-0010-0000-0700-00000C000000}" name="Schaltdauer pos. (h)" dataDxfId="1281"/>
    <tableColumn id="72" xr3:uid="{5782252A-21B2-4AF1-9AAC-0100BD811400}" name="Schaltdauer pos. (h) Lastverzicht" dataDxfId="1280"/>
    <tableColumn id="63" xr3:uid="{00000000-0010-0000-0700-00003F000000}" name="Schaltdauer neg min (h)" dataDxfId="1279"/>
    <tableColumn id="62" xr3:uid="{00000000-0010-0000-0700-00003E000000}" name="Schaltdauer neg. max (h)" dataDxfId="1278"/>
    <tableColumn id="4" xr3:uid="{00000000-0010-0000-0700-000004000000}" name="Verschiebedauer max (h)" dataDxfId="1277"/>
    <tableColumn id="15" xr3:uid="{00000000-0010-0000-0700-00000F000000}" name="Zeitverfügbarkeit?" dataDxfId="1276"/>
    <tableColumn id="40" xr3:uid="{00000000-0010-0000-0700-000028000000}" name="max. Abrufhäufigkeit pro Jahr" dataDxfId="1275"/>
    <tableColumn id="59" xr3:uid="{00000000-0010-0000-0700-00003B000000}" name="var. Kosten min. €_2020/MWh" dataDxfId="1274">
      <calculatedColumnFormula>40/Umrechnungsfaktoren!$B$10</calculatedColumnFormula>
    </tableColumn>
    <tableColumn id="58" xr3:uid="{00000000-0010-0000-0700-00003A000000}" name="var. Kosten max. €_2020/MWh" dataDxfId="1273">
      <calculatedColumnFormula>800/Umrechnungsfaktoren!$B$10</calculatedColumnFormula>
    </tableColumn>
    <tableColumn id="20" xr3:uid="{00000000-0010-0000-0700-000014000000}" name="Bemerkungen" dataDxfId="1272"/>
    <tableColumn id="55" xr3:uid="{00000000-0010-0000-0700-000037000000}" name="Fundstelle Lastverschiebung" dataDxfId="1271"/>
    <tableColumn id="54" xr3:uid="{00000000-0010-0000-0700-000036000000}" name="Fundstelle Lastverzicht" dataDxfId="1270"/>
    <tableColumn id="21" xr3:uid="{00000000-0010-0000-0700-000015000000}" name="Fundstelle Potenzial pos." dataDxfId="1269"/>
    <tableColumn id="22" xr3:uid="{00000000-0010-0000-0700-000016000000}" name="Fundstelle Potenzial neg." dataDxfId="1268"/>
    <tableColumn id="43" xr3:uid="{00000000-0010-0000-0700-00002B000000}" name="Fundstelle flexibilisierbarer Anteil" dataDxfId="1267"/>
    <tableColumn id="66" xr3:uid="{00000000-0010-0000-0700-000042000000}" name="Fundstelle Durchschnittsauslastung" dataDxfId="1266"/>
    <tableColumn id="25" xr3:uid="{00000000-0010-0000-0700-000019000000}" name="Fundstelle installierte Leistung" dataDxfId="1265"/>
    <tableColumn id="39" xr3:uid="{00000000-0010-0000-0700-000027000000}" name="Fundstelle Aktivierungsdauer" dataDxfId="1264"/>
    <tableColumn id="26" xr3:uid="{00000000-0010-0000-0700-00001A000000}" name="Fundstelle Schaltdauer" dataDxfId="1263"/>
    <tableColumn id="27" xr3:uid="{00000000-0010-0000-0700-00001B000000}" name="Fundstelle Verschiebedauer" dataDxfId="1262"/>
    <tableColumn id="29" xr3:uid="{00000000-0010-0000-0700-00001D000000}" name="Fundstelle Zeitverfügbarkeit" dataDxfId="1261"/>
    <tableColumn id="30" xr3:uid="{00000000-0010-0000-0700-00001E000000}" name="Fundstelle max. Abrufhäufigkeit" dataDxfId="1260"/>
    <tableColumn id="32" xr3:uid="{00000000-0010-0000-0700-000020000000}" name="Fundstelle var. Kosten" dataDxfId="1259"/>
    <tableColumn id="34" xr3:uid="{00000000-0010-0000-0700-000022000000}" name="Fundstelle Bemerkungen" dataDxfId="1258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le5897111429" displayName="Tabelle5897111429" ref="A1:AB8" totalsRowShown="0" headerRowDxfId="1257" dataDxfId="1256" tableBorderDxfId="1255">
  <autoFilter ref="A1:AB8" xr:uid="{00000000-0009-0000-0100-00001C000000}"/>
  <tableColumns count="28">
    <tableColumn id="1" xr3:uid="{00000000-0010-0000-1800-000001000000}" name="Prozess" dataDxfId="1254"/>
    <tableColumn id="47" xr3:uid="{00000000-0010-0000-1800-00002F000000}" name="Sektorenzuordnung" dataDxfId="1253"/>
    <tableColumn id="2" xr3:uid="{00000000-0010-0000-1800-000002000000}" name="Jahr" dataDxfId="1252"/>
    <tableColumn id="52" xr3:uid="{00000000-0010-0000-1800-000034000000}" name="Lastverschiebung" dataDxfId="1251"/>
    <tableColumn id="53" xr3:uid="{00000000-0010-0000-1800-000035000000}" name="Lastverzicht" dataDxfId="1250"/>
    <tableColumn id="68" xr3:uid="{BFD80C3E-C998-4C98-87FB-0CEC1922FF68}" name="Lasterhöhung" dataDxfId="1249"/>
    <tableColumn id="3" xr3:uid="{00000000-0010-0000-1800-000003000000}" name="Potenzial pos. min MW" dataDxfId="1248"/>
    <tableColumn id="38" xr3:uid="{00000000-0010-0000-1800-000026000000}" name="Potenzial pos. MW Durchschnitt" dataDxfId="1247"/>
    <tableColumn id="5" xr3:uid="{00000000-0010-0000-1800-000005000000}" name="Potenzial pos. max MW" dataDxfId="1246"/>
    <tableColumn id="50" xr3:uid="{00000000-0010-0000-1800-000032000000}" name="Potenzial neg. min MW" dataDxfId="1245"/>
    <tableColumn id="41" xr3:uid="{00000000-0010-0000-1800-000029000000}" name="Potenzial neg. MW Durchschnitt" dataDxfId="1244"/>
    <tableColumn id="6" xr3:uid="{00000000-0010-0000-1800-000006000000}" name="Potenzial neg. max MW" dataDxfId="1243"/>
    <tableColumn id="12" xr3:uid="{00000000-0010-0000-1800-00000C000000}" name="Schaltdauer pos. (h)" dataDxfId="1242"/>
    <tableColumn id="42" xr3:uid="{00000000-0010-0000-1800-00002A000000}" name="Verschiebedauer min. (h)" dataDxfId="1241"/>
    <tableColumn id="4" xr3:uid="{00000000-0010-0000-1800-000004000000}" name="Verschiebedauer max (h)" dataDxfId="1240"/>
    <tableColumn id="13" xr3:uid="{00000000-0010-0000-1800-00000D000000}" name="Verschiebedauer (h)" dataDxfId="1239"/>
    <tableColumn id="15" xr3:uid="{00000000-0010-0000-1800-00000F000000}" name="Zeitverfügbarkeit?" dataDxfId="1238"/>
    <tableColumn id="16" xr3:uid="{00000000-0010-0000-1800-000010000000}" name="max. Abrufhäufigkeit pro Woche" dataDxfId="1237">
      <calculatedColumnFormula>3*7</calculatedColumnFormula>
    </tableColumn>
    <tableColumn id="59" xr3:uid="{00000000-0010-0000-1800-00003B000000}" name="var. Kosten min. €_2020/MWh" dataDxfId="1236"/>
    <tableColumn id="58" xr3:uid="{00000000-0010-0000-1800-00003A000000}" name="var. Kosten max. €_2020/MWh" dataDxfId="1235"/>
    <tableColumn id="20" xr3:uid="{00000000-0010-0000-1800-000014000000}" name="Bemerkungen" dataDxfId="1234"/>
    <tableColumn id="55" xr3:uid="{00000000-0010-0000-1800-000037000000}" name="Fundstelle Lastverschiebung" dataDxfId="1233"/>
    <tableColumn id="21" xr3:uid="{00000000-0010-0000-1800-000015000000}" name="Fundstelle Potenzial pos." dataDxfId="1232"/>
    <tableColumn id="22" xr3:uid="{00000000-0010-0000-1800-000016000000}" name="Fundstelle Potenzial neg." dataDxfId="1231"/>
    <tableColumn id="27" xr3:uid="{00000000-0010-0000-1800-00001B000000}" name="Fundstelle Verschiebedauer" dataDxfId="1230"/>
    <tableColumn id="29" xr3:uid="{00000000-0010-0000-1800-00001D000000}" name="Fundstelle Zeitverfügbarkeit" dataDxfId="1229"/>
    <tableColumn id="30" xr3:uid="{00000000-0010-0000-1800-00001E000000}" name="Fundstelle max. Abrufhäufigkeit" dataDxfId="1228"/>
    <tableColumn id="32" xr3:uid="{00000000-0010-0000-1800-000020000000}" name="Fundstelle var. Kosten" dataDxfId="1227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9562394-A13B-45C0-97EE-8E9E60864B79}" name="Tabelle589711143136" displayName="Tabelle589711143136" ref="A1:BX40" totalsRowShown="0" headerRowDxfId="1226" dataDxfId="1225" tableBorderDxfId="1224">
  <autoFilter ref="A1:BX40" xr:uid="{11FA0E04-AD3F-4F3C-A80A-B460C250FC3A}"/>
  <tableColumns count="76">
    <tableColumn id="1" xr3:uid="{330BD996-3DF4-4A90-922D-88C6272D7578}" name="Prozess" dataDxfId="1223"/>
    <tableColumn id="47" xr3:uid="{7360FF1C-B3C8-480F-8FD4-DFB7A94415A1}" name="Sektorenzuordnung" dataDxfId="1222"/>
    <tableColumn id="2" xr3:uid="{9C47BB46-2B80-4A5B-8257-A95D74B26F32}" name="Jahr" dataDxfId="1221"/>
    <tableColumn id="52" xr3:uid="{C2E33395-9EE1-4F9A-8D21-534EEA8C98F2}" name="Lastverschiebung" dataDxfId="1220"/>
    <tableColumn id="53" xr3:uid="{1620E2EE-1E95-49BE-A2DC-1FD5744882DD}" name="Lastverzicht" dataDxfId="1219"/>
    <tableColumn id="71" xr3:uid="{A1AC92C0-5609-421B-BF17-6BE89143EF85}" name="Lasterhöhung" dataDxfId="1218"/>
    <tableColumn id="81" xr3:uid="{1CA549A9-64B3-4D35-81DC-BB393DDE4A4F}" name="jährliche Produktion kt MIN" dataDxfId="1217"/>
    <tableColumn id="75" xr3:uid="{01E9973C-341E-4E28-AC50-AC916F939C0C}" name="jährliche Produktion kt REF" dataDxfId="1216"/>
    <tableColumn id="82" xr3:uid="{2D1CE77F-06AB-4ECA-BD87-3CE2BDE290E1}" name="jährliche Produktion kt MAX" dataDxfId="1215"/>
    <tableColumn id="74" xr3:uid="{55CEDEF4-BB34-4E76-93DD-93CC0C389D3E}" name="spez. StV kWh/t" dataDxfId="1214"/>
    <tableColumn id="87" xr3:uid="{D7C5D6DF-3E9E-4479-AE88-9588C57C6231}" name="Anzahl Anlangen MIN (Tsd.)" dataDxfId="1213"/>
    <tableColumn id="86" xr3:uid="{FC0A952F-5E70-46DE-B339-31233B0DDD14}" name="Anzahl Anlangen REF (Tsd.)" dataDxfId="1212"/>
    <tableColumn id="85" xr3:uid="{DC8F1F72-5249-4FDF-82ED-9E1B7E71C55B}" name="Anzahl Anlangen MAX (Tsd.)" dataDxfId="1211"/>
    <tableColumn id="90" xr3:uid="{A146E8DE-84B9-41DC-AEF9-9B0B48737AE8}" name="Entwicklungsfaktor MIN (1)" dataDxfId="1210"/>
    <tableColumn id="89" xr3:uid="{44BAAD1C-A667-4129-8405-3B4848FB7D09}" name="Entwicklungsfaktor REF (1)" dataDxfId="1209"/>
    <tableColumn id="88" xr3:uid="{5098B4A4-1052-4817-BA27-162C98BC0B77}" name="Entwicklungsfaktor MAX (1)" dataDxfId="1208"/>
    <tableColumn id="83" xr3:uid="{00C18B6E-39C9-456E-AAB4-D592F9DC8E0F}" name="Stromverbrauch in TWh MIN" dataDxfId="1207">
      <calculatedColumnFormula>Tabelle589711143136[[#This Row],[jährliche Produktion kt MIN]]*Tabelle589711143136[[#This Row],[spez. StV kWh/t]]/10^6</calculatedColumnFormula>
    </tableColumn>
    <tableColumn id="77" xr3:uid="{2E763342-32F3-4298-A69C-A272A2704578}" name="Stromverbrauch in TWh REF" dataDxfId="1206">
      <calculatedColumnFormula>Tabelle589711143136[[#This Row],[jährliche Produktion kt REF]]*Tabelle589711143136[[#This Row],[spez. StV kWh/t]]/10^6</calculatedColumnFormula>
    </tableColumn>
    <tableColumn id="84" xr3:uid="{A0450CD8-9E35-44CD-9382-DA01DC2F45A7}" name="Stromverbrauch in TWh MAX" dataDxfId="1205">
      <calculatedColumnFormula>Tabelle589711143136[[#This Row],[jährliche Produktion kt MAX]]*Tabelle589711143136[[#This Row],[spez. StV kWh/t]]/10^6</calculatedColumnFormula>
    </tableColumn>
    <tableColumn id="3" xr3:uid="{B3948369-59F1-4721-8F1C-E73FD950E030}" name="Potenzial pos. min MW" dataDxfId="1204"/>
    <tableColumn id="38" xr3:uid="{30F94A31-97C9-4179-8B51-5DC510EC1E83}" name="Potenzial pos. MW Durchschnitt" dataDxfId="1203"/>
    <tableColumn id="5" xr3:uid="{A3112E28-FC7D-4D58-B71E-6E6AD8E17C59}" name="Potenzial pos. max MW" dataDxfId="1202"/>
    <tableColumn id="99" xr3:uid="{78D427C0-111D-4733-9C4A-BF51EFCD7BB9}" name="Potenzial pos. min MW Lastverzicht" dataDxfId="1201"/>
    <tableColumn id="98" xr3:uid="{8B3F0AD7-56FD-4FFE-B068-F2BC0CBB3E4A}" name="Potenzial pos. MW Durchschnitt Lastverzicht" dataDxfId="1200"/>
    <tableColumn id="97" xr3:uid="{EC5A94EE-C17F-4ABC-B91A-C35E90983B52}" name="Potenzial pos. max MW Lastverzicht" dataDxfId="1199"/>
    <tableColumn id="37" xr3:uid="{4E9AE63F-2B90-4AE0-941C-9DCAA11AEE5A}" name="Pot. pos. MW errechnet" dataDxfId="1198">
      <calculatedColumnFormula>Tabelle589711143136[[#This Row],[Stromverbrauch in TWh REF]]/Tabelle589711143136[[#This Row],[Vollbenutzungsstunden h/a]]*10^6</calculatedColumnFormula>
    </tableColumn>
    <tableColumn id="50" xr3:uid="{C2E6CEE8-FA17-4FF8-8A7C-558B2744BFFB}" name="Potenzial neg. min MW" dataDxfId="1197">
      <calculatedColumnFormula>IF(AND(Tabelle589711143136[[#This Row],[Lastverschiebung]]=1,Tabelle589711143136[[#This Row],[Potenzial pos. min MW]]&lt;&gt;""),Tabelle589711143136[[#This Row],[Potenzial pos. min MW]],"")</calculatedColumnFormula>
    </tableColumn>
    <tableColumn id="41" xr3:uid="{B309ED0D-CBC1-4B6F-B78A-13686CCFE96A}" name="Potenzial neg. MW Durchschnitt" dataDxfId="1196">
      <calculatedColumnFormula>IF(AND(Tabelle589711143136[[#This Row],[Lastverschiebung]]=1,Tabelle589711143136[[#This Row],[Potenzial pos. MW Durchschnitt]]&lt;&gt;""),Tabelle589711143136[[#This Row],[Potenzial pos. MW Durchschnitt]],"")</calculatedColumnFormula>
    </tableColumn>
    <tableColumn id="6" xr3:uid="{4A460A5E-6EB9-43FD-9BC7-807842E9431F}" name="Potenzial neg. max MW" dataDxfId="1195">
      <calculatedColumnFormula>IF(AND(Tabelle589711143136[[#This Row],[Lastverschiebung]]=1,Tabelle589711143136[[#This Row],[Potenzial pos. max MW]]&lt;&gt;""),Tabelle589711143136[[#This Row],[Potenzial pos. max MW]],"")</calculatedColumnFormula>
    </tableColumn>
    <tableColumn id="7" xr3:uid="{92C246C1-0EA2-4B3A-924F-DF50B1F1C3AC}" name="Mindestleistung MW" dataDxfId="1194"/>
    <tableColumn id="8" xr3:uid="{84C577C6-DD02-409F-815F-B95A11A8D523}" name="Mindestauslastung" dataDxfId="1193" dataCellStyle="Prozent"/>
    <tableColumn id="36" xr3:uid="{9C946CF5-66F9-4633-BF74-225B42FB82D1}" name="flexibilisierbarer Anteil" dataDxfId="1192" dataCellStyle="Prozent"/>
    <tableColumn id="76" xr3:uid="{4E37DE7E-9E87-40A0-80CF-1C549DD9856F}" name="Vollbenutzungsstunden h/a" dataDxfId="1191" dataCellStyle="Prozent"/>
    <tableColumn id="65" xr3:uid="{5C620EF5-72FC-4224-9697-807212E3DD22}" name="Durchschnittsauslastung" dataDxfId="1190" dataCellStyle="Prozent"/>
    <tableColumn id="44" xr3:uid="{0F626CD0-07E4-4B2D-A692-F5951CF6EAC0}" name="Durchschnittliche Leistung MW" dataDxfId="1189" dataCellStyle="Prozent">
      <calculatedColumnFormula>Tabelle589711143136[[#This Row],[Durchschnittsauslastung]]*Tabelle589711143136[[#This Row],[installierte Leistung MW]]</calculatedColumnFormula>
    </tableColumn>
    <tableColumn id="10" xr3:uid="{90EED58D-F2D9-481F-A4FE-C2DEEA3DEAD4}" name="installierte Leistung MW" dataDxfId="1188"/>
    <tableColumn id="12" xr3:uid="{023FE4D3-AEC6-42FE-BD6B-F64C1D0AEB7B}" name="Schaltdauer pos. (h)" dataDxfId="1187"/>
    <tableColumn id="100" xr3:uid="{1EE5B372-909C-4ACB-A1EB-77E627DC15BA}" name="Schaltdauer pos. (h) Lastverzicht" dataDxfId="1186"/>
    <tableColumn id="51" xr3:uid="{AB3BF90C-AD4E-4291-A1B5-004B897A3651}" name="Schaltdauer neg. (h)" dataDxfId="1185"/>
    <tableColumn id="13" xr3:uid="{A5BF1C84-409B-4FC0-AA7B-2C2599DD973B}" name="Verschiebedauer (h)" dataDxfId="1184"/>
    <tableColumn id="15" xr3:uid="{D073107E-FE3B-4D1D-8ED2-7683F3868CBD}" name="Zeitverfügbarkeit?" dataDxfId="1183"/>
    <tableColumn id="16" xr3:uid="{4C30F895-B88F-40AA-86B8-9A3671A3E510}" name="max. Abrufhäufigkeit pro Woche" dataDxfId="1182">
      <calculatedColumnFormula>8*7</calculatedColumnFormula>
    </tableColumn>
    <tableColumn id="40" xr3:uid="{AE8EDB87-710C-462E-B560-0B1FC869E928}" name="max. Abrufhäufigkeit pro Jahr" dataDxfId="1181"/>
    <tableColumn id="101" xr3:uid="{85480CAD-B3E6-4B39-B73E-4C3E1BCFAADC}" name="max. Abrufhäufigkeit pro Jahr Lastverzicht" dataDxfId="1180"/>
    <tableColumn id="57" xr3:uid="{7255E844-506A-4911-A4CF-29AF358AA7E8}" name="min. Investitionsausgaben €_2020/kW" dataDxfId="1179"/>
    <tableColumn id="56" xr3:uid="{EBCAB75B-49A2-4012-8BBE-124F8713F461}" name="max. Investitionsausgaben €_2020/kW" dataDxfId="1178"/>
    <tableColumn id="59" xr3:uid="{9E5364FB-AF84-4E36-889E-99B58E409873}" name="var. Kosten min. €_2020/MWh" dataDxfId="1177"/>
    <tableColumn id="58" xr3:uid="{B584FA5A-49D9-4B48-8247-83E6017A85B8}" name="var. Kosten max. €_2020/MWh" dataDxfId="1176"/>
    <tableColumn id="96" xr3:uid="{D73E3E41-7EF2-42BC-A4AF-E8E091999BED}" name="var. Kosten min. Lastverzicht €_2020/MWh" dataDxfId="1175"/>
    <tableColumn id="73" xr3:uid="{DEB250B8-F08F-497E-B603-2F6536A1DA25}" name="var. Kosten max. Lastverzicht €_2020/MWh" dataDxfId="1174"/>
    <tableColumn id="64" xr3:uid="{F28FF53E-B758-4473-8A9B-D5EBA19E2393}" name="fixe Kosten min. €_2020/kW*a" dataDxfId="1173"/>
    <tableColumn id="72" xr3:uid="{4F6D732C-A17D-43D6-8AE3-BD5784A7F882}" name="fixe Kosten max. €_2020/kW*a" dataDxfId="1172"/>
    <tableColumn id="93" xr3:uid="{DCA6D5C7-4FE9-4DC2-8F7C-11F9B66B4A4D}" name="Aktivierungskosten [€_2020/MW(h)]" dataDxfId="1171"/>
    <tableColumn id="20" xr3:uid="{898AD356-3433-4464-B6E7-CD6DF0315DCA}" name="Bemerkungen" dataDxfId="1170"/>
    <tableColumn id="95" xr3:uid="{7A9946D4-103B-45EE-B129-30040DCE29C6}" name="Bemerkungen 2" dataDxfId="1169"/>
    <tableColumn id="55" xr3:uid="{5FF7CAB9-793F-443F-9144-5EAFA4780A33}" name="Fundstelle Lastverschiebung" dataDxfId="1168"/>
    <tableColumn id="54" xr3:uid="{40F2E025-66CF-4961-B144-1B44200CEE27}" name="Fundstelle Lastverzicht" dataDxfId="1167"/>
    <tableColumn id="80" xr3:uid="{3DB32C26-F864-4EBB-997D-EF0E68C0FE8C}" name="Fundstelle Produktion" dataDxfId="1166"/>
    <tableColumn id="91" xr3:uid="{AD943CC5-E12F-4792-BD74-638B106FBA0A}" name="Fundstelle Anzahl Anlagen" dataDxfId="1165"/>
    <tableColumn id="92" xr3:uid="{2B7422F7-15B5-4254-986E-64861FDBB9C7}" name="Fundstelle Entwicklungsfaktor" dataDxfId="1164"/>
    <tableColumn id="79" xr3:uid="{A93366D9-A263-4DB9-9EAB-81C8F373AB16}" name="Fundstelle Stromverbrauch" dataDxfId="1163"/>
    <tableColumn id="78" xr3:uid="{A85675BA-DD41-4588-8EEF-2D0E2D911A73}" name="Fundstelle Vollbenutzungsstunden" dataDxfId="1162"/>
    <tableColumn id="21" xr3:uid="{60D31C67-6CE1-4C1C-88C2-896BD904BF58}" name="Fundstelle Potenzial pos." dataDxfId="1161"/>
    <tableColumn id="23" xr3:uid="{4679FC11-5617-4729-A517-0487987FE2B9}" name="Fundstelle Mindestleistung" dataDxfId="1160"/>
    <tableColumn id="43" xr3:uid="{27EF346A-70E2-44AE-94EF-21F7B5D68E5C}" name="Fundstelle flexibilisierbarer Anteil" dataDxfId="1159"/>
    <tableColumn id="66" xr3:uid="{DFD4A929-8238-4107-9C2C-116B549F6A03}" name="Fundstelle Durchschnittsauslastung" dataDxfId="1158"/>
    <tableColumn id="25" xr3:uid="{646BAD38-AEBF-42EB-A927-3871230D5C7B}" name="Fundstelle installierte Leistung" dataDxfId="1157"/>
    <tableColumn id="26" xr3:uid="{7EC7FF35-8998-4DE4-BF25-BFB8853E7EC9}" name="Fundstelle Schaltdauer" dataDxfId="1156"/>
    <tableColumn id="27" xr3:uid="{90448203-67FE-4708-A39E-E327B75983DA}" name="Fundstelle Verschiebedauer" dataDxfId="1155"/>
    <tableColumn id="29" xr3:uid="{157EA1CE-B55A-4445-9713-74F2210BAA65}" name="Fundstelle Zeitverfügbarkeit" dataDxfId="1154"/>
    <tableColumn id="30" xr3:uid="{A7C248FD-A3D3-48D8-B20B-9542C876489E}" name="Fundstelle max. Abrufhäufigkeit" dataDxfId="1153"/>
    <tableColumn id="31" xr3:uid="{AEBF4069-855E-48D8-9498-FB5BB0B32F77}" name="Fundstelle Invest" dataDxfId="1152"/>
    <tableColumn id="32" xr3:uid="{FBD5F82E-ED1F-4889-BB90-248DEEFA1DF2}" name="Fundstelle var. Kosten" dataDxfId="1151"/>
    <tableColumn id="33" xr3:uid="{A76B44E7-4AC7-41C3-BADF-9BA66793E795}" name="Fundstelle fixe Kosten" dataDxfId="1150"/>
    <tableColumn id="94" xr3:uid="{8877AA02-6EAE-483F-A3F0-BC3B7D057B66}" name="Fundstelle Aktivierungskosten" dataDxfId="1149"/>
    <tableColumn id="34" xr3:uid="{4BAEB2EE-B816-46B4-96C9-77A60E3A7D64}" name="Fundstelle Bemerkungen" dataDxfId="1148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elle58971116" displayName="Tabelle58971116" ref="A1:BI6" totalsRowShown="0" headerRowDxfId="1147" dataDxfId="1146" tableBorderDxfId="1145">
  <autoFilter ref="A1:BI6" xr:uid="{00000000-0009-0000-0100-00000F000000}"/>
  <tableColumns count="61">
    <tableColumn id="1" xr3:uid="{00000000-0010-0000-0D00-000001000000}" name="Prozess" dataDxfId="1144"/>
    <tableColumn id="47" xr3:uid="{00000000-0010-0000-0D00-00002F000000}" name="Sektorenzuordnung" dataDxfId="1143"/>
    <tableColumn id="2" xr3:uid="{00000000-0010-0000-0D00-000002000000}" name="Jahr" dataDxfId="1142"/>
    <tableColumn id="52" xr3:uid="{00000000-0010-0000-0D00-000034000000}" name="Lastverschiebung" dataDxfId="1141"/>
    <tableColumn id="53" xr3:uid="{00000000-0010-0000-0D00-000035000000}" name="Lastverzicht" dataDxfId="1140"/>
    <tableColumn id="77" xr3:uid="{8AE41C03-1F02-4151-B136-B78FAAFF4B94}" name="Lasterhöhung" dataDxfId="1139"/>
    <tableColumn id="71" xr3:uid="{00000000-0010-0000-0D00-000047000000}" name="soziotech. Pot. pos. min (MW)" dataDxfId="1138"/>
    <tableColumn id="70" xr3:uid="{00000000-0010-0000-0D00-000046000000}" name="soziotech. Pot. pos. max (MW)" dataDxfId="1137"/>
    <tableColumn id="5" xr3:uid="{00000000-0010-0000-0D00-000005000000}" name="Potenzial pos. max MW Lastverzicht" dataDxfId="1136"/>
    <tableColumn id="74" xr3:uid="{00000000-0010-0000-0D00-00004A000000}" name="soziotech. Pot. neg. min (MW)" dataDxfId="1135"/>
    <tableColumn id="73" xr3:uid="{00000000-0010-0000-0D00-000049000000}" name="soziotech. Pot. neg. max (MW)" dataDxfId="1134"/>
    <tableColumn id="72" xr3:uid="{00000000-0010-0000-0D00-000048000000}" name="soziotech. Pot. neg. (MW)" dataDxfId="1133"/>
    <tableColumn id="7" xr3:uid="{00000000-0010-0000-0D00-000007000000}" name="Mindestleistung MW" dataDxfId="1132">
      <calculatedColumnFormula>Tabelle58971116[[#This Row],[Mindestauslastung]]*Tabelle58971116[[#This Row],[installierte Leistung MW]]</calculatedColumnFormula>
    </tableColumn>
    <tableColumn id="8" xr3:uid="{00000000-0010-0000-0D00-000008000000}" name="Mindestauslastung" dataDxfId="1131" dataCellStyle="Prozent"/>
    <tableColumn id="78" xr3:uid="{9FD20C5E-D9A9-45D0-84F6-9044D7CB8E47}" name="Vollbenutzungsstunden h/a" dataDxfId="1130" dataCellStyle="Prozent"/>
    <tableColumn id="79" xr3:uid="{925F433D-FBD9-4C70-880C-A02398A38F90}" name="Betriebsstunden p.a." dataDxfId="1129" dataCellStyle="Prozent"/>
    <tableColumn id="80" xr3:uid="{87D06D7F-2CE1-45A6-8DA5-7A2F6E035F47}" name="Durchschnittsauslastung im Betriebszeitraum" dataDxfId="1128" dataCellStyle="Prozent">
      <calculatedColumnFormula>Tabelle58971116[[#This Row],[Vollbenutzungsstunden h/a]]/8760</calculatedColumnFormula>
    </tableColumn>
    <tableColumn id="65" xr3:uid="{00000000-0010-0000-0D00-000041000000}" name="Durchschnittsauslastung" dataDxfId="1127" dataCellStyle="Prozent">
      <calculatedColumnFormula>Tabelle58971116[[#This Row],[Vollbenutzungsstunden h/a]]/Tabelle58971116[[#This Row],[Betriebsstunden p.a.]]</calculatedColumnFormula>
    </tableColumn>
    <tableColumn id="44" xr3:uid="{00000000-0010-0000-0D00-00002C000000}" name="Durchschnittliche Leistung MW" dataDxfId="1126" dataCellStyle="Prozent">
      <calculatedColumnFormula>Tabelle58971116[[#This Row],[Durchschnittsauslastung]]*Tabelle58971116[[#This Row],[installierte Leistung MW]]</calculatedColumnFormula>
    </tableColumn>
    <tableColumn id="10" xr3:uid="{00000000-0010-0000-0D00-00000A000000}" name="installierte Leistung MW" dataDxfId="1125"/>
    <tableColumn id="68" xr3:uid="{00000000-0010-0000-0D00-000044000000}" name="Aktivierungsdauer min (h)" dataDxfId="1124"/>
    <tableColumn id="67" xr3:uid="{00000000-0010-0000-0D00-000043000000}" name="Aktivierungsdauer max (h)" dataDxfId="1123"/>
    <tableColumn id="11" xr3:uid="{00000000-0010-0000-0D00-00000B000000}" name="Aktivierungsdauer (h)" dataDxfId="1122"/>
    <tableColumn id="61" xr3:uid="{00000000-0010-0000-0D00-00003D000000}" name="Schaltdauer pos. min (h)" dataDxfId="1121"/>
    <tableColumn id="60" xr3:uid="{00000000-0010-0000-0D00-00003C000000}" name="Schaltdauer pos. max (h)" dataDxfId="1120"/>
    <tableColumn id="12" xr3:uid="{00000000-0010-0000-0D00-00000C000000}" name="Schaltdauer pos. (h)" dataDxfId="1119"/>
    <tableColumn id="82" xr3:uid="{D4D42EB5-9E6D-47EE-83DB-A24E7380222D}" name="Schaltdauer pos. (h) Lastverzicht" dataDxfId="1118"/>
    <tableColumn id="63" xr3:uid="{00000000-0010-0000-0D00-00003F000000}" name="Schaltdauer neg min (h)" dataDxfId="1117"/>
    <tableColumn id="62" xr3:uid="{00000000-0010-0000-0D00-00003E000000}" name="Schaltdauer neg. max (h)" dataDxfId="1116"/>
    <tableColumn id="51" xr3:uid="{00000000-0010-0000-0D00-000033000000}" name="Schaltdauer neg. (h)" dataDxfId="1115"/>
    <tableColumn id="15" xr3:uid="{00000000-0010-0000-0D00-00000F000000}" name="Zeitverfügbarkeit?" dataDxfId="1114"/>
    <tableColumn id="40" xr3:uid="{00000000-0010-0000-0D00-000028000000}" name="max. Abrufhäufigkeit pro Jahr" dataDxfId="1113"/>
    <tableColumn id="57" xr3:uid="{00000000-0010-0000-0D00-000039000000}" name="min. Investitionsausgaben €_2020/kW" dataDxfId="1112"/>
    <tableColumn id="56" xr3:uid="{00000000-0010-0000-0D00-000038000000}" name="max. Investitionsausgaben €_2020/kW" dataDxfId="1111">
      <calculatedColumnFormula>10101/10^3*Umrechnungsfaktoren!$B$15/Umrechnungsfaktoren!$B$12</calculatedColumnFormula>
    </tableColumn>
    <tableColumn id="17" xr3:uid="{00000000-0010-0000-0D00-000011000000}" name="Investitionsausgaben €_2020/kW" dataDxfId="1110">
      <calculatedColumnFormula>4387/10^3*Umrechnungsfaktoren!$B$15/Umrechnungsfaktoren!$B$12</calculatedColumnFormula>
    </tableColumn>
    <tableColumn id="59" xr3:uid="{00000000-0010-0000-0D00-00003B000000}" name="var. Kosten min. €_2020/MWh" dataDxfId="1109"/>
    <tableColumn id="81" xr3:uid="{A1042AC9-A968-4730-9269-47811CE354A8}" name="var. Kosten Lastverzicht €_2020/MWh" dataDxfId="1108">
      <calculatedColumnFormula>316*Umrechnungsfaktoren!$B$15/Umrechnungsfaktoren!$B$12</calculatedColumnFormula>
    </tableColumn>
    <tableColumn id="64" xr3:uid="{00000000-0010-0000-0D00-000040000000}" name="fixe Kosten min. €_2020/kW*a" dataDxfId="1107">
      <calculatedColumnFormula>0/10^3*Umrechnungsfaktoren!$B$15/Umrechnungsfaktoren!$B$12</calculatedColumnFormula>
    </tableColumn>
    <tableColumn id="75" xr3:uid="{00000000-0010-0000-0D00-00004B000000}" name="fixe Kosten max €_2020/kW*a" dataDxfId="1106"/>
    <tableColumn id="19" xr3:uid="{00000000-0010-0000-0D00-000013000000}" name="fixe Kosten €_2020/kW*a" dataDxfId="1105">
      <calculatedColumnFormula>869/10^3*Umrechnungsfaktoren!$B$15/Umrechnungsfaktoren!$B$12</calculatedColumnFormula>
    </tableColumn>
    <tableColumn id="20" xr3:uid="{00000000-0010-0000-0D00-000014000000}" name="Bemerkungen" dataDxfId="1104"/>
    <tableColumn id="69" xr3:uid="{00000000-0010-0000-0D00-000045000000}" name="Ausblick Zukunft" dataDxfId="1103"/>
    <tableColumn id="55" xr3:uid="{00000000-0010-0000-0D00-000037000000}" name="Fundstelle Lastverschiebung" dataDxfId="1102"/>
    <tableColumn id="54" xr3:uid="{00000000-0010-0000-0D00-000036000000}" name="Fundstelle Lastverzicht" dataDxfId="1101"/>
    <tableColumn id="21" xr3:uid="{00000000-0010-0000-0D00-000015000000}" name="Fundstelle Potenzial pos." dataDxfId="1100"/>
    <tableColumn id="22" xr3:uid="{00000000-0010-0000-0D00-000016000000}" name="Fundstelle Potenzial neg." dataDxfId="1099"/>
    <tableColumn id="23" xr3:uid="{00000000-0010-0000-0D00-000017000000}" name="Fundstelle Mindestleistung" dataDxfId="1098"/>
    <tableColumn id="66" xr3:uid="{00000000-0010-0000-0D00-000042000000}" name="Fundstelle Durchschnittsauslastung" dataDxfId="1097"/>
    <tableColumn id="45" xr3:uid="{00000000-0010-0000-0D00-00002D000000}" name="Fundstelle durchschnittliche Leistung" dataDxfId="1096"/>
    <tableColumn id="25" xr3:uid="{00000000-0010-0000-0D00-000019000000}" name="Fundstelle installierte Leistung" dataDxfId="1095"/>
    <tableColumn id="39" xr3:uid="{00000000-0010-0000-0D00-000027000000}" name="Fundstelle Aktivierungsdauer" dataDxfId="1094"/>
    <tableColumn id="26" xr3:uid="{00000000-0010-0000-0D00-00001A000000}" name="Fundstelle Schaltdauer" dataDxfId="1093"/>
    <tableColumn id="29" xr3:uid="{00000000-0010-0000-0D00-00001D000000}" name="Fundstelle Zeitverfügbarkeit" dataDxfId="1092"/>
    <tableColumn id="30" xr3:uid="{00000000-0010-0000-0D00-00001E000000}" name="Fundstelle max. Abrufhäufigkeit" dataDxfId="1091"/>
    <tableColumn id="31" xr3:uid="{00000000-0010-0000-0D00-00001F000000}" name="Fundstelle Invest" dataDxfId="1090"/>
    <tableColumn id="32" xr3:uid="{00000000-0010-0000-0D00-000020000000}" name="Fundstelle var. Kosten" dataDxfId="1089"/>
    <tableColumn id="33" xr3:uid="{00000000-0010-0000-0D00-000021000000}" name="Fundstelle fixe Kosten" dataDxfId="1088"/>
    <tableColumn id="49" xr3:uid="{00000000-0010-0000-0D00-000031000000}" name="Fundstelle Investition je Anschlusspunkt" dataDxfId="1087"/>
    <tableColumn id="34" xr3:uid="{00000000-0010-0000-0D00-000022000000}" name="Fundstelle Bemerkungen" dataDxfId="1086"/>
    <tableColumn id="76" xr3:uid="{00000000-0010-0000-0D00-00004C000000}" name="Fundstelle Ausblick" dataDxfId="1085"/>
    <tableColumn id="35" xr3:uid="{00000000-0010-0000-0D00-000023000000}" name="eigene Anmerkung" dataDxfId="108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80ECD34-38D7-4B89-8311-9FF4F431766F}" name="Tabelle58971114313638" displayName="Tabelle58971114313638" ref="A1:O26" totalsRowShown="0" headerRowDxfId="1862" dataDxfId="1861" tableBorderDxfId="1860">
  <autoFilter ref="A1:O26" xr:uid="{D9595355-F35D-476F-88E0-DDF6666BAFEC}"/>
  <tableColumns count="15">
    <tableColumn id="1" xr3:uid="{1DB65BD7-C349-4313-8114-97CF50D2120B}" name="Prozess" dataDxfId="1859"/>
    <tableColumn id="47" xr3:uid="{C673D246-BEEC-4DBF-B6C8-0AEDAF4B0374}" name="Sektorenzuordnung" dataDxfId="1858"/>
    <tableColumn id="73" xr3:uid="{9900630D-917D-4E8C-87D8-DC913EEE5229}" name="Verfahren" dataDxfId="1857"/>
    <tableColumn id="2" xr3:uid="{391D2FEF-8D39-4945-B643-AA03A27D3450}" name="Jahr" dataDxfId="1856"/>
    <tableColumn id="52" xr3:uid="{9038B23F-3082-4414-9F6A-4F82BFFB7F37}" name="Lastverschiebung" dataDxfId="1855"/>
    <tableColumn id="53" xr3:uid="{44A744D5-52D4-40F8-81E1-AED7DF94401E}" name="Lastverzicht" dataDxfId="1854"/>
    <tableColumn id="71" xr3:uid="{FC8E7E95-DF08-4B31-934D-448233AC6B12}" name="Lasterhöhung" dataDxfId="1853"/>
    <tableColumn id="83" xr3:uid="{207EA23E-EF17-4906-A72B-BAABC08705DA}" name="Stromverbrauch in TWh" dataDxfId="1852"/>
    <tableColumn id="36" xr3:uid="{CFD732D3-9733-426B-9471-8512DCB99E68}" name="flexibilisierbarer Anteil" dataDxfId="1851" dataCellStyle="Prozent"/>
    <tableColumn id="75" xr3:uid="{54746B05-5114-4818-9A4F-40E0D20D0391}" name="Verschiebedauer max bei Vorankündigung (h)" dataDxfId="1850"/>
    <tableColumn id="4" xr3:uid="{F4DEB5FD-5A13-48A2-9CE7-E56C8E64C9C9}" name="Verschiebedauer max sofortig (h)" dataDxfId="1849"/>
    <tableColumn id="20" xr3:uid="{D354AAFB-CCCA-46BE-A63F-D9934766476B}" name="Bemerkungen" dataDxfId="1848"/>
    <tableColumn id="79" xr3:uid="{6ED5E930-B960-4ABE-9067-89DDB3B0BCEF}" name="Fundstelle Stromverbrauch" dataDxfId="1847"/>
    <tableColumn id="43" xr3:uid="{623C2C61-0156-40E5-A1A0-AC04BD25A9A3}" name="Fundstelle flexibilisierbarer Anteil" dataDxfId="1846"/>
    <tableColumn id="27" xr3:uid="{2CC7CB04-D5F4-4B8C-A026-413DC67956B0}" name="Fundstelle Verschiebedauer" dataDxfId="1845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le5897111430" displayName="Tabelle5897111430" ref="A1:S7" totalsRowShown="0" headerRowDxfId="1083" dataDxfId="1082" tableBorderDxfId="1081">
  <autoFilter ref="A1:S7" xr:uid="{00000000-0009-0000-0100-00001D000000}"/>
  <tableColumns count="19">
    <tableColumn id="1" xr3:uid="{00000000-0010-0000-1900-000001000000}" name="Prozess" dataDxfId="1080"/>
    <tableColumn id="47" xr3:uid="{00000000-0010-0000-1900-00002F000000}" name="Sektorenzuordnung" dataDxfId="1079"/>
    <tableColumn id="2" xr3:uid="{00000000-0010-0000-1900-000002000000}" name="Jahr" dataDxfId="1078"/>
    <tableColumn id="52" xr3:uid="{00000000-0010-0000-1900-000034000000}" name="Lastverschiebung" dataDxfId="1077"/>
    <tableColumn id="53" xr3:uid="{00000000-0010-0000-1900-000035000000}" name="Lastverzicht" dataDxfId="1076"/>
    <tableColumn id="69" xr3:uid="{5699CFC7-3A38-4AF2-B262-AFAF175FCD49}" name="Lasterhöhung" dataDxfId="1075"/>
    <tableColumn id="68" xr3:uid="{C3310578-7DCB-41E8-ADBB-B2A6C2FC6147}" name="Stromverbrauch in TWh" dataDxfId="1074"/>
    <tableColumn id="3" xr3:uid="{00000000-0010-0000-1900-000003000000}" name="Potenzial pos. min MW" dataDxfId="1073"/>
    <tableColumn id="5" xr3:uid="{00000000-0010-0000-1900-000005000000}" name="Potenzial pos. max MW" dataDxfId="1072"/>
    <tableColumn id="50" xr3:uid="{00000000-0010-0000-1900-000032000000}" name="Potenzial neg. min MW" dataDxfId="1071">
      <calculatedColumnFormula>44+29</calculatedColumnFormula>
    </tableColumn>
    <tableColumn id="6" xr3:uid="{00000000-0010-0000-1900-000006000000}" name="Potenzial neg. max MW" dataDxfId="1070">
      <calculatedColumnFormula>197+190</calculatedColumnFormula>
    </tableColumn>
    <tableColumn id="61" xr3:uid="{00000000-0010-0000-1900-00003D000000}" name="Schaltdauer pos. min (h)" dataDxfId="1069"/>
    <tableColumn id="60" xr3:uid="{00000000-0010-0000-1900-00003C000000}" name="Schaltdauer pos. max (h)" dataDxfId="1068"/>
    <tableColumn id="15" xr3:uid="{00000000-0010-0000-1900-00000F000000}" name="Zeitverfügbarkeit?" dataDxfId="1067"/>
    <tableColumn id="55" xr3:uid="{00000000-0010-0000-1900-000037000000}" name="Fundstelle Lastverschiebung" dataDxfId="1066"/>
    <tableColumn id="21" xr3:uid="{00000000-0010-0000-1900-000015000000}" name="Fundstelle Potenzial pos." dataDxfId="1065"/>
    <tableColumn id="22" xr3:uid="{00000000-0010-0000-1900-000016000000}" name="Fundstelle Potenzial neg." dataDxfId="1064"/>
    <tableColumn id="26" xr3:uid="{00000000-0010-0000-1900-00001A000000}" name="Fundstelle Schaltdauer" dataDxfId="1063"/>
    <tableColumn id="29" xr3:uid="{00000000-0010-0000-1900-00001D000000}" name="Fundstelle Zeitverfügbarkeit" dataDxfId="1062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F6BA1890-F55E-4E32-9991-9AD84B845402}" name="Tabelle58946" displayName="Tabelle58946" ref="A1:Y5" totalsRowShown="0" headerRowDxfId="1061" dataDxfId="1060" tableBorderDxfId="1059">
  <autoFilter ref="A1:Y5" xr:uid="{00000000-0009-0000-0100-000008000000}"/>
  <tableColumns count="25">
    <tableColumn id="1" xr3:uid="{1F2E5634-7E3C-4CA1-9187-5AADC8391078}" name="Prozess" dataDxfId="1058"/>
    <tableColumn id="47" xr3:uid="{2162D906-36FB-4B4D-91ED-6BDC80CC7F55}" name="Sektorenzuordnung" dataDxfId="1057"/>
    <tableColumn id="2" xr3:uid="{F413B6BB-FFF1-443A-8FE2-0F91E11505D2}" name="Jahr" dataDxfId="1056"/>
    <tableColumn id="52" xr3:uid="{F182208F-CF3E-4849-ACF3-61FBBE32F748}" name="Lastverschiebung" dataDxfId="1055"/>
    <tableColumn id="53" xr3:uid="{38FA4E07-BEC0-4237-AF6F-266F15264C7F}" name="Lastverzicht" dataDxfId="1054"/>
    <tableColumn id="65" xr3:uid="{7B229578-AFB8-4887-ACDA-CA7A44988CB3}" name="Lasterhöhung" dataDxfId="1053"/>
    <tableColumn id="38" xr3:uid="{7F9D8F2B-1653-476B-9EF8-2FA37B8ED30A}" name="Potenzial pos. min MW" dataDxfId="1052"/>
    <tableColumn id="5" xr3:uid="{3E49DCA5-B722-42F2-974D-3D7A8F2D5218}" name="Potenzial pos. MW Durchschnitt" dataDxfId="1051"/>
    <tableColumn id="10" xr3:uid="{CDDA0BAA-F909-4EB7-90A8-F4684463C07F}" name="Potenzial pos. max MW" dataDxfId="1050"/>
    <tableColumn id="8" xr3:uid="{C988DE00-1AC3-4645-A74D-0F60309E29A2}" name="Potenzial neg. min MW" dataDxfId="1049"/>
    <tableColumn id="9" xr3:uid="{2DC5601A-3F50-4C9C-B047-DFF5E7D5C524}" name="Potenzial neg. MW Durchschnitt" dataDxfId="1048"/>
    <tableColumn id="7" xr3:uid="{C2603B98-5288-4874-8E60-EE6912AAEC97}" name="Potenzial neg. max MW" dataDxfId="1047"/>
    <tableColumn id="4" xr3:uid="{72A69AF3-ED16-41DF-95BC-74BCE5EE9111}" name="Verschiebedauer min. (h)" dataDxfId="1046"/>
    <tableColumn id="6" xr3:uid="{BBB77D28-176A-49EA-AFF0-0BEFD530050C}" name="Verschiebedauer (h)" dataDxfId="1045"/>
    <tableColumn id="13" xr3:uid="{E669D0D9-73AB-4F12-A8CD-42FB4E2A3B56}" name="Verschiebedauer max (h)" dataDxfId="1044"/>
    <tableColumn id="15" xr3:uid="{8C9C1734-56A1-4298-9AD6-18657FE80328}" name="Zeitverfügbarkeit?" dataDxfId="1043"/>
    <tableColumn id="20" xr3:uid="{A9918604-04DA-4EC4-9077-6D9C5243DF7A}" name="Bemerkungen" dataDxfId="1042"/>
    <tableColumn id="55" xr3:uid="{7B263F6E-10EB-44E7-9C12-F3DA1836263D}" name="Fundstelle Lastverschiebung" dataDxfId="1041"/>
    <tableColumn id="54" xr3:uid="{B8333A4E-FE0A-450F-B569-648003DBB4B0}" name="Fundstelle Lastverzicht" dataDxfId="1040"/>
    <tableColumn id="21" xr3:uid="{A17E3A0A-3125-4895-860D-BB510F6EDB91}" name="Fundstelle Potenzial pos." dataDxfId="1039"/>
    <tableColumn id="22" xr3:uid="{BA4C810F-8713-4628-BFD0-5C359714DF9B}" name="Fundstelle Potenzial neg." dataDxfId="1038"/>
    <tableColumn id="27" xr3:uid="{8615EFB8-97D7-4F97-ACEA-18ACE551E7F6}" name="Fundstelle Verschiebedauer" dataDxfId="1037"/>
    <tableColumn id="29" xr3:uid="{7F9B6EFD-16BC-45AB-9B7D-CDCBF7EFB69D}" name="Fundstelle Zeitverfügbarkeit" dataDxfId="1036"/>
    <tableColumn id="34" xr3:uid="{1BC1F0E4-0DC4-4CA9-ACC6-B23F062B3696}" name="Fundstelle Bemerkungen" dataDxfId="1035"/>
    <tableColumn id="35" xr3:uid="{0361C93F-E1E1-4F4F-BF5E-B98B0299352C}" name="eigene Anmerkung" dataDxfId="1034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le589" displayName="Tabelle589" ref="A1:BB45" totalsRowShown="0" headerRowDxfId="1033" dataDxfId="1032" tableBorderDxfId="1031">
  <autoFilter ref="A1:BB45" xr:uid="{00000000-0009-0000-0100-000008000000}"/>
  <tableColumns count="54">
    <tableColumn id="1" xr3:uid="{00000000-0010-0000-0200-000001000000}" name="Prozess" dataDxfId="1030"/>
    <tableColumn id="47" xr3:uid="{00000000-0010-0000-0200-00002F000000}" name="Sektorenzuordnung" dataDxfId="1029"/>
    <tableColumn id="2" xr3:uid="{00000000-0010-0000-0200-000002000000}" name="Jahr" dataDxfId="1028"/>
    <tableColumn id="52" xr3:uid="{00000000-0010-0000-0200-000034000000}" name="Lastverschiebung" dataDxfId="1027"/>
    <tableColumn id="53" xr3:uid="{00000000-0010-0000-0200-000035000000}" name="Lastverzicht" dataDxfId="1026"/>
    <tableColumn id="65" xr3:uid="{01A49C9E-5CCD-4A95-B6BA-9289767BCF33}" name="Lasterhöhung" dataDxfId="1025"/>
    <tableColumn id="38" xr3:uid="{00000000-0010-0000-0200-000026000000}" name="Potenzial pos. MW Durchschnitt" dataDxfId="1024"/>
    <tableColumn id="5" xr3:uid="{00000000-0010-0000-0200-000005000000}" name="Potenzial pos. max MW" dataDxfId="1023"/>
    <tableColumn id="67" xr3:uid="{C28A0071-673B-4973-A656-756516FDB1AC}" name="Potenzial pos. max MW Lastverzicht" dataDxfId="1022"/>
    <tableColumn id="37" xr3:uid="{00000000-0010-0000-0200-000025000000}" name="ausgewiesenes Pot. pos. MW (falls abweichend)" dataDxfId="1021"/>
    <tableColumn id="41" xr3:uid="{00000000-0010-0000-0200-000029000000}" name="Potenzial neg. MW Durchschnitt" dataDxfId="1020"/>
    <tableColumn id="6" xr3:uid="{00000000-0010-0000-0200-000006000000}" name="Potenzial neg. max MW" dataDxfId="1019"/>
    <tableColumn id="66" xr3:uid="{27719410-D0A9-4C52-BFB6-CDC339A61A1E}" name="flexibilisierbarer Anteil min" dataDxfId="1018" dataCellStyle="Prozent"/>
    <tableColumn id="36" xr3:uid="{00000000-0010-0000-0200-000024000000}" name="flexibilisierbarer Anteil an installierter Leistung" dataDxfId="1017" dataCellStyle="Prozent"/>
    <tableColumn id="10" xr3:uid="{00000000-0010-0000-0200-00000A000000}" name="installierte Leistung MW" dataDxfId="1016"/>
    <tableColumn id="11" xr3:uid="{00000000-0010-0000-0200-00000B000000}" name="Aktivierungsdauer (h)" dataDxfId="1015">
      <calculatedColumnFormula>7.5/60</calculatedColumnFormula>
    </tableColumn>
    <tableColumn id="61" xr3:uid="{00000000-0010-0000-0200-00003D000000}" name="Schaltdauer pos. min (h)" dataDxfId="1014"/>
    <tableColumn id="60" xr3:uid="{00000000-0010-0000-0200-00003C000000}" name="Schaltdauer pos. max (h)" dataDxfId="1013"/>
    <tableColumn id="12" xr3:uid="{00000000-0010-0000-0200-00000C000000}" name="Schaltdauer pos. (h)" dataDxfId="1012"/>
    <tableColumn id="70" xr3:uid="{329A6B05-D931-44C1-91AD-97F23AA9C1A2}" name="Schaltdauer pos. min (h) Lastverzicht" dataDxfId="1011"/>
    <tableColumn id="69" xr3:uid="{FE9C188D-32F6-404A-A7A6-CF047C81A609}" name="Schaltdauer pos. max (h) Lastverzicht" dataDxfId="1010"/>
    <tableColumn id="63" xr3:uid="{00000000-0010-0000-0200-00003F000000}" name="Schaltdauer neg min (h)" dataDxfId="1009"/>
    <tableColumn id="62" xr3:uid="{00000000-0010-0000-0200-00003E000000}" name="Schaltdauer neg. max (h)" dataDxfId="1008"/>
    <tableColumn id="51" xr3:uid="{00000000-0010-0000-0200-000033000000}" name="Schaltdauer neg. (h)" dataDxfId="1007"/>
    <tableColumn id="42" xr3:uid="{00000000-0010-0000-0200-00002A000000}" name="Verschiebedauer min. (h)" dataDxfId="1006"/>
    <tableColumn id="4" xr3:uid="{00000000-0010-0000-0200-000004000000}" name="Verschiebedauer max (h)" dataDxfId="1005"/>
    <tableColumn id="13" xr3:uid="{00000000-0010-0000-0200-00000D000000}" name="Verschiebedauer (h)" dataDxfId="1004"/>
    <tableColumn id="15" xr3:uid="{00000000-0010-0000-0200-00000F000000}" name="Zeitverfügbarkeit?" dataDxfId="1003"/>
    <tableColumn id="40" xr3:uid="{00000000-0010-0000-0200-000028000000}" name="max. Abrufhäufigkeit pro Jahr" dataDxfId="1002"/>
    <tableColumn id="57" xr3:uid="{00000000-0010-0000-0200-000039000000}" name="min. Investitionsausgaben €_2020/kW" dataDxfId="1001"/>
    <tableColumn id="56" xr3:uid="{00000000-0010-0000-0200-000038000000}" name="max. Investitionsausgaben €_2020/kW" dataDxfId="1000"/>
    <tableColumn id="17" xr3:uid="{00000000-0010-0000-0200-000011000000}" name="Investitionsausgaben €_2020/kW" dataDxfId="999">
      <calculatedColumnFormula>AVERAGE(Tabelle589[[#This Row],[min. Investitionsausgaben €_2020/kW]:[max. Investitionsausgaben €_2020/kW]])</calculatedColumnFormula>
    </tableColumn>
    <tableColumn id="59" xr3:uid="{00000000-0010-0000-0200-00003B000000}" name="var. Kosten min. Lastverschiebung €_2020/MWh" dataDxfId="998"/>
    <tableColumn id="58" xr3:uid="{00000000-0010-0000-0200-00003A000000}" name="var. Kosten max. Lastverschiebung €_2020/MWh" dataDxfId="997"/>
    <tableColumn id="18" xr3:uid="{00000000-0010-0000-0200-000012000000}" name="variable Kosten €_2020/MWh" dataDxfId="996">
      <calculatedColumnFormula>1*Umrechnungsfaktoren!$B$15/Umrechnungsfaktoren!$B$7</calculatedColumnFormula>
    </tableColumn>
    <tableColumn id="64" xr3:uid="{00000000-0010-0000-0200-000040000000}" name="fixe Kosten min. €_2020/kW*a" dataDxfId="995"/>
    <tableColumn id="19" xr3:uid="{00000000-0010-0000-0200-000013000000}" name="fixe Kosten €_2020/kW*a" dataDxfId="994">
      <calculatedColumnFormula>1*Umrechnungsfaktoren!$B$15/Umrechnungsfaktoren!$B$7</calculatedColumnFormula>
    </tableColumn>
    <tableColumn id="20" xr3:uid="{00000000-0010-0000-0200-000014000000}" name="Bemerkungen" dataDxfId="993"/>
    <tableColumn id="55" xr3:uid="{00000000-0010-0000-0200-000037000000}" name="Fundstelle Lastverschiebung" dataDxfId="992"/>
    <tableColumn id="54" xr3:uid="{00000000-0010-0000-0200-000036000000}" name="Fundstelle Lastverzicht" dataDxfId="991"/>
    <tableColumn id="21" xr3:uid="{00000000-0010-0000-0200-000015000000}" name="Fundstelle Potenzial pos." dataDxfId="990"/>
    <tableColumn id="22" xr3:uid="{00000000-0010-0000-0200-000016000000}" name="Fundstelle Potenzial neg." dataDxfId="989"/>
    <tableColumn id="43" xr3:uid="{00000000-0010-0000-0200-00002B000000}" name="Fundstelle flexibilisierbarer Anteil" dataDxfId="988"/>
    <tableColumn id="25" xr3:uid="{00000000-0010-0000-0200-000019000000}" name="Fundstelle installierte Leistung" dataDxfId="987"/>
    <tableColumn id="39" xr3:uid="{00000000-0010-0000-0200-000027000000}" name="Fundstelle Aktivierungsdauer" dataDxfId="986"/>
    <tableColumn id="26" xr3:uid="{00000000-0010-0000-0200-00001A000000}" name="Fundstelle Schaltdauer" dataDxfId="985"/>
    <tableColumn id="27" xr3:uid="{00000000-0010-0000-0200-00001B000000}" name="Fundstelle Verschiebedauer" dataDxfId="984"/>
    <tableColumn id="29" xr3:uid="{00000000-0010-0000-0200-00001D000000}" name="Fundstelle Zeitverfügbarkeit" dataDxfId="983"/>
    <tableColumn id="30" xr3:uid="{00000000-0010-0000-0200-00001E000000}" name="Fundstelle max. Abrufhäufigkeit" dataDxfId="982"/>
    <tableColumn id="31" xr3:uid="{00000000-0010-0000-0200-00001F000000}" name="Fundstelle Invest" dataDxfId="981"/>
    <tableColumn id="32" xr3:uid="{00000000-0010-0000-0200-000020000000}" name="Fundstelle var. Kosten" dataDxfId="980"/>
    <tableColumn id="33" xr3:uid="{00000000-0010-0000-0200-000021000000}" name="Fundstelle fixe Kosten" dataDxfId="979"/>
    <tableColumn id="34" xr3:uid="{00000000-0010-0000-0200-000022000000}" name="Fundstelle Bemerkungen" dataDxfId="978"/>
    <tableColumn id="35" xr3:uid="{00000000-0010-0000-0200-000023000000}" name="eigene Anmerkung" dataDxfId="977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ED6D33E-04CF-4A5E-8315-E08CBB297BC2}" name="Tabelle58943" displayName="Tabelle58943" ref="A1:AE3" totalsRowShown="0" headerRowDxfId="976" dataDxfId="975" tableBorderDxfId="974">
  <autoFilter ref="A1:AE3" xr:uid="{00000000-0009-0000-0100-000008000000}"/>
  <tableColumns count="31">
    <tableColumn id="1" xr3:uid="{62C78A68-965D-4011-9570-96BCB4E4A4E4}" name="Prozess" dataDxfId="973"/>
    <tableColumn id="47" xr3:uid="{833231AD-9033-4D3D-A9D1-760ADCA5F542}" name="Sektorenzuordnung" dataDxfId="972"/>
    <tableColumn id="2" xr3:uid="{400294DA-4395-465B-A9A8-7A5915CFECBF}" name="Jahr" dataDxfId="971"/>
    <tableColumn id="52" xr3:uid="{C5D07F64-A983-4BA3-A1EC-033C36FEA238}" name="Lastverschiebung" dataDxfId="970"/>
    <tableColumn id="53" xr3:uid="{6ADBA562-517B-4C31-A7DE-F7762F05228E}" name="Lastverzicht" dataDxfId="969"/>
    <tableColumn id="65" xr3:uid="{819C9115-9EFF-4BD0-A66A-B8EFFB925A19}" name="Lasterhöhung" dataDxfId="968"/>
    <tableColumn id="38" xr3:uid="{34EDBD43-D7C0-463E-9CA3-33400E16D8CF}" name="Potenzial pos. MW Tag 4 h" dataDxfId="967"/>
    <tableColumn id="3" xr3:uid="{DF6354EA-7C13-4A59-B709-A631163E3486}" name="Potenzial pos. MW Tag 2 h" dataDxfId="966"/>
    <tableColumn id="9" xr3:uid="{D144B93A-1A53-4154-978C-9C2F8CCFA7E0}" name="Potenzial pos. MW Tag 30 min" dataDxfId="965"/>
    <tableColumn id="8" xr3:uid="{696BBDF3-3279-494F-A674-CF57DB8104E0}" name="Potenzial pos. MW Tag 15 min" dataDxfId="964"/>
    <tableColumn id="5" xr3:uid="{FE716F4B-03A4-40E6-A18A-26FED522B2F8}" name="Potenzial pos. MW Nacht 4 h" dataDxfId="963"/>
    <tableColumn id="41" xr3:uid="{7C1A6787-7F21-4B46-AC8E-AA45EE0C7659}" name="Potenzial pos. MW Nacht 2 h" dataDxfId="962"/>
    <tableColumn id="6" xr3:uid="{B7DCE629-1D6C-44B6-9C5C-531E3D6E2655}" name="Potenzial pos. MW Nacht 30 min" dataDxfId="961"/>
    <tableColumn id="7" xr3:uid="{4F03168C-DB05-4635-A12E-F7C59F4BA0CE}" name="Potenzial pos. MW Nacht 15 min" dataDxfId="960"/>
    <tableColumn id="29" xr3:uid="{2790587B-81E3-4A6C-A659-80BBCA77F117}" name="Potenzial neg. MW Tag 4 h" dataDxfId="959"/>
    <tableColumn id="28" xr3:uid="{EF16949B-33F5-423D-B30D-4C0951DADC66}" name="Potenzial neg. MW Tag 2 h" dataDxfId="958"/>
    <tableColumn id="27" xr3:uid="{B6B59C50-DD18-47B7-AA0C-13E2A5E3188C}" name="Potenzial neg. MW Tag 30 min" dataDxfId="957"/>
    <tableColumn id="26" xr3:uid="{F2599F28-D9A4-4A3D-A638-F36A93963B1F}" name="Potenzial neg. MW Tag 15 min" dataDxfId="956"/>
    <tableColumn id="25" xr3:uid="{85DC8580-2282-4B87-BBA9-465B56B3C887}" name="Potenzial neg. MW Nacht 4 h" dataDxfId="955"/>
    <tableColumn id="24" xr3:uid="{9DFE26FC-567E-45D7-A2CB-308B3D075732}" name="Potenzial neg. MW Nacht 2 h" dataDxfId="954"/>
    <tableColumn id="23" xr3:uid="{F18E34AC-4999-4E86-A292-1B6BD2A6B9AB}" name="Potenzial neg. MW Nacht 30 min" dataDxfId="953"/>
    <tableColumn id="19" xr3:uid="{60D67637-CC49-408D-900D-A925717DB1D9}" name="Potenzial neg. MW Nacht 15 min" dataDxfId="952"/>
    <tableColumn id="42" xr3:uid="{0443D4F8-4CDD-4F44-A01C-D7021C82B545}" name="Verschiebedauer min. (h)" dataDxfId="951"/>
    <tableColumn id="4" xr3:uid="{5D0071E5-8697-4855-AD94-2503B3542AFE}" name="Verschiebedauer max (h)" dataDxfId="950"/>
    <tableColumn id="13" xr3:uid="{CB1B7C4B-3711-4FC5-84E5-2FEB43FFC682}" name="Verschiebedauer (h)" dataDxfId="949"/>
    <tableColumn id="20" xr3:uid="{182FDFFB-90D2-4A8A-9B79-75BEC7B75104}" name="Bemerkungen" dataDxfId="948"/>
    <tableColumn id="55" xr3:uid="{8B699E3C-2992-4330-81D8-2B4C07302C39}" name="Fundstelle Lastverschiebung" dataDxfId="947"/>
    <tableColumn id="54" xr3:uid="{ABDF3BF5-2390-4F13-82DA-C0E4F41AFF82}" name="Fundstelle Lastverzicht" dataDxfId="946"/>
    <tableColumn id="21" xr3:uid="{F4D7B06E-F307-4926-A262-8AEECB593D55}" name="Fundstelle Potenzial pos." dataDxfId="945"/>
    <tableColumn id="22" xr3:uid="{3C9925C5-05E6-464C-B4C8-352BCFE58BFE}" name="Fundstelle Potenzial neg." dataDxfId="944"/>
    <tableColumn id="35" xr3:uid="{5458730B-2ADB-4539-892C-356038815B2C}" name="eigene Anmerkung" dataDxfId="943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le3" displayName="Tabelle3" ref="A1:D9" totalsRowCount="1" headerRowDxfId="942" dataDxfId="941">
  <autoFilter ref="A1:D8" xr:uid="{00000000-0009-0000-0100-000003000000}"/>
  <tableColumns count="4">
    <tableColumn id="1" xr3:uid="{00000000-0010-0000-0300-000001000000}" name="Industrieprozess" totalsRowLabel="Summe" dataDxfId="940" totalsRowDxfId="939"/>
    <tableColumn id="3" xr3:uid="{00000000-0010-0000-0300-000003000000}" name="Spezifizierung" dataDxfId="938" totalsRowDxfId="937"/>
    <tableColumn id="2" xr3:uid="{00000000-0010-0000-0300-000002000000}" name="Werte pos. Potenzial aus Tabelle (S. 425) in MW" totalsRowFunction="sum" dataDxfId="936" totalsRowDxfId="935"/>
    <tableColumn id="4" xr3:uid="{00000000-0010-0000-0300-000004000000}" name="Werte pos. Potenzial aus Tabelle (S. 525) in MW" totalsRowFunction="sum" dataDxfId="934" totalsRowDxfId="933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5897" displayName="Tabelle5897" ref="A1:AQ11" totalsRowShown="0" headerRowDxfId="932" dataDxfId="931" tableBorderDxfId="930">
  <autoFilter ref="A1:AQ11" xr:uid="{00000000-0009-0000-0100-000006000000}"/>
  <tableColumns count="43">
    <tableColumn id="1" xr3:uid="{00000000-0010-0000-0500-000001000000}" name="Prozess" dataDxfId="929"/>
    <tableColumn id="47" xr3:uid="{00000000-0010-0000-0500-00002F000000}" name="Sektorenzuordnung" dataDxfId="928"/>
    <tableColumn id="2" xr3:uid="{00000000-0010-0000-0500-000002000000}" name="Jahr" dataDxfId="927"/>
    <tableColumn id="52" xr3:uid="{00000000-0010-0000-0500-000034000000}" name="Lastverschiebung" dataDxfId="926"/>
    <tableColumn id="53" xr3:uid="{00000000-0010-0000-0500-000035000000}" name="Lastverzicht" dataDxfId="925"/>
    <tableColumn id="67" xr3:uid="{FA08C4CE-FFC8-41A5-870D-C7D7670D735C}" name="Lasterhöhung" dataDxfId="924"/>
    <tableColumn id="38" xr3:uid="{00000000-0010-0000-0500-000026000000}" name="Potenzial pos. MW Durchschnitt" dataDxfId="923"/>
    <tableColumn id="5" xr3:uid="{00000000-0010-0000-0500-000005000000}" name="Potenzial pos. max MW" dataDxfId="922"/>
    <tableColumn id="69" xr3:uid="{26D9287D-BEEB-4694-BF97-1F2C96F62615}" name="Potenzial pos. max MW Lastverzicht" dataDxfId="921"/>
    <tableColumn id="41" xr3:uid="{00000000-0010-0000-0500-000029000000}" name="Potenzial neg. MW Durchschnitt" dataDxfId="920"/>
    <tableColumn id="8" xr3:uid="{00000000-0010-0000-0500-000008000000}" name="Mindestauslastung" dataDxfId="919" dataCellStyle="Prozent"/>
    <tableColumn id="36" xr3:uid="{00000000-0010-0000-0500-000024000000}" name="flexibilisierbarer Anteil an installierter Leistung" dataDxfId="918" dataCellStyle="Prozent"/>
    <tableColumn id="65" xr3:uid="{00000000-0010-0000-0500-000041000000}" name="Durchschnittsauslastung" dataDxfId="917" dataCellStyle="Prozent"/>
    <tableColumn id="44" xr3:uid="{00000000-0010-0000-0500-00002C000000}" name="Durchschnittliche Leistung MW" dataDxfId="916" dataCellStyle="Prozent"/>
    <tableColumn id="46" xr3:uid="{00000000-0010-0000-0500-00002E000000}" name="Maximalauslastung" dataDxfId="915" dataCellStyle="Prozent"/>
    <tableColumn id="10" xr3:uid="{00000000-0010-0000-0500-00000A000000}" name="installierte Leistung MW" dataDxfId="914"/>
    <tableColumn id="11" xr3:uid="{00000000-0010-0000-0500-00000B000000}" name="Aktivierungsdauer (h)" dataDxfId="913">
      <calculatedColumnFormula>7.5/60</calculatedColumnFormula>
    </tableColumn>
    <tableColumn id="70" xr3:uid="{39D052D7-EC80-4268-8669-5DAE0541F34D}" name="Schaltdauer pos. (h) Lastverzicht" dataDxfId="912"/>
    <tableColumn id="42" xr3:uid="{00000000-0010-0000-0500-00002A000000}" name="Verschiebedauer min. (h)" dataDxfId="911"/>
    <tableColumn id="57" xr3:uid="{00000000-0010-0000-0500-000039000000}" name="min. Investitionsausgaben €_2020/kW" dataDxfId="910">
      <calculatedColumnFormula>15*Umrechnungsfaktoren!$B$15/Umrechnungsfaktoren!$B$7</calculatedColumnFormula>
    </tableColumn>
    <tableColumn id="56" xr3:uid="{00000000-0010-0000-0500-000038000000}" name="max. Investitionsausgaben €_2020/kW" dataDxfId="909">
      <calculatedColumnFormula>18*Umrechnungsfaktoren!$B$15/Umrechnungsfaktoren!$B$7</calculatedColumnFormula>
    </tableColumn>
    <tableColumn id="17" xr3:uid="{00000000-0010-0000-0500-000011000000}" name="Investitionsausgaben €_2020/kW" dataDxfId="908">
      <calculatedColumnFormula>1*Umrechnungsfaktoren!$B$15/Umrechnungsfaktoren!$B$7</calculatedColumnFormula>
    </tableColumn>
    <tableColumn id="59" xr3:uid="{00000000-0010-0000-0500-00003B000000}" name="var. Kosten min. Lastverzicht €_2020/MWh" dataDxfId="907">
      <calculatedColumnFormula>500*Umrechnungsfaktoren!$B$15/Umrechnungsfaktoren!$B$7</calculatedColumnFormula>
    </tableColumn>
    <tableColumn id="58" xr3:uid="{00000000-0010-0000-0500-00003A000000}" name="var. Kosten max. Lastverzicht €_2020/MWh" dataDxfId="906">
      <calculatedColumnFormula>1500*Umrechnungsfaktoren!$B$15/Umrechnungsfaktoren!$B$7</calculatedColumnFormula>
    </tableColumn>
    <tableColumn id="68" xr3:uid="{C9E11D93-8CB1-45AF-8EF5-B6D7822B689E}" name="variable Kosten €_2020/MWh" dataDxfId="905">
      <calculatedColumnFormula>10*Umrechnungsfaktoren!$B$15/Umrechnungsfaktoren!$B$7</calculatedColumnFormula>
    </tableColumn>
    <tableColumn id="18" xr3:uid="{00000000-0010-0000-0500-000012000000}" name="variable Kosten Lastverzicht €_2020/MWh" dataDxfId="904">
      <calculatedColumnFormula>100*Umrechnungsfaktoren!$B$15/Umrechnungsfaktoren!$B$7</calculatedColumnFormula>
    </tableColumn>
    <tableColumn id="64" xr3:uid="{00000000-0010-0000-0500-000040000000}" name="fixe Kosten min. €_2020/kW*a" dataDxfId="903">
      <calculatedColumnFormula>0*Umrechnungsfaktoren!$B$15/Umrechnungsfaktoren!$B$7</calculatedColumnFormula>
    </tableColumn>
    <tableColumn id="20" xr3:uid="{00000000-0010-0000-0500-000014000000}" name="Bemerkungen" dataDxfId="902"/>
    <tableColumn id="55" xr3:uid="{00000000-0010-0000-0500-000037000000}" name="Fundstelle Lastverschiebung" dataDxfId="901"/>
    <tableColumn id="54" xr3:uid="{00000000-0010-0000-0500-000036000000}" name="Fundstelle Lastverzicht" dataDxfId="900"/>
    <tableColumn id="21" xr3:uid="{00000000-0010-0000-0500-000015000000}" name="Fundstelle Potenzial pos." dataDxfId="899"/>
    <tableColumn id="22" xr3:uid="{00000000-0010-0000-0500-000016000000}" name="Fundstelle Potenzial neg." dataDxfId="898"/>
    <tableColumn id="23" xr3:uid="{00000000-0010-0000-0500-000017000000}" name="Fundstelle Mindestleistung" dataDxfId="897"/>
    <tableColumn id="43" xr3:uid="{00000000-0010-0000-0500-00002B000000}" name="Fundstelle flexibilisierbarer Anteil" dataDxfId="896"/>
    <tableColumn id="66" xr3:uid="{00000000-0010-0000-0500-000042000000}" name="Fundstelle Durchschnittsauslastung" dataDxfId="895"/>
    <tableColumn id="24" xr3:uid="{00000000-0010-0000-0500-000018000000}" name="Fundstelle Maximalleistung" dataDxfId="894"/>
    <tableColumn id="25" xr3:uid="{00000000-0010-0000-0500-000019000000}" name="Fundstelle installierte Leistung" dataDxfId="893"/>
    <tableColumn id="39" xr3:uid="{00000000-0010-0000-0500-000027000000}" name="Fundstelle Aktivierungsdauer" dataDxfId="892"/>
    <tableColumn id="26" xr3:uid="{00000000-0010-0000-0500-00001A000000}" name="Fundstelle Schaltdauer" dataDxfId="891"/>
    <tableColumn id="27" xr3:uid="{00000000-0010-0000-0500-00001B000000}" name="Fundstelle Verschiebedauer" dataDxfId="890"/>
    <tableColumn id="31" xr3:uid="{00000000-0010-0000-0500-00001F000000}" name="Fundstelle Invest" dataDxfId="889"/>
    <tableColumn id="32" xr3:uid="{00000000-0010-0000-0500-000020000000}" name="Fundstelle var. Kosten" dataDxfId="888"/>
    <tableColumn id="33" xr3:uid="{00000000-0010-0000-0500-000021000000}" name="Fundstelle fixe Kosten" dataDxfId="887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abelle58971119" displayName="Tabelle58971119" ref="A1:BN64" totalsRowShown="0" headerRowDxfId="886" dataDxfId="885" tableBorderDxfId="884">
  <autoFilter ref="A1:BN64" xr:uid="{00000000-0009-0000-0100-000012000000}"/>
  <tableColumns count="66">
    <tableColumn id="1" xr3:uid="{00000000-0010-0000-0F00-000001000000}" name="Prozess" dataDxfId="883"/>
    <tableColumn id="47" xr3:uid="{00000000-0010-0000-0F00-00002F000000}" name="Sektorenzuordnung" dataDxfId="882"/>
    <tableColumn id="2" xr3:uid="{00000000-0010-0000-0F00-000002000000}" name="Jahr" dataDxfId="881"/>
    <tableColumn id="52" xr3:uid="{00000000-0010-0000-0F00-000034000000}" name="Lastverschiebung" dataDxfId="880"/>
    <tableColumn id="53" xr3:uid="{00000000-0010-0000-0F00-000035000000}" name="Lastverzicht" dataDxfId="879"/>
    <tableColumn id="73" xr3:uid="{366B448B-5578-4AD3-946A-78C89BAD4435}" name="Lasterhöhung" dataDxfId="878"/>
    <tableColumn id="69" xr3:uid="{00000000-0010-0000-0F00-000045000000}" name="Stromverbrauch von TWh" dataDxfId="877"/>
    <tableColumn id="68" xr3:uid="{00000000-0010-0000-0F00-000044000000}" name="Stromverbrauch bis TWh" dataDxfId="876"/>
    <tableColumn id="67" xr3:uid="{00000000-0010-0000-0F00-000043000000}" name="Stromverbrauch in TWh" dataDxfId="875"/>
    <tableColumn id="3" xr3:uid="{00000000-0010-0000-0F00-000003000000}" name="Potenzial pos. min MW" dataDxfId="874"/>
    <tableColumn id="72" xr3:uid="{00000000-0010-0000-0F00-000048000000}" name="Potenzial pos. min wärmster Tag MW" dataDxfId="873"/>
    <tableColumn id="5" xr3:uid="{00000000-0010-0000-0F00-000005000000}" name="Potenzial pos. max MW" dataDxfId="872"/>
    <tableColumn id="83" xr3:uid="{00000000-0010-0000-0F00-000053000000}" name="Potenzial pos. max MW Lastverzicht" dataDxfId="871"/>
    <tableColumn id="74" xr3:uid="{00000000-0010-0000-0F00-00004A000000}" name="Potenzial pos. max wärmster Tag MW" dataDxfId="870"/>
    <tableColumn id="50" xr3:uid="{00000000-0010-0000-0F00-000032000000}" name="Potenzial neg. min MW" dataDxfId="869"/>
    <tableColumn id="75" xr3:uid="{00000000-0010-0000-0F00-00004B000000}" name="Potenzial neg. min wärmster Tag MW" dataDxfId="868"/>
    <tableColumn id="6" xr3:uid="{00000000-0010-0000-0F00-000006000000}" name="Potenzial neg. max MW" dataDxfId="867"/>
    <tableColumn id="76" xr3:uid="{00000000-0010-0000-0F00-00004C000000}" name="Potenzial neg. max wärmster Tag MW" dataDxfId="866"/>
    <tableColumn id="36" xr3:uid="{00000000-0010-0000-0F00-000024000000}" name="flexibilisierbarer Anteil" dataDxfId="865" dataCellStyle="Prozent"/>
    <tableColumn id="65" xr3:uid="{00000000-0010-0000-0F00-000041000000}" name="Durchschnittsauslastung" dataDxfId="864" dataCellStyle="Prozent">
      <calculatedColumnFormula>600/8760</calculatedColumnFormula>
    </tableColumn>
    <tableColumn id="79" xr3:uid="{00000000-0010-0000-0F00-00004F000000}" name="Betriebsstunden p.a." dataDxfId="863" dataCellStyle="Prozent"/>
    <tableColumn id="44" xr3:uid="{00000000-0010-0000-0F00-00002C000000}" name="Durchschnittliche Leistung MW" dataDxfId="862" dataCellStyle="Prozent"/>
    <tableColumn id="77" xr3:uid="{00000000-0010-0000-0F00-00004D000000}" name="Wirkungsgrad (%)" dataDxfId="861" dataCellStyle="Prozent"/>
    <tableColumn id="11" xr3:uid="{00000000-0010-0000-0F00-00000B000000}" name="Aktivierungsdauer (h)" dataDxfId="860">
      <calculatedColumnFormula>5/60</calculatedColumnFormula>
    </tableColumn>
    <tableColumn id="61" xr3:uid="{00000000-0010-0000-0F00-00003D000000}" name="Schaltdauer pos. min (h)" dataDxfId="859"/>
    <tableColumn id="60" xr3:uid="{00000000-0010-0000-0F00-00003C000000}" name="Schaltdauer pos. max (h)" dataDxfId="858"/>
    <tableColumn id="12" xr3:uid="{00000000-0010-0000-0F00-00000C000000}" name="Schaltdauer pos. (h)" dataDxfId="857"/>
    <tableColumn id="85" xr3:uid="{EEC62F72-53E0-41CA-BEC2-68E0E53F4490}" name="Schaltdauer pos. min (h) Lastverzicht" dataDxfId="856"/>
    <tableColumn id="84" xr3:uid="{BC25BCEB-C414-4481-9949-83A7EBFE638F}" name="Schaltdauer pos. (h) Lastverzicht" dataDxfId="855"/>
    <tableColumn id="63" xr3:uid="{00000000-0010-0000-0F00-00003F000000}" name="Schaltdauer neg min (h)" dataDxfId="854"/>
    <tableColumn id="62" xr3:uid="{00000000-0010-0000-0F00-00003E000000}" name="Schaltdauer neg. max (h)" dataDxfId="853"/>
    <tableColumn id="51" xr3:uid="{00000000-0010-0000-0F00-000033000000}" name="Schaltdauer neg. (h)" dataDxfId="852"/>
    <tableColumn id="42" xr3:uid="{00000000-0010-0000-0F00-00002A000000}" name="Verschiebedauer min. (h)" dataDxfId="851"/>
    <tableColumn id="4" xr3:uid="{00000000-0010-0000-0F00-000004000000}" name="Verschiebedauer max (h)" dataDxfId="850"/>
    <tableColumn id="13" xr3:uid="{00000000-0010-0000-0F00-00000D000000}" name="Verschiebedauer (h)" dataDxfId="849"/>
    <tableColumn id="15" xr3:uid="{00000000-0010-0000-0F00-00000F000000}" name="Zeitverfügbarkeit?" dataDxfId="848"/>
    <tableColumn id="82" xr3:uid="{00000000-0010-0000-0F00-000052000000}" name="max. Abrufhäufigkeit min. pro Jahr" dataDxfId="847"/>
    <tableColumn id="81" xr3:uid="{00000000-0010-0000-0F00-000051000000}" name="max. Abrufhäufigkeit max. pro Jahr" dataDxfId="846"/>
    <tableColumn id="40" xr3:uid="{00000000-0010-0000-0F00-000028000000}" name="max. Abrufhäufigkeit min. pro Jahr Lastverzicht" dataDxfId="845"/>
    <tableColumn id="86" xr3:uid="{1969DFC6-A590-463D-A44A-18304C6A8B66}" name="max. Abrufhäufigkeit max. pro Jahr Lastverzicht" dataDxfId="844"/>
    <tableColumn id="17" xr3:uid="{00000000-0010-0000-0F00-000011000000}" name="Investitionsausgaben €_2020/kW" dataDxfId="843">
      <calculatedColumnFormula>0.05*Umrechnungsfaktoren!$B$15/Umrechnungsfaktoren!$B$13</calculatedColumnFormula>
    </tableColumn>
    <tableColumn id="59" xr3:uid="{00000000-0010-0000-0F00-00003B000000}" name="var. Kosten min. €_2020/MWh" dataDxfId="842"/>
    <tableColumn id="58" xr3:uid="{00000000-0010-0000-0F00-00003A000000}" name="var. Kosten max. Lastverzicht €_2020/MWh" dataDxfId="841">
      <calculatedColumnFormula>164*Umrechnungsfaktoren!$B$15/Umrechnungsfaktoren!$B$13</calculatedColumnFormula>
    </tableColumn>
    <tableColumn id="19" xr3:uid="{00000000-0010-0000-0F00-000013000000}" name="fixe Kosten €_2020/kW*a" dataDxfId="840">
      <calculatedColumnFormula>0.05*Umrechnungsfaktoren!$B$15/Umrechnungsfaktoren!$B$13</calculatedColumnFormula>
    </tableColumn>
    <tableColumn id="71" xr3:uid="{00000000-0010-0000-0F00-000047000000}" name="fixe Kosten €_2020/a" dataDxfId="839">
      <calculatedColumnFormula>220*Umrechnungsfaktoren!$B$15/Umrechnungsfaktoren!$B$13</calculatedColumnFormula>
    </tableColumn>
    <tableColumn id="48" xr3:uid="{00000000-0010-0000-0F00-000030000000}" name="Investitionsausgaben je Anschlusspunkt (€_2020)" dataDxfId="838">
      <calculatedColumnFormula>220*Umrechnungsfaktoren!$B$15/Umrechnungsfaktoren!$B$13</calculatedColumnFormula>
    </tableColumn>
    <tableColumn id="20" xr3:uid="{00000000-0010-0000-0F00-000014000000}" name="Bemerkungen" dataDxfId="837"/>
    <tableColumn id="55" xr3:uid="{00000000-0010-0000-0F00-000037000000}" name="Fundstelle Lastverschiebung" dataDxfId="836"/>
    <tableColumn id="54" xr3:uid="{00000000-0010-0000-0F00-000036000000}" name="Fundstelle Lastverzicht" dataDxfId="835"/>
    <tableColumn id="70" xr3:uid="{00000000-0010-0000-0F00-000046000000}" name="Fundstelle Stromverbrauch" dataDxfId="834"/>
    <tableColumn id="21" xr3:uid="{00000000-0010-0000-0F00-000015000000}" name="Fundstelle Potenzial pos." dataDxfId="833"/>
    <tableColumn id="22" xr3:uid="{00000000-0010-0000-0F00-000016000000}" name="Fundstelle Potenzial neg." dataDxfId="832"/>
    <tableColumn id="43" xr3:uid="{00000000-0010-0000-0F00-00002B000000}" name="Fundstelle flexibilisierbarer Anteil" dataDxfId="831"/>
    <tableColumn id="66" xr3:uid="{00000000-0010-0000-0F00-000042000000}" name="Fundstelle Durchschnittsauslastung" dataDxfId="830"/>
    <tableColumn id="80" xr3:uid="{00000000-0010-0000-0F00-000050000000}" name="Fundstelle Betriebsstunden" dataDxfId="829"/>
    <tableColumn id="45" xr3:uid="{00000000-0010-0000-0F00-00002D000000}" name="Fundstelle durchschnittliche Leistung" dataDxfId="828"/>
    <tableColumn id="78" xr3:uid="{00000000-0010-0000-0F00-00004E000000}" name="Fundstelle Wirkungsgrad" dataDxfId="827"/>
    <tableColumn id="39" xr3:uid="{00000000-0010-0000-0F00-000027000000}" name="Fundstelle Aktivierungsdauer" dataDxfId="826"/>
    <tableColumn id="26" xr3:uid="{00000000-0010-0000-0F00-00001A000000}" name="Fundstelle Schaltdauer" dataDxfId="825"/>
    <tableColumn id="27" xr3:uid="{00000000-0010-0000-0F00-00001B000000}" name="Fundstelle Verschiebedauer" dataDxfId="824"/>
    <tableColumn id="29" xr3:uid="{00000000-0010-0000-0F00-00001D000000}" name="Fundstelle Zeitverfügbarkeit" dataDxfId="823"/>
    <tableColumn id="30" xr3:uid="{00000000-0010-0000-0F00-00001E000000}" name="Fundstelle max. Abrufhäufigkeit" dataDxfId="822"/>
    <tableColumn id="31" xr3:uid="{00000000-0010-0000-0F00-00001F000000}" name="Fundstelle Invest" dataDxfId="821"/>
    <tableColumn id="32" xr3:uid="{00000000-0010-0000-0F00-000020000000}" name="Fundstelle var. Kosten" dataDxfId="820"/>
    <tableColumn id="33" xr3:uid="{00000000-0010-0000-0F00-000021000000}" name="Fundstelle fixe Kosten" dataDxfId="819"/>
    <tableColumn id="49" xr3:uid="{00000000-0010-0000-0F00-000031000000}" name="Fundstelle Investition je Anschlusspunkt" dataDxfId="818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elle58971114" displayName="Tabelle58971114" ref="A1:N6" totalsRowShown="0" headerRowDxfId="817" dataDxfId="816" tableBorderDxfId="815">
  <autoFilter ref="A1:N6" xr:uid="{00000000-0009-0000-0100-00000D000000}"/>
  <tableColumns count="14">
    <tableColumn id="1" xr3:uid="{00000000-0010-0000-0800-000001000000}" name="Prozess" dataDxfId="814"/>
    <tableColumn id="47" xr3:uid="{00000000-0010-0000-0800-00002F000000}" name="Sektorenzuordnung" dataDxfId="813"/>
    <tableColumn id="2" xr3:uid="{00000000-0010-0000-0800-000002000000}" name="Jahr" dataDxfId="812"/>
    <tableColumn id="52" xr3:uid="{00000000-0010-0000-0800-000034000000}" name="Lastverschiebung" dataDxfId="811"/>
    <tableColumn id="53" xr3:uid="{00000000-0010-0000-0800-000035000000}" name="Lastverzicht" dataDxfId="810"/>
    <tableColumn id="36" xr3:uid="{D0502EC0-C6B2-43EE-B675-33E4B2F87D80}" name="Lasterhöhung" dataDxfId="809"/>
    <tableColumn id="38" xr3:uid="{00000000-0010-0000-0800-000026000000}" name="Potenzial pos. MW Lastverzicht" dataDxfId="808"/>
    <tableColumn id="67" xr3:uid="{00000000-0010-0000-0800-000043000000}" name="flexibilisierbarer Anteil an Durchschnittslast" dataDxfId="807" dataCellStyle="Prozent"/>
    <tableColumn id="44" xr3:uid="{00000000-0010-0000-0800-00002C000000}" name="Durchschnittliche Leistung MW" dataDxfId="806" dataCellStyle="Prozent"/>
    <tableColumn id="55" xr3:uid="{00000000-0010-0000-0800-000037000000}" name="Fundstelle Lastverschiebung" dataDxfId="805"/>
    <tableColumn id="54" xr3:uid="{00000000-0010-0000-0800-000036000000}" name="Fundstelle Lastverzicht" dataDxfId="804"/>
    <tableColumn id="21" xr3:uid="{00000000-0010-0000-0800-000015000000}" name="Fundstelle Potenzial pos." dataDxfId="803"/>
    <tableColumn id="43" xr3:uid="{00000000-0010-0000-0800-00002B000000}" name="Fundstelle flexibilisierbarer Anteil" dataDxfId="802"/>
    <tableColumn id="45" xr3:uid="{00000000-0010-0000-0800-00002D000000}" name="Fundstelle durchschnittliche Leistung" dataDxfId="801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elle5892" displayName="Tabelle5892" ref="A1:L9" totalsRowShown="0" headerRowDxfId="800" dataDxfId="799" tableBorderDxfId="798">
  <autoFilter ref="A1:L9" xr:uid="{00000000-0009-0000-0100-000001000000}"/>
  <tableColumns count="12">
    <tableColumn id="1" xr3:uid="{00000000-0010-0000-0400-000001000000}" name="Prozess" dataDxfId="797"/>
    <tableColumn id="47" xr3:uid="{00000000-0010-0000-0400-00002F000000}" name="Sektorenzuordnung" dataDxfId="796"/>
    <tableColumn id="2" xr3:uid="{00000000-0010-0000-0400-000002000000}" name="Jahr" dataDxfId="795"/>
    <tableColumn id="52" xr3:uid="{00000000-0010-0000-0400-000034000000}" name="Lastverschiebung" dataDxfId="794"/>
    <tableColumn id="53" xr3:uid="{00000000-0010-0000-0400-000035000000}" name="Lastverzicht" dataDxfId="793"/>
    <tableColumn id="4" xr3:uid="{BB3E4F2A-1D63-40E4-B0CE-BA0238116541}" name="Lasterhöhung" dataDxfId="792"/>
    <tableColumn id="5" xr3:uid="{00000000-0010-0000-0400-000005000000}" name="Potenzial pos. max MW Lastverzicht" dataDxfId="791"/>
    <tableColumn id="12" xr3:uid="{00000000-0010-0000-0400-00000C000000}" name="Schaltdauer pos. (h) Lastverzicht" dataDxfId="790"/>
    <tableColumn id="20" xr3:uid="{00000000-0010-0000-0400-000014000000}" name="Bemerkungen" dataDxfId="789"/>
    <tableColumn id="21" xr3:uid="{00000000-0010-0000-0400-000015000000}" name="Fundstelle Potenzial pos." dataDxfId="788"/>
    <tableColumn id="26" xr3:uid="{00000000-0010-0000-0400-00001A000000}" name="Fundstelle Schaltdauer" dataDxfId="787"/>
    <tableColumn id="35" xr3:uid="{00000000-0010-0000-0400-000023000000}" name="eigene Anmerkung" dataDxfId="786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B000000}" name="Tabelle223" displayName="Tabelle223" ref="A1:O77" totalsRowShown="0" dataDxfId="785">
  <autoFilter ref="A1:O77" xr:uid="{00000000-0009-0000-0100-000016000000}"/>
  <tableColumns count="15">
    <tableColumn id="1" xr3:uid="{00000000-0010-0000-0B00-000001000000}" name="Prozess" dataDxfId="784"/>
    <tableColumn id="13" xr3:uid="{00000000-0010-0000-0B00-00000D000000}" name="Sektorenzuordnung" dataDxfId="783"/>
    <tableColumn id="2" xr3:uid="{00000000-0010-0000-0B00-000002000000}" name="Jahr" dataDxfId="782"/>
    <tableColumn id="12" xr3:uid="{00000000-0010-0000-0B00-00000C000000}" name="StV (TWh)" dataDxfId="781">
      <calculatedColumnFormula>Tabelle223[[#This Row],[Produktionskapazität Mt]]*Tabelle223[[#This Row],[spez. Verbrauch (kWh/t)]]*10^-3</calculatedColumnFormula>
    </tableColumn>
    <tableColumn id="11" xr3:uid="{00000000-0010-0000-0B00-00000B000000}" name="spez. Verbrauch (kWh/t)" dataDxfId="780"/>
    <tableColumn id="10" xr3:uid="{00000000-0010-0000-0B00-00000A000000}" name="Produktionskapazität Mt" dataDxfId="779"/>
    <tableColumn id="8" xr3:uid="{00000000-0010-0000-0B00-000008000000}" name="Änderung des spez. Verbrauchs (% p.a.)" dataDxfId="778"/>
    <tableColumn id="9" xr3:uid="{00000000-0010-0000-0B00-000009000000}" name="Änderung der Produktionskapazität (% p.a.)" dataDxfId="777"/>
    <tableColumn id="14" xr3:uid="{00000000-0010-0000-0B00-00000E000000}" name="Anteil am sektoralen Verbrauch (%)" dataDxfId="776"/>
    <tableColumn id="15" xr3:uid="{00000000-0010-0000-0B00-00000F000000}" name="Änderung gg. 2010"/>
    <tableColumn id="3" xr3:uid="{00000000-0010-0000-0B00-000003000000}" name="Stromverbrauch" dataDxfId="775"/>
    <tableColumn id="4" xr3:uid="{00000000-0010-0000-0B00-000004000000}" name="Vollbenutzungsstunden" dataDxfId="774"/>
    <tableColumn id="5" xr3:uid="{00000000-0010-0000-0B00-000005000000}" name="Mindestleistung" dataDxfId="773"/>
    <tableColumn id="6" xr3:uid="{00000000-0010-0000-0B00-000006000000}" name="flexible Leistung" dataDxfId="772"/>
    <tableColumn id="7" xr3:uid="{00000000-0010-0000-0B00-000007000000}" name="Quelle" dataDxfId="77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C89634-FF47-4F6C-85DF-7B5B00E64E21}" name="Tabelle58971114292527" displayName="Tabelle58971114292527" ref="A1:T8" totalsRowShown="0" headerRowDxfId="1844" dataDxfId="1843" tableBorderDxfId="1842">
  <autoFilter ref="A1:T8" xr:uid="{969830D3-1457-42BF-A753-56689B819B1C}"/>
  <tableColumns count="20">
    <tableColumn id="1" xr3:uid="{CA1E1AB6-62F6-470F-874C-55730E64F8A5}" name="Prozess" dataDxfId="1841"/>
    <tableColumn id="47" xr3:uid="{D548DFD0-6355-4B25-A3B6-02026427F3F7}" name="Sektorenzuordnung" dataDxfId="1840"/>
    <tableColumn id="2" xr3:uid="{5EDAA91A-A957-434E-8582-8F64AEBEA107}" name="Jahr" dataDxfId="1839"/>
    <tableColumn id="52" xr3:uid="{769C3597-9632-484A-8EA2-1E78DB2C8428}" name="Lastverschiebung" dataDxfId="1838"/>
    <tableColumn id="53" xr3:uid="{8776FB67-8AD2-48E3-A1B6-1068BBD3E779}" name="Lastverzicht" dataDxfId="1837"/>
    <tableColumn id="68" xr3:uid="{431FC835-40E1-4B90-9588-1637E1526982}" name="Lasterhöhung" dataDxfId="1836"/>
    <tableColumn id="71" xr3:uid="{37940876-B794-45F6-9504-4681C6441180}" name="Stromverbrauch in TWh" dataDxfId="1835">
      <calculatedColumnFormula>0.46+5.27</calculatedColumnFormula>
    </tableColumn>
    <tableColumn id="38" xr3:uid="{795AF7A2-926B-4CD0-B597-E280DD3E988D}" name="Potenzial pos. MW Durchschnitt" dataDxfId="1834"/>
    <tableColumn id="5" xr3:uid="{F41A3D94-8C4E-43AB-9A62-CE93B41B4355}" name="Potenzial pos. max MW" dataDxfId="1833"/>
    <tableColumn id="69" xr3:uid="{07DEF50B-B9AB-47FA-9DD6-49C7AD5F8FF2}" name="Potenzial pos. max GWh" dataDxfId="1832"/>
    <tableColumn id="41" xr3:uid="{65137A8C-1912-477A-A2DB-99FAE3720E3F}" name="Potenzial neg. MW Durchschnitt" dataDxfId="1831"/>
    <tableColumn id="70" xr3:uid="{2C851849-898B-4457-93EB-6EE7AE97A844}" name="Potenzial neg. max GWh" dataDxfId="1830"/>
    <tableColumn id="72" xr3:uid="{3727EDE4-0381-4D52-82E1-200098A11358}" name="Vollbenutzungsstunden h/a" dataDxfId="1829" dataCellStyle="Prozent">
      <calculatedColumnFormula>IF(AND(Tabelle58971114292527[[#This Row],[Stromverbrauch in TWh]]&lt;&gt;"",#REF!&lt;&gt;""),Tabelle58971114292527[[#This Row],[Stromverbrauch in TWh]]*10^6/#REF!,"")</calculatedColumnFormula>
    </tableColumn>
    <tableColumn id="65" xr3:uid="{FB696937-A898-40F5-B890-A2845E23B87F}" name="Durchschnittsauslastung" dataDxfId="1828" dataCellStyle="Prozent">
      <calculatedColumnFormula>IF(Tabelle58971114292527[[#This Row],[Vollbenutzungsstunden h/a]]&lt;&gt;"",Tabelle58971114292527[[#This Row],[Vollbenutzungsstunden h/a]]/8760,"")</calculatedColumnFormula>
    </tableColumn>
    <tableColumn id="44" xr3:uid="{0F9C1D4E-5204-4FF4-B8B1-7742AF68B80D}" name="Durchschnittliche Leistung MW" dataDxfId="1827" dataCellStyle="Prozent">
      <calculatedColumnFormula>Tabelle58971114292527[[#This Row],[Durchschnittsauslastung]]*Tabelle58971114292527[[#This Row],[installierte Leistung MW]]</calculatedColumnFormula>
    </tableColumn>
    <tableColumn id="10" xr3:uid="{28E2B3D7-0652-4CDB-9BBD-AEE2236BFF12}" name="installierte Leistung MW" dataDxfId="1826"/>
    <tableColumn id="20" xr3:uid="{FEEE429F-7BA9-4810-B4DE-44690B7A232C}" name="Bemerkungen" dataDxfId="1825"/>
    <tableColumn id="55" xr3:uid="{C3245C41-D352-4631-B970-BC757EC99548}" name="Fundstelle Lastverschiebung" dataDxfId="1824"/>
    <tableColumn id="54" xr3:uid="{5648B538-D8D3-4E48-92E9-907492676A43}" name="Fundstelle Lastverzicht" dataDxfId="1823"/>
    <tableColumn id="34" xr3:uid="{1AC244EC-C649-419D-AE30-293CED10C814}" name="Fundstelle Bemerkungen" dataDxfId="1822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C000000}" name="Tabelle234" displayName="Tabelle234" ref="A1:M41" totalsRowShown="0" headerRowDxfId="770" dataDxfId="769">
  <autoFilter ref="A1:M41" xr:uid="{00000000-0009-0000-0100-000021000000}"/>
  <tableColumns count="13">
    <tableColumn id="1" xr3:uid="{00000000-0010-0000-0C00-000001000000}" name="Prozess" dataDxfId="768"/>
    <tableColumn id="13" xr3:uid="{00000000-0010-0000-0C00-00000D000000}" name="Sektorenzuordnung" dataDxfId="767"/>
    <tableColumn id="2" xr3:uid="{00000000-0010-0000-0C00-000002000000}" name="Jahr" dataDxfId="766"/>
    <tableColumn id="8" xr3:uid="{00000000-0010-0000-0C00-000008000000}" name="Anzahl Haushalte (Mio.)" dataDxfId="765"/>
    <tableColumn id="3" xr3:uid="{00000000-0010-0000-0C00-000003000000}" name="Stromverbrauch gesamt (TWh)" dataDxfId="764">
      <calculatedColumnFormula>Tabelle234[[#This Row],[Leistung je Einheit (kW)]]*Tabelle234[[#This Row],[Anzahl Haushalte (Mio.)]]*Tabelle234[[#This Row],[Vollbenutzungsstunden]]</calculatedColumnFormula>
    </tableColumn>
    <tableColumn id="12" xr3:uid="{00000000-0010-0000-0C00-00000C000000}" name="Leistung gesamt (MW)" dataDxfId="763">
      <calculatedColumnFormula>Tabelle234[[#This Row],[Anzahl Haushalte (Mio.)]]*Tabelle234[[#This Row],[Ausstattungsraten]]*Tabelle234[[#This Row],[Leistung je Einheit (kW)]]*10^3</calculatedColumnFormula>
    </tableColumn>
    <tableColumn id="4" xr3:uid="{00000000-0010-0000-0C00-000004000000}" name="Vollbenutzungsstunden" dataDxfId="762"/>
    <tableColumn id="9" xr3:uid="{00000000-0010-0000-0C00-000009000000}" name="Ausstattungsraten" dataDxfId="761"/>
    <tableColumn id="10" xr3:uid="{00000000-0010-0000-0C00-00000A000000}" name="Stromverbrauch je Einheit (kWh)" dataDxfId="760"/>
    <tableColumn id="11" xr3:uid="{00000000-0010-0000-0C00-00000B000000}" name="Leistung je Einheit (kW)" dataDxfId="759"/>
    <tableColumn id="5" xr3:uid="{00000000-0010-0000-0C00-000005000000}" name="flex. Leistung pos." dataDxfId="758"/>
    <tableColumn id="6" xr3:uid="{00000000-0010-0000-0C00-000006000000}" name="flex. Leistung neg." dataDxfId="757"/>
    <tableColumn id="7" xr3:uid="{00000000-0010-0000-0C00-000007000000}" name="Quelle" dataDxfId="756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BCC9D6D-8A9D-4FBF-82F6-3400E7C0B30C}" name="Tabelle589242" displayName="Tabelle589242" ref="A1:AN8" totalsRowShown="0" headerRowDxfId="755" dataDxfId="754" tableBorderDxfId="753">
  <autoFilter ref="A1:AN8" xr:uid="{00000000-0009-0000-0100-000001000000}"/>
  <tableColumns count="40">
    <tableColumn id="1" xr3:uid="{74318614-3872-4C49-B5AB-91A10EC81951}" name="Prozess" dataDxfId="752"/>
    <tableColumn id="47" xr3:uid="{ACFC561B-85FA-4877-8A47-C333291C10C9}" name="Sektorenzuordnung" dataDxfId="751"/>
    <tableColumn id="2" xr3:uid="{B4279754-7302-4D23-94F2-CB3A8109391C}" name="Jahr" dataDxfId="750"/>
    <tableColumn id="52" xr3:uid="{2ECB1DC7-E87A-4F6A-BAE7-70C240A15B5B}" name="Lastverschiebung" dataDxfId="749"/>
    <tableColumn id="53" xr3:uid="{06A31AD4-98A4-4CD2-BADA-DDED4D39F0EE}" name="Lastverzicht" dataDxfId="748"/>
    <tableColumn id="4" xr3:uid="{97EC98CC-A63F-490D-830C-92B327179B05}" name="Lasterhöhung" dataDxfId="747"/>
    <tableColumn id="3" xr3:uid="{A4D6E17C-5F42-4B0C-99DA-28A7289A2A32}" name="installierte Leistung MW" dataDxfId="746">
      <calculatedColumnFormula>1388+443+215</calculatedColumnFormula>
    </tableColumn>
    <tableColumn id="5" xr3:uid="{07ECD613-6BC4-45E8-9ECF-D5CD32084812}" name="Potenzial pos. max MW Lastverzicht" dataDxfId="745">
      <calculatedColumnFormula>520</calculatedColumnFormula>
    </tableColumn>
    <tableColumn id="24" xr3:uid="{D6F41151-A5FF-42F7-A6DB-8DA8D127E215}" name="Potenzial pos. min MW" dataDxfId="744"/>
    <tableColumn id="14" xr3:uid="{11D4BE38-BFEE-4B8E-B990-BC35D478378E}" name="Potenzial pos. max MW"/>
    <tableColumn id="33" xr3:uid="{197723B8-BEB5-4AEC-B54D-5830FB55EC93}" name="Potenzial pos. MW Durchschnitt" dataDxfId="743"/>
    <tableColumn id="25" xr3:uid="{B859DF17-75F3-4138-856D-B8E51A909D56}" name="Potenzial neg. min MW" dataDxfId="742">
      <calculatedColumnFormula>Tabelle589242[[#This Row],[Potenzial pos. min MW]]</calculatedColumnFormula>
    </tableColumn>
    <tableColumn id="15" xr3:uid="{4C6C9CBF-3F42-4C51-88CA-A7C16382001A}" name="Potenzial neg. max MW"/>
    <tableColumn id="34" xr3:uid="{01883461-040F-4D43-A1FC-9B7B31CCDB12}" name="Potenzial neg. MW Durchschnitt" dataDxfId="741"/>
    <tableColumn id="12" xr3:uid="{EEC9B773-55B4-4D56-89BF-50F87DBAB6D5}" name="Schaltdauer pos. (h) Lastverzicht" dataDxfId="740">
      <calculatedColumnFormula>5/60</calculatedColumnFormula>
    </tableColumn>
    <tableColumn id="9" xr3:uid="{9E787519-BE71-49FD-8026-FE41A9AFE627}" name="Schaltdauer pos. (h)" dataDxfId="739"/>
    <tableColumn id="17" xr3:uid="{84A4A1A9-1B5D-48F7-B144-883A5BA065C2}" name="Verschiebedauer (h)"/>
    <tableColumn id="29" xr3:uid="{EFAEFA1E-12F0-43BF-88F3-7A37AF99C999}" name="Verschiebedauer min. (h)" dataDxfId="738"/>
    <tableColumn id="30" xr3:uid="{B22A0D14-D895-4219-AF05-89BB60BD4816}" name="Verschiebedauer max (h)" dataDxfId="737"/>
    <tableColumn id="16" xr3:uid="{805F043F-5A6B-45E8-B84B-BCE86F3088E9}" name="Regenerationsdauer (h)" dataDxfId="736"/>
    <tableColumn id="22" xr3:uid="{1DD7ECEE-554D-4A6C-92A3-9B450E947767}" name="var. Kosten min. Lastverzicht €_2020/MWh" dataDxfId="735">
      <calculatedColumnFormula>230/Umrechnungsfaktoren!B11</calculatedColumnFormula>
    </tableColumn>
    <tableColumn id="19" xr3:uid="{5B4195B5-8523-47A4-8AEA-45361754F5F8}" name="var. Kosten max. Lastverzicht €_2020/MWh" dataDxfId="734">
      <calculatedColumnFormula>600/Umrechnungsfaktoren!B11</calculatedColumnFormula>
    </tableColumn>
    <tableColumn id="38" xr3:uid="{BAFE38C3-288A-4D1B-A83A-E01042857C76}" name="max. Abrufhäufigkeit pro Jahr pos durch"/>
    <tableColumn id="36" xr3:uid="{64451496-3431-4734-B139-FC55B0044C2C}" name="Investitionsausgaben €_2020/kW" dataDxfId="733">
      <calculatedColumnFormula>1000/Umrechnungsfaktoren!B11/Umrechnungsfaktoren!B13</calculatedColumnFormula>
    </tableColumn>
    <tableColumn id="10" xr3:uid="{5B13A99A-410C-4472-BB5C-5F3F4DD0950A}" name="max. Abrufhäufigkeit max. pro Jahr Lastverzicht"/>
    <tableColumn id="7" xr3:uid="{9FEB6196-AA60-4791-9FAE-CE31E9C62456}" name="Zeitverfügbarkeit?" dataDxfId="732"/>
    <tableColumn id="20" xr3:uid="{285EB927-E66C-47FA-98FB-183B9E16B18A}" name="Bemerkungen" dataDxfId="731"/>
    <tableColumn id="13" xr3:uid="{10B95FC2-38B6-4606-A9D8-200A2AB45DBF}" name="Fundstelle Lastverschiebung"/>
    <tableColumn id="11" xr3:uid="{9011BBFF-ECD1-4B20-9B8B-E0B9489CC374}" name="Fundstelle Lasterzicht"/>
    <tableColumn id="6" xr3:uid="{33129601-1A97-4035-B41F-E3BFF6C194D0}" name="Fundstelle installierte Leistung" dataDxfId="730"/>
    <tableColumn id="21" xr3:uid="{29C73016-3DF3-4669-AA70-6301FF556980}" name="Fundstelle Potenzial pos." dataDxfId="729"/>
    <tableColumn id="27" xr3:uid="{C74BE52F-F8E2-403E-B12D-D52BBFD48C47}" name="Fundstelle Potenzial neg." dataDxfId="728"/>
    <tableColumn id="26" xr3:uid="{5ED3AA97-864E-4E3D-AE36-A37FC25D9A56}" name="Fundstelle Schaltdauer" dataDxfId="727"/>
    <tableColumn id="18" xr3:uid="{ADA08282-5F69-4691-9FC6-887DEAEDDF7D}" name="Fundstelle Verschiebedauer" dataDxfId="726"/>
    <tableColumn id="28" xr3:uid="{AACCEEA2-B605-4737-A936-2AF7BEB9EF4B}" name="Fundstelle Regenerationsdauer" dataDxfId="725"/>
    <tableColumn id="39" xr3:uid="{539EC66D-49AD-47BC-BC88-C069EFBE981F}" name="Fundstelle Abrufhäufigkeit" dataDxfId="724"/>
    <tableColumn id="23" xr3:uid="{2BEFA12F-2E6C-49FC-A001-8023CF433481}" name="Fundstelle var. Kosten" dataDxfId="723"/>
    <tableColumn id="37" xr3:uid="{BB7E6236-2AB5-4E61-8158-7E6BAF7C72E2}" name="Fundstelle Investitionsausgaben" dataDxfId="722"/>
    <tableColumn id="8" xr3:uid="{B904380A-305A-410D-AE7C-716A1E1A8F30}" name="Fundstelle Zeitverfügbarkeit"/>
    <tableColumn id="35" xr3:uid="{7115E2B5-6072-4019-8B26-2C975E47C588}" name="eigene Anmerkung" dataDxfId="721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79E9F61-DC8A-415D-9838-C94F81431AB4}" name="Tabelle58971114313637" displayName="Tabelle58971114313637" ref="A1:AK13" totalsRowShown="0" headerRowDxfId="720" dataDxfId="719" tableBorderDxfId="718">
  <autoFilter ref="A1:AK13" xr:uid="{EF824A0A-FCB1-4B4D-8B84-B5CBCDF90F5A}"/>
  <tableColumns count="37">
    <tableColumn id="1" xr3:uid="{73E4E8A4-9121-40AA-9D70-E52CBAD233D3}" name="Prozess" dataDxfId="717"/>
    <tableColumn id="47" xr3:uid="{046FAEBD-C643-4F10-8C72-95335CF764E9}" name="Sektorenzuordnung" dataDxfId="716"/>
    <tableColumn id="73" xr3:uid="{31BE2D6D-EFE0-495C-8E24-69EB45CEBEE2}" name="Verfahren" dataDxfId="715"/>
    <tableColumn id="2" xr3:uid="{E0A212EF-0C37-46A8-AB11-8C68B0C32EEF}" name="Jahr" dataDxfId="714"/>
    <tableColumn id="52" xr3:uid="{4EE926E1-48CF-4635-BF6B-D56704BD661E}" name="Lastverschiebung" dataDxfId="713"/>
    <tableColumn id="53" xr3:uid="{E4F6AA95-A268-4BA7-8169-6C116C77E471}" name="Lastverzicht" dataDxfId="712"/>
    <tableColumn id="71" xr3:uid="{AE9C0C6E-CA88-4509-8527-5DF3FC5666D7}" name="Lasterhöhung" dataDxfId="711"/>
    <tableColumn id="98" xr3:uid="{A4CAE3E6-EB19-4955-B807-0E74BD7C6EB1}" name="spez. StV min in kWh/m^2 * a" dataDxfId="710"/>
    <tableColumn id="97" xr3:uid="{DBACE8B5-5910-4204-9E6C-105BB12E5FBA}" name="spez. StV max in kWh/m^2 * a" dataDxfId="709"/>
    <tableColumn id="86" xr3:uid="{86F5C658-1B1D-44EE-95DC-A77C8F7F03EF}" name="Anzahl Anlangen (Tsd.)" dataDxfId="708"/>
    <tableColumn id="77" xr3:uid="{9000E535-F153-4E71-91E2-748ABCC0DADC}" name="Stromverbrauch in TWh" dataDxfId="707"/>
    <tableColumn id="99" xr3:uid="{6A6FF0E3-B6FA-4272-944D-0005D2D35524}" name="Verschiebepotenzial in TWh"/>
    <tableColumn id="3" xr3:uid="{8B0BA8BB-C5B6-4800-A4F3-560AC5BE98A4}" name="Potenzial pos. min MW" dataDxfId="706"/>
    <tableColumn id="38" xr3:uid="{9499159D-69F8-4C00-A67E-28149A7FBE65}" name="Potenzial pos. MW Durchschnitt" dataDxfId="705"/>
    <tableColumn id="5" xr3:uid="{9C9A3F3D-81E4-43F2-98D6-94E012155B13}" name="Potenzial pos. max MW" dataDxfId="704"/>
    <tableColumn id="50" xr3:uid="{53C6093F-86CA-4202-A30A-CEC89A3AD87F}" name="Potenzial neg. min MW" dataDxfId="703"/>
    <tableColumn id="41" xr3:uid="{053DFA16-260D-4D99-8E85-13BE438E1C39}" name="Potenzial neg. MW Durchschnitt" dataDxfId="702"/>
    <tableColumn id="6" xr3:uid="{F0FFDA6F-DBCA-494A-A728-CCAC809DD5C2}" name="Potenzial neg. max MW" dataDxfId="701">
      <calculatedColumnFormula>10000+16000</calculatedColumnFormula>
    </tableColumn>
    <tableColumn id="44" xr3:uid="{2B8F214A-E0A7-498A-ADCB-F780E1A14AC8}" name="Durchschnittliche Leistung MW" dataDxfId="700" dataCellStyle="Prozent"/>
    <tableColumn id="9" xr3:uid="{C530A2E5-D828-48A0-A36E-B5526930CA7D}" name="Maximalleistung MW" dataDxfId="699"/>
    <tableColumn id="10" xr3:uid="{FB2BC636-E13C-4BC7-86BF-AF59CD7F24BB}" name="installierte Leistung MW" dataDxfId="698"/>
    <tableColumn id="61" xr3:uid="{4C143164-C629-44E7-AD04-C31AB1771E11}" name="Schaltdauer pos. min (h)" dataDxfId="697"/>
    <tableColumn id="60" xr3:uid="{44ABF66B-143A-4729-ADBC-56E79660204E}" name="Schaltdauer pos. max (h)" dataDxfId="696"/>
    <tableColumn id="12" xr3:uid="{678271B2-1318-4AA5-AC81-3E4379BB2DA6}" name="Schaltdauer pos. (h)" dataDxfId="695"/>
    <tableColumn id="63" xr3:uid="{AA6D0971-593D-44AE-92B7-834C873D3165}" name="Schaltdauer neg min (h)" dataDxfId="694">
      <calculatedColumnFormula>10/60</calculatedColumnFormula>
    </tableColumn>
    <tableColumn id="62" xr3:uid="{5B6B0358-706E-43F3-8BAA-828D5DE21578}" name="Schaltdauer neg. max (h)" dataDxfId="693"/>
    <tableColumn id="51" xr3:uid="{C3079BE9-0695-4361-92AA-52DC4DC2FD8D}" name="Schaltdauer neg. (h)" dataDxfId="692"/>
    <tableColumn id="42" xr3:uid="{492CA3BF-F47C-4C83-AD50-8E36348BA327}" name="Verschiebedauer min. (h)" dataDxfId="691"/>
    <tableColumn id="54" xr3:uid="{EA328A29-EDC1-41A0-B9DD-226FD2D8E7C6}" name="Fundstelle Lastverzicht" dataDxfId="690"/>
    <tableColumn id="91" xr3:uid="{D835AF24-EE46-451F-A286-D5456F048C57}" name="Fundstelle Anzahl Anlagen" dataDxfId="689"/>
    <tableColumn id="79" xr3:uid="{AF42CC6F-AB9E-4AD0-BFFD-AF0F2E006091}" name="Fundstelle Stromverbrauch" dataDxfId="688"/>
    <tableColumn id="100" xr3:uid="{6372E1FF-B4C5-4F5D-82E8-787EAC91DE30}" name="Fundstelle verschiebbare Energiemenge" dataDxfId="687"/>
    <tableColumn id="21" xr3:uid="{A710D17C-8707-42E0-9EA3-E3CA964C4A0F}" name="Fundstelle Potenzial pos." dataDxfId="686"/>
    <tableColumn id="22" xr3:uid="{9149776E-A7ED-448F-9784-98CB61735F29}" name="Fundstelle Potenzial neg." dataDxfId="685"/>
    <tableColumn id="24" xr3:uid="{B5B68248-AD63-486F-981F-BA2B196C083A}" name="Fundstelle Maximalleistung" dataDxfId="684"/>
    <tableColumn id="25" xr3:uid="{E55243C9-23D1-4019-AA9D-25E209456733}" name="Fundstelle installierte Leistung" dataDxfId="683"/>
    <tableColumn id="26" xr3:uid="{7060A2C8-5AAC-4487-BBDF-8C17ED1D6C98}" name="Fundstelle Schaltdauer" dataDxfId="682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elle58971121" displayName="Tabelle58971121" ref="A1:HO249" totalsRowShown="0" headerRowDxfId="681" dataDxfId="680" tableBorderDxfId="679">
  <autoFilter ref="A1:HO249" xr:uid="{00000000-0009-0000-0100-000014000000}"/>
  <sortState ref="A2:HO249">
    <sortCondition ref="E1:E249"/>
  </sortState>
  <tableColumns count="223">
    <tableColumn id="1" xr3:uid="{00000000-0010-0000-1200-000001000000}" name="Prozess" dataDxfId="678"/>
    <tableColumn id="139" xr3:uid="{00000000-0010-0000-1200-00008B000000}" name="Ursprüngliche Prozessbezeichnung" dataDxfId="677"/>
    <tableColumn id="12" xr3:uid="{00000000-0010-0000-1200-00000C000000}" name="Branche" dataDxfId="676"/>
    <tableColumn id="67" xr3:uid="{00000000-0010-0000-1200-000043000000}" name="Kürzel" dataDxfId="675"/>
    <tableColumn id="47" xr3:uid="{00000000-0010-0000-1200-00002F000000}" name="Sektorenzuordnung" dataDxfId="674"/>
    <tableColumn id="10" xr3:uid="{00000000-0010-0000-1200-00000A000000}" name="temporäre Sortierung" dataDxfId="673"/>
    <tableColumn id="2" xr3:uid="{00000000-0010-0000-1200-000002000000}" name="Jahr" dataDxfId="672"/>
    <tableColumn id="52" xr3:uid="{00000000-0010-0000-1200-000034000000}" name="Lastverschiebung" dataDxfId="671"/>
    <tableColumn id="53" xr3:uid="{00000000-0010-0000-1200-000035000000}" name="Lastverzicht" dataDxfId="670"/>
    <tableColumn id="137" xr3:uid="{00000000-0010-0000-1200-000089000000}" name="Lasterhöhung" dataDxfId="669"/>
    <tableColumn id="3" xr3:uid="{00000000-0010-0000-1200-000003000000}" name="Potenzial pos. MW Durchschnitt min" dataDxfId="668"/>
    <tableColumn id="38" xr3:uid="{00000000-0010-0000-1200-000026000000}" name="Potenzial pos. MW Durchschnitt" dataDxfId="667"/>
    <tableColumn id="5" xr3:uid="{00000000-0010-0000-1200-000005000000}" name="Potenzial pos. MW Durchschnitt max" dataDxfId="666"/>
    <tableColumn id="79" xr3:uid="{96ACD8D3-C56E-4BE0-A899-B547FDFD0BD2}" name="Potenzial pos. MW Durchschnitt min Lastverzicht" dataDxfId="665"/>
    <tableColumn id="76" xr3:uid="{F9A08C69-7BFD-4192-AEEE-6746DB526D95}" name="Potenzial pos. MW Durchschnitt Lastverzicht" dataDxfId="664"/>
    <tableColumn id="69" xr3:uid="{8BE92F16-0A38-4386-9871-0F6106C3CEF9}" name="Potenzial pos. MW Durchschnitt max Lastverzicht" dataDxfId="663"/>
    <tableColumn id="193" xr3:uid="{00000000-0010-0000-1200-0000C1000000}" name="Potenzial pos. MW Sommer WTT" dataDxfId="662"/>
    <tableColumn id="192" xr3:uid="{00000000-0010-0000-1200-0000C0000000}" name="Potenzial pos. MW min Sommer WTT" dataDxfId="661"/>
    <tableColumn id="191" xr3:uid="{00000000-0010-0000-1200-0000BF000000}" name="Potenzial pos. MW max Sommer WTT" dataDxfId="660"/>
    <tableColumn id="220" xr3:uid="{6E159611-20E1-499C-9AA8-00079C5F15C3}" name="Potenzial pos. MW Sommer WTT Lastverzicht" dataDxfId="659"/>
    <tableColumn id="219" xr3:uid="{EA90C893-FFD4-4ADC-BDD3-A2A6A983824D}" name="Potenzial pos. MW min Sommer WTT Lastverzicht" dataDxfId="658"/>
    <tableColumn id="218" xr3:uid="{380ADB4E-7E5D-44E0-A90E-6F37B97C3501}" name="Potenzial pos. MW max Sommer WTT Lastverzicht" dataDxfId="657"/>
    <tableColumn id="190" xr3:uid="{00000000-0010-0000-1200-0000BE000000}" name="Potenzial neg. MW Sommer WTT" dataDxfId="656"/>
    <tableColumn id="189" xr3:uid="{00000000-0010-0000-1200-0000BD000000}" name="Potenzial neg. MW min Sommer WTT" dataDxfId="655"/>
    <tableColumn id="188" xr3:uid="{00000000-0010-0000-1200-0000BC000000}" name="Potenzial neg. MW max Sommer WTT" dataDxfId="654"/>
    <tableColumn id="187" xr3:uid="{00000000-0010-0000-1200-0000BB000000}" name="Potenzial pos. MW Sommer SaT" dataDxfId="653"/>
    <tableColumn id="186" xr3:uid="{00000000-0010-0000-1200-0000BA000000}" name="Potenzial pos. MW min Sommer SaT" dataDxfId="652"/>
    <tableColumn id="185" xr3:uid="{00000000-0010-0000-1200-0000B9000000}" name="Potenzial pos. MW max Sommer SaT" dataDxfId="651"/>
    <tableColumn id="217" xr3:uid="{DC97E75F-B044-418A-B465-26F105BC9836}" name="Potenzial pos. MW Sommer SaT Lastverzicht" dataDxfId="650"/>
    <tableColumn id="216" xr3:uid="{4C36BD90-57EB-479E-AE87-7A857D88A3BF}" name="Potenzial pos. MW min Sommer SaT Lastverzicht" dataDxfId="649"/>
    <tableColumn id="215" xr3:uid="{AAA0D9DF-74A6-48DA-800A-D12274024200}" name="Potenzial pos. MW max Sommer SaT Lastverzicht" dataDxfId="648"/>
    <tableColumn id="184" xr3:uid="{00000000-0010-0000-1200-0000B8000000}" name="Potenzial neg. MW Sommer SaT" dataDxfId="647"/>
    <tableColumn id="183" xr3:uid="{00000000-0010-0000-1200-0000B7000000}" name="Potenzial neg. MW min Sommer SaT" dataDxfId="646"/>
    <tableColumn id="182" xr3:uid="{00000000-0010-0000-1200-0000B6000000}" name="Potenzial neg. MW max Sommer SaT" dataDxfId="645"/>
    <tableColumn id="181" xr3:uid="{00000000-0010-0000-1200-0000B5000000}" name="Potenzial pos. MW Sommer SFN" dataDxfId="644"/>
    <tableColumn id="180" xr3:uid="{00000000-0010-0000-1200-0000B4000000}" name="Potenzial pos. MW min Sommer SFN" dataDxfId="643"/>
    <tableColumn id="179" xr3:uid="{00000000-0010-0000-1200-0000B3000000}" name="Potenzial pos. MW max Sommer SFN" dataDxfId="642"/>
    <tableColumn id="178" xr3:uid="{00000000-0010-0000-1200-0000B2000000}" name="Potenzial neg. MW Sommer SFN" dataDxfId="641"/>
    <tableColumn id="177" xr3:uid="{00000000-0010-0000-1200-0000B1000000}" name="Potenzial neg. MW min Sommer SFN" dataDxfId="640"/>
    <tableColumn id="176" xr3:uid="{00000000-0010-0000-1200-0000B0000000}" name="Potenzial neg. MW max Sommer SFN" dataDxfId="639"/>
    <tableColumn id="175" xr3:uid="{00000000-0010-0000-1200-0000AF000000}" name="Potenzial pos. MW Übergangszeit WTT" dataDxfId="638"/>
    <tableColumn id="174" xr3:uid="{00000000-0010-0000-1200-0000AE000000}" name="Potenzial pos. MW min Übergangszeit WTT" dataDxfId="637"/>
    <tableColumn id="173" xr3:uid="{00000000-0010-0000-1200-0000AD000000}" name="Potenzial pos. MW max Übergangszeit WTT" dataDxfId="636"/>
    <tableColumn id="214" xr3:uid="{EE82445C-DD13-466A-B0FE-C133B47AF9D1}" name="Potenzial pos. MW Übergangszeit WTT Lastverzicht" dataDxfId="635"/>
    <tableColumn id="213" xr3:uid="{160085CA-F6DC-4092-B474-FFBBB87975AB}" name="Potenzial pos. MW min Übergangszeit WTT Lastverzicht" dataDxfId="634"/>
    <tableColumn id="212" xr3:uid="{71CF3E03-EFE3-488F-BBBF-0647076C0F98}" name="Potenzial pos. MW max Übergangszeit WTT Lastverzicht" dataDxfId="633"/>
    <tableColumn id="172" xr3:uid="{00000000-0010-0000-1200-0000AC000000}" name="Potenzial neg. MW Übergangszeit WTT" dataDxfId="632"/>
    <tableColumn id="171" xr3:uid="{00000000-0010-0000-1200-0000AB000000}" name="Potenzial neg. MW min Übergangszeit WTT" dataDxfId="631"/>
    <tableColumn id="170" xr3:uid="{00000000-0010-0000-1200-0000AA000000}" name="Potenzial neg. MW max Übergangszeit WTT" dataDxfId="630"/>
    <tableColumn id="169" xr3:uid="{00000000-0010-0000-1200-0000A9000000}" name="Potenzial pos. MW Übergangszeit SaT" dataDxfId="629"/>
    <tableColumn id="168" xr3:uid="{00000000-0010-0000-1200-0000A8000000}" name="Potenzial pos. MW min Übergangszeit SaT" dataDxfId="628"/>
    <tableColumn id="167" xr3:uid="{00000000-0010-0000-1200-0000A7000000}" name="Potenzial pos. MW max Übergangszeit SaT" dataDxfId="627"/>
    <tableColumn id="211" xr3:uid="{19955774-DB26-4217-81AF-7B47BB2B0D9D}" name="Potenzial pos. MW Übergangszeit SaT Lastverzicht" dataDxfId="626"/>
    <tableColumn id="210" xr3:uid="{AC831447-9F62-4797-B27A-8509261CB625}" name="Potenzial pos. MW min Übergangszeit SaT Lastverzicht" dataDxfId="625"/>
    <tableColumn id="209" xr3:uid="{39F674E7-5D2C-4B29-8233-41C90C9E87C9}" name="Potenzial pos. MW max Übergangszeit SaT Lastverzicht" dataDxfId="624"/>
    <tableColumn id="166" xr3:uid="{00000000-0010-0000-1200-0000A6000000}" name="Potenzial neg. MW Übergangszeit SaT" dataDxfId="623"/>
    <tableColumn id="165" xr3:uid="{00000000-0010-0000-1200-0000A5000000}" name="Potenzial neg. MW min Übergangszeit SaT" dataDxfId="622"/>
    <tableColumn id="164" xr3:uid="{00000000-0010-0000-1200-0000A4000000}" name="Potenzial neg. MW max Übergangszeit SaT" dataDxfId="621"/>
    <tableColumn id="163" xr3:uid="{00000000-0010-0000-1200-0000A3000000}" name="Potenzial pos. MW Übergangszeit SFN" dataDxfId="620"/>
    <tableColumn id="162" xr3:uid="{00000000-0010-0000-1200-0000A2000000}" name="Potenzial pos. MW min Übergangszeit SFN" dataDxfId="619"/>
    <tableColumn id="161" xr3:uid="{00000000-0010-0000-1200-0000A1000000}" name="Potenzial pos. MW max Übergangszeit SFN" dataDxfId="618"/>
    <tableColumn id="208" xr3:uid="{FE8DCBEE-C5C1-4508-8CE0-80B99D73046D}" name="Potenzial pos. MW Übergangszeit SFN Lastverzicht" dataDxfId="617"/>
    <tableColumn id="207" xr3:uid="{77D577D3-8EC9-4141-B65E-5A36FDA79998}" name="Potenzial pos. MW min Übergangszeit SFN Lastverzicht" dataDxfId="616"/>
    <tableColumn id="206" xr3:uid="{DD41F955-B4B6-404A-9A50-28B98C1B35ED}" name="Potenzial pos. MW max Übergangszeit SFN Lastverzicht" dataDxfId="615"/>
    <tableColumn id="160" xr3:uid="{00000000-0010-0000-1200-0000A0000000}" name="Potenzial neg. MW Übergangszeit SFN" dataDxfId="614"/>
    <tableColumn id="159" xr3:uid="{00000000-0010-0000-1200-00009F000000}" name="Potenzial neg. MW min Übergangszeit SFN" dataDxfId="613"/>
    <tableColumn id="158" xr3:uid="{00000000-0010-0000-1200-00009E000000}" name="Potenzial neg. MW max Übergangszeit SFN" dataDxfId="612"/>
    <tableColumn id="157" xr3:uid="{00000000-0010-0000-1200-00009D000000}" name="Potenzial pos. MW Winter WTT" dataDxfId="611"/>
    <tableColumn id="156" xr3:uid="{00000000-0010-0000-1200-00009C000000}" name="Potenzial pos. MW min Winter WTT" dataDxfId="610"/>
    <tableColumn id="155" xr3:uid="{00000000-0010-0000-1200-00009B000000}" name="Potenzial pos. MW max Winter WTT" dataDxfId="609"/>
    <tableColumn id="205" xr3:uid="{7E76ABC4-3904-4D4A-AE96-9A6546D7CA14}" name="Potenzial pos. MW Winter WTT Lastverzicht" dataDxfId="608"/>
    <tableColumn id="204" xr3:uid="{D1907E86-3B52-444C-A383-DB60E4B83299}" name="Potenzial pos. MW min Winter WTT Lastverzicht" dataDxfId="607"/>
    <tableColumn id="203" xr3:uid="{BEAC8CD6-B033-4683-9B03-81F61344BE49}" name="Potenzial pos. MW max Winter WTT Lastverzicht" dataDxfId="606"/>
    <tableColumn id="154" xr3:uid="{00000000-0010-0000-1200-00009A000000}" name="Potenzial neg. MW Winter WTT" dataDxfId="605"/>
    <tableColumn id="153" xr3:uid="{00000000-0010-0000-1200-000099000000}" name="Potenzial neg. MW min Winter WTT" dataDxfId="604"/>
    <tableColumn id="152" xr3:uid="{00000000-0010-0000-1200-000098000000}" name="Potenzial neg. MW max Winter WTT" dataDxfId="603"/>
    <tableColumn id="151" xr3:uid="{00000000-0010-0000-1200-000097000000}" name="Potenzial pos. MW Winter SaT" dataDxfId="602"/>
    <tableColumn id="150" xr3:uid="{00000000-0010-0000-1200-000096000000}" name="Potenzial pos. MW min Winter SaT" dataDxfId="601"/>
    <tableColumn id="149" xr3:uid="{00000000-0010-0000-1200-000095000000}" name="Potenzial pos. MW max Winter SaT" dataDxfId="600"/>
    <tableColumn id="202" xr3:uid="{B0B3D8E1-D836-4942-841D-EE5EECFAFDDE}" name="Potenzial pos. MW Winter SaT Lastverzicht" dataDxfId="599"/>
    <tableColumn id="201" xr3:uid="{5A2F33F9-F1AA-47D6-83B6-6D322CCD250F}" name="Potenzial pos. MW min Winter SaT Lastverzicht" dataDxfId="598"/>
    <tableColumn id="200" xr3:uid="{F964704A-6F9D-4460-ABDE-6348110D8E03}" name="Potenzial pos. MW max Winter SaT Lastverzicht" dataDxfId="597"/>
    <tableColumn id="148" xr3:uid="{00000000-0010-0000-1200-000094000000}" name="Potenzial neg. MW Winter SaT" dataDxfId="596"/>
    <tableColumn id="147" xr3:uid="{00000000-0010-0000-1200-000093000000}" name="Potenzial neg. MW min Winter SaT" dataDxfId="595"/>
    <tableColumn id="146" xr3:uid="{00000000-0010-0000-1200-000092000000}" name="Potenzial neg. MW max Winter SaT" dataDxfId="594"/>
    <tableColumn id="145" xr3:uid="{00000000-0010-0000-1200-000091000000}" name="Potenzial pos. MW Winter SFN" dataDxfId="593"/>
    <tableColumn id="144" xr3:uid="{00000000-0010-0000-1200-000090000000}" name="Potenzial pos. MW min Winter SFN" dataDxfId="592"/>
    <tableColumn id="143" xr3:uid="{00000000-0010-0000-1200-00008F000000}" name="Potenzial pos. MW max Winter SFN" dataDxfId="591"/>
    <tableColumn id="199" xr3:uid="{0D6AB32F-127F-4144-83D0-AA5B3D7DE432}" name="Potenzial pos. MW Winter SFN Lastzverzicht" dataDxfId="590"/>
    <tableColumn id="198" xr3:uid="{45BBF18A-9412-46E2-B23C-2B0F4E462411}" name="Potenzial pos. MW min Winter SFN Lastzverzicht" dataDxfId="589"/>
    <tableColumn id="197" xr3:uid="{2BC5145B-B3AF-457B-8897-C613087F0C7C}" name="Potenzial pos. MW max Winter SFN Lastzverzicht" dataDxfId="588"/>
    <tableColumn id="142" xr3:uid="{00000000-0010-0000-1200-00008E000000}" name="Potenzial neg. MW Winter SFN" dataDxfId="587"/>
    <tableColumn id="141" xr3:uid="{00000000-0010-0000-1200-00008D000000}" name="Potenzial neg. MW min Winter SFN" dataDxfId="586"/>
    <tableColumn id="140" xr3:uid="{00000000-0010-0000-1200-00008C000000}" name="Potenzial neg. MW max Winter SFN" dataDxfId="585"/>
    <tableColumn id="37" xr3:uid="{00000000-0010-0000-1200-000025000000}" name="ausgewiesenes Pot. pos. MW (falls abweichend)" dataDxfId="584"/>
    <tableColumn id="50" xr3:uid="{00000000-0010-0000-1200-000032000000}" name="Potenzial neg. MW Durchschnitt min" dataDxfId="583"/>
    <tableColumn id="41" xr3:uid="{00000000-0010-0000-1200-000029000000}" name="Potenzial neg. MW Durchschnitt" dataDxfId="582"/>
    <tableColumn id="6" xr3:uid="{00000000-0010-0000-1200-000006000000}" name="Potenzial neg. MW Durchschnitt max" dataDxfId="581"/>
    <tableColumn id="195" xr3:uid="{C3613415-B0F6-4BB3-B20A-C980548137E7}" name="Mindestleistung MW durch" dataDxfId="580">
      <calculatedColumnFormula>Tabelle58971121[[#This Row],[Mindestauslastung durch]]*Tabelle58971121[[#This Row],[installierte Leistung MW durch]]</calculatedColumnFormula>
    </tableColumn>
    <tableColumn id="77" xr3:uid="{00000000-0010-0000-1200-00004D000000}" name="Mindestleistung MW min" dataDxfId="579">
      <calculatedColumnFormula>Tabelle58971121[[#This Row],[Mindestauslastung min]]*Tabelle58971121[[#This Row],[installierte Leistung MW min]]</calculatedColumnFormula>
    </tableColumn>
    <tableColumn id="7" xr3:uid="{00000000-0010-0000-1200-000007000000}" name="Mindestleistung MW max" dataDxfId="578">
      <calculatedColumnFormula>Tabelle58971121[[#This Row],[Mindestauslastung max]]*Tabelle58971121[[#This Row],[installierte Leistung MW max]]</calculatedColumnFormula>
    </tableColumn>
    <tableColumn id="194" xr3:uid="{48685272-5A77-4CB0-B45C-17FCAC678772}" name="Mindestauslastung durch" dataDxfId="577" dataCellStyle="Prozent"/>
    <tableColumn id="8" xr3:uid="{00000000-0010-0000-1200-000008000000}" name="Mindestauslastung min" dataDxfId="576" dataCellStyle="Prozent"/>
    <tableColumn id="68" xr3:uid="{00000000-0010-0000-1200-000044000000}" name="Mindestauslastung max" dataDxfId="575" dataCellStyle="Prozent"/>
    <tableColumn id="36" xr3:uid="{00000000-0010-0000-1200-000024000000}" name="flexibilisierbarer Anteil" dataDxfId="574" dataCellStyle="Prozent"/>
    <tableColumn id="116" xr3:uid="{00000000-0010-0000-1200-000074000000}" name="Durchschnittsauslastung durch Sommer WTT" dataDxfId="573" dataCellStyle="Prozent"/>
    <tableColumn id="117" xr3:uid="{00000000-0010-0000-1200-000075000000}" name="Durchschnittsauslastung min Sommer WTT" dataDxfId="572" dataCellStyle="Prozent"/>
    <tableColumn id="118" xr3:uid="{00000000-0010-0000-1200-000076000000}" name="Durchschnittsauslastung max Sommer WTT" dataDxfId="571" dataCellStyle="Prozent"/>
    <tableColumn id="113" xr3:uid="{00000000-0010-0000-1200-000071000000}" name="Durchschnittsauslastung durch Sommer SaT" dataDxfId="570" dataCellStyle="Prozent"/>
    <tableColumn id="114" xr3:uid="{00000000-0010-0000-1200-000072000000}" name="Durchschnittsauslastung min Sommer SaT" dataDxfId="569" dataCellStyle="Prozent"/>
    <tableColumn id="115" xr3:uid="{00000000-0010-0000-1200-000073000000}" name="Durchschnittsauslastung max Sommer SaT" dataDxfId="568" dataCellStyle="Prozent"/>
    <tableColumn id="51" xr3:uid="{00000000-0010-0000-1200-000033000000}" name="Durchschnittsauslastung durch Sommer SFN" dataDxfId="567" dataCellStyle="Prozent"/>
    <tableColumn id="65" xr3:uid="{00000000-0010-0000-1200-000041000000}" name="Durchschnittsauslastung min Sommer SFN" dataDxfId="566" dataCellStyle="Prozent"/>
    <tableColumn id="74" xr3:uid="{00000000-0010-0000-1200-00004A000000}" name="Durchschnittsauslastung max Sommer SFN" dataDxfId="565" dataCellStyle="Prozent"/>
    <tableColumn id="136" xr3:uid="{00000000-0010-0000-1200-000088000000}" name="Durchschnittsauslastung durch Übergangszeit WTT" dataDxfId="564" dataCellStyle="Prozent"/>
    <tableColumn id="135" xr3:uid="{00000000-0010-0000-1200-000087000000}" name="Durchschnittsauslastung min Übergangszeit WTT" dataDxfId="563" dataCellStyle="Prozent"/>
    <tableColumn id="134" xr3:uid="{00000000-0010-0000-1200-000086000000}" name="Durchschnittsauslastung max Übergangszeit WTT" dataDxfId="562" dataCellStyle="Prozent"/>
    <tableColumn id="133" xr3:uid="{00000000-0010-0000-1200-000085000000}" name="Durchschnittsauslastung durch Übergangszeit SaT" dataDxfId="561" dataCellStyle="Prozent"/>
    <tableColumn id="132" xr3:uid="{00000000-0010-0000-1200-000084000000}" name="Durchschnittsauslastung min Übergangszeit SaT" dataDxfId="560" dataCellStyle="Prozent"/>
    <tableColumn id="131" xr3:uid="{00000000-0010-0000-1200-000083000000}" name="Durchschnittsauslastung max Übergangszeit SaT" dataDxfId="559" dataCellStyle="Prozent"/>
    <tableColumn id="130" xr3:uid="{00000000-0010-0000-1200-000082000000}" name="Durchschnittsauslastung durch Übergangszeit SFN" dataDxfId="558" dataCellStyle="Prozent"/>
    <tableColumn id="129" xr3:uid="{00000000-0010-0000-1200-000081000000}" name="Durchschnittsauslastung min Übergangszeit SFN" dataDxfId="557" dataCellStyle="Prozent"/>
    <tableColumn id="128" xr3:uid="{00000000-0010-0000-1200-000080000000}" name="Durchschnittsauslastung max Übergangszeit SFN" dataDxfId="556" dataCellStyle="Prozent"/>
    <tableColumn id="127" xr3:uid="{00000000-0010-0000-1200-00007F000000}" name="Durchschnittsauslastung durch Winter WTT" dataDxfId="555" dataCellStyle="Prozent"/>
    <tableColumn id="126" xr3:uid="{00000000-0010-0000-1200-00007E000000}" name="Durchschnittsauslastung min Winter WTT" dataDxfId="554" dataCellStyle="Prozent"/>
    <tableColumn id="125" xr3:uid="{00000000-0010-0000-1200-00007D000000}" name="Durchschnittsauslastung max Winter WTT" dataDxfId="553" dataCellStyle="Prozent"/>
    <tableColumn id="124" xr3:uid="{00000000-0010-0000-1200-00007C000000}" name="Durchschnittsauslastung durch Winter SaT" dataDxfId="552" dataCellStyle="Prozent"/>
    <tableColumn id="123" xr3:uid="{00000000-0010-0000-1200-00007B000000}" name="Durchschnittsauslastung min Winter SaT" dataDxfId="551" dataCellStyle="Prozent"/>
    <tableColumn id="122" xr3:uid="{00000000-0010-0000-1200-00007A000000}" name="Durchschnittsauslastung max Winter SaT" dataDxfId="550" dataCellStyle="Prozent"/>
    <tableColumn id="121" xr3:uid="{00000000-0010-0000-1200-000079000000}" name="Durchschnittsauslastung durch Winter SFN" dataDxfId="549" dataCellStyle="Prozent"/>
    <tableColumn id="120" xr3:uid="{00000000-0010-0000-1200-000078000000}" name="Durchschnittsauslastung min Winter SFN" dataDxfId="548" dataCellStyle="Prozent"/>
    <tableColumn id="119" xr3:uid="{00000000-0010-0000-1200-000077000000}" name="Durchschnittsauslastung max Winter SFN" dataDxfId="547" dataCellStyle="Prozent"/>
    <tableColumn id="78" xr3:uid="{00000000-0010-0000-1200-00004E000000}" name="Durchschnittsauslastung min" dataDxfId="546" dataCellStyle="Prozent"/>
    <tableColumn id="70" xr3:uid="{00000000-0010-0000-1200-000046000000}" name="Durchschnittsauslastung durch" dataDxfId="545" dataCellStyle="Prozent"/>
    <tableColumn id="71" xr3:uid="{00000000-0010-0000-1200-000047000000}" name="Durchschnittsauslastung max" dataDxfId="544" dataCellStyle="Prozent"/>
    <tableColumn id="80" xr3:uid="{00000000-0010-0000-1200-000050000000}" name="Durchschnittliche Leistung MW min" dataDxfId="543" dataCellStyle="Prozent">
      <calculatedColumnFormula>Tabelle58971121[[#This Row],[Durchschnittsauslastung min]]*Tabelle58971121[[#This Row],[installierte Leistung MW min]]</calculatedColumnFormula>
    </tableColumn>
    <tableColumn id="81" xr3:uid="{00000000-0010-0000-1200-000051000000}" name="Durchschnittliche Leistung MW durch" dataDxfId="542" dataCellStyle="Prozent">
      <calculatedColumnFormula>Tabelle58971121[[#This Row],[Durchschnittsauslastung durch]]*Tabelle58971121[[#This Row],[installierte Leistung MW durch]]</calculatedColumnFormula>
    </tableColumn>
    <tableColumn id="44" xr3:uid="{00000000-0010-0000-1200-00002C000000}" name="Durchschnittliche Leistung MW max" dataDxfId="541" dataCellStyle="Prozent">
      <calculatedColumnFormula>Tabelle58971121[[#This Row],[Durchschnittsauslastung max]]*Tabelle58971121[[#This Row],[installierte Leistung MW max]]</calculatedColumnFormula>
    </tableColumn>
    <tableColumn id="83" xr3:uid="{00000000-0010-0000-1200-000053000000}" name="Maximalleistung MW min" dataDxfId="540" dataCellStyle="Prozent">
      <calculatedColumnFormula>#REF!*Tabelle58971121[[#This Row],[installierte Leistung MW min]]</calculatedColumnFormula>
    </tableColumn>
    <tableColumn id="82" xr3:uid="{00000000-0010-0000-1200-000052000000}" name="Maximalleistung MW durch" dataDxfId="539" dataCellStyle="Prozent">
      <calculatedColumnFormula>Tabelle58971121[[#This Row],[Maximalauslastung durch]]*Tabelle58971121[[#This Row],[installierte Leistung MW durch]]</calculatedColumnFormula>
    </tableColumn>
    <tableColumn id="9" xr3:uid="{00000000-0010-0000-1200-000009000000}" name="Maximalleistung MW max" dataDxfId="538">
      <calculatedColumnFormula>Tabelle58971121[[#This Row],[Maximalauslastung max]]*Tabelle58971121[[#This Row],[installierte Leistung MW durch]]</calculatedColumnFormula>
    </tableColumn>
    <tableColumn id="75" xr3:uid="{00000000-0010-0000-1200-00004B000000}" name="Maximalauslastung durch" dataDxfId="537"/>
    <tableColumn id="196" xr3:uid="{3D8C49AD-BA64-4B61-AD02-C4220A8D0DE3}" name="Maximalauslastung min" dataDxfId="536" dataCellStyle="Prozent"/>
    <tableColumn id="46" xr3:uid="{00000000-0010-0000-1200-00002E000000}" name="Maximalauslastung max" dataDxfId="535" dataCellStyle="Prozent"/>
    <tableColumn id="17" xr3:uid="{00000000-0010-0000-1200-000011000000}" name="installierte Leistung MW durch" dataDxfId="534" dataCellStyle="Prozent"/>
    <tableColumn id="72" xr3:uid="{00000000-0010-0000-1200-000048000000}" name="installierte Leistung MW min" dataDxfId="533" dataCellStyle="Prozent"/>
    <tableColumn id="73" xr3:uid="{00000000-0010-0000-1200-000049000000}" name="installierte Leistung MW max" dataDxfId="532"/>
    <tableColumn id="85" xr3:uid="{00000000-0010-0000-1200-000055000000}" name="Aktivierungsdauer (h) pos durch" dataDxfId="531"/>
    <tableColumn id="84" xr3:uid="{00000000-0010-0000-1200-000054000000}" name="Aktivierungsdauer (h) pos min" dataDxfId="530"/>
    <tableColumn id="11" xr3:uid="{00000000-0010-0000-1200-00000B000000}" name="Aktivierungsdauer (h) pos max" dataDxfId="529"/>
    <tableColumn id="89" xr3:uid="{00000000-0010-0000-1200-000059000000}" name="Aktivierungsdauer (h) neg durch" dataDxfId="528"/>
    <tableColumn id="88" xr3:uid="{00000000-0010-0000-1200-000058000000}" name="Aktivierungsdauer (h) neg min" dataDxfId="527"/>
    <tableColumn id="87" xr3:uid="{00000000-0010-0000-1200-000057000000}" name="Aktivierungsdauer (h) neg max" dataDxfId="526"/>
    <tableColumn id="86" xr3:uid="{00000000-0010-0000-1200-000056000000}" name="Schaltdauer pos. (h)" dataDxfId="525"/>
    <tableColumn id="61" xr3:uid="{00000000-0010-0000-1200-00003D000000}" name="Schaltdauer pos. min (h)" dataDxfId="524"/>
    <tableColumn id="60" xr3:uid="{00000000-0010-0000-1200-00003C000000}" name="Schaltdauer pos. max (h)" dataDxfId="523"/>
    <tableColumn id="223" xr3:uid="{11693F19-F266-4578-83D3-E6DC795DA1E7}" name="Schaltdauer pos. (h) Lastverzicht" dataDxfId="522"/>
    <tableColumn id="222" xr3:uid="{3CE157AB-01EA-4F5B-913D-D5D326F07AEC}" name="Schaltdauer pos. min (h) Lastverzicht" dataDxfId="521"/>
    <tableColumn id="221" xr3:uid="{95FB7958-DB36-47E1-990A-BADA3585EEAF}" name="Schaltdauer pos. max (h) Lastverzicht" dataDxfId="520"/>
    <tableColumn id="90" xr3:uid="{00000000-0010-0000-1200-00005A000000}" name="Schaltdauer neg. (h)" dataDxfId="519"/>
    <tableColumn id="63" xr3:uid="{00000000-0010-0000-1200-00003F000000}" name="Schaltdauer neg min (h)" dataDxfId="518"/>
    <tableColumn id="62" xr3:uid="{00000000-0010-0000-1200-00003E000000}" name="Schaltdauer neg. max (h)" dataDxfId="517"/>
    <tableColumn id="91" xr3:uid="{00000000-0010-0000-1200-00005B000000}" name="Verschiebedauer (h)" dataDxfId="516"/>
    <tableColumn id="42" xr3:uid="{00000000-0010-0000-1200-00002A000000}" name="Verschiebedauer min. (h)" dataDxfId="515"/>
    <tableColumn id="4" xr3:uid="{00000000-0010-0000-1200-000004000000}" name="Verschiebedauer max (h)" dataDxfId="514"/>
    <tableColumn id="13" xr3:uid="{00000000-0010-0000-1200-00000D000000}" name="Verschiebedauer bei sofortiger Kompensation (h)" dataDxfId="513"/>
    <tableColumn id="93" xr3:uid="{00000000-0010-0000-1200-00005D000000}" name="Verschiebedauer bei sofortiger Kompensation (h) min" dataDxfId="512"/>
    <tableColumn id="92" xr3:uid="{00000000-0010-0000-1200-00005C000000}" name="Verschiebedauer bei sofortiger Kompensation (h) max" dataDxfId="511"/>
    <tableColumn id="14" xr3:uid="{00000000-0010-0000-1200-00000E000000}" name="Regenerationsdauer (h)" dataDxfId="510"/>
    <tableColumn id="15" xr3:uid="{00000000-0010-0000-1200-00000F000000}" name="Zeitverfügbarkeit?" dataDxfId="509"/>
    <tableColumn id="16" xr3:uid="{00000000-0010-0000-1200-000010000000}" name="max. Abrufhäufigkeit pro Woche" dataDxfId="508"/>
    <tableColumn id="40" xr3:uid="{00000000-0010-0000-1200-000028000000}" name="max. Abrufhäufigkeit pro Jahr pos durch" dataDxfId="507"/>
    <tableColumn id="95" xr3:uid="{00000000-0010-0000-1200-00005F000000}" name="max. Abrufhäufigkeit pro Jahr pos min" dataDxfId="506"/>
    <tableColumn id="94" xr3:uid="{00000000-0010-0000-1200-00005E000000}" name="max. Abrufhäufigkeit pro Jahr pos max" dataDxfId="505"/>
    <tableColumn id="96" xr3:uid="{00000000-0010-0000-1200-000060000000}" name="max. Abrufhäufigkeit pro Jahr pos Lastverzicht durch" dataDxfId="504"/>
    <tableColumn id="97" xr3:uid="{00000000-0010-0000-1200-000061000000}" name="max. Abrufhäufigkeit pro Jahr pos Lastverzicht min" dataDxfId="503"/>
    <tableColumn id="98" xr3:uid="{00000000-0010-0000-1200-000062000000}" name="max. Abrufhäufigkeit pro Jahr pos Lastverzicht max" dataDxfId="502"/>
    <tableColumn id="99" xr3:uid="{00000000-0010-0000-1200-000063000000}" name="max. Abrufhäufigkeit pro Jahr neg durch" dataDxfId="501"/>
    <tableColumn id="100" xr3:uid="{00000000-0010-0000-1200-000064000000}" name="max. Abrufhäufigkeit pro Jahr neg min" dataDxfId="500"/>
    <tableColumn id="101" xr3:uid="{00000000-0010-0000-1200-000065000000}" name="max. Abrufhäufigkeit pro Jahr neg max" dataDxfId="499"/>
    <tableColumn id="102" xr3:uid="{00000000-0010-0000-1200-000066000000}" name="Investitionsausgaben €_2020/kW" dataDxfId="498"/>
    <tableColumn id="57" xr3:uid="{00000000-0010-0000-1200-000039000000}" name="min. Investitionsausgaben €_2020/kW" dataDxfId="497"/>
    <tableColumn id="56" xr3:uid="{00000000-0010-0000-1200-000038000000}" name="max. Investitionsausgaben €_2020/kW" dataDxfId="496"/>
    <tableColumn id="104" xr3:uid="{00000000-0010-0000-1200-000068000000}" name="var. Kosten Lastverschiebung €_2020/MWh" dataDxfId="495"/>
    <tableColumn id="59" xr3:uid="{00000000-0010-0000-1200-00003B000000}" name="var. Kosten Lastverschiebung €_2020/MWh min" dataDxfId="494"/>
    <tableColumn id="58" xr3:uid="{00000000-0010-0000-1200-00003A000000}" name="var. Kosten Lastverschiebung €_2020/MWh max" dataDxfId="493"/>
    <tableColumn id="107" xr3:uid="{00000000-0010-0000-1200-00006B000000}" name="var. Kosten Lastverzicht €_2020/MWh" dataDxfId="492"/>
    <tableColumn id="106" xr3:uid="{00000000-0010-0000-1200-00006A000000}" name="var. Kosten Lastverzicht €_2020/MWh min" dataDxfId="491"/>
    <tableColumn id="105" xr3:uid="{00000000-0010-0000-1200-000069000000}" name="var. Kosten Lastverzicht €_2020/MWh max" dataDxfId="490"/>
    <tableColumn id="112" xr3:uid="{00000000-0010-0000-1200-000070000000}" name="c_Ber_RL_pos durch €/MW*d" dataDxfId="489"/>
    <tableColumn id="111" xr3:uid="{00000000-0010-0000-1200-00006F000000}" name="c_Ber_RL_pos €/MW*d min" dataDxfId="488"/>
    <tableColumn id="110" xr3:uid="{00000000-0010-0000-1200-00006E000000}" name="c_Ber_RL_pos €/MW*d max" dataDxfId="487"/>
    <tableColumn id="109" xr3:uid="{00000000-0010-0000-1200-00006D000000}" name="c_Ber_RL_neg €/MW*d" dataDxfId="486"/>
    <tableColumn id="108" xr3:uid="{00000000-0010-0000-1200-00006C000000}" name="c_Ber_RL_neg €/MW*d min" dataDxfId="485"/>
    <tableColumn id="18" xr3:uid="{00000000-0010-0000-1200-000012000000}" name="c_Ber_RL_neg €/MW*d max" dataDxfId="484"/>
    <tableColumn id="103" xr3:uid="{00000000-0010-0000-1200-000067000000}" name="fixe Kosten €_2020/kW*a" dataDxfId="483"/>
    <tableColumn id="64" xr3:uid="{00000000-0010-0000-1200-000040000000}" name="fixe Kosten €_2020/kW*a min" dataDxfId="482"/>
    <tableColumn id="19" xr3:uid="{00000000-0010-0000-1200-000013000000}" name="fixe Kosten €_2020/kW*a max" dataDxfId="481"/>
    <tableColumn id="48" xr3:uid="{00000000-0010-0000-1200-000030000000}" name="Investitionsausgaben je Anschlusspunkt (€_2020)" dataDxfId="480">
      <calculatedColumnFormula>Tabelle58971121[[#This Row],[fixe Kosten €_2020/kW*a]]*Umrechnungsfaktoren!$B$15/Umrechnungsfaktoren!$B$14</calculatedColumnFormula>
    </tableColumn>
    <tableColumn id="20" xr3:uid="{00000000-0010-0000-1200-000014000000}" name="Bemerkungen" dataDxfId="479"/>
    <tableColumn id="55" xr3:uid="{00000000-0010-0000-1200-000037000000}" name="Fundstelle Lastverschiebung" dataDxfId="478"/>
    <tableColumn id="54" xr3:uid="{00000000-0010-0000-1200-000036000000}" name="Fundstelle Lastverzicht" dataDxfId="477"/>
    <tableColumn id="138" xr3:uid="{00000000-0010-0000-1200-00008A000000}" name="Fundstelle Lasterhöhung" dataDxfId="476"/>
    <tableColumn id="21" xr3:uid="{00000000-0010-0000-1200-000015000000}" name="Fundstelle Potenzial pos." dataDxfId="475"/>
    <tableColumn id="22" xr3:uid="{00000000-0010-0000-1200-000016000000}" name="Fundstelle Potenzial neg." dataDxfId="474"/>
    <tableColumn id="23" xr3:uid="{00000000-0010-0000-1200-000017000000}" name="Fundstelle Mindestleistung" dataDxfId="473"/>
    <tableColumn id="43" xr3:uid="{00000000-0010-0000-1200-00002B000000}" name="Fundstelle flexibilisierbarer Anteil" dataDxfId="472"/>
    <tableColumn id="66" xr3:uid="{00000000-0010-0000-1200-000042000000}" name="Fundstelle Durchschnittsauslastung" dataDxfId="471"/>
    <tableColumn id="45" xr3:uid="{00000000-0010-0000-1200-00002D000000}" name="Fundstelle durchschnittliche Leistung" dataDxfId="470"/>
    <tableColumn id="24" xr3:uid="{00000000-0010-0000-1200-000018000000}" name="Fundstelle Maximalleistung" dataDxfId="469"/>
    <tableColumn id="25" xr3:uid="{00000000-0010-0000-1200-000019000000}" name="Fundstelle installierte Leistung" dataDxfId="468"/>
    <tableColumn id="39" xr3:uid="{00000000-0010-0000-1200-000027000000}" name="Fundstelle Aktivierungsdauer" dataDxfId="467"/>
    <tableColumn id="26" xr3:uid="{00000000-0010-0000-1200-00001A000000}" name="Fundstelle Schaltdauer" dataDxfId="466"/>
    <tableColumn id="27" xr3:uid="{00000000-0010-0000-1200-00001B000000}" name="Fundstelle Verschiebedauer" dataDxfId="465"/>
    <tableColumn id="28" xr3:uid="{00000000-0010-0000-1200-00001C000000}" name="Fundstelle Regenerationsdauer" dataDxfId="464"/>
    <tableColumn id="29" xr3:uid="{00000000-0010-0000-1200-00001D000000}" name="Fundstelle Zeitverfügbarkeit" dataDxfId="463"/>
    <tableColumn id="30" xr3:uid="{00000000-0010-0000-1200-00001E000000}" name="Fundstelle max. Abrufhäufigkeit" dataDxfId="462"/>
    <tableColumn id="31" xr3:uid="{00000000-0010-0000-1200-00001F000000}" name="Fundstelle Invest" dataDxfId="461"/>
    <tableColumn id="32" xr3:uid="{00000000-0010-0000-1200-000020000000}" name="Fundstelle var. Kosten" dataDxfId="460"/>
    <tableColumn id="33" xr3:uid="{00000000-0010-0000-1200-000021000000}" name="Fundstelle fixe Kosten" dataDxfId="459"/>
    <tableColumn id="49" xr3:uid="{00000000-0010-0000-1200-000031000000}" name="Fundstelle Investition je Anschlusspunkt" dataDxfId="458"/>
    <tableColumn id="34" xr3:uid="{00000000-0010-0000-1200-000022000000}" name="Fundstelle Bemerkungen" dataDxfId="457"/>
    <tableColumn id="35" xr3:uid="{00000000-0010-0000-1200-000023000000}" name="eigene Anmerkung" dataDxfId="456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A000000}" name="Tabelle5897111431" displayName="Tabelle5897111431" ref="A1:BR55" totalsRowShown="0" headerRowDxfId="455" dataDxfId="454" tableBorderDxfId="453">
  <autoFilter ref="A1:BR55" xr:uid="{00000000-0009-0000-0100-00001E000000}"/>
  <tableColumns count="70">
    <tableColumn id="1" xr3:uid="{00000000-0010-0000-1A00-000001000000}" name="Prozess" dataDxfId="452"/>
    <tableColumn id="47" xr3:uid="{00000000-0010-0000-1A00-00002F000000}" name="Sektorenzuordnung" dataDxfId="451"/>
    <tableColumn id="2" xr3:uid="{00000000-0010-0000-1A00-000002000000}" name="Jahr" dataDxfId="450"/>
    <tableColumn id="52" xr3:uid="{00000000-0010-0000-1A00-000034000000}" name="Lastverschiebung" dataDxfId="449"/>
    <tableColumn id="53" xr3:uid="{00000000-0010-0000-1A00-000035000000}" name="Lastverzicht" dataDxfId="448"/>
    <tableColumn id="3" xr3:uid="{00000000-0010-0000-1A00-000003000000}" name="Potenzial pos. min MW" dataDxfId="447"/>
    <tableColumn id="38" xr3:uid="{00000000-0010-0000-1A00-000026000000}" name="Potenzial pos. MW Durchschnitt" dataDxfId="446"/>
    <tableColumn id="5" xr3:uid="{00000000-0010-0000-1A00-000005000000}" name="Potenzial pos. Sommer MW" dataDxfId="445"/>
    <tableColumn id="68" xr3:uid="{88EA48BC-D464-4E06-B82C-963723BA6B98}" name="Potenzial pos. Winter MW" dataDxfId="444"/>
    <tableColumn id="70" xr3:uid="{447AD4C7-8E89-478E-B97D-DCEE39EBEDFD}" name="Potenzial neg. Sommer MW" dataDxfId="443"/>
    <tableColumn id="69" xr3:uid="{C288EE63-BCB8-4D75-8A73-A3BC4D47AF08}" name="Potenzial neg. Winter MW" dataDxfId="442"/>
    <tableColumn id="37" xr3:uid="{00000000-0010-0000-1A00-000025000000}" name="ausgewiesenes Pot. pos. MW (falls abweichend)" dataDxfId="441"/>
    <tableColumn id="50" xr3:uid="{00000000-0010-0000-1A00-000032000000}" name="Potenzial neg. min MW" dataDxfId="440"/>
    <tableColumn id="41" xr3:uid="{00000000-0010-0000-1A00-000029000000}" name="Potenzial neg. MW Durchschnitt" dataDxfId="439"/>
    <tableColumn id="6" xr3:uid="{00000000-0010-0000-1A00-000006000000}" name="Potenzial neg. max MW" dataDxfId="438"/>
    <tableColumn id="7" xr3:uid="{00000000-0010-0000-1A00-000007000000}" name="Mindestleistung MW" dataDxfId="437"/>
    <tableColumn id="8" xr3:uid="{00000000-0010-0000-1A00-000008000000}" name="Mindestauslastung" dataDxfId="436" dataCellStyle="Prozent"/>
    <tableColumn id="36" xr3:uid="{00000000-0010-0000-1A00-000024000000}" name="flexibilisierbarer Anteil" dataDxfId="435" dataCellStyle="Prozent"/>
    <tableColumn id="67" xr3:uid="{00000000-0010-0000-1A00-000043000000}" name="flexibilisierbarer Anteil an Durchschnittslast" dataDxfId="434" dataCellStyle="Prozent"/>
    <tableColumn id="65" xr3:uid="{00000000-0010-0000-1A00-000041000000}" name="Durchschnittsauslastung" dataDxfId="433" dataCellStyle="Prozent"/>
    <tableColumn id="44" xr3:uid="{00000000-0010-0000-1A00-00002C000000}" name="Durchschnittliche Leistung MW" dataDxfId="432" dataCellStyle="Prozent"/>
    <tableColumn id="9" xr3:uid="{00000000-0010-0000-1A00-000009000000}" name="Maximalleistung MW" dataDxfId="431"/>
    <tableColumn id="46" xr3:uid="{00000000-0010-0000-1A00-00002E000000}" name="Maximalauslastung" dataDxfId="430" dataCellStyle="Prozent"/>
    <tableColumn id="10" xr3:uid="{00000000-0010-0000-1A00-00000A000000}" name="installierte Leistung MW" dataDxfId="429"/>
    <tableColumn id="11" xr3:uid="{00000000-0010-0000-1A00-00000B000000}" name="Aktivierungsdauer (h)" dataDxfId="428"/>
    <tableColumn id="61" xr3:uid="{00000000-0010-0000-1A00-00003D000000}" name="Schaltdauer pos. Min (h)" dataDxfId="427"/>
    <tableColumn id="60" xr3:uid="{00000000-0010-0000-1A00-00003C000000}" name="Schaltdauer pos. max (h)" dataDxfId="426"/>
    <tableColumn id="12" xr3:uid="{00000000-0010-0000-1A00-00000C000000}" name="Schaltdauer pos. (h)" dataDxfId="425"/>
    <tableColumn id="63" xr3:uid="{00000000-0010-0000-1A00-00003F000000}" name="Schaltdauer neg min (h)" dataDxfId="424"/>
    <tableColumn id="62" xr3:uid="{00000000-0010-0000-1A00-00003E000000}" name="Schaltdauer neg. max (h)" dataDxfId="423"/>
    <tableColumn id="51" xr3:uid="{00000000-0010-0000-1A00-000033000000}" name="Schaltdauer neg. (h)" dataDxfId="422"/>
    <tableColumn id="42" xr3:uid="{00000000-0010-0000-1A00-00002A000000}" name="Verschiebedauer min. (h)" dataDxfId="421"/>
    <tableColumn id="4" xr3:uid="{00000000-0010-0000-1A00-000004000000}" name="Verschiebedauer max (h)" dataDxfId="420"/>
    <tableColumn id="13" xr3:uid="{00000000-0010-0000-1A00-00000D000000}" name="Verschiebedauer (h)" dataDxfId="419"/>
    <tableColumn id="14" xr3:uid="{00000000-0010-0000-1A00-00000E000000}" name="Regenerationsdauer (h)" dataDxfId="418"/>
    <tableColumn id="15" xr3:uid="{00000000-0010-0000-1A00-00000F000000}" name="Zeitverfügbarkeit?" dataDxfId="417"/>
    <tableColumn id="16" xr3:uid="{00000000-0010-0000-1A00-000010000000}" name="max. Abrufhäufigkeit pro Woche" dataDxfId="416"/>
    <tableColumn id="40" xr3:uid="{00000000-0010-0000-1A00-000028000000}" name="max. Abrufhäufigkeit pro Jahr" dataDxfId="415"/>
    <tableColumn id="57" xr3:uid="{00000000-0010-0000-1A00-000039000000}" name="min. Investitionsausgaben €_2018/kW" dataDxfId="414"/>
    <tableColumn id="56" xr3:uid="{00000000-0010-0000-1A00-000038000000}" name="max. Investitionsausgaben €_2018/kW" dataDxfId="413"/>
    <tableColumn id="17" xr3:uid="{00000000-0010-0000-1A00-000011000000}" name="Investitionsausgaben €_2018/kW" dataDxfId="412"/>
    <tableColumn id="59" xr3:uid="{00000000-0010-0000-1A00-00003B000000}" name="var. Kosten min. €_2018/MWh" dataDxfId="411"/>
    <tableColumn id="58" xr3:uid="{00000000-0010-0000-1A00-00003A000000}" name="var. Kosten max. €_2018/MWh" dataDxfId="410"/>
    <tableColumn id="18" xr3:uid="{00000000-0010-0000-1A00-000012000000}" name="variable Kosten €_2018/MWh" dataDxfId="409"/>
    <tableColumn id="64" xr3:uid="{00000000-0010-0000-1A00-000040000000}" name="fixe Kosten min. €_2018/kW*a" dataDxfId="408"/>
    <tableColumn id="19" xr3:uid="{00000000-0010-0000-1A00-000013000000}" name="fixe Kosten €_2018/kW*a" dataDxfId="407"/>
    <tableColumn id="48" xr3:uid="{00000000-0010-0000-1A00-000030000000}" name="Investitionsausgaben je Anschlusspunkt (€_2018)" dataDxfId="406"/>
    <tableColumn id="20" xr3:uid="{00000000-0010-0000-1A00-000014000000}" name="Bemerkungen" dataDxfId="405"/>
    <tableColumn id="55" xr3:uid="{00000000-0010-0000-1A00-000037000000}" name="Fundstelle Lastverschiebung" dataDxfId="404"/>
    <tableColumn id="54" xr3:uid="{00000000-0010-0000-1A00-000036000000}" name="Fundstelle Lastverzicht" dataDxfId="403"/>
    <tableColumn id="21" xr3:uid="{00000000-0010-0000-1A00-000015000000}" name="Fundstelle Potenzial pos." dataDxfId="402"/>
    <tableColumn id="22" xr3:uid="{00000000-0010-0000-1A00-000016000000}" name="Fundstelle Potenzial neg." dataDxfId="401"/>
    <tableColumn id="23" xr3:uid="{00000000-0010-0000-1A00-000017000000}" name="Fundstelle Mindestleistung" dataDxfId="400"/>
    <tableColumn id="43" xr3:uid="{00000000-0010-0000-1A00-00002B000000}" name="Funstelle flexibierbarer Anteil" dataDxfId="399"/>
    <tableColumn id="66" xr3:uid="{00000000-0010-0000-1A00-000042000000}" name="Fundstelle Durchschnittsauslastung" dataDxfId="398"/>
    <tableColumn id="45" xr3:uid="{00000000-0010-0000-1A00-00002D000000}" name="Fundstelle durchschnittliche Leistung" dataDxfId="397"/>
    <tableColumn id="24" xr3:uid="{00000000-0010-0000-1A00-000018000000}" name="Fundstelle Maximalleistung" dataDxfId="396"/>
    <tableColumn id="25" xr3:uid="{00000000-0010-0000-1A00-000019000000}" name="Fundstelle installierte Leistung" dataDxfId="395"/>
    <tableColumn id="39" xr3:uid="{00000000-0010-0000-1A00-000027000000}" name="Fundstelle Aktivierungsdauer" dataDxfId="394"/>
    <tableColumn id="26" xr3:uid="{00000000-0010-0000-1A00-00001A000000}" name="Fundstelle Schaltdauer" dataDxfId="393"/>
    <tableColumn id="27" xr3:uid="{00000000-0010-0000-1A00-00001B000000}" name="Fundstelle Verschiebedauer" dataDxfId="392"/>
    <tableColumn id="28" xr3:uid="{00000000-0010-0000-1A00-00001C000000}" name="Fundstelle Regenerationsdauer" dataDxfId="391"/>
    <tableColumn id="29" xr3:uid="{00000000-0010-0000-1A00-00001D000000}" name="Fundstelle Zeitverfügbarkeit" dataDxfId="390"/>
    <tableColumn id="30" xr3:uid="{00000000-0010-0000-1A00-00001E000000}" name="Fundstelle max. Abrufhäufigkeit" dataDxfId="389"/>
    <tableColumn id="31" xr3:uid="{00000000-0010-0000-1A00-00001F000000}" name="Fundstelle Invest" dataDxfId="388"/>
    <tableColumn id="32" xr3:uid="{00000000-0010-0000-1A00-000020000000}" name="Fundstelle var. Kosten" dataDxfId="387"/>
    <tableColumn id="33" xr3:uid="{00000000-0010-0000-1A00-000021000000}" name="Fundstelle fixe Kosten" dataDxfId="386"/>
    <tableColumn id="49" xr3:uid="{00000000-0010-0000-1A00-000031000000}" name="Fundstelle Investition je Anschlusspunkt" dataDxfId="385"/>
    <tableColumn id="34" xr3:uid="{00000000-0010-0000-1A00-000022000000}" name="Fundstelle Bemerkungen" dataDxfId="384"/>
    <tableColumn id="35" xr3:uid="{00000000-0010-0000-1A00-000023000000}" name="eigene Anmerkung" dataDxfId="383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elle58971117" displayName="Tabelle58971117" ref="A1:AR34" totalsRowShown="0" headerRowDxfId="382" dataDxfId="381" tableBorderDxfId="380">
  <autoFilter ref="A1:AR34" xr:uid="{00000000-0009-0000-0100-000010000000}"/>
  <tableColumns count="44">
    <tableColumn id="1" xr3:uid="{00000000-0010-0000-0E00-000001000000}" name="Prozess" dataDxfId="379"/>
    <tableColumn id="47" xr3:uid="{00000000-0010-0000-0E00-00002F000000}" name="Sektorenzuordnung" dataDxfId="378"/>
    <tableColumn id="2" xr3:uid="{00000000-0010-0000-0E00-000002000000}" name="Jahr" dataDxfId="377"/>
    <tableColumn id="52" xr3:uid="{00000000-0010-0000-0E00-000034000000}" name="Lastverschiebung" dataDxfId="376"/>
    <tableColumn id="53" xr3:uid="{00000000-0010-0000-0E00-000035000000}" name="Lastverzicht" dataDxfId="375"/>
    <tableColumn id="68" xr3:uid="{00000000-0010-0000-0E00-000044000000}" name="Lasterhöhung" dataDxfId="374"/>
    <tableColumn id="3" xr3:uid="{00000000-0010-0000-0E00-000003000000}" name="Potenzial pos. min MW" dataDxfId="373"/>
    <tableColumn id="5" xr3:uid="{00000000-0010-0000-0E00-000005000000}" name="Potenzial pos. max MW" dataDxfId="372"/>
    <tableColumn id="69" xr3:uid="{CED58257-C9CB-465E-B244-9ADF50F967B9}" name="Potenzial pos. min MW Lastverzicht" dataDxfId="371"/>
    <tableColumn id="37" xr3:uid="{00000000-0010-0000-0E00-000025000000}" name="Potenzial pos. max MW Lastverzicht" dataDxfId="370"/>
    <tableColumn id="50" xr3:uid="{00000000-0010-0000-0E00-000032000000}" name="Potenzial neg. min MW" dataDxfId="369"/>
    <tableColumn id="6" xr3:uid="{00000000-0010-0000-0E00-000006000000}" name="Potenzial neg. max MW" dataDxfId="368"/>
    <tableColumn id="65" xr3:uid="{00000000-0010-0000-0E00-000041000000}" name="Durchschnittsauslastung" dataDxfId="367" dataCellStyle="Prozent">
      <calculatedColumnFormula>2920/8760</calculatedColumnFormula>
    </tableColumn>
    <tableColumn id="44" xr3:uid="{00000000-0010-0000-0E00-00002C000000}" name="Durchschnittliche Leistung MW" dataDxfId="366" dataCellStyle="Prozent"/>
    <tableColumn id="9" xr3:uid="{00000000-0010-0000-0E00-000009000000}" name="Maximalleistung MW" dataDxfId="365"/>
    <tableColumn id="42" xr3:uid="{00000000-0010-0000-0E00-00002A000000}" name="Verschiebedauer min. (h)" dataDxfId="364"/>
    <tableColumn id="4" xr3:uid="{00000000-0010-0000-0E00-000004000000}" name="Verschiebedauer max (h)" dataDxfId="363"/>
    <tableColumn id="13" xr3:uid="{00000000-0010-0000-0E00-00000D000000}" name="Verschiebedauer (h)" dataDxfId="362"/>
    <tableColumn id="15" xr3:uid="{00000000-0010-0000-0E00-00000F000000}" name="Zeitverfügbarkeit?" dataDxfId="361"/>
    <tableColumn id="16" xr3:uid="{00000000-0010-0000-0E00-000010000000}" name="max. Abrufhäufigkeit pro Woche" dataDxfId="360">
      <calculatedColumnFormula>24*7</calculatedColumnFormula>
    </tableColumn>
    <tableColumn id="40" xr3:uid="{00000000-0010-0000-0E00-000028000000}" name="max. Abrufhäufigkeit pro Jahr" dataDxfId="359">
      <calculatedColumnFormula>Tabelle58971117[[#This Row],[max. Abrufhäufigkeit pro Woche]]*52.1428571428571</calculatedColumnFormula>
    </tableColumn>
    <tableColumn id="70" xr3:uid="{6600CB73-5B4A-44AE-B04A-35ED19E38DFB}" name="max. Abrufhäufigkeit pro Jahr Lastverzicht" dataDxfId="358">
      <calculatedColumnFormula>Tabelle58971117[[#This Row],[max. Abrufhäufigkeit pro Woche]]*52.1428571428571</calculatedColumnFormula>
    </tableColumn>
    <tableColumn id="57" xr3:uid="{00000000-0010-0000-0E00-000039000000}" name="min. Investitionsausgaben €_2020/kW" dataDxfId="357">
      <calculatedColumnFormula>30*Umrechnungsfaktoren!$B$15/Umrechnungsfaktoren!$B$10</calculatedColumnFormula>
    </tableColumn>
    <tableColumn id="56" xr3:uid="{00000000-0010-0000-0E00-000038000000}" name="max. Investitionsausgaben €_2020/kW" dataDxfId="356">
      <calculatedColumnFormula>130*Umrechnungsfaktoren!$B$15/Umrechnungsfaktoren!$B$10</calculatedColumnFormula>
    </tableColumn>
    <tableColumn id="17" xr3:uid="{00000000-0010-0000-0E00-000011000000}" name="Investitionsausgaben €_2020/kW" dataDxfId="355">
      <calculatedColumnFormula>AVERAGE(Tabelle58971117[[#This Row],[min. Investitionsausgaben €_2020/kW]:[max. Investitionsausgaben €_2020/kW]])</calculatedColumnFormula>
    </tableColumn>
    <tableColumn id="59" xr3:uid="{00000000-0010-0000-0E00-00003B000000}" name="var. Kosten min. €_2020/MWh" dataDxfId="354">
      <calculatedColumnFormula>0*Umrechnungsfaktoren!$B$15/Umrechnungsfaktoren!$B$10</calculatedColumnFormula>
    </tableColumn>
    <tableColumn id="58" xr3:uid="{00000000-0010-0000-0E00-00003A000000}" name="var. Kosten max. €_2020/MWh" dataDxfId="353">
      <calculatedColumnFormula>0*Umrechnungsfaktoren!$B$15/Umrechnungsfaktoren!$B$10</calculatedColumnFormula>
    </tableColumn>
    <tableColumn id="18" xr3:uid="{00000000-0010-0000-0E00-000012000000}" name="variable Kosten €_2020/MWh" dataDxfId="352">
      <calculatedColumnFormula>0*Umrechnungsfaktoren!$B$15/Umrechnungsfaktoren!$B$10</calculatedColumnFormula>
    </tableColumn>
    <tableColumn id="64" xr3:uid="{00000000-0010-0000-0E00-000040000000}" name="fixe Kosten min. €_2020/kW*a" dataDxfId="351">
      <calculatedColumnFormula>2*Umrechnungsfaktoren!$B$15/Umrechnungsfaktoren!$B$10</calculatedColumnFormula>
    </tableColumn>
    <tableColumn id="67" xr3:uid="{00000000-0010-0000-0E00-000043000000}" name="fixe Kosten max. €_2020/kW*a" dataDxfId="350">
      <calculatedColumnFormula>9*Umrechnungsfaktoren!$B$15/Umrechnungsfaktoren!$B$10</calculatedColumnFormula>
    </tableColumn>
    <tableColumn id="19" xr3:uid="{00000000-0010-0000-0E00-000013000000}" name="fixe Kosten €_2020/kW*a" dataDxfId="349">
      <calculatedColumnFormula>AVERAGE(Tabelle58971117[[#This Row],[fixe Kosten min. €_2020/kW*a]:[fixe Kosten max. €_2020/kW*a]])</calculatedColumnFormula>
    </tableColumn>
    <tableColumn id="55" xr3:uid="{00000000-0010-0000-0E00-000037000000}" name="Fundstelle Lastverschiebung" dataDxfId="348"/>
    <tableColumn id="54" xr3:uid="{00000000-0010-0000-0E00-000036000000}" name="Fundstelle Lastverzicht" dataDxfId="347"/>
    <tableColumn id="21" xr3:uid="{00000000-0010-0000-0E00-000015000000}" name="Fundstelle Potenzial pos." dataDxfId="346"/>
    <tableColumn id="22" xr3:uid="{00000000-0010-0000-0E00-000016000000}" name="Fundstelle Potenzial neg." dataDxfId="345"/>
    <tableColumn id="66" xr3:uid="{00000000-0010-0000-0E00-000042000000}" name="Fundstelle Durchschnittsauslastung" dataDxfId="344"/>
    <tableColumn id="45" xr3:uid="{00000000-0010-0000-0E00-00002D000000}" name="Fundstelle durchschnittliche Leistung" dataDxfId="343"/>
    <tableColumn id="24" xr3:uid="{00000000-0010-0000-0E00-000018000000}" name="Fundstelle Maximalleistung" dataDxfId="342"/>
    <tableColumn id="27" xr3:uid="{00000000-0010-0000-0E00-00001B000000}" name="Fundstelle Verschiebedauer" dataDxfId="341"/>
    <tableColumn id="29" xr3:uid="{00000000-0010-0000-0E00-00001D000000}" name="Fundstelle Zeitverfügbarkeit" dataDxfId="340"/>
    <tableColumn id="30" xr3:uid="{00000000-0010-0000-0E00-00001E000000}" name="Fundstelle max. Abrufhäufigkeit" dataDxfId="339"/>
    <tableColumn id="31" xr3:uid="{00000000-0010-0000-0E00-00001F000000}" name="Fundstelle Invest" dataDxfId="338"/>
    <tableColumn id="32" xr3:uid="{00000000-0010-0000-0E00-000020000000}" name="Fundstelle var. Kosten" dataDxfId="337"/>
    <tableColumn id="33" xr3:uid="{00000000-0010-0000-0E00-000021000000}" name="Fundstelle fixe Kosten" dataDxfId="336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elle23418" displayName="Tabelle23418" ref="A1:H22" totalsRowShown="0" headerRowDxfId="335" dataDxfId="334">
  <autoFilter ref="A1:H22" xr:uid="{00000000-0009-0000-0100-000011000000}"/>
  <tableColumns count="8">
    <tableColumn id="1" xr3:uid="{00000000-0010-0000-1000-000001000000}" name="Prozess" dataDxfId="333"/>
    <tableColumn id="13" xr3:uid="{00000000-0010-0000-1000-00000D000000}" name="Sektorenzuordnung" dataDxfId="332"/>
    <tableColumn id="2" xr3:uid="{00000000-0010-0000-1000-000002000000}" name="Jahr" dataDxfId="331"/>
    <tableColumn id="4" xr3:uid="{00000000-0010-0000-1000-000004000000}" name="Anteil Potenzial pos. (an Wert von 2012)" dataDxfId="330" dataCellStyle="Prozent"/>
    <tableColumn id="5" xr3:uid="{00000000-0010-0000-1000-000005000000}" name="Anteil Potenzial neg. (an Wert von 2012)" dataDxfId="329"/>
    <tableColumn id="8" xr3:uid="{00000000-0010-0000-1000-000008000000}" name="Außentemperatur (°C)" dataDxfId="328"/>
    <tableColumn id="3" xr3:uid="{00000000-0010-0000-1000-000003000000}" name="Schaltdauer pos. (h)" dataDxfId="327">
      <calculatedColumnFormula>#REF!*Tabelle23418[[#This Row],[Außentemperatur (°C)]]*#REF!</calculatedColumnFormula>
    </tableColumn>
    <tableColumn id="7" xr3:uid="{00000000-0010-0000-1000-000007000000}" name="Quelle" dataDxfId="326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9916F27-F685-470E-A940-F33F07A512B9}" name="Tabelle5897112140" displayName="Tabelle5897112140" ref="A1:GK433" totalsRowShown="0" headerRowDxfId="325" dataDxfId="324" tableBorderDxfId="323">
  <autoFilter ref="A1:GK433" xr:uid="{00000000-0009-0000-0100-000014000000}"/>
  <tableColumns count="193">
    <tableColumn id="1" xr3:uid="{96C1A4D3-6A1F-4A7D-B109-C343F82DBD09}" name="Prozess" dataDxfId="322"/>
    <tableColumn id="139" xr3:uid="{77CD41DB-B587-4BAF-97B3-88399F981AA7}" name="Ursprüngliche Prozessbezeichnung" dataDxfId="321"/>
    <tableColumn id="12" xr3:uid="{F9711526-A687-4C68-9238-E50FBB7E4798}" name="Branche" dataDxfId="320"/>
    <tableColumn id="67" xr3:uid="{69DD47C0-6589-45D7-9337-A472B1981A37}" name="Kürzel" dataDxfId="319"/>
    <tableColumn id="47" xr3:uid="{65C6DEFD-C9CC-4894-9C0C-1219AA9DAB5E}" name="Sektorenzuordnung" dataDxfId="318"/>
    <tableColumn id="10" xr3:uid="{8DF53305-4960-4546-A388-C53031162E35}" name="temporäre Sortierung" dataDxfId="317"/>
    <tableColumn id="2" xr3:uid="{F00BC4C5-2A15-496F-AD98-E7D87B5DD9BA}" name="Jahr" dataDxfId="316"/>
    <tableColumn id="52" xr3:uid="{E3DE3731-72D7-46DD-A2CF-D768E3786F0D}" name="Lastverschiebung" dataDxfId="315"/>
    <tableColumn id="53" xr3:uid="{1A556B2A-1BE1-401E-AD2B-67EC908CB56D}" name="Lastverzicht" dataDxfId="314"/>
    <tableColumn id="137" xr3:uid="{6C82D155-B7D6-4693-829B-960417F8AD0F}" name="Lasterhöhung" dataDxfId="313"/>
    <tableColumn id="3" xr3:uid="{1F81FAF9-2A40-41DF-AE77-5F7FC6639B46}" name="Potenzial pos. MW Durchschnitt min" dataDxfId="312"/>
    <tableColumn id="38" xr3:uid="{1AD52BDD-466A-465B-97B1-F4F6355914BB}" name="Potenzial pos. MW Durchschnitt" dataDxfId="311"/>
    <tableColumn id="5" xr3:uid="{303BE270-A0CE-4807-9C5E-52A46633F3E0}" name="Potenzial pos. MW Durchschnitt max" dataDxfId="310"/>
    <tableColumn id="193" xr3:uid="{AE4860A8-2767-4BE7-A97C-E2CDD13CE759}" name="Potenzial pos. MW Sommer WTT" dataDxfId="309"/>
    <tableColumn id="192" xr3:uid="{97C59C6D-94F0-4BA6-9402-5BD3E7F6E1EA}" name="Potenzial pos. MW min Sommer WTT" dataDxfId="308"/>
    <tableColumn id="191" xr3:uid="{D9014202-F95B-49BA-83E7-724BE38869A5}" name="Potenzial pos. MW max Sommer WTT" dataDxfId="307"/>
    <tableColumn id="190" xr3:uid="{EE352C57-82F2-4521-99D1-6170DAEDCD4A}" name="Potenzial neg. MW Sommer WTT" dataDxfId="306"/>
    <tableColumn id="189" xr3:uid="{D13B44B0-E05B-4E9D-B72F-C30EF58B4650}" name="Potenzial neg. MW min Sommer WTT" dataDxfId="305"/>
    <tableColumn id="188" xr3:uid="{38183D2C-57FC-4036-8C96-0504E688A664}" name="Potenzial neg. MW max Sommer WTT" dataDxfId="304"/>
    <tableColumn id="187" xr3:uid="{797DED71-5BF0-4800-A1BE-C10296E948E2}" name="Potenzial pos. MW Sommer SaT" dataDxfId="303"/>
    <tableColumn id="186" xr3:uid="{1BE44931-BE08-4FDE-8A27-94655EB4E4AF}" name="Potenzial pos. MW min Sommer SaT" dataDxfId="302"/>
    <tableColumn id="185" xr3:uid="{71C92766-354D-4609-BA27-105CCFC36D68}" name="Potenzial pos. MW max Sommer SaT" dataDxfId="301"/>
    <tableColumn id="184" xr3:uid="{4D15777C-6AD9-4924-B47E-FCB1FEBBFD32}" name="Potenzial neg. MW Sommer SaT" dataDxfId="300"/>
    <tableColumn id="183" xr3:uid="{E14ABB7E-ADFD-4080-98A4-51D3B7503856}" name="Potenzial neg. MW min Sommer SaT" dataDxfId="299"/>
    <tableColumn id="182" xr3:uid="{E2662B89-7FDE-4889-8DFB-3678D5BBBCFC}" name="Potenzial neg. MW max Sommer SaT" dataDxfId="298"/>
    <tableColumn id="181" xr3:uid="{DA71B415-7EAE-4732-99C0-6E8D1F00A89A}" name="Potenzial pos. MW Sommer SFN" dataDxfId="297"/>
    <tableColumn id="180" xr3:uid="{FE22F607-7542-40B0-A5F3-59A5EFA92A4C}" name="Potenzial pos. MW min Sommer SFN" dataDxfId="296"/>
    <tableColumn id="179" xr3:uid="{8FA68B8C-5829-4099-8FE5-4EFDCFEC8CB1}" name="Potenzial pos. MW max Sommer SFN" dataDxfId="295"/>
    <tableColumn id="178" xr3:uid="{5DAC66EB-F449-47EC-A7BA-8D631B4F1142}" name="Potenzial neg. MW Sommer SFN" dataDxfId="294"/>
    <tableColumn id="177" xr3:uid="{12609058-7223-4D0B-B034-EFEF5B64E08F}" name="Potenzial neg. MW min Sommer SFN" dataDxfId="293"/>
    <tableColumn id="176" xr3:uid="{2C3F3BBE-1450-447C-A989-2661491562D9}" name="Potenzial neg. MW max Sommer SFN" dataDxfId="292"/>
    <tableColumn id="175" xr3:uid="{D56AB454-0FF1-42AB-8830-B57D84F4D5FA}" name="Potenzial pos. MW Übergangszeit WTT" dataDxfId="291"/>
    <tableColumn id="174" xr3:uid="{B85729C1-6B11-4153-BFC8-C347E7644F5B}" name="Potenzial pos. MW min Übergangszeit WTT" dataDxfId="290"/>
    <tableColumn id="173" xr3:uid="{9E8A7C74-80B5-426B-8EF9-B8915DADE172}" name="Potenzial pos. MW max Übergangszeit WTT" dataDxfId="289"/>
    <tableColumn id="172" xr3:uid="{2207DCE5-B895-4D96-A013-AA9B880474AE}" name="Potenzial neg. MW Übergangszeit WTT" dataDxfId="288"/>
    <tableColumn id="171" xr3:uid="{8E01EEA4-05F1-4D1D-9AE8-AF0076E9A7A4}" name="Potenzial neg. MW min Übergangszeit WTT" dataDxfId="287"/>
    <tableColumn id="170" xr3:uid="{1B6600B5-5C08-4F22-9CBC-D3A6AF136EAF}" name="Potenzial neg. MW max Übergangszeit WTT" dataDxfId="286"/>
    <tableColumn id="169" xr3:uid="{FDBCB040-E87B-4F1A-8309-2409E3CB0249}" name="Potenzial pos. MW Übergangszeit SaT" dataDxfId="285"/>
    <tableColumn id="168" xr3:uid="{B99B39A9-8ED3-493D-917B-2B2EA666AA33}" name="Potenzial pos. MW min Übergangszeit SaT" dataDxfId="284"/>
    <tableColumn id="167" xr3:uid="{F915CEC5-EF4B-46C6-AD03-94D6DE377E2B}" name="Potenzial pos. MW max Übergangszeit SaT" dataDxfId="283"/>
    <tableColumn id="166" xr3:uid="{3C8C7952-5499-4E5A-8590-0A0B90AC8C66}" name="Potenzial neg. MW Übergangszeit SaT" dataDxfId="282"/>
    <tableColumn id="165" xr3:uid="{34BB7003-5064-4993-AA2D-06E1A261150B}" name="Potenzial neg. MW min Übergangszeit SaT" dataDxfId="281"/>
    <tableColumn id="164" xr3:uid="{FC59FC1A-7AA9-4D64-9B8F-7E9C4D270096}" name="Potenzial neg. MW max Übergangszeit SaT" dataDxfId="280"/>
    <tableColumn id="163" xr3:uid="{0E600C4F-260A-4E0A-A212-8DFC4BC7C5C6}" name="Potenzial pos. MW Übergangszeit SFN" dataDxfId="279"/>
    <tableColumn id="162" xr3:uid="{E8AC8775-51AA-4A99-ACB4-73D5E000BC7D}" name="Potenzial pos. MW min Übergangszeit SFN" dataDxfId="278"/>
    <tableColumn id="161" xr3:uid="{3246D209-1395-4FEA-B0F5-E923BCAD4F0C}" name="Potenzial pos. MW max Übergangszeit SFN" dataDxfId="277"/>
    <tableColumn id="160" xr3:uid="{F1B14430-1C38-425C-82A9-16A1BD0DCA64}" name="Potenzial neg. MW Übergangszeit SFN" dataDxfId="276"/>
    <tableColumn id="159" xr3:uid="{B67A209A-031F-411E-97C7-3B28987D97AC}" name="Potenzial neg. MW min Übergangszeit SFN" dataDxfId="275"/>
    <tableColumn id="158" xr3:uid="{35D96867-E3C6-422C-B776-016D1AEB2D93}" name="Potenzial neg. MW max Übergangszeit SFN" dataDxfId="274"/>
    <tableColumn id="157" xr3:uid="{B1E432A3-F533-4305-A414-82E382762A30}" name="Potenzial pos. MW Winter WTT" dataDxfId="273"/>
    <tableColumn id="156" xr3:uid="{FFAE15D9-86ED-4C54-A3F8-0D6FA9C91193}" name="Potenzial pos. MW min Winter WTT" dataDxfId="272"/>
    <tableColumn id="155" xr3:uid="{3A72A55A-AAA9-4401-BC22-1C70E8644AF0}" name="Potenzial pos. MW max Winter WTT" dataDxfId="271"/>
    <tableColumn id="154" xr3:uid="{C92F0B53-27F5-4E7B-B589-B568BADCDB04}" name="Potenzial neg. MW Winter WTT" dataDxfId="270"/>
    <tableColumn id="153" xr3:uid="{3FEB7A3B-ED38-4682-93A4-A9584C984EDF}" name="Potenzial neg. MW min Winter WTT" dataDxfId="269"/>
    <tableColumn id="152" xr3:uid="{DC8B61C1-274C-4E61-B131-6997470160DB}" name="Potenzial neg. MW max Winter WTT" dataDxfId="268"/>
    <tableColumn id="151" xr3:uid="{7E13294E-12F7-44A8-8A84-3CFA0A6B06AC}" name="Potenzial pos. MW Winter SaT" dataDxfId="267"/>
    <tableColumn id="150" xr3:uid="{4D2B1338-B3AA-4B2C-ADC4-117A173B5B09}" name="Potenzial pos. MW min Winter SaT" dataDxfId="266"/>
    <tableColumn id="149" xr3:uid="{131D79BB-3014-4466-AF58-3CFA7B2E7D9A}" name="Potenzial pos. MW max Winter SaT" dataDxfId="265"/>
    <tableColumn id="148" xr3:uid="{E1701B5C-4444-414B-AD88-B5502BED5AF5}" name="Potenzial neg. MW Winter SaT" dataDxfId="264"/>
    <tableColumn id="147" xr3:uid="{2B71BA37-9727-43BD-9A78-992A4FE579CD}" name="Potenzial neg. MW min Winter SaT" dataDxfId="263"/>
    <tableColumn id="146" xr3:uid="{309C7A8C-0AA5-4736-85A0-0AB029E1EDEF}" name="Potenzial neg. MW max Winter SaT" dataDxfId="262"/>
    <tableColumn id="145" xr3:uid="{585444E5-2424-447D-9082-498E9CA3886D}" name="Potenzial pos. MW Winter SFN" dataDxfId="261"/>
    <tableColumn id="144" xr3:uid="{F4A3C6DD-7E3D-4C4C-B1AA-417FA6CE59FE}" name="Potenzial pos. MW min Winter SFN" dataDxfId="260"/>
    <tableColumn id="143" xr3:uid="{62FCBA83-EE49-46A2-B0CA-9FC18615C803}" name="Potenzial pos. MW max Winter SFN" dataDxfId="259"/>
    <tableColumn id="142" xr3:uid="{C39B9B78-B6E5-47D3-96E8-28F0913D6947}" name="Potenzial neg. MW Winter SFN" dataDxfId="258"/>
    <tableColumn id="141" xr3:uid="{34A41BDE-76D0-4296-A456-D28D7122B56A}" name="Potenzial neg. MW min Winter SFN" dataDxfId="257"/>
    <tableColumn id="140" xr3:uid="{4463438D-F9FF-4DB9-AC72-E25649445308}" name="Potenzial neg. MW max Winter SFN" dataDxfId="256"/>
    <tableColumn id="37" xr3:uid="{3E8D265B-CD13-4EBF-AAED-53C0E5294CE2}" name="ausgewiesenes Pot. pos. MW (falls abweichend)" dataDxfId="255"/>
    <tableColumn id="50" xr3:uid="{FCA03C0D-8E63-4E97-98CD-55CDBCA86AFA}" name="Potenzial neg. MW Durchschnitt min" dataDxfId="254"/>
    <tableColumn id="41" xr3:uid="{BC0E3B8B-A8FC-41FD-A335-18F2EFFFD66F}" name="Potenzial neg. MW Durchschnitt" dataDxfId="253"/>
    <tableColumn id="6" xr3:uid="{647C1D17-07D8-4497-8317-9813F38B058C}" name="Potenzial neg. MW Durchschnitt max" dataDxfId="252"/>
    <tableColumn id="77" xr3:uid="{38977BE2-050B-4CC9-BE90-4DAE1A404035}" name="Mindestleistung MW min" dataDxfId="251">
      <calculatedColumnFormula>Tabelle5897112140[[#This Row],[Mindestauslastung min]]*Tabelle5897112140[[#This Row],[installierte Leistung MW min]]</calculatedColumnFormula>
    </tableColumn>
    <tableColumn id="76" xr3:uid="{1702C2A2-EAA4-4BB7-A1EF-A525977D8C38}" name="Mindestleistung MW durch" dataDxfId="250">
      <calculatedColumnFormula>Tabelle5897112140[[#This Row],[Mindestauslastung durch]]*Tabelle5897112140[[#This Row],[installierte Leistung MW durch]]</calculatedColumnFormula>
    </tableColumn>
    <tableColumn id="7" xr3:uid="{87D80B47-1227-457A-ACEB-1FA9C75515D5}" name="Mindestleistung MW max" dataDxfId="249">
      <calculatedColumnFormula>Tabelle5897112140[[#This Row],[Mindestauslastung max]]*Tabelle5897112140[[#This Row],[installierte Leistung MW max]]</calculatedColumnFormula>
    </tableColumn>
    <tableColumn id="8" xr3:uid="{9A16A3DE-79D1-4890-BE73-96190FDB5EB8}" name="Mindestauslastung min" dataDxfId="248" dataCellStyle="Prozent"/>
    <tableColumn id="69" xr3:uid="{1D8D0F31-3B58-43CA-87EA-C5285FEB484A}" name="Mindestauslastung durch" dataDxfId="247" dataCellStyle="Prozent"/>
    <tableColumn id="68" xr3:uid="{71A77A65-BD78-4E29-905D-E6FDEFCA9BF2}" name="Mindestauslastung max" dataDxfId="246" dataCellStyle="Prozent"/>
    <tableColumn id="36" xr3:uid="{46F9D17C-B74D-401D-A454-943C83672A89}" name="flexibilisierbarer Anteil" dataDxfId="245" dataCellStyle="Prozent"/>
    <tableColumn id="116" xr3:uid="{8362C7F5-5CDB-406E-8E93-DE43C59A98DA}" name="Durchschnittsauslastung durch Sommer WTT" dataDxfId="244" dataCellStyle="Prozent"/>
    <tableColumn id="117" xr3:uid="{B07582F7-DF1E-4B8B-A9E9-72D08D283DB4}" name="Durchschnittsauslastung min Sommer WTT" dataDxfId="243" dataCellStyle="Prozent"/>
    <tableColumn id="118" xr3:uid="{01B869B4-6A21-473E-8337-8CE0F32CCF8C}" name="Durchschnittsauslastung max Sommer WTT" dataDxfId="242" dataCellStyle="Prozent"/>
    <tableColumn id="113" xr3:uid="{78386D00-162E-402B-859C-37B1ED5C8EA4}" name="Durchschnittsauslastung durch Sommer SaT" dataDxfId="241" dataCellStyle="Prozent"/>
    <tableColumn id="114" xr3:uid="{A3837996-D6BC-4E1B-BF32-13FAA7408812}" name="Durchschnittsauslastung min Sommer SaT" dataDxfId="240" dataCellStyle="Prozent"/>
    <tableColumn id="115" xr3:uid="{D65DD912-0E9D-47A6-8802-D33CEFA142CE}" name="Durchschnittsauslastung max Sommer SaT" dataDxfId="239" dataCellStyle="Prozent"/>
    <tableColumn id="51" xr3:uid="{E3BEFBDF-1CC5-43A0-BF79-991D856A170B}" name="Durchschnittsauslastung durch Sommer SFN" dataDxfId="238" dataCellStyle="Prozent"/>
    <tableColumn id="65" xr3:uid="{0EDFF339-B594-45BC-AA94-A3C96A3E1053}" name="Durchschnittsauslastung min Sommer SFN" dataDxfId="237" dataCellStyle="Prozent"/>
    <tableColumn id="74" xr3:uid="{99342E1F-5558-405E-B844-10AAB3487349}" name="Durchschnittsauslastung max Sommer SFN" dataDxfId="236" dataCellStyle="Prozent"/>
    <tableColumn id="136" xr3:uid="{F1EC9C7C-7F19-42CB-9E62-C257A5826E42}" name="Durchschnittsauslastung durch Übergangszeit WTT" dataDxfId="235" dataCellStyle="Prozent"/>
    <tableColumn id="135" xr3:uid="{7642A2E3-B342-4D68-9ABC-C8A9B852DCBF}" name="Durchschnittsauslastung min Übergangszeit WTT" dataDxfId="234" dataCellStyle="Prozent"/>
    <tableColumn id="134" xr3:uid="{1C601534-90C4-4380-8649-1AF684159A32}" name="Durchschnittsauslastung max Übergangszeit WTT" dataDxfId="233" dataCellStyle="Prozent"/>
    <tableColumn id="133" xr3:uid="{2F6FF9FB-E8C1-4DEC-BDA8-A7DFA431E327}" name="Durchschnittsauslastung durch Übergangszeit SaT" dataDxfId="232" dataCellStyle="Prozent"/>
    <tableColumn id="132" xr3:uid="{00E82B3C-28F5-40C4-93A4-853537DEE257}" name="Durchschnittsauslastung min Übergangszeit SaT" dataDxfId="231" dataCellStyle="Prozent"/>
    <tableColumn id="131" xr3:uid="{44741019-BE35-45C4-8199-C13583E6E824}" name="Durchschnittsauslastung max Übergangszeit SaT" dataDxfId="230" dataCellStyle="Prozent"/>
    <tableColumn id="130" xr3:uid="{7A0E8767-D004-4024-933D-72401F24A2D7}" name="Durchschnittsauslastung durch Übergangszeit SFN" dataDxfId="229" dataCellStyle="Prozent"/>
    <tableColumn id="129" xr3:uid="{316704A6-29D3-4579-8613-EFF9A7B0A6BB}" name="Durchschnittsauslastung min Übergangszeit SFN" dataDxfId="228" dataCellStyle="Prozent"/>
    <tableColumn id="128" xr3:uid="{49B36A64-1113-4C32-B404-62D94FE6359B}" name="Durchschnittsauslastung max Übergangszeit SFN" dataDxfId="227" dataCellStyle="Prozent"/>
    <tableColumn id="127" xr3:uid="{5BAD3DB5-3262-4341-A16E-563D839D0507}" name="Durchschnittsauslastung durch Winter WTT" dataDxfId="226" dataCellStyle="Prozent"/>
    <tableColumn id="126" xr3:uid="{BE193C46-FAE8-4357-ACB6-2DE1B826EF20}" name="Durchschnittsauslastung min Winter WTT" dataDxfId="225" dataCellStyle="Prozent"/>
    <tableColumn id="125" xr3:uid="{D10C1DEC-FB41-461B-8234-4ACC83B23FA2}" name="Durchschnittsauslastung max Winter WTT" dataDxfId="224" dataCellStyle="Prozent"/>
    <tableColumn id="124" xr3:uid="{A940F8A0-8421-4061-B0DF-E9F03604224D}" name="Durchschnittsauslastung durch Winter SaT" dataDxfId="223" dataCellStyle="Prozent"/>
    <tableColumn id="123" xr3:uid="{ACF1A946-9DA1-44DC-B403-03F6CB39993F}" name="Durchschnittsauslastung min Winter SaT" dataDxfId="222" dataCellStyle="Prozent"/>
    <tableColumn id="122" xr3:uid="{67502B37-D509-4BE3-A2D8-BF84CD4303E4}" name="Durchschnittsauslastung max Winter SaT" dataDxfId="221" dataCellStyle="Prozent"/>
    <tableColumn id="121" xr3:uid="{D4B8CEA1-C449-46C5-9ED5-5A9770D21AC3}" name="Durchschnittsauslastung durch Winter SFN" dataDxfId="220" dataCellStyle="Prozent"/>
    <tableColumn id="120" xr3:uid="{4509EA9A-F06D-4081-B047-A47312D359A5}" name="Durchschnittsauslastung min Winter SFN" dataDxfId="219" dataCellStyle="Prozent"/>
    <tableColumn id="119" xr3:uid="{F0A27C97-608E-40EC-9F31-C549EF968EAE}" name="Durchschnittsauslastung max Winter SFN" dataDxfId="218" dataCellStyle="Prozent"/>
    <tableColumn id="78" xr3:uid="{9721A768-6569-4D7F-8443-A114D563D41D}" name="Durchschnittsauslastung min" dataDxfId="217" dataCellStyle="Prozent"/>
    <tableColumn id="70" xr3:uid="{D4A32855-AD9B-4155-A520-4FF71C41E17C}" name="Durchschnittsauslastung durch" dataDxfId="216" dataCellStyle="Prozent"/>
    <tableColumn id="71" xr3:uid="{1DC245D0-7EEE-4C52-A40B-2E7D27EEE5F0}" name="Durchschnittsauslastung max" dataDxfId="215" dataCellStyle="Prozent"/>
    <tableColumn id="80" xr3:uid="{20FCE5C2-79F3-4F83-91C5-5EB1A99E5FBA}" name="Durchschnittliche Leistung MW min" dataDxfId="214" dataCellStyle="Prozent">
      <calculatedColumnFormula>Tabelle5897112140[[#This Row],[Durchschnittsauslastung min]]*Tabelle5897112140[[#This Row],[installierte Leistung MW min]]</calculatedColumnFormula>
    </tableColumn>
    <tableColumn id="81" xr3:uid="{28650B9A-1990-441E-87E3-1F3C297E7EAE}" name="Durchschnittliche Leistung MW durch" dataDxfId="213" dataCellStyle="Prozent">
      <calculatedColumnFormula>Tabelle5897112140[[#This Row],[Durchschnittsauslastung durch]]*Tabelle5897112140[[#This Row],[installierte Leistung MW durch]]</calculatedColumnFormula>
    </tableColumn>
    <tableColumn id="44" xr3:uid="{71CE866E-48C3-4E5D-BF07-A0628A972C73}" name="Durchschnittliche Leistung MW max" dataDxfId="212" dataCellStyle="Prozent">
      <calculatedColumnFormula>Tabelle5897112140[[#This Row],[Durchschnittsauslastung max]]*Tabelle5897112140[[#This Row],[installierte Leistung MW max]]</calculatedColumnFormula>
    </tableColumn>
    <tableColumn id="83" xr3:uid="{F5350CE8-7901-4F11-87EA-EB284EB47BFB}" name="Maximalleistung MW min" dataDxfId="211" dataCellStyle="Prozent">
      <calculatedColumnFormula>Tabelle5897112140[[#This Row],[Maximalauslastung min]]*Tabelle5897112140[[#This Row],[installierte Leistung MW min]]</calculatedColumnFormula>
    </tableColumn>
    <tableColumn id="82" xr3:uid="{8074E88F-692A-4A53-951C-D30CE567D82A}" name="Maximalleistung MW durch" dataDxfId="210" dataCellStyle="Prozent">
      <calculatedColumnFormula>Tabelle5897112140[[#This Row],[Maximalauslastung durch]]*Tabelle5897112140[[#This Row],[installierte Leistung MW durch]]</calculatedColumnFormula>
    </tableColumn>
    <tableColumn id="9" xr3:uid="{447466DA-4D67-4F6C-8146-CC4F6B7AA81A}" name="Maximalleistung MW max" dataDxfId="209">
      <calculatedColumnFormula>Tabelle5897112140[[#This Row],[Maximalauslastung max]]*Tabelle5897112140[[#This Row],[installierte Leistung MW durch]]</calculatedColumnFormula>
    </tableColumn>
    <tableColumn id="79" xr3:uid="{AA7E2983-2E56-4DA5-A270-15E95DE97D99}" name="Maximalauslastung min" dataDxfId="208"/>
    <tableColumn id="75" xr3:uid="{A6F36E54-E942-4956-A970-AC47F9645B91}" name="Maximalauslastung durch" dataDxfId="207"/>
    <tableColumn id="46" xr3:uid="{567368D0-55E8-40E2-A588-1CB5D70C5BA4}" name="Maximalauslastung max" dataDxfId="206" dataCellStyle="Prozent"/>
    <tableColumn id="17" xr3:uid="{CFD87AFD-9CA7-43B2-9F26-C6291946EDB9}" name="installierte Leistung MW durch" dataDxfId="205" dataCellStyle="Prozent"/>
    <tableColumn id="72" xr3:uid="{6208E59A-3998-44CB-9166-A8DA677DA3D2}" name="installierte Leistung MW min" dataDxfId="204" dataCellStyle="Prozent"/>
    <tableColumn id="73" xr3:uid="{F5840475-D9D8-48B1-86FA-F6FCD9C3D3A0}" name="installierte Leistung MW max" dataDxfId="203"/>
    <tableColumn id="85" xr3:uid="{6D39EBD3-F34C-445D-8AE1-8CA06AEEA18D}" name="Aktivierungsdauer (h) pos durch" dataDxfId="202"/>
    <tableColumn id="84" xr3:uid="{6D671022-658E-4C72-A1D9-057C6BC37BCB}" name="Aktivierungsdauer (h) pos min" dataDxfId="201"/>
    <tableColumn id="11" xr3:uid="{1BD25A5A-95C2-4301-8734-EE02772AAFBE}" name="Aktivierungsdauer (h) pos max" dataDxfId="200"/>
    <tableColumn id="89" xr3:uid="{395C442F-F8CB-4002-AABD-EBBE68158BD5}" name="Aktivierungsdauer (h) neg durch" dataDxfId="199"/>
    <tableColumn id="88" xr3:uid="{DA0C4FD3-7572-4D01-9F2A-0A8616840F25}" name="Aktivierungsdauer (h) neg min" dataDxfId="198"/>
    <tableColumn id="87" xr3:uid="{98AD8273-37FC-424F-AB3F-0A2DD855A304}" name="Aktivierungsdauer (h) neg max" dataDxfId="197"/>
    <tableColumn id="86" xr3:uid="{3FF1DA92-A7EA-4CF9-8E46-B0393AA8D1B5}" name="Schaltdauer pos. (h)" dataDxfId="196"/>
    <tableColumn id="61" xr3:uid="{4EC98DC2-3B24-4F8D-9B15-ED60B8ED031A}" name="Schaltdauer pos. min (h)" dataDxfId="195"/>
    <tableColumn id="60" xr3:uid="{B238AD60-97A6-439B-8144-B606870B962F}" name="Schaltdauer pos. max (h)" dataDxfId="194"/>
    <tableColumn id="90" xr3:uid="{CE57C603-4401-4E7B-933E-389ADC198EEF}" name="Schaltdauer neg. (h)" dataDxfId="193"/>
    <tableColumn id="63" xr3:uid="{E862A055-D738-465E-AE25-4783B8AB818B}" name="Schaltdauer neg min (h)" dataDxfId="192"/>
    <tableColumn id="62" xr3:uid="{9AD5177D-9B5B-4A39-84C6-AC66C0B54E9E}" name="Schaltdauer neg. max (h)" dataDxfId="191"/>
    <tableColumn id="91" xr3:uid="{ED2F4282-7F14-4B80-9E55-C564730FD51C}" name="Verschiebedauer (h)" dataDxfId="190"/>
    <tableColumn id="42" xr3:uid="{867F55B9-CF06-43B9-B5D6-E3445C1D6AD6}" name="Verschiebedauer min. (h)" dataDxfId="189"/>
    <tableColumn id="4" xr3:uid="{45B28C7B-EE73-4CB9-9261-B2141A75A061}" name="Verschiebedauer max (h)" dataDxfId="188"/>
    <tableColumn id="13" xr3:uid="{262CD2DE-0921-4AF3-93EC-66207555112C}" name="Verschiebedauer bei sofortiger Kompensation (h)" dataDxfId="187"/>
    <tableColumn id="93" xr3:uid="{EFD7F299-BD86-4DF3-87D2-EBF8891D8AAA}" name="Verschiebedauer bei sofortiger Kompensation (h) min" dataDxfId="186"/>
    <tableColumn id="92" xr3:uid="{570ADB21-7B8F-43EB-816D-A3C5E247BEEC}" name="Verschiebedauer bei sofortiger Kompensation (h) max" dataDxfId="185"/>
    <tableColumn id="14" xr3:uid="{A0708214-E90D-4D38-8089-67C518B5F01F}" name="Regenerationsdauer (h)" dataDxfId="184"/>
    <tableColumn id="15" xr3:uid="{6AB4E7E6-1BED-4AFE-BDD0-AFBC661251DB}" name="Zeitverfügbarkeit?" dataDxfId="183"/>
    <tableColumn id="16" xr3:uid="{2166F127-9A1B-4FB6-9B54-83603DFA3EDB}" name="max. Abrufhäufigkeit pro Woche" dataDxfId="182"/>
    <tableColumn id="40" xr3:uid="{AA3187DD-25D4-4FD6-A0B9-4357059EC5D7}" name="max. Abrufhäufigkeit pro Jahr pos durch" dataDxfId="181"/>
    <tableColumn id="95" xr3:uid="{3CFCBD6A-123B-46B5-9316-FC67C0CEBC0B}" name="max. Abrufhäufigkeit pro Jahr pos min" dataDxfId="180"/>
    <tableColumn id="94" xr3:uid="{500F092D-C9F3-40B1-A5F8-5FA51617F38A}" name="max. Abrufhäufigkeit pro Jahr pos max" dataDxfId="179"/>
    <tableColumn id="96" xr3:uid="{4BB4FBD3-DF47-4526-8B0A-97A3EEB64CDC}" name="max. Abrufhäufigkeit pro Jahr pos Lastverzicht durch" dataDxfId="178"/>
    <tableColumn id="97" xr3:uid="{AE1B6893-1271-4BBB-9C42-3EBCE52462C0}" name="max. Abrufhäufigkeit pro Jahr pos Lastverzicht min" dataDxfId="177"/>
    <tableColumn id="98" xr3:uid="{B9717376-50B1-43B3-A9A4-E4EE3EAA15FE}" name="max. Abrufhäufigkeit pro Jahr pos Lastverzicht max" dataDxfId="176"/>
    <tableColumn id="99" xr3:uid="{CB3E25D7-559F-4121-8D9A-0061EF4C9301}" name="max. Abrufhäufigkeit pro Jahr neg durch" dataDxfId="175"/>
    <tableColumn id="100" xr3:uid="{442EC75B-33FB-42DE-B012-B9D985E9F5D8}" name="max. Abrufhäufigkeit pro Jahr neg min" dataDxfId="174"/>
    <tableColumn id="101" xr3:uid="{6244B367-2E83-41F9-9430-60162E7A5AD3}" name="max. Abrufhäufigkeit pro Jahr neg max" dataDxfId="173"/>
    <tableColumn id="102" xr3:uid="{72C47A40-5F40-434C-BD0A-F2189C5EF273}" name="Investitionsausgaben €_2018/kW" dataDxfId="172"/>
    <tableColumn id="57" xr3:uid="{CDD1FC1E-00D7-47BA-8607-3950F6D4160E}" name="min. Investitionsausgaben €_2018/kW" dataDxfId="171"/>
    <tableColumn id="56" xr3:uid="{0DAAADA7-2B0A-48B5-82A4-3ED941232CD2}" name="max. Investitionsausgaben €_2018/kW" dataDxfId="170"/>
    <tableColumn id="104" xr3:uid="{5CCA91B8-BC92-4F20-94A4-DF0646CD3B3D}" name="var. Kosten Lastverzicht €_2018/MWh" dataDxfId="169"/>
    <tableColumn id="59" xr3:uid="{3809DADE-E734-4832-8E4E-6D5EFC21526C}" name="var. Kosten Lastverzicht €_2018/MWh min" dataDxfId="168"/>
    <tableColumn id="58" xr3:uid="{0B2E2431-8B85-4F11-9976-C3874BBB61D2}" name="var. Kosten Lastverzicht €_2018/MWh max" dataDxfId="167"/>
    <tableColumn id="107" xr3:uid="{154DDBFF-88AF-440A-A306-3D6EF29D9506}" name="var. Kosten Lastabwurf €_2018/MWh" dataDxfId="166"/>
    <tableColumn id="106" xr3:uid="{D19FC880-69FB-4D13-A487-DAF5C723C3FF}" name="var. Kosten Lastabwurf €_2018/MWh min" dataDxfId="165"/>
    <tableColumn id="105" xr3:uid="{45D97679-0911-4002-8FFD-1A1701A53823}" name="var. Kosten Lastabwurf €_2018/MWh max" dataDxfId="164"/>
    <tableColumn id="112" xr3:uid="{9D37D8DE-BE2B-4615-A274-F7F1BABE19BF}" name="c_Ber_RL_pos durch €/MW*d" dataDxfId="163"/>
    <tableColumn id="111" xr3:uid="{C8A2EA40-9AC2-4E37-8F9C-81D8B90FB108}" name="c_Ber_RL_pos €/MW*d min" dataDxfId="162"/>
    <tableColumn id="110" xr3:uid="{B35EB89B-B09F-4C97-B6A5-1C2493B14DB3}" name="c_Ber_RL_pos €/MW*d max" dataDxfId="161"/>
    <tableColumn id="109" xr3:uid="{80044E1A-F4D5-4AF8-8065-5530D5CE5E4F}" name="c_Ber_RL_neg €/MW*d" dataDxfId="160"/>
    <tableColumn id="108" xr3:uid="{6C93DEAD-70A3-4687-8BBF-DBC9171FB479}" name="c_Ber_RL_neg €/MW*d min" dataDxfId="159"/>
    <tableColumn id="18" xr3:uid="{778B9C92-BD47-40E4-91D7-55EB8E504D1B}" name="c_Ber_RL_neg €/MW*d max" dataDxfId="158"/>
    <tableColumn id="103" xr3:uid="{4B621135-63ED-4984-9DB3-4204BC7C78E4}" name="fixe Kosten €_2018/kW*a" dataDxfId="157"/>
    <tableColumn id="64" xr3:uid="{391F51CB-B0A1-4419-BF68-2FDC0C004E17}" name="fixe Kosten €_2018/kW*a min" dataDxfId="156"/>
    <tableColumn id="19" xr3:uid="{D8148E41-A79B-41F9-A21B-F86BDDA5F987}" name="fixe Kosten €_2018/kW*a max" dataDxfId="155"/>
    <tableColumn id="48" xr3:uid="{146F43A4-4AEB-4FBB-856C-5776F9539CA7}" name="Investitionsausgaben je Anschlusspunkt (€_2018)" dataDxfId="154">
      <calculatedColumnFormula>Tabelle5897112140[[#This Row],[fixe Kosten €_2018/kW*a]]*Umrechnungsfaktoren!$B$15/Umrechnungsfaktoren!$B$14</calculatedColumnFormula>
    </tableColumn>
    <tableColumn id="20" xr3:uid="{0A68C750-9F94-49D3-8D1F-0CE3CDF85224}" name="Bemerkungen" dataDxfId="153"/>
    <tableColumn id="55" xr3:uid="{30E44965-005B-44FF-B42D-8B7573827709}" name="Fundstelle Lastverschiebung" dataDxfId="152"/>
    <tableColumn id="54" xr3:uid="{4266F067-D36E-4CFC-AE87-918862E2E95E}" name="Fundstelle Lastverzicht" dataDxfId="151"/>
    <tableColumn id="138" xr3:uid="{74715E00-033C-48C2-96C2-80180EE10F96}" name="Fundstelle Lasterhöhung" dataDxfId="150"/>
    <tableColumn id="21" xr3:uid="{CCC4BB04-7584-42B7-BA11-F10C4E67F8F5}" name="Fundstelle Potenzial pos." dataDxfId="149"/>
    <tableColumn id="22" xr3:uid="{A8065E2A-D5AC-451C-9697-AA52C967B605}" name="Fundstelle Potenzial neg." dataDxfId="148"/>
    <tableColumn id="23" xr3:uid="{196FBFE6-979E-4EFF-A9B8-19598F4637AD}" name="Fundstelle Mindestleistung" dataDxfId="147"/>
    <tableColumn id="43" xr3:uid="{669AA592-F733-4CC5-8FC1-B016C09ADB63}" name="Fundstelle flexibilisierbarer Anteil" dataDxfId="146"/>
    <tableColumn id="66" xr3:uid="{7CFCCF7B-3D11-4D42-A494-432686973801}" name="Fundstelle Durchschnittsauslastung" dataDxfId="145"/>
    <tableColumn id="45" xr3:uid="{E5563A05-86B8-48ED-AA7C-8E3D062806BD}" name="Fundstelle durchschnittliche Leistung" dataDxfId="144"/>
    <tableColumn id="24" xr3:uid="{19E8AE68-2903-4ECF-AD55-903C2E57859E}" name="Fundstelle Maximalleistung" dataDxfId="143"/>
    <tableColumn id="25" xr3:uid="{2AC2C3DA-717C-4192-915D-93BCCE615089}" name="Fundstelle installierte Leistung" dataDxfId="142"/>
    <tableColumn id="39" xr3:uid="{A7570360-681E-4B2E-BCDB-693BCFE3EA0B}" name="Fundstelle Aktivierungsdauer" dataDxfId="141"/>
    <tableColumn id="26" xr3:uid="{C8693876-990A-445D-83E1-6C478EDBA2E4}" name="Fundstelle Schaltdauer" dataDxfId="140"/>
    <tableColumn id="27" xr3:uid="{2E2BEDF4-44D2-498A-9610-5EE3F8F0C811}" name="Fundstelle Verschiebedauer" dataDxfId="139"/>
    <tableColumn id="28" xr3:uid="{F767BAC8-E2B4-4FDE-A4B9-B563F3EDDB90}" name="Fundstelle Regenerationsdauer" dataDxfId="138"/>
    <tableColumn id="29" xr3:uid="{77FC9CA1-8158-4F7A-987F-235F2470B602}" name="Fundstelle Zeitverfügbarkeit" dataDxfId="137"/>
    <tableColumn id="30" xr3:uid="{4EB9E033-367E-46DF-A5A0-51DF75221305}" name="Fundstelle max. Abrufhäufigkeit" dataDxfId="136"/>
    <tableColumn id="31" xr3:uid="{74902221-EBB2-4AC4-B8FB-1D679FB311AF}" name="Fundstelle Invest" dataDxfId="135"/>
    <tableColumn id="32" xr3:uid="{01315A07-AEF9-4B88-90F0-FF87331CF923}" name="Fundstelle var. Kosten" dataDxfId="134"/>
    <tableColumn id="33" xr3:uid="{DE820D77-29ED-4D1E-975B-DAA6C8560D7C}" name="Fundstelle fixe Kosten" dataDxfId="133"/>
    <tableColumn id="49" xr3:uid="{F36FD5F7-E938-438C-BCB2-440BCC154780}" name="Fundstelle Investition je Anschlusspunkt" dataDxfId="132"/>
    <tableColumn id="34" xr3:uid="{C3F49686-5E7D-418F-AD2A-EC2B6AFB6384}" name="Fundstelle Bemerkungen" dataDxfId="131"/>
    <tableColumn id="35" xr3:uid="{2C7AB34C-28DC-4969-A46D-327462B4824A}" name="eigene Anmerkung" dataDxfId="130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E4BE618-C41E-4C6D-B1CB-B0378EDC7A54}" name="Tabelle5897111747" displayName="Tabelle5897111747" ref="A1:AB13" totalsRowShown="0" headerRowDxfId="129" dataDxfId="128" tableBorderDxfId="127">
  <autoFilter ref="A1:AB13" xr:uid="{00000000-0009-0000-0100-000010000000}"/>
  <tableColumns count="28">
    <tableColumn id="1" xr3:uid="{1B448DD6-813A-4B3C-B364-46A047EA10D3}" name="Prozess" dataDxfId="126"/>
    <tableColumn id="47" xr3:uid="{7ADE3A30-366D-4FB4-BA5E-167653809F48}" name="Sektorenzuordnung" dataDxfId="125"/>
    <tableColumn id="2" xr3:uid="{2660CCC9-F96F-4891-A988-93AA8D98B3D8}" name="Jahr" dataDxfId="124"/>
    <tableColumn id="52" xr3:uid="{7A7B7B14-208A-4C28-9B27-A14D0BD107B1}" name="Lastverschiebung" dataDxfId="123"/>
    <tableColumn id="53" xr3:uid="{252C5A03-4769-4CA1-B531-3DB882720A27}" name="Lastverzicht" dataDxfId="122"/>
    <tableColumn id="68" xr3:uid="{D60251AE-A0E3-4E40-991F-FDE289A51768}" name="Lasterhöhung" dataDxfId="121"/>
    <tableColumn id="8" xr3:uid="{8487DED2-5188-4548-AC2F-A9C945E38D4D}" name="Potenzial neg. max GWh" dataDxfId="120"/>
    <tableColumn id="7" xr3:uid="{E44DD79B-3BDC-4647-A225-0C6701E216D0}" name="Potenzial pos. max GWh" dataDxfId="119"/>
    <tableColumn id="42" xr3:uid="{FF426C42-173A-48F1-9AA9-7C138903D57F}" name="Verschiebedauer min. (h)" dataDxfId="118"/>
    <tableColumn id="4" xr3:uid="{FC79F4A4-B081-4876-8884-65BBE783B4BA}" name="Verschiebedauer max (h)" dataDxfId="117"/>
    <tableColumn id="13" xr3:uid="{2188449B-87EF-4AA5-8F8B-D55224C472EC}" name="Verschiebedauer (h)" dataDxfId="116"/>
    <tableColumn id="6" xr3:uid="{4FDF3D45-46F9-49D2-B714-84948E03CC3E}" name="flexibilisierbarer Anteil min" dataDxfId="115"/>
    <tableColumn id="5" xr3:uid="{548D7466-A0AA-41DE-863B-F7DB85D13337}" name="flexibilisierbarer Anteil" dataDxfId="114"/>
    <tableColumn id="3" xr3:uid="{0D3955CB-1FD1-4AD6-85DE-B56FC94A22B3}" name="flexibilisierbarer Anteil max" dataDxfId="113"/>
    <tableColumn id="15" xr3:uid="{467E61C2-1842-4E83-9395-BCEDE6F0E474}" name="Zeitverfügbarkeit?" dataDxfId="112"/>
    <tableColumn id="9" xr3:uid="{6F1F38DE-D92A-4259-B8CA-CE71FCEE22DA}" name="max. Abrufhäufigkeit min. pro Jahr" dataDxfId="111"/>
    <tableColumn id="40" xr3:uid="{3DF55675-6523-4C33-A395-FCEF6C1413B3}" name="max. Abrufhäufigkeit pro Jahr" dataDxfId="110"/>
    <tableColumn id="70" xr3:uid="{C2590EB5-BF14-4639-86A5-4736AEEE70E0}" name="max. Abrufhäufigkeit max. pro Jahr" dataDxfId="109"/>
    <tableColumn id="55" xr3:uid="{3D087B4D-C56F-44B8-9AA7-ACC59F4DFFCE}" name="Fundstelle Lastverschiebung" dataDxfId="108"/>
    <tableColumn id="54" xr3:uid="{A310BD2F-472D-4323-BDC0-A6DE9FBCF8D0}" name="Fundstelle Lastverzicht" dataDxfId="107"/>
    <tableColumn id="21" xr3:uid="{9A4F4653-8B7D-4E98-93C1-6E645252FD63}" name="Fundstelle Potenzial pos." dataDxfId="106"/>
    <tableColumn id="22" xr3:uid="{D52C2687-6CD0-4146-845A-A1AA8F5B66E9}" name="Fundstelle Potenzial neg." dataDxfId="105"/>
    <tableColumn id="66" xr3:uid="{62DE8181-39C9-4B5E-93E8-6DC6010AB97F}" name="Fundstelle Durchschnittsauslastung" dataDxfId="104"/>
    <tableColumn id="45" xr3:uid="{09569BD5-2698-4422-87E6-F5ABB8E1068B}" name="Fundstelle durchschnittliche Leistung" dataDxfId="103"/>
    <tableColumn id="24" xr3:uid="{0E359B8A-55D0-489D-8CD5-F7B652C8DD37}" name="Fundstelle Maximalleistung" dataDxfId="102"/>
    <tableColumn id="27" xr3:uid="{A237B3E7-B88E-4C0F-889D-5466225576C3}" name="Fundstelle Verschiebedauer" dataDxfId="101"/>
    <tableColumn id="29" xr3:uid="{4F73CCE4-BD1E-4DC8-8542-EB3F559925A5}" name="Fundstelle Zeitverfügbarkeit" dataDxfId="100"/>
    <tableColumn id="30" xr3:uid="{E4D9F67D-788A-4392-9B63-22C0F87D7FBB}" name="Fundstelle max. Abrufhäufigkeit" dataDxfId="99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A000000}" name="Tabelle22333" displayName="Tabelle22333" ref="A1:D32" totalsRowShown="0" dataDxfId="98">
  <autoFilter ref="A1:D32" xr:uid="{00000000-0009-0000-0100-000020000000}"/>
  <tableColumns count="4">
    <tableColumn id="1" xr3:uid="{00000000-0010-0000-0A00-000001000000}" name="Prozess" dataDxfId="97"/>
    <tableColumn id="16" xr3:uid="{00000000-0010-0000-0A00-000010000000}" name="Sektorenzuordnung" dataDxfId="96"/>
    <tableColumn id="13" xr3:uid="{00000000-0010-0000-0A00-00000D000000}" name="Gruppenzuordnung" dataDxfId="95"/>
    <tableColumn id="7" xr3:uid="{00000000-0010-0000-0A00-000007000000}" name="Quelle" dataDxfId="9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le5897111424" displayName="Tabelle5897111424" ref="A1:BO11" totalsRowShown="0" headerRowDxfId="1821" dataDxfId="1820" tableBorderDxfId="1819">
  <autoFilter ref="A1:BO11" xr:uid="{00000000-0009-0000-0100-000017000000}"/>
  <tableColumns count="67">
    <tableColumn id="1" xr3:uid="{00000000-0010-0000-1300-000001000000}" name="Prozess" dataDxfId="1818"/>
    <tableColumn id="47" xr3:uid="{00000000-0010-0000-1300-00002F000000}" name="Sektorenzuordnung" dataDxfId="1817"/>
    <tableColumn id="2" xr3:uid="{00000000-0010-0000-1300-000002000000}" name="Jahr" dataDxfId="1816"/>
    <tableColumn id="52" xr3:uid="{00000000-0010-0000-1300-000034000000}" name="Lastverschiebung" dataDxfId="1815"/>
    <tableColumn id="53" xr3:uid="{00000000-0010-0000-1300-000035000000}" name="Lastverzicht" dataDxfId="1814"/>
    <tableColumn id="3" xr3:uid="{00000000-0010-0000-1300-000003000000}" name="Potenzial pos. min MW" dataDxfId="1813"/>
    <tableColumn id="38" xr3:uid="{00000000-0010-0000-1300-000026000000}" name="Potenzial pos. MW Durchschnitt" dataDxfId="1812"/>
    <tableColumn id="5" xr3:uid="{00000000-0010-0000-1300-000005000000}" name="Potenzial pos. max MW" dataDxfId="1811"/>
    <tableColumn id="37" xr3:uid="{00000000-0010-0000-1300-000025000000}" name="ausgewiesenes Pot. pos. MW (falls abweichend)" dataDxfId="1810"/>
    <tableColumn id="50" xr3:uid="{00000000-0010-0000-1300-000032000000}" name="Potenzial neg. min MW" dataDxfId="1809"/>
    <tableColumn id="41" xr3:uid="{00000000-0010-0000-1300-000029000000}" name="Potenzial neg. MW Durchschnitt" dataDxfId="1808"/>
    <tableColumn id="6" xr3:uid="{00000000-0010-0000-1300-000006000000}" name="Potenzial neg. max MW" dataDxfId="1807"/>
    <tableColumn id="7" xr3:uid="{00000000-0010-0000-1300-000007000000}" name="Mindestleistung MW" dataDxfId="1806"/>
    <tableColumn id="8" xr3:uid="{00000000-0010-0000-1300-000008000000}" name="Mindestauslastung" dataDxfId="1805" dataCellStyle="Prozent"/>
    <tableColumn id="36" xr3:uid="{00000000-0010-0000-1300-000024000000}" name="flexibilisierbarer Anteil" dataDxfId="1804" dataCellStyle="Prozent"/>
    <tableColumn id="67" xr3:uid="{00000000-0010-0000-1300-000043000000}" name="flexibilisierbarer Anteil an Durchschnittslast" dataDxfId="1803" dataCellStyle="Prozent"/>
    <tableColumn id="65" xr3:uid="{00000000-0010-0000-1300-000041000000}" name="Durchschnittsauslastung" dataDxfId="1802" dataCellStyle="Prozent"/>
    <tableColumn id="44" xr3:uid="{00000000-0010-0000-1300-00002C000000}" name="Durchschnittliche Leistung MW" dataDxfId="1801" dataCellStyle="Prozent"/>
    <tableColumn id="9" xr3:uid="{00000000-0010-0000-1300-000009000000}" name="Maximalleistung MW" dataDxfId="1800"/>
    <tableColumn id="46" xr3:uid="{00000000-0010-0000-1300-00002E000000}" name="Maximalauslastung" dataDxfId="1799" dataCellStyle="Prozent"/>
    <tableColumn id="10" xr3:uid="{00000000-0010-0000-1300-00000A000000}" name="installierte Leistung MW" dataDxfId="1798"/>
    <tableColumn id="11" xr3:uid="{00000000-0010-0000-1300-00000B000000}" name="Aktivierungsdauer (h)" dataDxfId="1797"/>
    <tableColumn id="61" xr3:uid="{00000000-0010-0000-1300-00003D000000}" name="Schaltdauer pos. Min (h)" dataDxfId="1796">
      <calculatedColumnFormula>5/60</calculatedColumnFormula>
    </tableColumn>
    <tableColumn id="60" xr3:uid="{00000000-0010-0000-1300-00003C000000}" name="Schaltdauer pos. max (h)" dataDxfId="1795">
      <calculatedColumnFormula>10/60</calculatedColumnFormula>
    </tableColumn>
    <tableColumn id="12" xr3:uid="{00000000-0010-0000-1300-00000C000000}" name="Schaltdauer pos. (h)" dataDxfId="1794"/>
    <tableColumn id="63" xr3:uid="{00000000-0010-0000-1300-00003F000000}" name="Schaltdauer neg min (h)" dataDxfId="1793"/>
    <tableColumn id="62" xr3:uid="{00000000-0010-0000-1300-00003E000000}" name="Schaltdauer neg. max (h)" dataDxfId="1792"/>
    <tableColumn id="51" xr3:uid="{00000000-0010-0000-1300-000033000000}" name="Schaltdauer neg. (h)" dataDxfId="1791"/>
    <tableColumn id="42" xr3:uid="{00000000-0010-0000-1300-00002A000000}" name="Verschiebedauer min. (h)" dataDxfId="1790"/>
    <tableColumn id="4" xr3:uid="{00000000-0010-0000-1300-000004000000}" name="Verschiebedauer max (h)" dataDxfId="1789"/>
    <tableColumn id="13" xr3:uid="{00000000-0010-0000-1300-00000D000000}" name="Verschiebedauer (h)" dataDxfId="1788"/>
    <tableColumn id="14" xr3:uid="{00000000-0010-0000-1300-00000E000000}" name="Regenerationsdauer (h)" dataDxfId="1787"/>
    <tableColumn id="15" xr3:uid="{00000000-0010-0000-1300-00000F000000}" name="Zeitverfügbarkeit?" dataDxfId="1786"/>
    <tableColumn id="16" xr3:uid="{00000000-0010-0000-1300-000010000000}" name="max. Abrufhäufigkeit pro Woche" dataDxfId="1785"/>
    <tableColumn id="40" xr3:uid="{00000000-0010-0000-1300-000028000000}" name="max. Abrufhäufigkeit pro Jahr" dataDxfId="1784"/>
    <tableColumn id="57" xr3:uid="{00000000-0010-0000-1300-000039000000}" name="min. Investitionsausgaben €_2018/kW" dataDxfId="1783"/>
    <tableColumn id="56" xr3:uid="{00000000-0010-0000-1300-000038000000}" name="max. Investitionsausgaben €_2018/kW" dataDxfId="1782"/>
    <tableColumn id="17" xr3:uid="{00000000-0010-0000-1300-000011000000}" name="Investitionsausgaben €_2018/kW" dataDxfId="1781"/>
    <tableColumn id="59" xr3:uid="{00000000-0010-0000-1300-00003B000000}" name="var. Kosten min. €_2018/MWh" dataDxfId="1780"/>
    <tableColumn id="58" xr3:uid="{00000000-0010-0000-1300-00003A000000}" name="var. Kosten max. €_2018/MWh" dataDxfId="1779"/>
    <tableColumn id="18" xr3:uid="{00000000-0010-0000-1300-000012000000}" name="variable Kosten €_2018/MWh" dataDxfId="1778"/>
    <tableColumn id="64" xr3:uid="{00000000-0010-0000-1300-000040000000}" name="fixe Kosten min. €_2018/kW*a" dataDxfId="1777"/>
    <tableColumn id="19" xr3:uid="{00000000-0010-0000-1300-000013000000}" name="fixe Kosten €_2018/kW*a" dataDxfId="1776"/>
    <tableColumn id="48" xr3:uid="{00000000-0010-0000-1300-000030000000}" name="Investitionsausgaben je Anschlusspunkt (€_2018)" dataDxfId="1775"/>
    <tableColumn id="20" xr3:uid="{00000000-0010-0000-1300-000014000000}" name="Bemerkungen" dataDxfId="1774"/>
    <tableColumn id="55" xr3:uid="{00000000-0010-0000-1300-000037000000}" name="Fundstelle Lastverschiebung" dataDxfId="1773"/>
    <tableColumn id="54" xr3:uid="{00000000-0010-0000-1300-000036000000}" name="Fundstelle Lastverzicht" dataDxfId="1772"/>
    <tableColumn id="21" xr3:uid="{00000000-0010-0000-1300-000015000000}" name="Fundstelle Potenzial pos." dataDxfId="1771"/>
    <tableColumn id="22" xr3:uid="{00000000-0010-0000-1300-000016000000}" name="Fundstelle Potenzial neg." dataDxfId="1770"/>
    <tableColumn id="23" xr3:uid="{00000000-0010-0000-1300-000017000000}" name="Fundstelle Mindestleistung" dataDxfId="1769"/>
    <tableColumn id="43" xr3:uid="{00000000-0010-0000-1300-00002B000000}" name="Funstelle flexibierbarer Anteil" dataDxfId="1768"/>
    <tableColumn id="66" xr3:uid="{00000000-0010-0000-1300-000042000000}" name="Fundstelle Durchschnittsauslastung" dataDxfId="1767"/>
    <tableColumn id="45" xr3:uid="{00000000-0010-0000-1300-00002D000000}" name="Fundstelle durchschnittliche Leistung" dataDxfId="1766"/>
    <tableColumn id="24" xr3:uid="{00000000-0010-0000-1300-000018000000}" name="Fundstelle Maximalleistung" dataDxfId="1765"/>
    <tableColumn id="25" xr3:uid="{00000000-0010-0000-1300-000019000000}" name="Fundstelle installierte Leistung" dataDxfId="1764"/>
    <tableColumn id="39" xr3:uid="{00000000-0010-0000-1300-000027000000}" name="Fundstelle Aktivierungsdauer" dataDxfId="1763"/>
    <tableColumn id="26" xr3:uid="{00000000-0010-0000-1300-00001A000000}" name="Fundstelle Schaltdauer" dataDxfId="1762"/>
    <tableColumn id="27" xr3:uid="{00000000-0010-0000-1300-00001B000000}" name="Fundstelle Verschiebedauer" dataDxfId="1761"/>
    <tableColumn id="28" xr3:uid="{00000000-0010-0000-1300-00001C000000}" name="Fundstelle Regenerationsdauer" dataDxfId="1760"/>
    <tableColumn id="29" xr3:uid="{00000000-0010-0000-1300-00001D000000}" name="Fundstelle Zeitverfügbarkeit" dataDxfId="1759"/>
    <tableColumn id="30" xr3:uid="{00000000-0010-0000-1300-00001E000000}" name="Fundstelle max. Abrufhäufigkeit" dataDxfId="1758"/>
    <tableColumn id="31" xr3:uid="{00000000-0010-0000-1300-00001F000000}" name="Fundstelle Invest" dataDxfId="1757"/>
    <tableColumn id="32" xr3:uid="{00000000-0010-0000-1300-000020000000}" name="Fundstelle var. Kosten" dataDxfId="1756"/>
    <tableColumn id="33" xr3:uid="{00000000-0010-0000-1300-000021000000}" name="Fundstelle fixe Kosten" dataDxfId="1755"/>
    <tableColumn id="49" xr3:uid="{00000000-0010-0000-1300-000031000000}" name="Fundstelle Investition je Anschlusspunkt" dataDxfId="1754"/>
    <tableColumn id="34" xr3:uid="{00000000-0010-0000-1300-000022000000}" name="Fundstelle Bemerkungen" dataDxfId="1753"/>
    <tableColumn id="35" xr3:uid="{00000000-0010-0000-1300-000023000000}" name="eigene Anmerkung" dataDxfId="1752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C000000}" name="Tabelle11" displayName="Tabelle11" ref="A1:D33" totalsRowShown="0" headerRowDxfId="93" dataDxfId="92">
  <autoFilter ref="A1:D33" xr:uid="{00000000-0009-0000-0100-00000B000000}"/>
  <sortState ref="A2:D32">
    <sortCondition ref="A1:A32"/>
  </sortState>
  <tableColumns count="4">
    <tableColumn id="1" xr3:uid="{00000000-0010-0000-1C00-000001000000}" name="Kürzel" dataDxfId="91"/>
    <tableColumn id="2" xr3:uid="{00000000-0010-0000-1C00-000002000000}" name="Kurzbeleg" dataDxfId="90"/>
    <tableColumn id="3" xr3:uid="{00000000-0010-0000-1C00-000003000000}" name="Titel" dataDxfId="89"/>
    <tableColumn id="4" xr3:uid="{00000000-0010-0000-1C00-000004000000}" name="Werte eingepflegt" dataDxfId="88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D000000}" name="Tabelle9" displayName="Tabelle9" ref="A1:E101" totalsRowShown="0" headerRowDxfId="87" dataDxfId="86">
  <autoFilter ref="A1:E101" xr:uid="{00000000-0009-0000-0100-000009000000}"/>
  <tableColumns count="5">
    <tableColumn id="1" xr3:uid="{00000000-0010-0000-1D00-000001000000}" name="Prozess" dataDxfId="85"/>
    <tableColumn id="5" xr3:uid="{00000000-0010-0000-1D00-000005000000}" name="Spezifizierung Verfahren" dataDxfId="84"/>
    <tableColumn id="2" xr3:uid="{00000000-0010-0000-1D00-000002000000}" name="Sektorenzuordnung" dataDxfId="83"/>
    <tableColumn id="3" xr3:uid="{00000000-0010-0000-1D00-000003000000}" name="binär" dataDxfId="82"/>
    <tableColumn id="4" xr3:uid="{00000000-0010-0000-1D00-000004000000}" name="Enscheidung" dataDxfId="81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E32250F-C735-4FD7-86C9-B291BC041453}" name="Tabelle40" displayName="Tabelle40" ref="A1:E101" totalsRowShown="0" headerRowDxfId="80" tableBorderDxfId="79">
  <autoFilter ref="A1:E101" xr:uid="{63BC7FB7-03E5-49C6-9B0C-F1D35128217D}"/>
  <tableColumns count="5">
    <tableColumn id="1" xr3:uid="{88548980-1B5B-409A-9A2C-AE59A93B0A1F}" name="Prozess (ursprüngliche Kategorien)" dataDxfId="78"/>
    <tableColumn id="2" xr3:uid="{B00A6BDF-0A91-4426-A3EE-1E02DD9052C6}" name="Prozesskategorie" dataDxfId="77"/>
    <tableColumn id="5" xr3:uid="{49C26970-5E08-4F15-928F-868EDDE72C87}" name="Prozesskategorie short" dataDxfId="76">
      <calculatedColumnFormula>VLOOKUP(Tabelle40[[#This Row],[Prozesskategorie]],Tabelle94144[[Prozesskategorie]:[Prozesskategorie short]],2,FALSE)</calculatedColumnFormula>
    </tableColumn>
    <tableColumn id="3" xr3:uid="{FC901226-C096-4B1B-AC16-345A2E6E3966}" name="Einstufung" dataDxfId="75"/>
    <tableColumn id="4" xr3:uid="{D16F26F4-DE75-4643-BA59-0BD21A1E58EE}" name="Nutzung?" dataDxfId="74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5708F8A-0BD6-4FCE-8973-58269BF0B146}" name="Tabelle94144" displayName="Tabelle94144" ref="A1:C71" totalsRowShown="0" headerRowDxfId="73" dataDxfId="72">
  <autoFilter ref="A1:C71" xr:uid="{00000000-0009-0000-0100-000009000000}"/>
  <tableColumns count="3">
    <tableColumn id="1" xr3:uid="{5EE1F495-3DBF-4D48-99F2-BA2A3B98DCFF}" name="Prozesskategorie" dataDxfId="71"/>
    <tableColumn id="3" xr3:uid="{20E8877B-882F-49E5-862F-31809C17F284}" name="Prozesskategorie short" dataDxfId="70"/>
    <tableColumn id="5" xr3:uid="{08229E5D-CDBE-4802-B2E8-D163F7701E20}" name="Farbe (matplotlib strings)" dataDxfId="69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7D120C4-67AD-4222-A444-7335A50A9D4E}" name="Tabelle38" displayName="Tabelle38" ref="A1:F99" totalsRowShown="0" headerRowDxfId="68" dataDxfId="67">
  <autoFilter ref="A1:F99" xr:uid="{222969A2-424B-4D1C-97BC-4C7E13940DB0}"/>
  <tableColumns count="6">
    <tableColumn id="1" xr3:uid="{C8C8A81A-7560-4959-B391-5C9F555378F2}" name="Prozess (ursprüngliche Kategorien)" dataDxfId="66"/>
    <tableColumn id="2" xr3:uid="{C419B9E9-C634-4A69-B1A0-FBD49AA95678}" name="Prozesskategorie 1" dataDxfId="65"/>
    <tableColumn id="3" xr3:uid="{5497BC71-22C9-4BB8-B4DC-3BEB062DFE57}" name="Prozesskategorie 2" dataDxfId="64"/>
    <tableColumn id="4" xr3:uid="{94695E2C-A740-4A98-913B-CF0A63086A1F}" name="Prozesskategorie 3" dataDxfId="63"/>
    <tableColumn id="5" xr3:uid="{6BE7F5DE-7121-4923-BBBE-CB2CC17535F6}" name="Einstufung" dataDxfId="62"/>
    <tableColumn id="6" xr3:uid="{172AE78C-BFE5-4F1D-AE6E-900556E7B03D}" name="Nutzung Prozesskategorie 1" dataDxfId="61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E000000}" name="Tabelle58" displayName="Tabelle58" ref="A1:AZ2" totalsRowShown="0" headerRowDxfId="60" dataDxfId="59" tableBorderDxfId="58">
  <autoFilter ref="A1:AZ2" xr:uid="{00000000-0009-0000-0100-000007000000}"/>
  <tableColumns count="52">
    <tableColumn id="1" xr3:uid="{00000000-0010-0000-1E00-000001000000}" name="Prozess" dataDxfId="57"/>
    <tableColumn id="47" xr3:uid="{00000000-0010-0000-1E00-00002F000000}" name="Sektorenzuordnung" dataDxfId="56"/>
    <tableColumn id="2" xr3:uid="{00000000-0010-0000-1E00-000002000000}" name="Jahr" dataDxfId="55"/>
    <tableColumn id="53" xr3:uid="{00000000-0010-0000-1E00-000035000000}" name="Lastverschiebung" dataDxfId="54"/>
    <tableColumn id="52" xr3:uid="{00000000-0010-0000-1E00-000034000000}" name="Lastverzicht" dataDxfId="53"/>
    <tableColumn id="3" xr3:uid="{00000000-0010-0000-1E00-000003000000}" name="Potenzial pos. min MW" dataDxfId="52"/>
    <tableColumn id="4" xr3:uid="{00000000-0010-0000-1E00-000004000000}" name="Potenzial pos. MW Durchschnitt" dataDxfId="51"/>
    <tableColumn id="38" xr3:uid="{00000000-0010-0000-1E00-000026000000}" name="Potenzial pos. max MW" dataDxfId="50"/>
    <tableColumn id="5" xr3:uid="{00000000-0010-0000-1E00-000005000000}" name="ausgewiesenes Pot. pos. MW (falls abweichend)" dataDxfId="49"/>
    <tableColumn id="37" xr3:uid="{00000000-0010-0000-1E00-000025000000}" name="Potenzial neg. min MW2" dataDxfId="48"/>
    <tableColumn id="50" xr3:uid="{00000000-0010-0000-1E00-000032000000}" name="Potenzial neg. MW Durchschnitt4" dataDxfId="47"/>
    <tableColumn id="42" xr3:uid="{00000000-0010-0000-1E00-00002A000000}" name="Potenzial neg. max MW" dataDxfId="46"/>
    <tableColumn id="41" xr3:uid="{00000000-0010-0000-1E00-000029000000}" name="Mindestleistung MW" dataDxfId="45"/>
    <tableColumn id="6" xr3:uid="{00000000-0010-0000-1E00-000006000000}" name="Mindestauslastung" dataDxfId="44" dataCellStyle="Prozent"/>
    <tableColumn id="7" xr3:uid="{00000000-0010-0000-1E00-000007000000}" name="flexibilisierbarer Anteil" dataDxfId="43" dataCellStyle="Prozent"/>
    <tableColumn id="8" xr3:uid="{00000000-0010-0000-1E00-000008000000}" name="Durchschnittliche Leistung MW" dataDxfId="42" dataCellStyle="Prozent"/>
    <tableColumn id="36" xr3:uid="{00000000-0010-0000-1E00-000024000000}" name="Maximalleistung MW" dataDxfId="41" dataCellStyle="Prozent"/>
    <tableColumn id="44" xr3:uid="{00000000-0010-0000-1E00-00002C000000}" name="Maximalauslastung" dataDxfId="40" dataCellStyle="Prozent"/>
    <tableColumn id="9" xr3:uid="{00000000-0010-0000-1E00-000009000000}" name="installierte Leistung MW" dataDxfId="39"/>
    <tableColumn id="46" xr3:uid="{00000000-0010-0000-1E00-00002E000000}" name="Aktivierungsdauer (h)" dataDxfId="38" dataCellStyle="Prozent"/>
    <tableColumn id="10" xr3:uid="{00000000-0010-0000-1E00-00000A000000}" name="Schaltdauer pos. (h)" dataDxfId="37"/>
    <tableColumn id="11" xr3:uid="{00000000-0010-0000-1E00-00000B000000}" name="Verschiebedauer (h)" dataDxfId="36"/>
    <tableColumn id="12" xr3:uid="{00000000-0010-0000-1E00-00000C000000}" name="Regenerationsdauer (h)" dataDxfId="35"/>
    <tableColumn id="51" xr3:uid="{00000000-0010-0000-1E00-000033000000}" name="Zeitverfügbarkeit?" dataDxfId="34"/>
    <tableColumn id="13" xr3:uid="{00000000-0010-0000-1E00-00000D000000}" name="max. Abrufhäufigkeit pro Woche" dataDxfId="33"/>
    <tableColumn id="14" xr3:uid="{00000000-0010-0000-1E00-00000E000000}" name="max. Abrufhäufigkeit pro Jahr" dataDxfId="32"/>
    <tableColumn id="15" xr3:uid="{00000000-0010-0000-1E00-00000F000000}" name="Investitionsausgaben €_2020/kW" dataDxfId="31"/>
    <tableColumn id="16" xr3:uid="{00000000-0010-0000-1E00-000010000000}" name="variable Kosten €_2020/kWh" dataDxfId="30"/>
    <tableColumn id="40" xr3:uid="{00000000-0010-0000-1E00-000028000000}" name="fixe Kosten €_2020/a" dataDxfId="29"/>
    <tableColumn id="17" xr3:uid="{00000000-0010-0000-1E00-000011000000}" name="Investitionsausgaben je Anschlusspunkt (€_2020)" dataDxfId="28"/>
    <tableColumn id="18" xr3:uid="{00000000-0010-0000-1E00-000012000000}" name="Bemerkungen" dataDxfId="27"/>
    <tableColumn id="19" xr3:uid="{00000000-0010-0000-1E00-000013000000}" name="Fundstelle Lastverschiebung" dataDxfId="26"/>
    <tableColumn id="48" xr3:uid="{00000000-0010-0000-1E00-000030000000}" name="Fundstelle Lastverzicht" dataDxfId="25"/>
    <tableColumn id="20" xr3:uid="{00000000-0010-0000-1E00-000014000000}" name="Fundstelle Potenzial pos." dataDxfId="24"/>
    <tableColumn id="55" xr3:uid="{00000000-0010-0000-1E00-000037000000}" name="Fundstelle Potenzial neg." dataDxfId="23"/>
    <tableColumn id="54" xr3:uid="{00000000-0010-0000-1E00-000036000000}" name="Fundstelle Mindestleistung" dataDxfId="22"/>
    <tableColumn id="21" xr3:uid="{00000000-0010-0000-1E00-000015000000}" name="Fundstelle flexibilisierbarer Anteil" dataDxfId="21"/>
    <tableColumn id="22" xr3:uid="{00000000-0010-0000-1E00-000016000000}" name="Fundstelle durchschnittliche Leistung" dataDxfId="20"/>
    <tableColumn id="23" xr3:uid="{00000000-0010-0000-1E00-000017000000}" name="Fundstelle Maximalleistung" dataDxfId="19"/>
    <tableColumn id="43" xr3:uid="{00000000-0010-0000-1E00-00002B000000}" name="Fundstelle installierte Leistung" dataDxfId="18"/>
    <tableColumn id="45" xr3:uid="{00000000-0010-0000-1E00-00002D000000}" name="Fundstelle Aktivierungsdauer" dataDxfId="17"/>
    <tableColumn id="24" xr3:uid="{00000000-0010-0000-1E00-000018000000}" name="Fundstelle Schaltdauer" dataDxfId="16"/>
    <tableColumn id="25" xr3:uid="{00000000-0010-0000-1E00-000019000000}" name="Fundstelle Verschiebedauer" dataDxfId="15"/>
    <tableColumn id="39" xr3:uid="{00000000-0010-0000-1E00-000027000000}" name="Fundstelle Regenerationsdauer" dataDxfId="14"/>
    <tableColumn id="26" xr3:uid="{00000000-0010-0000-1E00-00001A000000}" name="Fundstelle Zeitverfügbarkeit" dataDxfId="13"/>
    <tableColumn id="27" xr3:uid="{00000000-0010-0000-1E00-00001B000000}" name="Fundstelle max. Abrufhäufigkeit" dataDxfId="12"/>
    <tableColumn id="28" xr3:uid="{00000000-0010-0000-1E00-00001C000000}" name="Fundstelle Invest" dataDxfId="11"/>
    <tableColumn id="29" xr3:uid="{00000000-0010-0000-1E00-00001D000000}" name="Fundstelle var. Kosten" dataDxfId="10"/>
    <tableColumn id="30" xr3:uid="{00000000-0010-0000-1E00-00001E000000}" name="Fundstelle fixe Kosten" dataDxfId="9"/>
    <tableColumn id="31" xr3:uid="{00000000-0010-0000-1E00-00001F000000}" name="Fundstelle Investition je Anschlusspunkt" dataDxfId="8"/>
    <tableColumn id="32" xr3:uid="{00000000-0010-0000-1E00-000020000000}" name="Fundstelle Bemerkungen" dataDxfId="7"/>
    <tableColumn id="33" xr3:uid="{00000000-0010-0000-1E00-000021000000}" name="eigene Anmerkung" dataDxfId="6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F000000}" name="Tabelle2" displayName="Tabelle2" ref="A1:G2" insertRow="1" totalsRowShown="0">
  <autoFilter ref="A1:G2" xr:uid="{00000000-0009-0000-0100-000002000000}"/>
  <tableColumns count="7">
    <tableColumn id="1" xr3:uid="{00000000-0010-0000-1F00-000001000000}" name="Prozess" dataDxfId="5"/>
    <tableColumn id="2" xr3:uid="{00000000-0010-0000-1F00-000002000000}" name="Jahr" dataDxfId="4"/>
    <tableColumn id="3" xr3:uid="{00000000-0010-0000-1F00-000003000000}" name="Stromverbrauch"/>
    <tableColumn id="4" xr3:uid="{00000000-0010-0000-1F00-000004000000}" name="Vollbenutzungsstunden"/>
    <tableColumn id="5" xr3:uid="{00000000-0010-0000-1F00-000005000000}" name="Mindestleistung"/>
    <tableColumn id="6" xr3:uid="{00000000-0010-0000-1F00-000006000000}" name="flexible Leistung"/>
    <tableColumn id="7" xr3:uid="{00000000-0010-0000-1F00-000007000000}" name="Quelle"/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20000000}" name="Tabelle21" displayName="Tabelle21" ref="A1:B14" totalsRowShown="0" headerRowDxfId="3" dataDxfId="2">
  <autoFilter ref="A1:B14" xr:uid="{00000000-0009-0000-0100-000015000000}"/>
  <tableColumns count="2">
    <tableColumn id="1" xr3:uid="{00000000-0010-0000-2000-000001000000}" name="Problem" dataDxfId="1"/>
    <tableColumn id="2" xr3:uid="{00000000-0010-0000-2000-000002000000}" name="Methodischer Ansatz zur Ermittlung von Kennwerten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le5897111426" displayName="Tabelle5897111426" ref="A1:AY17" totalsRowShown="0" headerRowDxfId="1751" dataDxfId="1750" tableBorderDxfId="1749">
  <autoFilter ref="A1:AY17" xr:uid="{00000000-0009-0000-0100-000019000000}"/>
  <tableColumns count="51">
    <tableColumn id="1" xr3:uid="{00000000-0010-0000-1500-000001000000}" name="Prozess" dataDxfId="1748"/>
    <tableColumn id="47" xr3:uid="{00000000-0010-0000-1500-00002F000000}" name="Sektorenzuordnung" dataDxfId="1747"/>
    <tableColumn id="2" xr3:uid="{00000000-0010-0000-1500-000002000000}" name="Jahr" dataDxfId="1746"/>
    <tableColumn id="52" xr3:uid="{00000000-0010-0000-1500-000034000000}" name="Lastverschiebung" dataDxfId="1745"/>
    <tableColumn id="53" xr3:uid="{00000000-0010-0000-1500-000035000000}" name="Lastverzicht" dataDxfId="1744"/>
    <tableColumn id="71" xr3:uid="{B0549F9B-39DF-4F07-A532-CDA720445671}" name="Lasterhöhung" dataDxfId="1743"/>
    <tableColumn id="68" xr3:uid="{BE290A01-8736-4086-BB9D-3CC006C49381}" name="Stromverbrauch in TWh" dataDxfId="1742"/>
    <tableColumn id="3" xr3:uid="{00000000-0010-0000-1500-000003000000}" name="Potenzial pos. min MW" dataDxfId="1741"/>
    <tableColumn id="38" xr3:uid="{00000000-0010-0000-1500-000026000000}" name="Potenzial pos. MW Durchschnitt" dataDxfId="1740"/>
    <tableColumn id="5" xr3:uid="{00000000-0010-0000-1500-000005000000}" name="Potenzial pos. max MW Literatur" dataDxfId="1739"/>
    <tableColumn id="72" xr3:uid="{9E398625-227B-4420-90C0-6CFD27B82CD5}" name="Potenzial pos. MW Hochrechnung" dataDxfId="1738"/>
    <tableColumn id="50" xr3:uid="{00000000-0010-0000-1500-000032000000}" name="Potenzial neg. min MW" dataDxfId="1737"/>
    <tableColumn id="41" xr3:uid="{00000000-0010-0000-1500-000029000000}" name="Potenzial neg. MW Durchschnitt" dataDxfId="1736"/>
    <tableColumn id="6" xr3:uid="{00000000-0010-0000-1500-000006000000}" name="Potenzial neg. max MW Literatur" dataDxfId="1735"/>
    <tableColumn id="73" xr3:uid="{B5739B0B-B767-4C04-84BD-5C54DDF639CC}" name="Potenzial neg. MW Hochrechnung" dataDxfId="1734"/>
    <tableColumn id="7" xr3:uid="{00000000-0010-0000-1500-000007000000}" name="Mindestleistung MW" dataDxfId="1733"/>
    <tableColumn id="8" xr3:uid="{00000000-0010-0000-1500-000008000000}" name="Mindestauslastung" dataDxfId="1732" dataCellStyle="Prozent">
      <calculatedColumnFormula>Tabelle5897111426[[#This Row],[Mindestleistung MW]]/Tabelle5897111426[[#This Row],[Maximalleistung MW Literatur]]</calculatedColumnFormula>
    </tableColumn>
    <tableColumn id="36" xr3:uid="{00000000-0010-0000-1500-000024000000}" name="flexibilisierbarer Anteil min" dataDxfId="1731" dataCellStyle="Prozent"/>
    <tableColumn id="70" xr3:uid="{81E1AC3D-5DB5-46DC-94F6-8BEBD606700E}" name="flexibilisierbarer Anteil max" dataDxfId="1730" dataCellStyle="Prozent"/>
    <tableColumn id="65" xr3:uid="{00000000-0010-0000-1500-000041000000}" name="Durchschnittsauslastung Literatur" dataDxfId="1729" dataCellStyle="Prozent">
      <calculatedColumnFormula>Tabelle5897111426[[#This Row],[Durchschnittliche Leistung MW Literatur]]/Tabelle5897111426[[#This Row],[Maximalleistung MW Literatur]]</calculatedColumnFormula>
    </tableColumn>
    <tableColumn id="74" xr3:uid="{C50A3522-D7A6-413D-B71A-F5CF61E1725D}" name="Durchschnittsauslastung Hochrechnung" dataDxfId="1728" dataCellStyle="Prozent">
      <calculatedColumnFormula>Tabelle5897111426[[#This Row],[Durchschnittliche Leistung MW Hochrechnung]]/Tabelle5897111426[[#This Row],[Maximalleistung MW Hochrechnung]]</calculatedColumnFormula>
    </tableColumn>
    <tableColumn id="44" xr3:uid="{00000000-0010-0000-1500-00002C000000}" name="Durchschnittliche Leistung MW Literatur" dataDxfId="1727" dataCellStyle="Prozent"/>
    <tableColumn id="75" xr3:uid="{F3EDB403-EA2D-4F04-B6A7-E769B991DBD1}" name="Durchschnittliche Leistung MW Hochrechnung" dataDxfId="1726" dataCellStyle="Prozent"/>
    <tableColumn id="9" xr3:uid="{00000000-0010-0000-1500-000009000000}" name="Maximalleistung MW Literatur" dataDxfId="1725">
      <calculatedColumnFormula>Tabelle5897111426[[#This Row],[Durchschnittliche Leistung MW Literatur]]*2</calculatedColumnFormula>
    </tableColumn>
    <tableColumn id="77" xr3:uid="{F33E1AFA-E8F3-4C83-A735-54E087284A99}" name="Maximalleistung MW Hochrechnung" dataDxfId="1724"/>
    <tableColumn id="10" xr3:uid="{00000000-0010-0000-1500-00000A000000}" name="installierte Leistung MW Literatur" dataDxfId="1723">
      <calculatedColumnFormula>Tabelle5897111426[[#This Row],[Maximalleistung MW Literatur]]</calculatedColumnFormula>
    </tableColumn>
    <tableColumn id="78" xr3:uid="{07A9C1DA-5F07-4EE4-B709-237E6392DD0C}" name="installierte Leistung MW Hochrechnung" dataDxfId="1722"/>
    <tableColumn id="42" xr3:uid="{00000000-0010-0000-1500-00002A000000}" name="Verschiebedauer min. (h)" dataDxfId="1721"/>
    <tableColumn id="4" xr3:uid="{00000000-0010-0000-1500-000004000000}" name="Verschiebedauer max (h)" dataDxfId="1720"/>
    <tableColumn id="15" xr3:uid="{00000000-0010-0000-1500-00000F000000}" name="Zeitverfügbarkeit?" dataDxfId="1719"/>
    <tableColumn id="16" xr3:uid="{00000000-0010-0000-1500-000010000000}" name="max. Abrufhäufigkeit pro Woche" dataDxfId="1718"/>
    <tableColumn id="40" xr3:uid="{00000000-0010-0000-1500-000028000000}" name="max. Abrufhäufigkeit pro Jahr" dataDxfId="1717">
      <calculatedColumnFormula>Tabelle5897111426[[#This Row],[max. Abrufhäufigkeit pro Woche]]*52.1428571428571</calculatedColumnFormula>
    </tableColumn>
    <tableColumn id="59" xr3:uid="{00000000-0010-0000-1500-00003B000000}" name="var. Kosten min. €_2020/MWh" dataDxfId="1716"/>
    <tableColumn id="58" xr3:uid="{00000000-0010-0000-1500-00003A000000}" name="var. Kosten max. €_2020/MWh" dataDxfId="1715"/>
    <tableColumn id="20" xr3:uid="{00000000-0010-0000-1500-000014000000}" name="Bemerkungen" dataDxfId="1714"/>
    <tableColumn id="55" xr3:uid="{00000000-0010-0000-1500-000037000000}" name="Fundstelle Lastverschiebung" dataDxfId="1713"/>
    <tableColumn id="54" xr3:uid="{00000000-0010-0000-1500-000036000000}" name="Fundstelle Lastverzicht" dataDxfId="1712"/>
    <tableColumn id="21" xr3:uid="{00000000-0010-0000-1500-000015000000}" name="Fundstelle Potenzial pos." dataDxfId="1711"/>
    <tableColumn id="22" xr3:uid="{00000000-0010-0000-1500-000016000000}" name="Fundstelle Potenzial neg." dataDxfId="1710"/>
    <tableColumn id="23" xr3:uid="{00000000-0010-0000-1500-000017000000}" name="Fundstelle Mindestleistung" dataDxfId="1709"/>
    <tableColumn id="43" xr3:uid="{00000000-0010-0000-1500-00002B000000}" name="Fundstelle flexibilisierbarer Anteil" dataDxfId="1708"/>
    <tableColumn id="66" xr3:uid="{00000000-0010-0000-1500-000042000000}" name="Fundstelle Durchschnittsauslastung" dataDxfId="1707"/>
    <tableColumn id="45" xr3:uid="{00000000-0010-0000-1500-00002D000000}" name="Fundstelle durchschnittliche Leistung" dataDxfId="1706"/>
    <tableColumn id="24" xr3:uid="{00000000-0010-0000-1500-000018000000}" name="Fundstelle Maximalleistung" dataDxfId="1705"/>
    <tableColumn id="25" xr3:uid="{00000000-0010-0000-1500-000019000000}" name="Fundstelle installierte Leistung" dataDxfId="1704"/>
    <tableColumn id="27" xr3:uid="{00000000-0010-0000-1500-00001B000000}" name="Fundstelle Verschiebedauer" dataDxfId="1703"/>
    <tableColumn id="28" xr3:uid="{00000000-0010-0000-1500-00001C000000}" name="Fundstelle Regenerationsdauer" dataDxfId="1702"/>
    <tableColumn id="29" xr3:uid="{00000000-0010-0000-1500-00001D000000}" name="Fundstelle Zeitverfügbarkeit" dataDxfId="1701"/>
    <tableColumn id="30" xr3:uid="{00000000-0010-0000-1500-00001E000000}" name="Fundstelle max. Abrufhäufigkeit" dataDxfId="1700"/>
    <tableColumn id="32" xr3:uid="{00000000-0010-0000-1500-000020000000}" name="Fundstelle var. Kosten" dataDxfId="1699"/>
    <tableColumn id="34" xr3:uid="{00000000-0010-0000-1500-000022000000}" name="Fundstelle Bemerkungen" dataDxfId="169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abelle58971115" displayName="Tabelle58971115" ref="A1:BM121" totalsRowShown="0" headerRowDxfId="1697" dataDxfId="1696" tableBorderDxfId="1695">
  <autoFilter ref="A1:BM121" xr:uid="{00000000-0009-0000-0100-00000E000000}">
    <filterColumn colId="3">
      <filters>
        <filter val="2010"/>
      </filters>
    </filterColumn>
  </autoFilter>
  <tableColumns count="65">
    <tableColumn id="1" xr3:uid="{00000000-0010-0000-0900-000001000000}" name="Prozess" dataDxfId="1694"/>
    <tableColumn id="47" xr3:uid="{00000000-0010-0000-0900-00002F000000}" name="Sektorenzuordnung" dataDxfId="1693"/>
    <tableColumn id="76" xr3:uid="{00000000-0010-0000-0900-00004C000000}" name="Gruppenzuordnung" dataDxfId="1692">
      <calculatedColumnFormula>VLOOKUP(Tabelle58971115[[#This Row],[Prozess]],Tabelle22333[],3,FALSE)</calculatedColumnFormula>
    </tableColumn>
    <tableColumn id="2" xr3:uid="{00000000-0010-0000-0900-000002000000}" name="Jahr" dataDxfId="1691"/>
    <tableColumn id="52" xr3:uid="{00000000-0010-0000-0900-000034000000}" name="Lastverschiebung" dataDxfId="1690"/>
    <tableColumn id="53" xr3:uid="{00000000-0010-0000-0900-000035000000}" name="Lastverzicht" dataDxfId="1689"/>
    <tableColumn id="83" xr3:uid="{D00C9E1C-CA55-47FC-B1C2-2694ECF1425A}" name="Lasterhöhung" dataDxfId="1688"/>
    <tableColumn id="69" xr3:uid="{00000000-0010-0000-0900-000045000000}" name="vorziehen" dataDxfId="1687"/>
    <tableColumn id="68" xr3:uid="{00000000-0010-0000-0900-000044000000}" name="verzögern" dataDxfId="1686"/>
    <tableColumn id="67" xr3:uid="{00000000-0010-0000-0900-000043000000}" name="Stromverbrauch in TWh" dataDxfId="1685"/>
    <tableColumn id="87" xr3:uid="{73478AAB-DF67-4DD5-8616-D6123C8EA183}" name="jährliche Produktion kt" dataDxfId="1684"/>
    <tableColumn id="86" xr3:uid="{76404C21-E30C-4A04-8D9C-8FBB8F9F0DD5}" name="spez. StV kWh/t" dataDxfId="1683"/>
    <tableColumn id="3" xr3:uid="{00000000-0010-0000-0900-000003000000}" name="Potenzial pos. min MW" dataDxfId="1682"/>
    <tableColumn id="38" xr3:uid="{00000000-0010-0000-0900-000026000000}" name="Potenzial pos. MW Durchschnitt" dataDxfId="1681"/>
    <tableColumn id="89" xr3:uid="{CAA70E46-D84B-4E9B-9B59-614D4CF40AD1}" name="Potenzial pos. MW Durchschnitt Lastverzicht" dataDxfId="1680"/>
    <tableColumn id="41" xr3:uid="{00000000-0010-0000-0900-000029000000}" name="Potenzial neg. MW Durchschnitt" dataDxfId="1679"/>
    <tableColumn id="8" xr3:uid="{00000000-0010-0000-0900-000008000000}" name="Mindestauslastung" dataDxfId="1678" dataCellStyle="Prozent"/>
    <tableColumn id="72" xr3:uid="{00000000-0010-0000-0900-000048000000}" name="flex. Anteil pos." dataDxfId="1677" dataCellStyle="Prozent"/>
    <tableColumn id="71" xr3:uid="{00000000-0010-0000-0900-000047000000}" name="flex. Anteil neg." dataDxfId="1676" dataCellStyle="Prozent"/>
    <tableColumn id="65" xr3:uid="{00000000-0010-0000-0900-000041000000}" name="Durchschnittsauslastung im Betriebszeitraum" dataDxfId="1675" dataCellStyle="Prozent"/>
    <tableColumn id="85" xr3:uid="{F3E08D92-44E7-48C6-B894-FB6D6A5AE1E4}" name="Durchschnittsauslastung" dataDxfId="1674" dataCellStyle="Prozent">
      <calculatedColumnFormula>IF(AND(Tabelle58971115[[#This Row],[Durchschnittsauslastung im Betriebszeitraum]]&lt;&gt;"",Tabelle58971115[[#This Row],[Revisionszeiten]]&lt;&gt;""),Tabelle58971115[[#This Row],[Durchschnittsauslastung im Betriebszeitraum]]-Tabelle58971115[[#This Row],[Revisionszeiten]],"")</calculatedColumnFormula>
    </tableColumn>
    <tableColumn id="84" xr3:uid="{F3FC572C-A654-4A1F-A464-E831176BA120}" name="Revisionszeiten" dataDxfId="1673" dataCellStyle="Prozent"/>
    <tableColumn id="80" xr3:uid="{00000000-0010-0000-0900-000050000000}" name="Wirkungsgrad min. (%)" dataDxfId="1672"/>
    <tableColumn id="79" xr3:uid="{00000000-0010-0000-0900-00004F000000}" name="Wirkungsgrad max. (%)" dataDxfId="1671"/>
    <tableColumn id="77" xr3:uid="{00000000-0010-0000-0900-00004D000000}" name="Wirkungsgrad (%)" dataDxfId="1670"/>
    <tableColumn id="12" xr3:uid="{00000000-0010-0000-0900-00000C000000}" name="Schaltdauer pos. (h)" dataDxfId="1669"/>
    <tableColumn id="90" xr3:uid="{74DEA5F0-EEB6-4F9A-94D5-8A37F6BC374F}" name="Schaltdauer pos. (h) Lastverzicht" dataDxfId="1668"/>
    <tableColumn id="63" xr3:uid="{00000000-0010-0000-0900-00003F000000}" name="Schaltdauer neg min (h)" dataDxfId="1667"/>
    <tableColumn id="51" xr3:uid="{00000000-0010-0000-0900-000033000000}" name="Schaltdauer neg. (h)" dataDxfId="1666"/>
    <tableColumn id="42" xr3:uid="{00000000-0010-0000-0900-00002A000000}" name="Verschiebedauer min. (h)" dataDxfId="1665"/>
    <tableColumn id="4" xr3:uid="{00000000-0010-0000-0900-000004000000}" name="Verschiebedauer max (h)" dataDxfId="1664"/>
    <tableColumn id="13" xr3:uid="{00000000-0010-0000-0900-00000D000000}" name="Verschiebedauer (h)" dataDxfId="1663"/>
    <tableColumn id="14" xr3:uid="{00000000-0010-0000-0900-00000E000000}" name="Regenerationsdauer (h)" dataDxfId="1662"/>
    <tableColumn id="15" xr3:uid="{00000000-0010-0000-0900-00000F000000}" name="Zeitverfügbarkeit?" dataDxfId="1661"/>
    <tableColumn id="70" xr3:uid="{00000000-0010-0000-0900-000046000000}" name="Temperaturabhängigkeit?" dataDxfId="1660"/>
    <tableColumn id="82" xr3:uid="{00000000-0010-0000-0900-000052000000}" name="max. Abrufhäufigkeit pro Tag" dataDxfId="1659"/>
    <tableColumn id="40" xr3:uid="{00000000-0010-0000-0900-000028000000}" name="max. Abrufhäufigkeit pro Jahr" dataDxfId="1658"/>
    <tableColumn id="91" xr3:uid="{2C86A030-BC6C-45B8-8F3D-7C52D34E3116}" name="max. Abrufhäufigkeit pro Jahr Lastverzicht" dataDxfId="1657"/>
    <tableColumn id="17" xr3:uid="{00000000-0010-0000-0900-000011000000}" name="Investitionsausgaben €_2020/kW" dataDxfId="1656"/>
    <tableColumn id="18" xr3:uid="{00000000-0010-0000-0900-000012000000}" name="variable Kosten €_2020/MWh" dataDxfId="1655"/>
    <tableColumn id="88" xr3:uid="{0E1A3CC7-783F-4411-8606-CEAE4B49D0F5}" name="variable Kosten Lastverzicht €_2020/MWh" dataDxfId="1654">
      <calculatedColumnFormula>1*10^3*Umrechnungsfaktoren!$B$15/Umrechnungsfaktoren!$B$11</calculatedColumnFormula>
    </tableColumn>
    <tableColumn id="64" xr3:uid="{00000000-0010-0000-0900-000040000000}" name="fixe Kosten min. €_2020/kW*a" dataDxfId="1653"/>
    <tableColumn id="19" xr3:uid="{00000000-0010-0000-0900-000013000000}" name="fixe Kosten €_2020/kW*a" dataDxfId="1652"/>
    <tableColumn id="58" xr3:uid="{00000000-0010-0000-0900-00003A000000}" name="durchschnittliche Verfügbarkeit (% p.a.)" dataDxfId="1651"/>
    <tableColumn id="20" xr3:uid="{00000000-0010-0000-0900-000014000000}" name="Bemerkungen" dataDxfId="1650"/>
    <tableColumn id="55" xr3:uid="{00000000-0010-0000-0900-000037000000}" name="Fundstelle Lastverschiebung" dataDxfId="1649"/>
    <tableColumn id="54" xr3:uid="{00000000-0010-0000-0900-000036000000}" name="Fundstelle Lastverzicht" dataDxfId="1648"/>
    <tableColumn id="74" xr3:uid="{00000000-0010-0000-0900-00004A000000}" name="Fundstelle verzögern/vorziehen" dataDxfId="1647"/>
    <tableColumn id="73" xr3:uid="{00000000-0010-0000-0900-000049000000}" name="Fundstelle Stromverbrauch" dataDxfId="1646"/>
    <tableColumn id="21" xr3:uid="{00000000-0010-0000-0900-000015000000}" name="Fundstelle Potenzial pos." dataDxfId="1645"/>
    <tableColumn id="22" xr3:uid="{00000000-0010-0000-0900-000016000000}" name="Fundstelle Potenzial neg." dataDxfId="1644"/>
    <tableColumn id="75" xr3:uid="{00000000-0010-0000-0900-00004B000000}" name="Fundstelle Mindestauslastung" dataDxfId="1643"/>
    <tableColumn id="43" xr3:uid="{00000000-0010-0000-0900-00002B000000}" name="Fundstelle flexibilisierbarer Anteil" dataDxfId="1642"/>
    <tableColumn id="66" xr3:uid="{00000000-0010-0000-0900-000042000000}" name="Fundstelle Durchschnittsauslastung" dataDxfId="1641"/>
    <tableColumn id="78" xr3:uid="{00000000-0010-0000-0900-00004E000000}" name="Fundstelle Wirkungsgrad" dataDxfId="1640"/>
    <tableColumn id="26" xr3:uid="{00000000-0010-0000-0900-00001A000000}" name="Fundstelle Schaltdauer" dataDxfId="1639"/>
    <tableColumn id="27" xr3:uid="{00000000-0010-0000-0900-00001B000000}" name="Fundstelle Verschiebedauer" dataDxfId="1638"/>
    <tableColumn id="28" xr3:uid="{00000000-0010-0000-0900-00001C000000}" name="Fundstelle Regenerationsdauer" dataDxfId="1637"/>
    <tableColumn id="29" xr3:uid="{00000000-0010-0000-0900-00001D000000}" name="Fundstelle Zeitverfügbarkeit" dataDxfId="1636"/>
    <tableColumn id="30" xr3:uid="{00000000-0010-0000-0900-00001E000000}" name="Fundstelle max. Abrufhäufigkeit" dataDxfId="1635"/>
    <tableColumn id="31" xr3:uid="{00000000-0010-0000-0900-00001F000000}" name="Fundstelle Invest" dataDxfId="1634"/>
    <tableColumn id="32" xr3:uid="{00000000-0010-0000-0900-000020000000}" name="Fundstelle var. Kosten" dataDxfId="1633"/>
    <tableColumn id="33" xr3:uid="{00000000-0010-0000-0900-000021000000}" name="Fundstelle fixe Kosten" dataDxfId="1632"/>
    <tableColumn id="81" xr3:uid="{00000000-0010-0000-0900-000051000000}" name="Fundstelle durchschn. Verfügbarkeit" dataDxfId="1631"/>
    <tableColumn id="35" xr3:uid="{00000000-0010-0000-0900-000023000000}" name="eigene Anmerkung" dataDxfId="163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D94B9E8-0300-493E-90B3-9DC30C6FD01F}" name="Tabelle589711142925" displayName="Tabelle589711142925" ref="A1:Y23" totalsRowShown="0" headerRowDxfId="1629" dataDxfId="1628" tableBorderDxfId="1627">
  <autoFilter ref="A1:Y23" xr:uid="{7EAE93F4-011F-46D7-80B5-BF43F400E70A}"/>
  <tableColumns count="25">
    <tableColumn id="1" xr3:uid="{045C2232-272F-4C0E-A404-0DA4AF632BE0}" name="Prozess" dataDxfId="1626"/>
    <tableColumn id="47" xr3:uid="{8495DA7A-9A6F-4013-B722-627056C22C67}" name="Sektorenzuordnung" dataDxfId="1625"/>
    <tableColumn id="2" xr3:uid="{5F3BB2BF-0030-4870-8CE7-A6BCF3B5650A}" name="Jahr" dataDxfId="1624"/>
    <tableColumn id="52" xr3:uid="{AE97C1CB-42DB-4746-A36D-3FD73C4F33DA}" name="Lastverschiebung" dataDxfId="1623"/>
    <tableColumn id="53" xr3:uid="{F7B83E07-5B62-4092-A86A-1EBB0455F116}" name="Lastverzicht" dataDxfId="1622"/>
    <tableColumn id="69" xr3:uid="{C2AD5E8D-EA9D-4019-BED4-233E90018CAB}" name="Lasterhöhung" dataDxfId="1621"/>
    <tableColumn id="5" xr3:uid="{B21FD136-F085-438A-9924-CD0D51483B05}" name="Potenzial pos. max MW Referenz" dataDxfId="1620"/>
    <tableColumn id="70" xr3:uid="{AAE5CB0A-F53F-486F-AAE9-9F758DF761ED}" name="Potenzial pos. max MW optimistisch (Szenario 2)" dataDxfId="1619"/>
    <tableColumn id="6" xr3:uid="{D8F7CFB2-101F-441C-BB94-E7EFB9D8CDE4}" name="Potenzial neg. max MW Referenz" dataDxfId="1618"/>
    <tableColumn id="71" xr3:uid="{F33F00BC-C9E3-48CD-B3B7-38144677E60D}" name="Potenzial neg. max MW optimistisch (Szenario 2)" dataDxfId="1617"/>
    <tableColumn id="36" xr3:uid="{2B34BD4D-73F4-48A6-B584-962F72941DF5}" name="flexibilisierbarer Anteil Referenz" dataDxfId="1616" dataCellStyle="Prozent"/>
    <tableColumn id="72" xr3:uid="{7A6C2CC3-F7C2-4F9C-999E-51F05B5C59D1}" name="flexibilisierbarer Anteil optimistisch (Szenario 2)" dataDxfId="1615" dataCellStyle="Prozent"/>
    <tableColumn id="9" xr3:uid="{552A5609-B18E-41A4-8FFC-904789674D74}" name="Maximalleistung MW Referenz" dataDxfId="1614">
      <calculatedColumnFormula>Tabelle589711142925[[#This Row],[Potenzial pos. max MW Referenz]]/Tabelle589711142925[[#This Row],[flexibilisierbarer Anteil Referenz]]</calculatedColumnFormula>
    </tableColumn>
    <tableColumn id="73" xr3:uid="{1FD7190F-3159-40B2-97A8-71358D96849F}" name="Maximalleistung MW optimistisch (Szenario 2)" dataDxfId="1613">
      <calculatedColumnFormula>Tabelle589711142925[[#This Row],[Potenzial pos. max MW optimistisch (Szenario 2)]]/Tabelle589711142925[[#This Row],[flexibilisierbarer Anteil optimistisch (Szenario 2)]]</calculatedColumnFormula>
    </tableColumn>
    <tableColumn id="42" xr3:uid="{817FA22F-D712-4706-9B28-FBE68D33796E}" name="Verschiebedauer min. (h)" dataDxfId="1612"/>
    <tableColumn id="4" xr3:uid="{D0BAC23A-A00A-4D26-8B9E-AE934026C61F}" name="Verschiebedauer max (h)" dataDxfId="1611"/>
    <tableColumn id="13" xr3:uid="{90AE4397-79B7-4FA1-AC6A-4B5B5DCD495C}" name="Verschiebedauer (h) Referenz" dataDxfId="1610"/>
    <tableColumn id="14" xr3:uid="{96F84580-8C22-4ACD-A1E1-DD512D98B5EA}" name="Verschiebedauer (h) optimistisch (Szenario 2)" dataDxfId="1609"/>
    <tableColumn id="55" xr3:uid="{BB4CF91F-7FC2-4EDA-AA87-F78DB28FCAB5}" name="Fundstelle Lastverschiebung" dataDxfId="1608"/>
    <tableColumn id="54" xr3:uid="{4CC1BC5F-41CB-4C93-A647-5360CB4E91B2}" name="Fundstelle Lastverzicht" dataDxfId="1607"/>
    <tableColumn id="21" xr3:uid="{A6AC0C1F-6B9A-4521-9413-31DE9AFA8D4C}" name="Fundstelle Potenzial pos." dataDxfId="1606"/>
    <tableColumn id="22" xr3:uid="{EF3F114A-DB07-4E45-AD14-B5EB9C568644}" name="Fundstelle Potenzial neg." dataDxfId="1605"/>
    <tableColumn id="43" xr3:uid="{354E5854-DE4C-4A4E-9DBD-0860038E3407}" name="Fundstelle flexibilisierbarer Anteil" dataDxfId="1604"/>
    <tableColumn id="24" xr3:uid="{F8FD73D7-2FFE-49F6-94A1-F63AB9F28A86}" name="Fundstelle Maximalleistung" dataDxfId="1603"/>
    <tableColumn id="27" xr3:uid="{11A34591-0037-4C25-B158-6FBF5F6A874A}" name="Fundstelle Verschiebedauer" dataDxfId="160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936D27A-A89D-49D4-936C-A79372CFF782}" name="Tabelle58971117283235" displayName="Tabelle58971117283235" ref="A1:N15" totalsRowShown="0" headerRowDxfId="1601" dataDxfId="1600" tableBorderDxfId="1599">
  <autoFilter ref="A1:N15" xr:uid="{F701B2EC-E2AD-4208-957E-2645E6882D66}"/>
  <tableColumns count="14">
    <tableColumn id="1" xr3:uid="{60D4FDA9-9997-4B0E-8D45-9838C956EF80}" name="Prozess" dataDxfId="1598"/>
    <tableColumn id="47" xr3:uid="{3231BF80-5E4F-4907-B3C3-2F56FD15997B}" name="Sektorenzuordnung" dataDxfId="1597"/>
    <tableColumn id="2" xr3:uid="{ECDD713F-C18D-429B-892D-DB72464D78C1}" name="Jahr" dataDxfId="1596"/>
    <tableColumn id="52" xr3:uid="{904721C5-89FE-4DA0-9791-F6CD7835911F}" name="Lastverschiebung" dataDxfId="1595"/>
    <tableColumn id="53" xr3:uid="{EEE37A9B-F349-4734-A8D3-9F403FCBEF68}" name="Lastverzicht" dataDxfId="1594"/>
    <tableColumn id="68" xr3:uid="{668C5A4A-EE00-401A-AAD5-5EB8A19598D4}" name="Lasterhöhung" dataDxfId="1593"/>
    <tableColumn id="75" xr3:uid="{30D504FD-89B3-4972-BDDD-1D0FDB03908D}" name="Potenzial pos. MW Durchschnitt" dataDxfId="1592"/>
    <tableColumn id="41" xr3:uid="{D059C1AC-18C1-4F8A-A018-145D4F0332AB}" name="Potenzial neg. MW Durchschnitt" dataDxfId="1591"/>
    <tableColumn id="13" xr3:uid="{2D701B35-5F44-4AF9-8800-0CF72DEE713D}" name="Verschiebedauer (h)" dataDxfId="1590"/>
    <tableColumn id="55" xr3:uid="{31D6DB02-4012-4AA2-91AB-D48F8329F0A2}" name="Fundstelle Lastverschiebung" dataDxfId="1589"/>
    <tableColumn id="54" xr3:uid="{B7C38E36-9CA7-4324-9229-28127122B928}" name="Fundstelle Lastverzicht" dataDxfId="1588"/>
    <tableColumn id="21" xr3:uid="{106BB4FE-66C5-4C8E-BFE9-E1C42C35EA3E}" name="Fundstelle Potenzial pos." dataDxfId="1587"/>
    <tableColumn id="22" xr3:uid="{50973332-0E8D-4999-8298-3549B8C2A2EC}" name="Fundstelle Potenzial neg." dataDxfId="1586"/>
    <tableColumn id="27" xr3:uid="{28956575-1520-4CC4-B4C5-9F516A0B6E5D}" name="Fundstelle Verschiebedauer" dataDxfId="1585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elle58971120" displayName="Tabelle58971120" ref="A1:AZ34" totalsRowShown="0" headerRowDxfId="1584" dataDxfId="1583" tableBorderDxfId="1582">
  <autoFilter ref="A1:AZ34" xr:uid="{00000000-0009-0000-0100-000013000000}"/>
  <tableColumns count="52">
    <tableColumn id="1" xr3:uid="{00000000-0010-0000-1100-000001000000}" name="Prozess" dataDxfId="1581"/>
    <tableColumn id="47" xr3:uid="{00000000-0010-0000-1100-00002F000000}" name="Sektorenzuordnung" dataDxfId="1580"/>
    <tableColumn id="2" xr3:uid="{00000000-0010-0000-1100-000002000000}" name="Jahr" dataDxfId="1579"/>
    <tableColumn id="52" xr3:uid="{00000000-0010-0000-1100-000034000000}" name="Lastverschiebung" dataDxfId="1578"/>
    <tableColumn id="53" xr3:uid="{00000000-0010-0000-1100-000035000000}" name="Lastverzicht" dataDxfId="1577"/>
    <tableColumn id="78" xr3:uid="{BB48C46C-C55A-4A5F-BB39-EAC2DD6DCCA5}" name="Lasterhöhung" dataDxfId="1576"/>
    <tableColumn id="67" xr3:uid="{00000000-0010-0000-1100-000043000000}" name="Stromverbrauch in TWh" dataDxfId="1575"/>
    <tableColumn id="38" xr3:uid="{00000000-0010-0000-1100-000026000000}" name="Potenzial pos. MW Durchschnitt" dataDxfId="1574"/>
    <tableColumn id="71" xr3:uid="{00000000-0010-0000-1100-000047000000}" name="Potenzial pos. max MW Lastverzicht" dataDxfId="1573"/>
    <tableColumn id="41" xr3:uid="{00000000-0010-0000-1100-000029000000}" name="Potenzial neg. MW Durchschnitt" dataDxfId="1572"/>
    <tableColumn id="36" xr3:uid="{00000000-0010-0000-1100-000024000000}" name="flexibilisierbarer Anteil pos. an Durchschnittsauslastung" dataDxfId="1571" dataCellStyle="Prozent"/>
    <tableColumn id="69" xr3:uid="{00000000-0010-0000-1100-000045000000}" name="flexibilisierbarer Anteil neg. an Durchschnittsauslastung" dataDxfId="1570" dataCellStyle="Prozent"/>
    <tableColumn id="70" xr3:uid="{00000000-0010-0000-1100-000046000000}" name="Betriebsstunden p.a." dataDxfId="1569" dataCellStyle="Prozent"/>
    <tableColumn id="44" xr3:uid="{00000000-0010-0000-1100-00002C000000}" name="Durchschnittliche Leistung MW" dataDxfId="1568" dataCellStyle="Prozent"/>
    <tableColumn id="11" xr3:uid="{00000000-0010-0000-1100-00000B000000}" name="Aktivierungsdauer (h)" dataDxfId="1567"/>
    <tableColumn id="61" xr3:uid="{00000000-0010-0000-1100-00003D000000}" name="Schaltdauer pos. min (h)" dataDxfId="1566">
      <calculatedColumnFormula>2/60</calculatedColumnFormula>
    </tableColumn>
    <tableColumn id="60" xr3:uid="{00000000-0010-0000-1100-00003C000000}" name="Schaltdauer pos. max (h)" dataDxfId="1565"/>
    <tableColumn id="81" xr3:uid="{24D4329C-6A8F-4D4B-B1E1-A0045511F0D3}" name="Schaltdauer pos. min (h) Lastverzicht" dataDxfId="1564"/>
    <tableColumn id="80" xr3:uid="{9849B2FC-C05C-403A-B551-F92D45AFDC85}" name="Schaltdauer pos. max (h) Lastverzicht" dataDxfId="1563"/>
    <tableColumn id="12" xr3:uid="{00000000-0010-0000-1100-00000C000000}" name="Schaltdauer pos. (h)" dataDxfId="1562"/>
    <tableColumn id="79" xr3:uid="{5AD04540-F962-44EE-9B0E-E72A2A85ED5B}" name="Schaltdauer pos. (h) Lastverzicht" dataDxfId="1561"/>
    <tableColumn id="63" xr3:uid="{00000000-0010-0000-1100-00003F000000}" name="Schaltdauer neg min (h)" dataDxfId="1560"/>
    <tableColumn id="62" xr3:uid="{00000000-0010-0000-1100-00003E000000}" name="Schaltdauer neg. max (h)" dataDxfId="1559"/>
    <tableColumn id="51" xr3:uid="{00000000-0010-0000-1100-000033000000}" name="Schaltdauer neg. (h)" dataDxfId="1558"/>
    <tableColumn id="14" xr3:uid="{00000000-0010-0000-1100-00000E000000}" name="Regenerationsdauer pos. (h)" dataDxfId="1557"/>
    <tableColumn id="76" xr3:uid="{00000000-0010-0000-1100-00004C000000}" name="Regenerationsdauer neg. (h)" dataDxfId="1556"/>
    <tableColumn id="40" xr3:uid="{00000000-0010-0000-1100-000028000000}" name="max. Abrufhäufigkeit pro Jahr" dataDxfId="1555"/>
    <tableColumn id="82" xr3:uid="{1361399C-7671-42F6-AE28-BA969E9A2C62}" name="max. Abrufhäufigkeit pro Jahr Lastverschiebung" dataDxfId="1554"/>
    <tableColumn id="57" xr3:uid="{00000000-0010-0000-1100-000039000000}" name="min. Investitionsausgaben €_2020/kW" dataDxfId="1553">
      <calculatedColumnFormula>0.2*Umrechnungsfaktoren!$B$15/Umrechnungsfaktoren!$B$14</calculatedColumnFormula>
    </tableColumn>
    <tableColumn id="56" xr3:uid="{00000000-0010-0000-1100-000038000000}" name="max. Investitionsausgaben €_2020/kW" dataDxfId="1552">
      <calculatedColumnFormula>0.9*Umrechnungsfaktoren!$B$15/Umrechnungsfaktoren!$B$14</calculatedColumnFormula>
    </tableColumn>
    <tableColumn id="17" xr3:uid="{00000000-0010-0000-1100-000011000000}" name="Investitionsausgaben €_2020/kW" dataDxfId="1551">
      <calculatedColumnFormula>0.5*Umrechnungsfaktoren!$B$15/Umrechnungsfaktoren!$B$14</calculatedColumnFormula>
    </tableColumn>
    <tableColumn id="18" xr3:uid="{00000000-0010-0000-1100-000012000000}" name="variable Kosten pos. €_2020/MWh" dataDxfId="1550">
      <calculatedColumnFormula>7.2*Umrechnungsfaktoren!$B$15/Umrechnungsfaktoren!$B$14</calculatedColumnFormula>
    </tableColumn>
    <tableColumn id="77" xr3:uid="{00000000-0010-0000-1100-00004D000000}" name="variable Kosten neg. €_2020/MWh" dataDxfId="1549">
      <calculatedColumnFormula>27.7*Umrechnungsfaktoren!$B$15/Umrechnungsfaktoren!$B$14</calculatedColumnFormula>
    </tableColumn>
    <tableColumn id="72" xr3:uid="{00000000-0010-0000-1100-000048000000}" name="variable Kosten Lastverzicht €_2020/MWh" dataDxfId="1548">
      <calculatedColumnFormula>96*Umrechnungsfaktoren!$B$15/Umrechnungsfaktoren!$B$14</calculatedColumnFormula>
    </tableColumn>
    <tableColumn id="19" xr3:uid="{00000000-0010-0000-1100-000013000000}" name="fixe Kosten €_2020/kW*a" dataDxfId="1547">
      <calculatedColumnFormula>0.05*Umrechnungsfaktoren!$B$15/Umrechnungsfaktoren!$B$14</calculatedColumnFormula>
    </tableColumn>
    <tableColumn id="48" xr3:uid="{00000000-0010-0000-1100-000030000000}" name="Investitionsausgaben je Anschlusspunkt (€_2020)" dataDxfId="1546">
      <calculatedColumnFormula>3000*Umrechnungsfaktoren!$B$15/Umrechnungsfaktoren!$B$14</calculatedColumnFormula>
    </tableColumn>
    <tableColumn id="73" xr3:uid="{00000000-0010-0000-1100-000049000000}" name="Wirkungsgrad pos." dataDxfId="1545"/>
    <tableColumn id="75" xr3:uid="{00000000-0010-0000-1100-00004B000000}" name="Wirkungsgrad neg." dataDxfId="1544"/>
    <tableColumn id="20" xr3:uid="{00000000-0010-0000-1100-000014000000}" name="Bemerkungen" dataDxfId="1543"/>
    <tableColumn id="68" xr3:uid="{00000000-0010-0000-1100-000044000000}" name="Fundstelle Stromverbrauch" dataDxfId="1542"/>
    <tableColumn id="21" xr3:uid="{00000000-0010-0000-1100-000015000000}" name="Fundstelle Potenzial pos." dataDxfId="1541"/>
    <tableColumn id="22" xr3:uid="{00000000-0010-0000-1100-000016000000}" name="Fundstelle Potenzial neg." dataDxfId="1540"/>
    <tableColumn id="43" xr3:uid="{00000000-0010-0000-1100-00002B000000}" name="Fundstelle flexibilisierbarer Anteil" dataDxfId="1539"/>
    <tableColumn id="45" xr3:uid="{00000000-0010-0000-1100-00002D000000}" name="Fundstelle durchschnittliche Leistung" dataDxfId="1538"/>
    <tableColumn id="39" xr3:uid="{00000000-0010-0000-1100-000027000000}" name="Fundstelle Aktivierungsdauer" dataDxfId="1537"/>
    <tableColumn id="26" xr3:uid="{00000000-0010-0000-1100-00001A000000}" name="Fundstelle Schaltdauer" dataDxfId="1536"/>
    <tableColumn id="28" xr3:uid="{00000000-0010-0000-1100-00001C000000}" name="Fundstelle Regenerationsdauer" dataDxfId="1535"/>
    <tableColumn id="30" xr3:uid="{00000000-0010-0000-1100-00001E000000}" name="Fundstelle max. Abrufhäufigkeit" dataDxfId="1534"/>
    <tableColumn id="31" xr3:uid="{00000000-0010-0000-1100-00001F000000}" name="Fundstelle Invest" dataDxfId="1533"/>
    <tableColumn id="32" xr3:uid="{00000000-0010-0000-1100-000020000000}" name="Fundstelle var. Kosten" dataDxfId="1532"/>
    <tableColumn id="33" xr3:uid="{00000000-0010-0000-1100-000021000000}" name="Fundstelle fixe Kosten" dataDxfId="1531"/>
    <tableColumn id="74" xr3:uid="{00000000-0010-0000-1100-00004A000000}" name="Fundstelle Wirkungsgrad" dataDxfId="153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19-02-23T17:11:32.92" personId="{51F1A2BF-5699-4337-B875-D53DBF6DE656}" id="{6FB11D2E-1898-400C-96EC-11B97855C5B0}">
    <text>Samira</text>
  </threadedComment>
  <threadedComment ref="X1" dT="2019-02-23T17:20:30.74" personId="{51F1A2BF-5699-4337-B875-D53DBF6DE656}" id="{376196B9-E5C2-498A-96C4-2EAC2FD168EE}">
    <text>Annahme: positives und negatives Potenzial identisch</text>
  </threadedComment>
  <threadedComment ref="Y1" dT="2019-02-23T17:20:45.98" personId="{51F1A2BF-5699-4337-B875-D53DBF6DE656}" id="{393B7E4F-949F-488C-8ADE-E412DB508FEE}">
    <text>Annahme: positives und negatives Potenzial identisch</text>
  </threadedComment>
  <threadedComment ref="AA1" dT="2019-02-23T17:13:17.00" personId="{51F1A2BF-5699-4337-B875-D53DBF6DE656}" id="{9C795F68-AEA6-4A36-9CD7-EA8194EE1235}">
    <text>Samira</text>
  </threadedComment>
  <threadedComment ref="BT1" dT="2020-01-20T12:30:51.60" personId="{71FC54F3-5E8D-460B-9FCF-F7AD63FF6B98}" id="{24C17746-073D-4362-92E8-080F3528ACBE}">
    <text>S. 113: Industrielle Potenziale im Status quo werden auch für 2020 und 2030 fortgeschrieben.</text>
  </threadedComment>
  <threadedComment ref="K2" dT="2020-01-17T09:17:56.26" personId="{71FC54F3-5E8D-460B-9FCF-F7AD63FF6B98}" id="{EABE8DA4-2D7F-445C-86EB-9FF74E3E364A}">
    <text>nur für die Elektrolyse; insges. 6,3 TWh/a</text>
  </threadedComment>
  <threadedComment ref="R2" dT="2019-02-23T17:48:51.62" personId="{51F1A2BF-5699-4337-B875-D53DBF6DE656}" id="{DACA0D02-B92F-405C-B2BA-3BC8BA249199}">
    <text>Werte Samira</text>
  </threadedComment>
  <threadedComment ref="S2" dT="2019-02-23T17:47:44.55" personId="{51F1A2BF-5699-4337-B875-D53DBF6DE656}" id="{6F11B637-1D37-4161-A140-4D7C4CE9623A}">
    <text>637 MW für Lastabwurf (S. 37); bei Vollauslastung bis 1.000 MW</text>
  </threadedComment>
  <threadedComment ref="AA2" dT="2019-02-23T16:13:30.59" personId="{51F1A2BF-5699-4337-B875-D53DBF6DE656}" id="{28913698-19A1-44FE-B6A1-3583EB7D5F86}">
    <text>30 (S. 111)</text>
  </threadedComment>
  <threadedComment ref="AO2" dT="2019-02-23T16:09:09.93" personId="{51F1A2BF-5699-4337-B875-D53DBF6DE656}" id="{D790982C-E239-44DE-8F77-7134144447DA}">
    <text>Lastabwurf</text>
  </threadedComment>
  <threadedComment ref="AP2" dT="2019-02-23T16:08:18.34" personId="{51F1A2BF-5699-4337-B875-D53DBF6DE656}" id="{941BA8FF-4199-4600-A43B-3E444E45E103}">
    <text>Aktivierung bei Teillast</text>
  </threadedComment>
  <threadedComment ref="AQ2" dT="2019-02-23T16:08:18.34" personId="{51F1A2BF-5699-4337-B875-D53DBF6DE656}" id="{910F0900-CC13-4533-AA7D-7021679D2B3F}">
    <text>Aktivierung bei Teillast</text>
  </threadedComment>
  <threadedComment ref="R3" dT="2019-02-23T17:48:51.62" personId="{51F1A2BF-5699-4337-B875-D53DBF6DE656}" id="{2DEF9D60-F898-4C2B-B1F8-895CC42F695E}">
    <text>Werte Samira</text>
  </threadedComment>
  <threadedComment ref="S3" dT="2019-02-23T17:47:44.55" personId="{51F1A2BF-5699-4337-B875-D53DBF6DE656}" id="{0E1FB3E0-8168-4781-9D3B-B4D4141533D8}">
    <text>637 MW für Lastabwurf (S. 37); bei Vollauslastung bis 1.000 MW</text>
  </threadedComment>
  <threadedComment ref="AA3" dT="2019-02-23T16:13:30.59" personId="{51F1A2BF-5699-4337-B875-D53DBF6DE656}" id="{82C40A8C-A6D9-4648-9B36-1F0C635A6EE0}">
    <text>30 (S. 111)</text>
  </threadedComment>
  <threadedComment ref="AO3" dT="2019-02-23T16:09:09.93" personId="{51F1A2BF-5699-4337-B875-D53DBF6DE656}" id="{501C780F-3588-4740-BEC1-3CC553CBECC6}">
    <text>Lastabwurf</text>
  </threadedComment>
  <threadedComment ref="AP3" dT="2019-02-23T16:08:18.34" personId="{51F1A2BF-5699-4337-B875-D53DBF6DE656}" id="{8B020987-F741-4DE9-9D60-8951962E66AD}">
    <text>Aktivierung bei Teillast</text>
  </threadedComment>
  <threadedComment ref="AQ3" dT="2019-02-23T16:08:18.34" personId="{51F1A2BF-5699-4337-B875-D53DBF6DE656}" id="{B1A597AE-F6B1-498B-A2C3-4CD0FDF00A57}">
    <text>Aktivierung bei Teillast</text>
  </threadedComment>
  <threadedComment ref="R4" dT="2019-02-23T17:48:51.62" personId="{51F1A2BF-5699-4337-B875-D53DBF6DE656}" id="{83979569-2615-49DE-98D3-60EC61B70851}">
    <text>Werte Samira</text>
  </threadedComment>
  <threadedComment ref="S4" dT="2019-02-23T17:47:44.55" personId="{51F1A2BF-5699-4337-B875-D53DBF6DE656}" id="{48A0409D-837E-4CE9-8374-D4BA9632F476}">
    <text>637 MW für Lastabwurf (S. 37); bei Vollauslastung bis 1.000 MW</text>
  </threadedComment>
  <threadedComment ref="AA4" dT="2019-02-23T16:13:30.59" personId="{51F1A2BF-5699-4337-B875-D53DBF6DE656}" id="{0D5377D1-5566-41B2-AFED-63B4F3FC231B}">
    <text>30 (S. 111)</text>
  </threadedComment>
  <threadedComment ref="AO4" dT="2019-02-23T16:09:09.93" personId="{51F1A2BF-5699-4337-B875-D53DBF6DE656}" id="{406A97BE-01A4-437B-B4A5-C0FAE61F4E2D}">
    <text>Lastabwurf</text>
  </threadedComment>
  <threadedComment ref="AP4" dT="2019-02-23T16:08:18.34" personId="{51F1A2BF-5699-4337-B875-D53DBF6DE656}" id="{E83AFEB3-A3B5-441B-8AC4-97E619AD3D0D}">
    <text>Aktivierung bei Teillast</text>
  </threadedComment>
  <threadedComment ref="AQ4" dT="2019-02-23T16:08:18.34" personId="{51F1A2BF-5699-4337-B875-D53DBF6DE656}" id="{D9A17245-FDC3-4E57-B36D-4543D1D739AB}">
    <text>Aktivierung bei Teillast</text>
  </threadedComment>
  <threadedComment ref="G5" dT="2020-01-17T09:30:03.94" personId="{71FC54F3-5E8D-460B-9FCF-F7AD63FF6B98}" id="{30D721CC-6599-4785-869C-D43AD1717369}">
    <text>insgesamt: 4497 kt/a</text>
  </threadedComment>
  <threadedComment ref="K5" dT="2020-01-17T09:29:04.08" personId="{71FC54F3-5E8D-460B-9FCF-F7AD63FF6B98}" id="{C1D1CE9C-97CB-4B43-9BE4-DC8BF154E533}">
    <text>insgesamt: 11,6 TWh/a, davon aber nur 6,9 TWh/a bei geeigneten Prozessen Membran- und HCl-Verfahren</text>
  </threadedComment>
  <threadedComment ref="AO5" dT="2019-02-23T16:09:09.93" personId="{51F1A2BF-5699-4337-B875-D53DBF6DE656}" id="{A9ABED18-06E3-438C-A012-D5B9C5D9EB23}">
    <text>Lastabwurf</text>
  </threadedComment>
  <threadedComment ref="K6" dT="2020-01-17T09:29:04.08" personId="{71FC54F3-5E8D-460B-9FCF-F7AD63FF6B98}" id="{B960A412-667A-4F4A-85E9-C0D5EFBB3214}">
    <text>insgesamt: 11,6 TWh/a, davon aber nur 6,9 TWh/a bei geeigneten Prozessen Membran- und HCl-Verfahren</text>
  </threadedComment>
  <threadedComment ref="AO6" dT="2019-02-23T16:09:09.93" personId="{51F1A2BF-5699-4337-B875-D53DBF6DE656}" id="{131E90E6-63BE-4323-8D80-1A7AABFD3910}">
    <text>Lastabwurf</text>
  </threadedComment>
  <threadedComment ref="K7" dT="2020-01-17T09:29:04.08" personId="{71FC54F3-5E8D-460B-9FCF-F7AD63FF6B98}" id="{4BA0495D-437E-4FFD-A4BD-085BACFFC060}">
    <text>insgesamt: 11,6 TWh/a, davon aber nur 6,9 TWh/a bei geeigneten Prozessen Membran- und HCl-Verfahren</text>
  </threadedComment>
  <threadedComment ref="AO7" dT="2019-02-23T16:09:09.93" personId="{51F1A2BF-5699-4337-B875-D53DBF6DE656}" id="{605A5974-406C-4657-86CC-D87E06D351D1}">
    <text>Lastabwurf</text>
  </threadedComment>
  <threadedComment ref="G8" dT="2020-01-20T14:57:59.48" personId="{71FC54F3-5E8D-460B-9FCF-F7AD63FF6B98}" id="{7E445DEF-BF36-437D-91B1-4C2E9B776694}">
    <text>nur Holzschliff</text>
  </threadedComment>
  <threadedComment ref="AG8" dT="2019-02-23T18:06:49.60" personId="{51F1A2BF-5699-4337-B875-D53DBF6DE656}" id="{D82E4FEC-4E5D-4733-B144-9220787926C6}">
    <text>S. 46: 90 % Auslastung typischerweise am Tag</text>
  </threadedComment>
  <threadedComment ref="AG9" dT="2019-02-23T18:06:49.60" personId="{51F1A2BF-5699-4337-B875-D53DBF6DE656}" id="{592CD9EE-C76B-4F7B-A273-02F643911CF1}">
    <text>S. 46: 90 % Auslastung typischerweise am Tag</text>
  </threadedComment>
  <threadedComment ref="AG10" dT="2019-02-23T18:06:49.60" personId="{51F1A2BF-5699-4337-B875-D53DBF6DE656}" id="{FE72FA0C-FB68-4829-B51E-69FF20C98A44}">
    <text>S. 46: 90 % Auslastung typischerweise am Tag</text>
  </threadedComment>
  <threadedComment ref="G11" dT="2020-01-17T09:39:37.14" personId="{71FC54F3-5E8D-460B-9FCF-F7AD63FF6B98}" id="{788DCF7C-953E-4297-B255-456FCC58224C}">
    <text>Papierherstellung gesamt: 23.200 kt/a</text>
  </threadedComment>
  <threadedComment ref="I11" dT="2020-01-17T09:39:58.42" personId="{71FC54F3-5E8D-460B-9FCF-F7AD63FF6B98}" id="{4D1C8460-4E09-49C8-981A-AD4AE6060426}">
    <text>spez. StV Papier 892 kWh/t</text>
  </threadedComment>
  <threadedComment ref="K11" dT="2020-01-17T09:40:11.89" personId="{71FC54F3-5E8D-460B-9FCF-F7AD63FF6B98}" id="{0DCC5F6E-1AC8-4D22-9B51-4026B2249B96}">
    <text>StV Papier gesamt: 20,7 TWh/a</text>
  </threadedComment>
  <threadedComment ref="AT11" dT="2019-02-23T18:08:48.19" personId="{51F1A2BF-5699-4337-B875-D53DBF6DE656}" id="{9F189547-77C7-40B2-BB35-AB4967BC092F}">
    <text>&gt; 2</text>
  </threadedComment>
  <threadedComment ref="AT12" dT="2019-02-23T18:08:48.19" personId="{51F1A2BF-5699-4337-B875-D53DBF6DE656}" id="{42E4374E-4CFF-4DFC-82A9-F033E83987E2}">
    <text>&gt; 2</text>
  </threadedComment>
  <threadedComment ref="AT13" dT="2019-02-23T18:08:48.19" personId="{51F1A2BF-5699-4337-B875-D53DBF6DE656}" id="{DD55F146-4EBD-47D7-B472-941735C66190}">
    <text>&gt; 2</text>
  </threadedComment>
  <threadedComment ref="K14" dT="2020-01-17T09:47:38.07" personId="{71FC54F3-5E8D-460B-9FCF-F7AD63FF6B98}" id="{77E33B17-6230-4A62-943A-1D43BA1731C1}">
    <text>StV gesamt: 10,6</text>
  </threadedComment>
  <threadedComment ref="L14" dT="2019-02-23T18:13:57.03" personId="{51F1A2BF-5699-4337-B875-D53DBF6DE656}" id="{D20282A4-453A-4989-BA7B-224D76F3A2EC}">
    <text>Bandlast; einzelner Prozess kann nicht mehr unterbrochen werden.</text>
  </threadedComment>
  <threadedComment ref="K15" dT="2020-01-17T09:47:38.07" personId="{71FC54F3-5E8D-460B-9FCF-F7AD63FF6B98}" id="{E4DFC1BC-7B4F-466B-BFA5-842AFE94223A}">
    <text>StV gesamt: 10,6</text>
  </threadedComment>
  <threadedComment ref="L15" dT="2019-02-23T18:13:57.03" personId="{51F1A2BF-5699-4337-B875-D53DBF6DE656}" id="{F6DB1FBC-6F34-4FD0-AB31-99BCDC593173}">
    <text>Bandlast; einzelner Prozess kann nicht mehr unterbrochen werden.</text>
  </threadedComment>
  <threadedComment ref="K16" dT="2020-01-17T09:47:38.07" personId="{71FC54F3-5E8D-460B-9FCF-F7AD63FF6B98}" id="{E9C25A7E-BBDB-4935-8939-5248170A70BB}">
    <text>StV gesamt: 10,6</text>
  </threadedComment>
  <threadedComment ref="L16" dT="2019-02-23T18:13:57.03" personId="{51F1A2BF-5699-4337-B875-D53DBF6DE656}" id="{CC6E0B63-C6F1-4519-B16C-6830F1B9B42C}">
    <text>Bandlast; einzelner Prozess kann nicht mehr unterbrochen werden.</text>
  </threadedComment>
  <threadedComment ref="M17" dT="2019-02-23T18:26:57.15" personId="{51F1A2BF-5699-4337-B875-D53DBF6DE656}" id="{0877EF14-013D-4BBD-B857-2282E6A51C64}">
    <text>werktags nachts bzw. Wochenenden</text>
  </threadedComment>
  <threadedComment ref="V17" dT="2019-02-23T18:27:16.31" personId="{51F1A2BF-5699-4337-B875-D53DBF6DE656}" id="{8AA5EE70-EA47-452A-9020-F6E5E093C83C}">
    <text>werktags tagsüber</text>
  </threadedComment>
  <threadedComment ref="AO17" dT="2019-02-23T18:28:35.76" personId="{51F1A2BF-5699-4337-B875-D53DBF6DE656}" id="{6F172E86-5CFD-4275-B98D-3A0A568657CB}">
    <text>Herunterfahren</text>
  </threadedComment>
  <threadedComment ref="AP17" dT="2019-02-23T18:28:41.68" personId="{51F1A2BF-5699-4337-B875-D53DBF6DE656}" id="{9BCDE418-9962-4E6E-938A-6C624BC06F0F}">
    <text>Hochfahren</text>
  </threadedComment>
  <threadedComment ref="AQ17" dT="2019-02-23T16:08:18.34" personId="{51F1A2BF-5699-4337-B875-D53DBF6DE656}" id="{5B535930-6FD8-4821-A2D8-8641A72AA736}">
    <text>Aktivierung bei Teillast / Lastüberhöhung</text>
  </threadedComment>
  <threadedComment ref="BC17" dT="2019-02-23T18:29:32.12" personId="{51F1A2BF-5699-4337-B875-D53DBF6DE656}" id="{ADBD58D4-6C18-465E-9EBC-B8E4F13EFC25}">
    <text>2 Abrufe pro Tag</text>
  </threadedComment>
  <threadedComment ref="M18" dT="2019-02-23T18:26:57.15" personId="{51F1A2BF-5699-4337-B875-D53DBF6DE656}" id="{3440A646-D29B-4656-A00C-8189ACC56A0C}">
    <text>werktags nachts bzw. Wochenenden</text>
  </threadedComment>
  <threadedComment ref="V18" dT="2019-02-23T18:27:16.31" personId="{51F1A2BF-5699-4337-B875-D53DBF6DE656}" id="{2D7E5D39-97A3-48DB-A1E3-14F56C58F539}">
    <text>werktags tagsüber</text>
  </threadedComment>
  <threadedComment ref="AO18" dT="2019-02-23T18:28:35.76" personId="{51F1A2BF-5699-4337-B875-D53DBF6DE656}" id="{C9B0A0A2-01A0-48A7-A4BE-0CA56EA5250F}">
    <text>Herunterfahren</text>
  </threadedComment>
  <threadedComment ref="AP18" dT="2019-02-23T18:28:41.68" personId="{51F1A2BF-5699-4337-B875-D53DBF6DE656}" id="{8C45AAE1-4AE4-4B88-9A17-4D2F9B5C4E80}">
    <text>Hochfahren</text>
  </threadedComment>
  <threadedComment ref="AQ18" dT="2019-02-23T16:08:18.34" personId="{51F1A2BF-5699-4337-B875-D53DBF6DE656}" id="{EB45FA2C-8BCF-47FD-9BCB-A1779E11D0BE}">
    <text>Aktivierung bei Teillast / Lastüberhöhung</text>
  </threadedComment>
  <threadedComment ref="BC18" dT="2019-02-23T18:29:32.12" personId="{51F1A2BF-5699-4337-B875-D53DBF6DE656}" id="{9CBF40E8-A756-43FB-9044-CC892A173101}">
    <text>2 Abrufe pro Tag</text>
  </threadedComment>
  <threadedComment ref="M19" dT="2019-02-23T18:26:57.15" personId="{51F1A2BF-5699-4337-B875-D53DBF6DE656}" id="{3895E628-055B-4736-A842-8D463E391F87}">
    <text>werktags nachts bzw. Wochenenden</text>
  </threadedComment>
  <threadedComment ref="V19" dT="2019-02-23T18:27:16.31" personId="{51F1A2BF-5699-4337-B875-D53DBF6DE656}" id="{C31475F1-35F9-466C-B2F9-A5D3D89C4EBD}">
    <text>werktags tagsüber</text>
  </threadedComment>
  <threadedComment ref="AO19" dT="2019-02-23T18:28:35.76" personId="{51F1A2BF-5699-4337-B875-D53DBF6DE656}" id="{582DF603-D909-4A79-A148-7A56ED279A30}">
    <text>Herunterfahren</text>
  </threadedComment>
  <threadedComment ref="AP19" dT="2019-02-23T18:28:41.68" personId="{51F1A2BF-5699-4337-B875-D53DBF6DE656}" id="{5ACBBB73-DDB7-4819-9B29-41A1D907962C}">
    <text>Hochfahren</text>
  </threadedComment>
  <threadedComment ref="AQ19" dT="2019-02-23T16:08:18.34" personId="{51F1A2BF-5699-4337-B875-D53DBF6DE656}" id="{EC088AEF-4AE2-4BAD-B320-5D1727F0F467}">
    <text>Aktivierung bei Teillast / Lastüberhöhung</text>
  </threadedComment>
  <threadedComment ref="BC19" dT="2019-02-23T18:29:32.12" personId="{51F1A2BF-5699-4337-B875-D53DBF6DE656}" id="{C34608BB-0718-4C48-A33E-08B7106FAF98}">
    <text>2 Abrufe pro Tag</text>
  </threadedComment>
  <threadedComment ref="A20" dT="2019-02-23T18:26:31.07" personId="{51F1A2BF-5699-4337-B875-D53DBF6DE656}" id="{C5D698C6-58AB-47D5-826B-2A3F27A4E8F0}">
    <text>energetische Nutzung von Klärgas mit BHKW</text>
  </threadedComment>
  <threadedComment ref="K20" dT="2020-01-20T15:06:08.85" personId="{71FC54F3-5E8D-460B-9FCF-F7AD63FF6B98}" id="{C9E56C69-1886-4C5D-824A-529A920F58C6}">
    <text>StV gesamt 4,2 TWh; davon 1,1 aus Eigenerzeugung (BHKW)</text>
  </threadedComment>
  <threadedComment ref="V20" dT="2019-02-23T16:14:35.51" personId="{51F1A2BF-5699-4337-B875-D53DBF6DE656}" id="{0FD6022C-A6CA-45C3-9FDB-F8992AD2578A}">
    <text>Lasterhöhung (?!)</text>
  </threadedComment>
  <threadedComment ref="AQ20" dT="2019-02-23T16:09:49.29" personId="{51F1A2BF-5699-4337-B875-D53DBF6DE656}" id="{4B93472F-C2BF-4046-96B6-F3512817D757}">
    <text>Lasterhöhung</text>
  </threadedComment>
  <threadedComment ref="A21" dT="2019-02-23T18:26:31.07" personId="{51F1A2BF-5699-4337-B875-D53DBF6DE656}" id="{1CC66302-58CA-4A3B-B5D1-EDE68BE78BF4}">
    <text>energetische Nutzung von Klärgas mit BHKW</text>
  </threadedComment>
  <threadedComment ref="V21" dT="2019-02-23T16:14:35.51" personId="{51F1A2BF-5699-4337-B875-D53DBF6DE656}" id="{1887D2E3-06F7-4826-B857-B8F95D54D08E}">
    <text>Lasterhöhung (?!)</text>
  </threadedComment>
  <threadedComment ref="AQ21" dT="2019-02-23T16:09:49.29" personId="{51F1A2BF-5699-4337-B875-D53DBF6DE656}" id="{0B4057C6-DF1E-4469-A1B3-28F2A0FDCA37}">
    <text>Lasterhöhung</text>
  </threadedComment>
  <threadedComment ref="A22" dT="2019-02-23T18:26:31.07" personId="{51F1A2BF-5699-4337-B875-D53DBF6DE656}" id="{AD937B53-0BD1-4102-9821-A23B14D05DAE}">
    <text>energetische Nutzung von Klärgas mit BHKW</text>
  </threadedComment>
  <threadedComment ref="V22" dT="2019-02-23T16:14:35.51" personId="{51F1A2BF-5699-4337-B875-D53DBF6DE656}" id="{2F06A259-E70F-4D4B-B46D-51538BFF4595}">
    <text>Lasterhöhung (?!)</text>
  </threadedComment>
  <threadedComment ref="AQ22" dT="2019-02-23T16:09:49.29" personId="{51F1A2BF-5699-4337-B875-D53DBF6DE656}" id="{BA2B102B-3B00-4678-B8D1-1AD4A05BCF81}">
    <text>Lasterhöhung</text>
  </threadedComment>
  <threadedComment ref="D23" dT="2019-02-23T17:22:54.71" personId="{51F1A2BF-5699-4337-B875-D53DBF6DE656}" id="{FA846C4F-AF9D-4FEF-8F4D-B17F896F05E4}">
    <text>implizite Annahme aus Methodik der Lastblockverschiebung bei Haushalten / GHD</text>
  </threadedComment>
  <threadedComment ref="O23" dT="2019-02-23T17:36:36.21" personId="{51F1A2BF-5699-4337-B875-D53DBF6DE656}" id="{393F606A-87DC-4EF9-B9D9-8D7355AE4A0D}">
    <text>Werte abgelesen aus Diagrammen auf S. 97-99</text>
  </threadedComment>
  <threadedComment ref="X23" dT="2019-02-23T17:36:18.43" personId="{51F1A2BF-5699-4337-B875-D53DBF6DE656}" id="{EAC4E11C-59A2-40B6-9021-C0109028406D}">
    <text>Werte abgelesen aus Diagrammen auf S. 97-99</text>
  </threadedComment>
  <threadedComment ref="BD26" dT="2019-02-23T18:37:04.18" personId="{51F1A2BF-5699-4337-B875-D53DBF6DE656}" id="{F2C5EF3B-9C7E-4F75-804A-2C17A63CDC53}">
    <text>durchschnittliche Nutzungshäufigkeit</text>
  </threadedComment>
  <threadedComment ref="AS29" dT="2019-02-23T18:35:12.66" personId="{51F1A2BF-5699-4337-B875-D53DBF6DE656}" id="{4EFC8E91-8650-4498-8EC4-03047D8FB325}">
    <text>implizit aus Lastgang</text>
  </threadedComment>
  <threadedComment ref="BD29" dT="2019-02-23T18:33:12.80" personId="{51F1A2BF-5699-4337-B875-D53DBF6DE656}" id="{CEE35B00-F1FA-4AE7-9EB9-1900E25E4AF7}">
    <text>durchschnittliche Nutzungshäufigkeit p.a.</text>
  </threadedComment>
  <threadedComment ref="AS32" dT="2019-02-23T18:34:48.30" personId="{51F1A2BF-5699-4337-B875-D53DBF6DE656}" id="{F4D95702-89CE-4838-A205-4CE6C74080A5}">
    <text>implizit aus Lastgang; sehr heterogene Leistungsaufnahme</text>
  </threadedComment>
  <threadedComment ref="CG32" dT="2019-02-23T18:32:09.63" personId="{51F1A2BF-5699-4337-B875-D53DBF6DE656}" id="{B0C708C7-528B-4BCC-B809-B7D746CA4CB5}">
    <text>Quelle zu Tageslastgang Waschmaschinen</text>
  </threadedComment>
  <threadedComment ref="AS33" dT="2019-02-23T18:34:48.30" personId="{51F1A2BF-5699-4337-B875-D53DBF6DE656}" id="{47607807-4E10-439F-A360-2930B5D13DF6}">
    <text>implizit aus Lastgang; sehr heterogene Leistungsaufnahme</text>
  </threadedComment>
  <threadedComment ref="AS34" dT="2019-02-23T18:34:48.30" personId="{51F1A2BF-5699-4337-B875-D53DBF6DE656}" id="{0F5B67FC-7A41-4C71-A425-48145DFE0F18}">
    <text>implizit aus Lastgang; sehr heterogene Leistungsaufnahme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0DD99023-DC2C-41B6-8AEB-A303437B076F}">
    <text>Auf eine gesonderte Darstellung der Potenziale für den Industriesektor wird verzichtet, da diese aus Buber et al. (2013) übernommen wurden und bereits dort aufgeführt werden.</text>
  </threadedComment>
  <threadedComment ref="AS1" dT="2019-09-21T16:48:41.86" personId="{71FC54F3-5E8D-460B-9FCF-F7AD63FF6B98}" id="{75941BD7-E960-45C5-93F8-50AF65AF3D95}">
    <text>exklusive Stromkosten!</text>
  </threadedComment>
  <threadedComment ref="A6" dT="2019-09-27T15:32:40.29" personId="{71FC54F3-5E8D-460B-9FCF-F7AD63FF6B98}" id="{C69EA6FA-A4C3-401F-911F-AFB04FA3AA67}">
    <text>Zellstoffherstellung -&gt; synonym?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8284C32F-A718-4F14-B86F-92DAD71F1CCC}">
    <text>Auf eine gesonderte Darstellung der Potenziale für den Industriesektor wird verzichtet, da diese aus Buber et al. (2013) übernommen wurden und bereits dort aufgeführt werden.</text>
  </threadedComment>
  <threadedComment ref="AN1" dT="2019-09-21T16:48:41.86" personId="{71FC54F3-5E8D-460B-9FCF-F7AD63FF6B98}" id="{ECB77693-BF3E-4B43-A4B8-AD8387C97A71}">
    <text>exklusive Stromkosten!</text>
  </threadedComment>
  <threadedComment ref="AO1" dT="2019-09-21T16:48:41.86" personId="{71FC54F3-5E8D-460B-9FCF-F7AD63FF6B98}" id="{57AFC2E8-FFA2-4E62-B2B4-81994335385E}">
    <text>exklusive Stromkosten!</text>
  </threadedComment>
  <threadedComment ref="I4" dT="2019-09-21T16:59:06.77" personId="{71FC54F3-5E8D-460B-9FCF-F7AD63FF6B98}" id="{FC7BBEF6-D7F2-4F4A-A23E-46102D346E13}">
    <text>Hier Berechnungsfehler?!</text>
  </threadedComment>
  <threadedComment ref="M4" dT="2019-09-21T16:59:06.77" personId="{71FC54F3-5E8D-460B-9FCF-F7AD63FF6B98}" id="{83715AE3-D509-4104-B51C-C36515A17889}">
    <text>Hier Berechnungsfehler?!</text>
  </threadedComment>
  <threadedComment ref="AF4" dT="2019-09-21T16:54:07.04" personId="{71FC54F3-5E8D-460B-9FCF-F7AD63FF6B98}" id="{B04551D7-5559-4E67-9DC2-BCD256A7DFD5}">
    <text>unendlich</text>
  </threadedComment>
  <threadedComment ref="I5" dT="2019-09-21T16:59:06.77" personId="{71FC54F3-5E8D-460B-9FCF-F7AD63FF6B98}" id="{63A77B0A-9E84-4656-BE07-574F38164B28}">
    <text>Hier Berechnungsfehler?!</text>
  </threadedComment>
  <threadedComment ref="M5" dT="2019-09-21T16:59:06.77" personId="{71FC54F3-5E8D-460B-9FCF-F7AD63FF6B98}" id="{5DAA1232-B6CD-40DC-AEC4-1AB307E0B300}">
    <text>Hier Berechnungsfehler?!</text>
  </threadedComment>
  <threadedComment ref="AF5" dT="2019-09-21T16:54:07.04" personId="{71FC54F3-5E8D-460B-9FCF-F7AD63FF6B98}" id="{F0DEA446-6AAB-4DAC-879B-3A7739E68C94}">
    <text>unendlich</text>
  </threadedComment>
  <threadedComment ref="AF6" dT="2019-09-21T16:54:07.04" personId="{71FC54F3-5E8D-460B-9FCF-F7AD63FF6B98}" id="{A39BA4E7-BEF2-403F-84C2-3E67FBAD74A9}">
    <text>unendlich</text>
  </threadedComment>
  <threadedComment ref="AU6" dT="2019-09-21T17:02:36.09" personId="{71FC54F3-5E8D-460B-9FCF-F7AD63FF6B98}" id="{90BAFA99-47B4-4AC0-B454-0B40C3E5F9C3}">
    <text>ca. 500 € / 50 MW zusätzliche jährliche Betriebskosten</text>
  </threadedComment>
  <threadedComment ref="AF7" dT="2019-09-21T16:54:07.04" personId="{71FC54F3-5E8D-460B-9FCF-F7AD63FF6B98}" id="{A3EFB10A-875A-48C9-90E2-824AED4C0608}">
    <text>unendlich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1" dT="2019-02-16T11:41:04.95" personId="{51F1A2BF-5699-4337-B875-D53DBF6DE656}" id="{7ACF5849-BCB1-4D29-B9E6-E7E0BFCAF724}">
    <text>Falls keine sonstige Angabe erfolgt, wird Potenzial als maximales Potenzial interpretiert.</text>
  </threadedComment>
  <threadedComment ref="C1" dT="2019-02-15T17:21:05.74" personId="{51F1A2BF-5699-4337-B875-D53DBF6DE656}" id="{88876C22-C72B-4004-A83E-40ECAD6E27A5}">
    <text>Sofern keine expliziten Angaben im Text gemacht werden, werden die Werte von 2005 für 2020 fortgeschrieben.</text>
  </threadedComment>
  <threadedComment ref="E1" dT="2019-02-16T12:27:53.37" personId="{51F1A2BF-5699-4337-B875-D53DBF6DE656}" id="{0D0BFACA-C37B-429E-8DA7-1E041832F3C6}">
    <text>Annahme: Industrieanwendungen nur für Lastverzicht geeignet</text>
  </threadedComment>
  <threadedComment ref="J1" dT="2020-01-21T06:18:47.11" personId="{71FC54F3-5E8D-460B-9FCF-F7AD63FF6B98}" id="{A3AE5853-AA53-4CD5-A159-9145FD4D83DF}">
    <text>uneinheitliche Einstufung:
- S. 69: Max. Leistungsshift vs. Angabe von Spannbreiten bzw. allgemein Bezeichnung als Potenzial</text>
  </threadedComment>
  <threadedComment ref="N1" dT="2019-02-15T11:27:30.85" personId="{51F1A2BF-5699-4337-B875-D53DBF6DE656}" id="{D88B0131-5B2F-4C92-B5D0-4D2D3B9258F1}">
    <text>Lasterhöhung (!)</text>
  </threadedComment>
  <threadedComment ref="Q1" dT="2019-03-23T12:47:45.68" personId="{51F1A2BF-5699-4337-B875-D53DBF6DE656}" id="{074B351B-7EDA-4499-8680-1DAD430B188F}">
    <text>Bei Klobasa (2009, S. 27) als Lastmanagementfaktor eingefügt: Anteil der verlagerbaren Leistung am gesamten Leistungsbedarf einer bestimmten Anwendung</text>
  </threadedComment>
  <threadedComment ref="Q2" dT="2019-02-15T12:55:01.39" personId="{51F1A2BF-5699-4337-B875-D53DBF6DE656}" id="{2B3F3A06-A010-41B8-8504-607E90FD50CF}">
    <text>67 % laut Tab. 4-7 (S. 69)</text>
  </threadedComment>
  <threadedComment ref="O16" dT="2019-02-15T12:29:17.48" personId="{51F1A2BF-5699-4337-B875-D53DBF6DE656}" id="{B9C2205B-C7A4-4E1C-95E4-DB075EEFDF82}">
    <text>+/- 10 % Auslastung zulässig</text>
  </threadedComment>
  <threadedComment ref="O17" dT="2019-02-15T12:29:17.48" personId="{51F1A2BF-5699-4337-B875-D53DBF6DE656}" id="{1C64CC1B-80B8-4F4A-98A5-B88000851C23}">
    <text>+/- 10 % Auslastung zulässig</text>
  </threadedComment>
  <threadedComment ref="I22" dT="2019-02-15T12:41:14.71" personId="{51F1A2BF-5699-4337-B875-D53DBF6DE656}" id="{F95D806E-4058-4B54-A202-3A84D5E9146F}">
    <text>Tab. 4-7 (S. 69): 180 MW</text>
  </threadedComment>
  <threadedComment ref="J22" dT="2019-02-15T12:41:14.71" personId="{51F1A2BF-5699-4337-B875-D53DBF6DE656}" id="{2767AA7F-BC5C-4D14-A9E0-0C5C63A57BB8}">
    <text>Tab. 4-7 (S. 69): 180 MW</text>
  </threadedComment>
  <threadedComment ref="N22" dT="2019-02-15T12:41:14.71" personId="{51F1A2BF-5699-4337-B875-D53DBF6DE656}" id="{B0E66513-5A33-4C3E-8421-906E850B5EE2}">
    <text>Tab. 4-7 (S. 69): 180 MW</text>
  </threadedComment>
  <threadedComment ref="Q22" dT="2019-02-15T12:43:09.59" personId="{51F1A2BF-5699-4337-B875-D53DBF6DE656}" id="{C76036C4-AC7A-4802-85F7-C393F5084BC6}">
    <text>Zeitabhängig!</text>
  </threadedComment>
  <threadedComment ref="U22" dT="2019-02-15T12:41:59.11" personId="{51F1A2BF-5699-4337-B875-D53DBF6DE656}" id="{6FF35000-AADD-4767-8A24-544D08DEE41F}">
    <text>Annahme</text>
  </threadedComment>
  <threadedComment ref="J24" dT="2019-02-15T12:59:21.04" personId="{51F1A2BF-5699-4337-B875-D53DBF6DE656}" id="{A18B683F-7DFB-4ADB-AC46-2250B945731D}">
    <text>Obergrenze; Tab. 4-7 (S. 69): 270 MW</text>
  </threadedComment>
  <threadedComment ref="N24" dT="2019-02-15T12:59:21.04" personId="{51F1A2BF-5699-4337-B875-D53DBF6DE656}" id="{F5BEA0D3-C462-4981-AD99-D691B4603720}">
    <text>Obergrenze; Tab. 4-7 (S. 69): 270 MW</text>
  </threadedComment>
  <threadedComment ref="W28" dT="2019-02-15T15:39:12.92" personId="{51F1A2BF-5699-4337-B875-D53DBF6DE656}" id="{4FEE3112-6821-415D-955A-4DA09D372C96}">
    <text>0,5 bis 2 h nach Stadler (2005)</text>
  </threadedComment>
  <threadedComment ref="J29" dT="2019-02-15T16:51:11.24" personId="{51F1A2BF-5699-4337-B875-D53DBF6DE656}" id="{076190CB-06BD-4ABE-B89E-401931F6E8B5}">
    <text>Anstieg des Potenzial um ca. 1/3 (S. 73)</text>
  </threadedComment>
  <threadedComment ref="W30" dT="2019-02-15T17:15:23.46" personId="{51F1A2BF-5699-4337-B875-D53DBF6DE656}" id="{A98B7A15-9DCD-4B90-9020-5A2E47C41C39}">
    <text>Verlagerungsdauern bis 3 Stunden in Versuchen in DK festgestellt (S. 74)</text>
  </threadedComment>
  <threadedComment ref="O32" dT="2019-02-15T17:18:20.66" personId="{51F1A2BF-5699-4337-B875-D53DBF6DE656}" id="{1BF91F4A-22C1-41E4-88D4-7CFEE64FB196}">
    <text>Keine Aussagen im Text zu finden.</text>
  </threadedComment>
  <threadedComment ref="Q34" dT="2019-02-15T17:40:44.04" personId="{51F1A2BF-5699-4337-B875-D53DBF6DE656}" id="{7B06DB33-1705-4E01-B19E-15668E7FF4D5}">
    <text>Annahme.</text>
  </threadedComment>
  <threadedComment ref="S35" dT="2019-02-15T17:35:43.58" personId="{51F1A2BF-5699-4337-B875-D53DBF6DE656}" id="{06B79AA8-4AF3-4D94-ADF6-79987787C9CA}">
    <text>lineare Interpolation mit Prognosewerten für 2030 (S. 77).</text>
  </threadedComment>
  <threadedComment ref="U35" dT="2019-02-15T17:35:43.58" personId="{51F1A2BF-5699-4337-B875-D53DBF6DE656}" id="{13CE8E71-75C0-4CC0-94BD-1C85926EEE1A}">
    <text>lineare Interpolation mit Prognosewerten für 2030 (S. 77).</text>
  </threadedComment>
  <threadedComment ref="S37" dT="2019-02-15T17:35:43.58" personId="{51F1A2BF-5699-4337-B875-D53DBF6DE656}" id="{4ABC16C1-8D91-43F3-B8EC-A8995F82F5BE}">
    <text>lineare Interpolation mit Prognosewerten für 2030.</text>
  </threadedComment>
  <threadedComment ref="U37" dT="2019-02-15T17:35:43.58" personId="{51F1A2BF-5699-4337-B875-D53DBF6DE656}" id="{79B7B427-0D49-49C6-9750-F7F5BD8526DD}">
    <text>lineare Interpolation mit Prognosewerten für 2030.</text>
  </threadedComment>
  <threadedComment ref="S39" dT="2019-02-15T17:35:43.58" personId="{51F1A2BF-5699-4337-B875-D53DBF6DE656}" id="{9DCB1874-13E4-4402-A615-A5F7EB2F8918}">
    <text>lineare Interpolation mit Prognosewerten für 2030.</text>
  </threadedComment>
  <threadedComment ref="U39" dT="2019-02-15T17:35:43.58" personId="{51F1A2BF-5699-4337-B875-D53DBF6DE656}" id="{F20F9148-E0D4-4101-B16A-6DB4147CAF3E}">
    <text>lineare Interpolation mit Prognosewerten für 2030.</text>
  </threadedComment>
  <threadedComment ref="S41" dT="2019-02-15T17:35:43.58" personId="{51F1A2BF-5699-4337-B875-D53DBF6DE656}" id="{4A1779F1-52BB-4838-9067-524E62009757}">
    <text>lineare Interpolation mit Prognosewerten für 2030.</text>
  </threadedComment>
  <threadedComment ref="U41" dT="2019-02-15T17:35:43.58" personId="{51F1A2BF-5699-4337-B875-D53DBF6DE656}" id="{9DA53673-71BE-457E-8D6C-72F535BFABEA}">
    <text>lineare Interpolation mit Prognosewerten für 2030.</text>
  </threadedComment>
  <threadedComment ref="R44" dT="2019-02-15T17:53:41.84" personId="{51F1A2BF-5699-4337-B875-D53DBF6DE656}" id="{9574B918-47AB-40B7-A84D-B43B94925CAB}">
    <text>S. 78</text>
  </threadedComment>
  <threadedComment ref="R45" dT="2019-02-15T17:53:47.01" personId="{51F1A2BF-5699-4337-B875-D53DBF6DE656}" id="{1104399C-1F14-466E-952E-456D516B9715}">
    <text>S. 78</text>
  </threadedComment>
  <threadedComment ref="U46" dT="2019-02-15T17:51:41.40" personId="{51F1A2BF-5699-4337-B875-D53DBF6DE656}" id="{39CC0BFB-A574-4405-AF5B-AB5EF1B80A93}">
    <text>Leistung im GHD-Sektor 3 GW (S. 78)</text>
  </threadedComment>
  <threadedComment ref="U47" dT="2019-02-15T17:51:41.40" personId="{51F1A2BF-5699-4337-B875-D53DBF6DE656}" id="{B5F36E8E-D325-41B9-AD9F-EB47AEA717DE}">
    <text>Leistung im GHD-Sektor 3 GW (S. 78)</text>
  </threadedComment>
  <threadedComment ref="A50" dT="2019-02-15T18:11:43.15" personId="{51F1A2BF-5699-4337-B875-D53DBF6DE656}" id="{F5B9767E-8275-43F4-B850-223AF2A7F436}">
    <text>Hochrechnung für Haushalte</text>
  </threadedComment>
  <threadedComment ref="R50" dT="2019-02-15T18:26:47.90" personId="{51F1A2BF-5699-4337-B875-D53DBF6DE656}" id="{C452B2D1-6AF6-4F63-9164-456F565E36FA}">
    <text>Jahresdurchschnitt nicht repräsentativ für Anwendungsprofil (!)</text>
  </threadedComment>
  <threadedComment ref="BB50" dT="2019-02-15T18:32:19.52" personId="{51F1A2BF-5699-4337-B875-D53DBF6DE656}" id="{39E60AA3-24EA-4C06-8679-D9AE0CB964B6}">
    <text>Smart Meter</text>
  </threadedComment>
  <threadedComment ref="X62" dT="2019-02-15T18:17:54.11" personId="{51F1A2BF-5699-4337-B875-D53DBF6DE656}" id="{63046668-B45F-4E72-850F-2A81236815E7}">
    <text>bei kleinen 8</text>
  </threadedComment>
  <threadedComment ref="R64" dT="2019-02-15T18:16:49.93" personId="{51F1A2BF-5699-4337-B875-D53DBF6DE656}" id="{C8EF85D4-A230-4C5E-A1A8-B30134F1B7B3}">
    <text>670 VBH, da nur Betrieb im Winter und in Übergangszeit (S. 83)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E1" dT="2020-01-21T13:53:46.17" personId="{71FC54F3-5E8D-460B-9FCF-F7AD63FF6B98}" id="{C52B5857-94D2-4C82-B0B9-27486F847D3B}">
    <text>Ausweisung uneinheitlich; bei Klobasa et al. (2013) steht Abschaltleistung, die im Rahmen der AbLaV angeboten weren kann im Fokus. Buber et al. (2013) schreiben dagegen, dass möglichst keine Wertschöpfungseinbußen resultieren sollten.</text>
  </threadedComment>
  <threadedComment ref="AP2" dT="2020-01-21T13:50:32.51" personId="{71FC54F3-5E8D-460B-9FCF-F7AD63FF6B98}" id="{E0555771-94D2-4407-BFF0-342D40A653FD}">
    <text>208 Abrufe p.a.</text>
  </threadedComment>
  <threadedComment ref="AQ2" dT="2020-01-21T13:50:24.32" personId="{71FC54F3-5E8D-460B-9FCF-F7AD63FF6B98}" id="{E4554F3F-3938-470B-B424-052345AF12A8}">
    <text>10 Abrufe p.a.</text>
  </threadedComment>
  <threadedComment ref="AL3" dT="2019-02-26T11:21:34.20" personId="{51F1A2BF-5699-4337-B875-D53DBF6DE656}" id="{2B988940-E527-4ED8-A440-8E6CB3CF6545}">
    <text>20-50 mal pro Jahr</text>
  </threadedComment>
  <threadedComment ref="AB7" dT="2019-02-26T11:28:22.32" personId="{51F1A2BF-5699-4337-B875-D53DBF6DE656}" id="{4E592AC3-F5CE-4C59-8237-F53EA67A8D3B}">
    <text>Klo13, S. 45: tagsüber tlw. nur 20 min, da Auskühlen der Anlage droht</text>
  </threadedComment>
  <threadedComment ref="AA9" dT="2019-02-26T11:49:27.05" personId="{51F1A2BF-5699-4337-B875-D53DBF6DE656}" id="{2B6E6050-95BE-4A18-B442-33B10F2515B4}">
    <text>mehrere Stunden (Klo13, S. 60)</text>
  </threadedComment>
  <threadedComment ref="AA10" dT="2019-02-26T11:49:27.05" personId="{51F1A2BF-5699-4337-B875-D53DBF6DE656}" id="{42713FBB-474D-49E1-8290-CF8100CF13C7}">
    <text>mehrere Stunden (Klo13, S. 60)</text>
  </threadedComment>
  <threadedComment ref="Z11" dT="2019-02-26T11:55:27.66" personId="{51F1A2BF-5699-4337-B875-D53DBF6DE656}" id="{F148D38B-973E-40A6-B900-794F1BC6915A}">
    <text>5-6 (je nach Außentemperatur)</text>
  </threadedComment>
  <threadedComment ref="AA11" dT="2019-02-26T11:55:39.00" personId="{51F1A2BF-5699-4337-B875-D53DBF6DE656}" id="{0C67615F-F0F8-41A8-BB89-D09B7B709A01}">
    <text>10-12 (je nach Außentemperatur)</text>
  </threadedComment>
  <threadedComment ref="AI12" dT="2019-02-26T11:58:22.19" personId="{51F1A2BF-5699-4337-B875-D53DBF6DE656}" id="{7946B472-9AEB-4CB6-84A8-916FC12C1C14}">
    <text>vorgegebene Sperrzeit</text>
  </threadedComment>
  <threadedComment ref="A13" dT="2020-01-21T10:02:25.45" personId="{71FC54F3-5E8D-460B-9FCF-F7AD63FF6B98}" id="{97C5246D-2118-4E75-8A24-DAB5ADDBD5D0}">
    <text>Summe aus Wärmepumpen und Nachtspeicherheizungen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E2" dT="2019-09-17T07:45:47.28" personId="{71FC54F3-5E8D-460B-9FCF-F7AD63FF6B98}" id="{6E808FB1-BD31-4697-85F2-64BC0389815C}">
    <text>MRL</text>
  </threadedComment>
  <threadedComment ref="AO2" dT="2019-09-17T07:43:45.83" personId="{71FC54F3-5E8D-460B-9FCF-F7AD63FF6B98}" id="{DFD032E4-F998-4256-8540-314B152AC06E}">
    <text>mehrere hundert (VOLL)</text>
  </threadedComment>
  <threadedComment ref="C3" dT="2019-09-17T07:34:34.29" personId="{71FC54F3-5E8D-460B-9FCF-F7AD63FF6B98}" id="{8E289125-420C-4016-B340-4C999E9B4963}">
    <text>Deklaration als "zukünftig nutzbares Potenzial" -&gt; zeitlicher Bezug unklar, aber wegen herangezogener Quellen wohl eher in der kurzen bis mittleren Frist</text>
  </threadedComment>
  <threadedComment ref="AE3" dT="2019-09-17T07:45:51.27" personId="{71FC54F3-5E8D-460B-9FCF-F7AD63FF6B98}" id="{A3B9ED76-0DB1-42D8-B4CA-E238BEBC3F30}">
    <text>MRL</text>
  </threadedComment>
  <threadedComment ref="AO3" dT="2019-09-17T07:43:45.83" personId="{71FC54F3-5E8D-460B-9FCF-F7AD63FF6B98}" id="{E5042309-4EBD-448A-99C1-3E0F7CE59322}">
    <text>mehrere hundert (VOLL)</text>
  </threadedComment>
  <threadedComment ref="I5" dT="2019-09-17T09:03:16.20" personId="{71FC54F3-5E8D-460B-9FCF-F7AD63FF6B98}" id="{FD5F3595-802A-44B7-AC8E-66FDC24ECFE1}">
    <text>dena (2010): Krzikalla et al. (2013, S. 32) vermuten massive Überschätzung</text>
  </threadedComment>
  <threadedComment ref="Z6" dT="2019-02-26T15:04:22.73" personId="{51F1A2BF-5699-4337-B875-D53DBF6DE656}" id="{6A1F42CD-9EF8-40DA-B3A4-45BAF7CB0327}">
    <text>Celina</text>
  </threadedComment>
  <threadedComment ref="AE6" dT="2019-09-17T09:09:09.84" personId="{71FC54F3-5E8D-460B-9FCF-F7AD63FF6B98}" id="{DD8E90E2-270C-4E86-8E75-3AA6B758472B}">
    <text>Angabe: "mehrere" Stunden</text>
  </threadedComment>
  <threadedComment ref="AI6" dT="2019-02-26T15:04:52.17" personId="{51F1A2BF-5699-4337-B875-D53DBF6DE656}" id="{94448B8F-E82C-4946-AF9E-66D7528E2E7C}">
    <text>max. 3 Abrufungen pro Tag (Celina)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40132A5A-DED2-4319-8B2E-E7EA3D823173}">
    <text>Hinweis: Daten aus Diagrammen S. 34, 35 abgelesen!</text>
  </threadedComment>
  <threadedComment ref="A1" dT="2019-09-14T13:23:20.69" personId="{71FC54F3-5E8D-460B-9FCF-F7AD63FF6B98}" id="{014A9CAF-7FA6-4944-ACC8-85BEC3615499}" parentId="{40132A5A-DED2-4319-8B2E-E7EA3D823173}">
    <text>TODO: Verschneiden mit den Werten aus Apel (2012)!</text>
  </threadedComment>
  <threadedComment ref="G1" dT="2019-10-27T14:11:08.19" personId="{71FC54F3-5E8D-460B-9FCF-F7AD63FF6B98}" id="{34FBD2BC-05DC-4D60-9E56-84F16ECC9947}">
    <text>3 Szenarien betrachtet: MIN, REF und MAX</text>
  </threadedComment>
  <threadedComment ref="H1" dT="2019-10-27T14:11:16.78" personId="{71FC54F3-5E8D-460B-9FCF-F7AD63FF6B98}" id="{0535A5A5-8FB5-4245-9802-9BA214E263CC}">
    <text>3 Szenarien betrachtet: MIN, REF und MAX</text>
  </threadedComment>
  <threadedComment ref="I1" dT="2019-10-27T14:11:19.97" personId="{71FC54F3-5E8D-460B-9FCF-F7AD63FF6B98}" id="{20797AE0-FDD9-413F-BBE6-FF2964343907}">
    <text>3 Szenarien betrachtet: MIN, REF und MAX</text>
  </threadedComment>
  <threadedComment ref="T1" dT="2019-10-27T14:59:07.05" personId="{71FC54F3-5E8D-460B-9FCF-F7AD63FF6B98}" id="{5670BF3C-A1A2-4CAA-A2CE-D3663FBEE297}">
    <text>Abschätzung via Hochrechnung der Potenziale mittels Stromverbrauchsentwicklung!</text>
  </threadedComment>
  <threadedComment ref="V1" dT="2019-09-13T15:07:45.92" personId="{71FC54F3-5E8D-460B-9FCF-F7AD63FF6B98}" id="{B41F072E-271C-4143-A336-EA916252D2C7}">
    <text>Werte abgelesen (S. 34 u. 36)</text>
  </threadedComment>
  <threadedComment ref="W1" dT="2019-09-13T15:07:55.17" personId="{71FC54F3-5E8D-460B-9FCF-F7AD63FF6B98}" id="{A88D4CC7-0265-4DF6-A9D5-56F88B209A65}">
    <text>Werte abgelesen (S. 34)</text>
  </threadedComment>
  <threadedComment ref="X1" dT="2019-09-13T15:07:45.92" personId="{71FC54F3-5E8D-460B-9FCF-F7AD63FF6B98}" id="{936D7620-D151-41A2-B722-C76165853D05}">
    <text>Werte abgelesen (S. 34)</text>
  </threadedComment>
  <threadedComment ref="Y1" dT="2019-09-13T15:07:45.92" personId="{71FC54F3-5E8D-460B-9FCF-F7AD63FF6B98}" id="{B98FE828-DC1A-408F-B562-43A7BA75AF48}">
    <text>Werte abgelesen (S. 34)</text>
  </threadedComment>
  <threadedComment ref="U9" dT="2019-10-27T14:57:16.61" personId="{71FC54F3-5E8D-460B-9FCF-F7AD63FF6B98}" id="{9FFCF79A-B160-43D3-85A0-8B65E3D598DE}">
    <text>BEIDE Verfahren</text>
  </threadedComment>
  <threadedComment ref="T10" dT="2019-10-27T14:56:23.95" personId="{71FC54F3-5E8D-460B-9FCF-F7AD63FF6B98}" id="{CDC5432E-5CEE-4F65-A049-D3CB861DE164}">
    <text>abgelesener Wert</text>
  </threadedComment>
  <threadedComment ref="V10" dT="2019-10-27T14:56:23.95" personId="{71FC54F3-5E8D-460B-9FCF-F7AD63FF6B98}" id="{08D0FDE5-7D23-45BB-A7F8-290A9D0772DD}">
    <text>abgelesener Wert</text>
  </threadedComment>
  <threadedComment ref="T11" dT="2019-10-27T14:56:23.95" personId="{71FC54F3-5E8D-460B-9FCF-F7AD63FF6B98}" id="{2FCC91E6-E798-40B9-8533-58AD9E715427}">
    <text>abgelesener Wert</text>
  </threadedComment>
  <threadedComment ref="U11" dT="2019-10-27T14:56:45.46" personId="{71FC54F3-5E8D-460B-9FCF-F7AD63FF6B98}" id="{5D04B573-5CD0-41AE-928E-35C3B8167CEE}">
    <text>abgelesener Wert</text>
  </threadedComment>
  <threadedComment ref="V11" dT="2019-10-27T14:56:23.95" personId="{71FC54F3-5E8D-460B-9FCF-F7AD63FF6B98}" id="{2F944CA3-AE36-4755-8F09-10643B9244D5}">
    <text>abgelesener Wert</text>
  </threadedComment>
  <threadedComment ref="A18" dT="2019-10-05T15:50:32.06" personId="{71FC54F3-5E8D-460B-9FCF-F7AD63FF6B98}" id="{9A3A6324-8791-4E84-8433-7CFA81788709}">
    <text>Kältespeicher</text>
  </threadedComment>
  <threadedComment ref="AZ18" dT="2019-10-03T16:17:42.68" personId="{71FC54F3-5E8D-460B-9FCF-F7AD63FF6B98}" id="{A8A4819F-B1D7-4FB7-AFF5-812296655B02}">
    <text>&lt;8 pro Tag</text>
  </threadedComment>
  <threadedComment ref="A19" dT="2019-10-05T15:50:32.06" personId="{71FC54F3-5E8D-460B-9FCF-F7AD63FF6B98}" id="{8294BB77-B58E-446F-B38A-EB634F5E341D}">
    <text>Kältespeicher</text>
  </threadedComment>
  <threadedComment ref="A20" dT="2019-10-05T15:50:32.06" personId="{71FC54F3-5E8D-460B-9FCF-F7AD63FF6B98}" id="{8814E792-F602-47EA-B07E-DF22CA2745AF}">
    <text>Kältespeicher</text>
  </threadedComment>
  <threadedComment ref="AZ21" dT="2019-10-03T16:17:49.79" personId="{71FC54F3-5E8D-460B-9FCF-F7AD63FF6B98}" id="{EA32A9C9-25A2-4D21-A596-4DADF2C63448}">
    <text>&lt;12 pro Tag</text>
  </threadedComment>
  <threadedComment ref="AZ22" dT="2019-10-03T16:17:49.79" personId="{71FC54F3-5E8D-460B-9FCF-F7AD63FF6B98}" id="{002C673A-E7CE-4669-9828-EF224478AA0A}">
    <text>&lt;12 pro Tag</text>
  </threadedComment>
  <threadedComment ref="AZ23" dT="2019-10-03T16:17:49.79" personId="{71FC54F3-5E8D-460B-9FCF-F7AD63FF6B98}" id="{E43DB286-E8AC-4C60-978C-EDCE9FF0B7AF}">
    <text>&lt;12 pro Tag</text>
  </threadedComment>
  <threadedComment ref="AZ24" dT="2019-10-03T16:17:49.79" personId="{71FC54F3-5E8D-460B-9FCF-F7AD63FF6B98}" id="{68B7967D-4350-4785-980B-34CC633D1EB6}">
    <text>&lt;12 pro Tag</text>
  </threadedComment>
  <threadedComment ref="AZ25" dT="2019-10-03T16:17:49.79" personId="{71FC54F3-5E8D-460B-9FCF-F7AD63FF6B98}" id="{FAB61CD1-93CD-4A4B-9CC5-CC634DE22978}">
    <text>&lt;12 pro Tag</text>
  </threadedComment>
  <threadedComment ref="AZ26" dT="2019-10-03T16:17:49.79" personId="{71FC54F3-5E8D-460B-9FCF-F7AD63FF6B98}" id="{3955FFBA-885D-4B97-A22E-39EC0806BABF}">
    <text>&lt;12 pro Tag</text>
  </threadedComment>
  <threadedComment ref="AZ27" dT="2019-10-03T16:17:59.38" personId="{71FC54F3-5E8D-460B-9FCF-F7AD63FF6B98}" id="{C2208035-CA19-4F09-8EC7-B0C2C45E8AA4}">
    <text>&lt;8 pro Tag</text>
  </threadedComment>
  <threadedComment ref="AZ28" dT="2019-10-03T16:17:59.38" personId="{71FC54F3-5E8D-460B-9FCF-F7AD63FF6B98}" id="{B943206F-AF6D-40ED-8C3E-3781DE2A6CC4}">
    <text>&lt;8 pro Tag</text>
  </threadedComment>
  <threadedComment ref="AZ29" dT="2019-10-03T16:17:59.38" personId="{71FC54F3-5E8D-460B-9FCF-F7AD63FF6B98}" id="{A2559ECD-B019-4AA2-8A6B-FDE535A28A0D}">
    <text>&lt;8 pro Tag</text>
  </threadedComment>
  <threadedComment ref="AZ30" dT="2019-10-03T16:17:59.38" personId="{71FC54F3-5E8D-460B-9FCF-F7AD63FF6B98}" id="{4B34E1BE-0172-44D7-8EE1-E3EC462FE0D3}">
    <text>&lt;8 pro Tag</text>
  </threadedComment>
  <threadedComment ref="AZ31" dT="2019-10-03T16:17:59.38" personId="{71FC54F3-5E8D-460B-9FCF-F7AD63FF6B98}" id="{A6449AFE-8CA4-4D78-BB0E-EA96F0B6E13F}">
    <text>&lt;8 pro Tag</text>
  </threadedComment>
  <threadedComment ref="AZ32" dT="2019-10-03T16:17:59.38" personId="{71FC54F3-5E8D-460B-9FCF-F7AD63FF6B98}" id="{89785C96-89F4-4CD2-ACA3-1E5FBD91D9BA}">
    <text>&lt;8 pro Tag</text>
  </threadedComment>
  <threadedComment ref="AZ33" dT="2019-10-03T16:17:52.50" personId="{71FC54F3-5E8D-460B-9FCF-F7AD63FF6B98}" id="{E81FB360-0B81-4A7C-8076-B64BA89C8BD2}">
    <text>&lt;12 pro Tag</text>
  </threadedComment>
  <threadedComment ref="AZ34" dT="2019-10-03T16:17:52.50" personId="{71FC54F3-5E8D-460B-9FCF-F7AD63FF6B98}" id="{2E590A01-E7BF-4047-AE8E-C40EB516F3A8}">
    <text>&lt;12 pro Tag</text>
  </threadedComment>
  <threadedComment ref="AZ35" dT="2019-10-03T16:17:52.50" personId="{71FC54F3-5E8D-460B-9FCF-F7AD63FF6B98}" id="{5E54AC2C-CC79-42C5-BE07-F480ABF42B5A}">
    <text>&lt;12 pro Tag</text>
  </threadedComment>
  <threadedComment ref="AZ36" dT="2019-10-03T16:17:52.50" personId="{71FC54F3-5E8D-460B-9FCF-F7AD63FF6B98}" id="{E68B8C0E-5063-499C-9C2E-A5C782C50157}">
    <text>&lt;12 pro Tag</text>
  </threadedComment>
  <threadedComment ref="AZ39" dT="2019-10-03T16:18:22.52" personId="{71FC54F3-5E8D-460B-9FCF-F7AD63FF6B98}" id="{509C2434-7F1C-472D-BEF3-D529AECA42FD}">
    <text>unbegrenzt</text>
  </threadedComment>
  <threadedComment ref="AZ40" dT="2019-10-03T16:18:22.52" personId="{71FC54F3-5E8D-460B-9FCF-F7AD63FF6B98}" id="{28DB589E-1414-4D45-8A13-FDDFDE80464F}">
    <text>unbegrenzt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G2" dT="2019-03-08T18:28:35.00" personId="{51F1A2BF-5699-4337-B875-D53DBF6DE656}" id="{EDF45256-C95B-4604-BC04-7E26BE64F9E1}">
    <text>PRL</text>
  </threadedComment>
  <threadedComment ref="H2" dT="2019-03-08T18:28:48.45" personId="{51F1A2BF-5699-4337-B875-D53DBF6DE656}" id="{3BEFDC6A-4DC4-46E7-B066-D8298BDE0FB1}">
    <text>ID/DA</text>
  </threadedComment>
  <threadedComment ref="AF2" dT="2019-03-08T18:20:13.44" personId="{51F1A2BF-5699-4337-B875-D53DBF6DE656}" id="{ABA2591F-B820-436C-9A3A-A5332F0786D0}">
    <text>Großteil der Aktivierungen &lt;= 30 s</text>
  </threadedComment>
  <threadedComment ref="AI2" dT="2019-03-08T18:17:03.08" personId="{51F1A2BF-5699-4337-B875-D53DBF6DE656}" id="{703AD3D1-E30E-48F1-9DC4-B48BD3A6BD40}">
    <text>Vollabschaltung mit Dauer von 1 Stunde möglich.</text>
  </threadedComment>
  <threadedComment ref="AS2" dT="2019-03-08T18:27:36.02" personId="{51F1A2BF-5699-4337-B875-D53DBF6DE656}" id="{B3F52114-DD22-42ED-A49C-9CCFD55C1BDC}">
    <text>Lasterhöhung häufiger -&gt; Luftzerlegung</text>
  </threadedComment>
  <threadedComment ref="AX2" dT="2019-03-08T18:24:01.29" personId="{51F1A2BF-5699-4337-B875-D53DBF6DE656}" id="{30962F40-40C3-4F2C-ABAB-48E87F63E1C3}">
    <text>nachholende Produktion</text>
  </threadedComment>
  <threadedComment ref="K3" dT="2019-02-23T12:59:10.61" personId="{51F1A2BF-5699-4337-B875-D53DBF6DE656}" id="{FDDB87EE-EFAB-4817-94A3-94AC8AA29087}">
    <text>470 MW akzeptiert</text>
  </threadedComment>
  <threadedComment ref="K4" dT="2019-02-23T13:24:22.64" personId="{51F1A2BF-5699-4337-B875-D53DBF6DE656}" id="{D6012168-2E81-4545-9820-7FFA59E7202D}">
    <text>1.100 MW akzeptiert</text>
  </threadedComment>
  <threadedComment ref="G6" dT="2019-03-08T18:04:22.89" personId="{51F1A2BF-5699-4337-B875-D53DBF6DE656}" id="{49B75B7C-D38C-4212-94E9-C57D8606C6BD}">
    <text>SRL</text>
  </threadedComment>
  <threadedComment ref="H6" dT="2019-03-08T18:04:30.26" personId="{51F1A2BF-5699-4337-B875-D53DBF6DE656}" id="{2D2B2FF5-911A-40C0-BDD5-7CF2B7EAC266}">
    <text>MRL II</text>
  </threadedComment>
  <threadedComment ref="K6" dT="2019-03-08T18:10:40.62" personId="{51F1A2BF-5699-4337-B875-D53DBF6DE656}" id="{0D2C46B9-62F1-47DB-93FE-0C9F7481C5CF}">
    <text>in HT-Zeit nur 22 MW</text>
  </threadedComment>
  <threadedComment ref="O6" dT="2019-03-08T18:08:08.05" personId="{51F1A2BF-5699-4337-B875-D53DBF6DE656}" id="{285ADAA8-6F52-495C-A122-66720250C243}">
    <text>ID/DA</text>
  </threadedComment>
  <threadedComment ref="AS6" dT="2019-03-08T18:02:57.41" personId="{51F1A2BF-5699-4337-B875-D53DBF6DE656}" id="{C8F19E2B-46C5-4927-813B-18767F568C3B}">
    <text>Für Lasterhöhungen etwas höher</text>
  </threadedComment>
  <threadedComment ref="A7" dT="2019-03-09T16:18:24.62" personId="{51F1A2BF-5699-4337-B875-D53DBF6DE656}" id="{914E371E-85A0-4467-8FD6-9FE9C6FE80AB}">
    <text>kein Flexinilitätspotenzial bei Raffinerien wegen sicherheitstechnischer Aspekte; Flexibilitätspotenzial bei Braunkohletagebau durch Industriekraftwerke bzw. aus Datenschutzgründen nicht dargelegt.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H4" dT="2019-09-17T11:48:44.68" personId="{71FC54F3-5E8D-460B-9FCF-F7AD63FF6B98}" id="{48424C6E-DB7D-4E80-A6CE-54632708D2E4}">
    <text>10 °C Außentemperatur</text>
  </threadedComment>
  <threadedComment ref="J4" dT="2019-09-17T11:48:55.86" personId="{71FC54F3-5E8D-460B-9FCF-F7AD63FF6B98}" id="{AD464845-2D6B-4D71-8364-17095566BF61}">
    <text>271 MW bei -10 °C Außentemperatur und nur BaWü</text>
  </threadedComment>
  <threadedComment ref="A6" dT="2019-09-17T12:05:49.87" personId="{71FC54F3-5E8D-460B-9FCF-F7AD63FF6B98}" id="{B80B1BD7-A1C3-481D-8880-6BBA22317276}">
    <text>Heute kein nennenswertes Potenzial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H2" dT="2019-02-16T12:49:15.23" personId="{51F1A2BF-5699-4337-B875-D53DBF6DE656}" id="{E4BFB744-B0A5-46CB-A573-80A1EDDEB6FE}">
    <text>Abschätzung aus Abbildung S. 413</text>
  </threadedComment>
  <threadedComment ref="I2" dT="2019-02-16T11:55:18.61" personId="{51F1A2BF-5699-4337-B875-D53DBF6DE656}" id="{D3A3CB8E-634D-4353-BC22-B1C1EE166973}">
    <text>nur während Heizperiode; nicht spezifiziert, ob Maximum oder Durchschnitt</text>
  </threadedComment>
  <threadedComment ref="L2" dT="2019-02-16T11:55:41.42" personId="{51F1A2BF-5699-4337-B875-D53DBF6DE656}" id="{DE79BE23-0387-495B-B52B-8557145C9526}">
    <text>Abschätzung aus Abbildung S. 413</text>
  </threadedComment>
  <threadedComment ref="M2" dT="2019-02-16T11:55:41.42" personId="{51F1A2BF-5699-4337-B875-D53DBF6DE656}" id="{4DEFF1C5-9E82-46BA-9145-56ACC48E0E68}">
    <text>nur während bestimmten Stunden der Heizperiode; nict spezifiziert, ob Maximum oder Durchschnitt</text>
  </threadedComment>
  <threadedComment ref="H3" dT="2019-02-16T12:49:15.23" personId="{51F1A2BF-5699-4337-B875-D53DBF6DE656}" id="{56FCB2BE-04C3-4ED5-ACE2-FB1BA5737F47}">
    <text>Abschätzung aus Abbildung S. 413</text>
  </threadedComment>
  <threadedComment ref="I3" dT="2019-02-16T11:55:18.61" personId="{51F1A2BF-5699-4337-B875-D53DBF6DE656}" id="{91DBE807-34F5-455F-9717-4F4965B1E165}">
    <text>nur während Heizperiode; nicht spezifiziert, ob Maximum oder Durchschnitt</text>
  </threadedComment>
  <threadedComment ref="L3" dT="2019-02-16T11:55:41.42" personId="{51F1A2BF-5699-4337-B875-D53DBF6DE656}" id="{DB085A0F-790B-4ABF-B1AC-582644675691}">
    <text>Abschätzung aus Abbildung S. 413</text>
  </threadedComment>
  <threadedComment ref="M3" dT="2019-02-16T11:55:41.42" personId="{51F1A2BF-5699-4337-B875-D53DBF6DE656}" id="{CD81D0F3-14CC-415D-A096-62C1B673367E}">
    <text>nur während bestimmten Stunden der Heizperiode; nict spezifiziert, ob Maximum oder Durchschnitt</text>
  </threadedComment>
  <threadedComment ref="H4" dT="2019-02-16T12:49:15.23" personId="{51F1A2BF-5699-4337-B875-D53DBF6DE656}" id="{B5FCF81A-A120-4D14-88B6-05B80DDD3C65}">
    <text>Abschätzung aus Abbildung S. 413</text>
  </threadedComment>
  <threadedComment ref="H5" dT="2019-02-16T12:49:15.23" personId="{51F1A2BF-5699-4337-B875-D53DBF6DE656}" id="{55E0F084-1B19-4E04-94EC-6347E888579E}">
    <text>Abschätzung aus Abbildung S. 413</text>
  </threadedComment>
  <threadedComment ref="H6" dT="2019-02-16T12:49:15.23" personId="{51F1A2BF-5699-4337-B875-D53DBF6DE656}" id="{32BA0AC7-3B43-4F09-A1B2-D4BA4859B6C6}">
    <text>Abschätzung aus Abbildung S. 413</text>
  </threadedComment>
  <threadedComment ref="I6" dT="2019-02-16T12:07:50.76" personId="{51F1A2BF-5699-4337-B875-D53DBF6DE656}" id="{FC04E18C-2626-474F-A156-122F164C33A4}">
    <text>Winter</text>
  </threadedComment>
  <threadedComment ref="L6" dT="2019-02-16T11:55:41.42" personId="{51F1A2BF-5699-4337-B875-D53DBF6DE656}" id="{65ED5D12-1403-420F-8E23-C0ADB299F455}">
    <text>Abschätzung aus Abbildung S. 413</text>
  </threadedComment>
  <threadedComment ref="M6" dT="2019-02-16T12:08:12.00" personId="{51F1A2BF-5699-4337-B875-D53DBF6DE656}" id="{A0E4DF02-2C19-4550-8373-EE5EB7F86DA6}">
    <text>Sommer</text>
  </threadedComment>
  <threadedComment ref="H7" dT="2019-02-16T12:49:15.23" personId="{51F1A2BF-5699-4337-B875-D53DBF6DE656}" id="{ECA38B16-2E6A-44F9-B174-6E7A45B4E67B}">
    <text>Abschätzung aus Abbildung S. 413; eigene Hochrechnung</text>
  </threadedComment>
  <threadedComment ref="I7" dT="2019-02-16T12:07:50.76" personId="{51F1A2BF-5699-4337-B875-D53DBF6DE656}" id="{BE2984E6-2531-4D6C-A777-5BBD07A90D8D}">
    <text>Winter</text>
  </threadedComment>
  <threadedComment ref="L7" dT="2019-02-16T12:49:15.23" personId="{51F1A2BF-5699-4337-B875-D53DBF6DE656}" id="{CE7146F0-90E3-4CF6-8E7E-E7F03F40C48B}">
    <text>Abschätzung aus Abbildung S. 413; eigene Hochrechnung</text>
  </threadedComment>
  <threadedComment ref="M7" dT="2019-02-16T12:08:12.00" personId="{51F1A2BF-5699-4337-B875-D53DBF6DE656}" id="{32DC9E10-538E-4626-BEEE-0A358024E089}">
    <text>Sommer</text>
  </threadedComment>
  <threadedComment ref="Y10" dT="2019-02-16T12:14:47.55" personId="{51F1A2BF-5699-4337-B875-D53DBF6DE656}" id="{BDD71445-32CE-44AC-87CC-DE391F3A9437}">
    <text>bei Maximalleistung; bei geringerer deutlich länger (bis zu 12 Stunden)</text>
  </threadedComment>
  <threadedComment ref="AB10" dT="2019-02-16T12:35:35.92" personId="{51F1A2BF-5699-4337-B875-D53DBF6DE656}" id="{B4685EC8-33BA-41C6-B974-C7FDC81FD07E}">
    <text>bei Maximalleistung; bei geringerer deutlich länger (bis zu 7 Stunden)</text>
  </threadedComment>
  <threadedComment ref="Y11" dT="2019-02-16T12:14:47.55" personId="{51F1A2BF-5699-4337-B875-D53DBF6DE656}" id="{F43EFF6B-BE30-4C11-8B8A-43E99B6288D6}">
    <text>bei Maximalleistung; bei geringerer deutlich länger (bis zu 12 Stunden)</text>
  </threadedComment>
  <threadedComment ref="AB11" dT="2019-02-16T12:35:35.92" personId="{51F1A2BF-5699-4337-B875-D53DBF6DE656}" id="{F961DDDF-533B-4CA6-9E96-85E7901EE977}">
    <text>bei Maximalleistung; bei geringerer deutlich länger (bis zu 7 Stunden)</text>
  </threadedComment>
  <threadedComment ref="Y12" dT="2019-02-16T12:35:55.76" personId="{51F1A2BF-5699-4337-B875-D53DBF6DE656}" id="{A4C5058E-F20C-490A-A13E-57818F5B284C}">
    <text>bei Maximalleistung; bei geringerer deutlich länger (bis zu 7 Stunden)</text>
  </threadedComment>
  <threadedComment ref="AB12" dT="2019-02-16T12:36:14.45" personId="{51F1A2BF-5699-4337-B875-D53DBF6DE656}" id="{B5AC5E5C-D305-4489-9068-9917443E2B69}">
    <text>bei Maximalleistung; bei geringerer deutlich länger (bis zu 3 Stunden)</text>
  </threadedComment>
  <threadedComment ref="Y13" dT="2019-02-16T12:35:55.76" personId="{51F1A2BF-5699-4337-B875-D53DBF6DE656}" id="{8B139A3A-9121-4697-9E8B-7397F65F9ABE}">
    <text>bei Maximalleistung; bei geringerer deutlich länger (bis zu 7 Stunden)</text>
  </threadedComment>
  <threadedComment ref="AB13" dT="2019-02-16T12:36:14.45" personId="{51F1A2BF-5699-4337-B875-D53DBF6DE656}" id="{5F5EE21A-1FC9-4DD5-9F00-5B68CBA65CAE}">
    <text>bei Maximalleistung; bei geringerer deutlich länger (bis zu 3 Stunden)</text>
  </threadedComment>
  <threadedComment ref="I14" dT="2019-02-16T12:39:08.19" personId="{51F1A2BF-5699-4337-B875-D53DBF6DE656}" id="{2CD599CA-FA32-497C-AAAD-D4B40833DAB8}">
    <text>11-14 Uhr</text>
  </threadedComment>
  <threadedComment ref="AI14" dT="2019-02-16T12:41:12.11" personId="{51F1A2BF-5699-4337-B875-D53DBF6DE656}" id="{B01D08C9-05D2-499A-B05E-0CA61B79389A}">
    <text>Einmal pro Tag (Annahme)</text>
  </threadedComment>
  <threadedComment ref="I15" dT="2019-02-16T12:39:08.19" personId="{51F1A2BF-5699-4337-B875-D53DBF6DE656}" id="{484A3725-636F-46AC-ADE5-2426E0CDFFF6}">
    <text>11-14 Uhr</text>
  </threadedComment>
  <threadedComment ref="AI15" dT="2019-02-16T12:41:12.11" personId="{51F1A2BF-5699-4337-B875-D53DBF6DE656}" id="{618FA667-1122-4AA4-AFFD-62315F98704A}">
    <text>Einmal pro Tag (Annahme)</text>
  </threadedComment>
  <threadedComment ref="Q16" dT="2019-03-23T12:47:02.27" personId="{51F1A2BF-5699-4337-B875-D53DBF6DE656}" id="{3C360DE0-279E-472B-8B69-0D8A9FDA24AA}">
    <text>Bezug auf installierte Leistung (!)</text>
  </threadedComment>
  <threadedComment ref="AP16" dT="2019-02-16T17:16:14.47" personId="{51F1A2BF-5699-4337-B875-D53DBF6DE656}" id="{B7D9A8BF-A9CD-43C6-89EA-3DCB04B08D4C}">
    <text>kleiner 1</text>
  </threadedComment>
  <threadedComment ref="AQ16" dT="2019-02-16T17:16:14.47" personId="{51F1A2BF-5699-4337-B875-D53DBF6DE656}" id="{32164C69-55B6-4C8D-AAA6-4375387896B4}">
    <text>abweichende Angabe auf S. 531: vglsw. hohe fixe BK mit 90 €/kW*a</text>
  </threadedComment>
  <threadedComment ref="AP17" dT="2019-02-16T17:16:14.47" personId="{51F1A2BF-5699-4337-B875-D53DBF6DE656}" id="{B58A8EDA-A9BF-438C-926D-9A46E25BE4F8}">
    <text>kleiner 1</text>
  </threadedComment>
  <threadedComment ref="AQ17" dT="2019-02-16T17:16:14.47" personId="{51F1A2BF-5699-4337-B875-D53DBF6DE656}" id="{4D0EDDAD-4B39-4913-9D1A-8FE152A4D5C1}">
    <text>abweichende Angabe auf S. 531: vglsw. hohe fixe BK mit 90 €/kW*a</text>
  </threadedComment>
  <threadedComment ref="AL18" dT="2019-02-16T17:16:14.47" personId="{51F1A2BF-5699-4337-B875-D53DBF6DE656}" id="{2D750CCD-9FE5-4E33-917A-62AA63ED38B2}">
    <text>kleiner 1</text>
  </threadedComment>
  <threadedComment ref="AO18" dT="2019-02-16T17:16:14.47" personId="{51F1A2BF-5699-4337-B875-D53DBF6DE656}" id="{DB90334A-56BC-4CB4-BF6B-B6898EDEFDDB}">
    <text>größer 100</text>
  </threadedComment>
  <threadedComment ref="AQ18" dT="2019-02-16T17:16:14.47" personId="{51F1A2BF-5699-4337-B875-D53DBF6DE656}" id="{C1734ED0-047C-4A03-BCD8-FA1D049D3E83}">
    <text>kleiner 1</text>
  </threadedComment>
  <threadedComment ref="E20" dT="2019-02-16T13:04:26.24" personId="{51F1A2BF-5699-4337-B875-D53DBF6DE656}" id="{64F6BED4-7AF4-439F-A1B8-7701FC261B6C}">
    <text>Vollauslastung (8.760 Stunden p.a.)</text>
  </threadedComment>
  <threadedComment ref="AQ20" dT="2019-02-16T17:16:14.47" personId="{51F1A2BF-5699-4337-B875-D53DBF6DE656}" id="{19BEAAC5-AEC5-4FED-99AB-02B9DE5C5CF1}">
    <text>kleiner 1</text>
  </threadedComment>
  <threadedComment ref="E21" dT="2019-02-16T13:04:26.24" personId="{51F1A2BF-5699-4337-B875-D53DBF6DE656}" id="{0D7506F8-7B7A-4D04-93FC-A52A96EEDD70}">
    <text>Vollauslastung (8.760 Stunden p.a.)</text>
  </threadedComment>
  <threadedComment ref="I22" dT="2019-02-16T15:39:47.91" personId="{51F1A2BF-5699-4337-B875-D53DBF6DE656}" id="{0674D3E8-B547-44D6-A52E-7D52D5F112A5}">
    <text>Annahme, dass Prozess mit Maximalleistung betrieben wird.</text>
  </threadedComment>
  <threadedComment ref="Y22" dT="2019-02-16T15:38:16.01" personId="{51F1A2BF-5699-4337-B875-D53DBF6DE656}" id="{DE351524-D469-480B-890C-7E154D1926E4}">
    <text>Schaltdauer bis 30 Min. Prozess sonst neu zu beginnen. Prozessablauf: 45 min Schmelzen + 15 min zum Leeren und Befüllen</text>
  </threadedComment>
  <threadedComment ref="AL22" dT="2019-02-16T17:16:14.47" personId="{51F1A2BF-5699-4337-B875-D53DBF6DE656}" id="{27DAC4CB-A050-4C5F-A3AE-61F3B2B4EA13}">
    <text>kleiner 1</text>
  </threadedComment>
  <threadedComment ref="AO22" dT="2019-02-16T17:16:14.47" personId="{51F1A2BF-5699-4337-B875-D53DBF6DE656}" id="{817C6850-F5D3-41CB-B7FD-4DA88A8F301B}">
    <text>größer 1000</text>
  </threadedComment>
  <threadedComment ref="AQ22" dT="2019-02-16T17:16:14.47" personId="{51F1A2BF-5699-4337-B875-D53DBF6DE656}" id="{EE9E44B8-461E-4C07-8E58-DA9C01EB4EAD}">
    <text>kleiner 1</text>
  </threadedComment>
  <threadedComment ref="I23" dT="2019-02-16T15:39:47.91" personId="{51F1A2BF-5699-4337-B875-D53DBF6DE656}" id="{E97C66FB-2C05-441D-9EFF-FD5B295CCB0D}">
    <text>Annahme, dass Prozess mit Maximalleistung betrieben wird.</text>
  </threadedComment>
  <threadedComment ref="Y23" dT="2019-02-16T15:38:16.01" personId="{51F1A2BF-5699-4337-B875-D53DBF6DE656}" id="{C4911BB4-C371-4F84-9692-9E649CA2036F}">
    <text>Schaltdauer bis 30 Min. Prozess sonst neu zu beginnen. Prozessablauf: 45 min Schmelzen + 15 min zum Leeren und Befüllen</text>
  </threadedComment>
  <threadedComment ref="AO24" dT="2019-02-16T17:16:14.47" personId="{51F1A2BF-5699-4337-B875-D53DBF6DE656}" id="{31E81006-1FBF-4FD9-9924-50FDF93F6BF9}">
    <text>kleiner 10</text>
  </threadedComment>
  <threadedComment ref="AP24" dT="2019-02-16T17:16:14.47" personId="{51F1A2BF-5699-4337-B875-D53DBF6DE656}" id="{9BAAB480-67BB-496C-8AB4-A066FC25C19C}">
    <text>kleiner 1</text>
  </threadedComment>
  <threadedComment ref="AQ24" dT="2019-02-16T17:16:14.47" personId="{51F1A2BF-5699-4337-B875-D53DBF6DE656}" id="{CC08F034-8F6E-4B4F-B20C-04518AE63AE7}">
    <text>abweichende Angabe auf S. 531: vglsw. hohe fixe BK mit 90 €/kW*a</text>
  </threadedComment>
  <threadedComment ref="AP25" dT="2019-02-16T17:16:14.47" personId="{51F1A2BF-5699-4337-B875-D53DBF6DE656}" id="{51B26C77-5485-4706-8CF1-907CC169C0EF}">
    <text>kleiner 1</text>
  </threadedComment>
  <threadedComment ref="AQ25" dT="2019-02-16T17:16:14.47" personId="{51F1A2BF-5699-4337-B875-D53DBF6DE656}" id="{DE8CB550-2141-4765-8E1A-A01D2139DAB5}">
    <text>abweichende Angabe auf S. 531: vglsw. hohe fixe BK mit 90 €/kW*a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J1" dT="2019-03-21T09:39:51.29" personId="{51F1A2BF-5699-4337-B875-D53DBF6DE656}" id="{A65DD986-BC17-49D8-AB9B-5B6A02FBC47E}">
    <text>Für Heizanwendungen: kältester Tag des Jahres</text>
  </threadedComment>
  <threadedComment ref="M1" dT="2019-03-21T09:41:06.14" personId="{51F1A2BF-5699-4337-B875-D53DBF6DE656}" id="{D0EC52C0-E9A0-4C3C-AFE5-DA30C0A936B8}">
    <text>Für Heizungen kältester Tag des Jahres</text>
  </threadedComment>
  <threadedComment ref="N1" dT="2019-03-21T18:23:48.28" personId="{51F1A2BF-5699-4337-B875-D53DBF6DE656}" id="{C35844ED-19FA-450F-98C6-C501953BF2B5}">
    <text>Mittlere Leistungsaufnahme</text>
  </threadedComment>
  <threadedComment ref="X1" dT="2019-03-22T13:31:02.48" personId="{51F1A2BF-5699-4337-B875-D53DBF6DE656}" id="{41597F26-5186-4571-9F05-E83A88531193}">
    <text>bezogen auf die durchschnittliche Leistung (!)</text>
  </threadedComment>
  <threadedComment ref="AF2" dT="2019-03-22T13:19:46.42" personId="{51F1A2BF-5699-4337-B875-D53DBF6DE656}" id="{460841BC-0A04-4C12-B86E-C1ACC9F1E76B}">
    <text>Aussage S. 242: Schaltung binnen Sekunden bis wenigen Minuten</text>
  </threadedComment>
  <threadedComment ref="AY2" dT="2019-03-22T13:00:24.48" personId="{51F1A2BF-5699-4337-B875-D53DBF6DE656}" id="{7AE74D33-57E8-4BCD-B069-2827CD5BF32C}">
    <text>Lastverschiebung</text>
  </threadedComment>
  <threadedComment ref="AZ2" dT="2019-03-22T11:20:25.48" personId="{51F1A2BF-5699-4337-B875-D53DBF6DE656}" id="{F62EDD0B-1788-487C-81C3-67CD41066478}">
    <text>Lastverzicht</text>
  </threadedComment>
  <threadedComment ref="AF3" dT="2019-03-22T13:19:46.42" personId="{51F1A2BF-5699-4337-B875-D53DBF6DE656}" id="{CEF4D5B6-B72A-4731-ACB1-F8DA98DF7324}">
    <text>Aussage S. 242: Schaltung binnen Sekunden bis wenigen Minuten</text>
  </threadedComment>
  <threadedComment ref="AY3" dT="2019-03-22T13:00:24.48" personId="{51F1A2BF-5699-4337-B875-D53DBF6DE656}" id="{237605FD-1B06-43DB-8ABD-6CC4285B78CC}">
    <text>Lastverschiebung</text>
  </threadedComment>
  <threadedComment ref="AZ3" dT="2019-03-22T11:20:25.48" personId="{51F1A2BF-5699-4337-B875-D53DBF6DE656}" id="{9A205F06-10AF-4301-A438-E86213BE00EE}">
    <text>Lastverzicht</text>
  </threadedComment>
  <threadedComment ref="AF4" dT="2019-03-22T13:19:46.42" personId="{51F1A2BF-5699-4337-B875-D53DBF6DE656}" id="{02B2F7DE-9331-4817-8FCA-75A333A05B96}">
    <text>Aussage S. 242: Schaltung binnen Sekunden bis wenigen Minuten</text>
  </threadedComment>
  <threadedComment ref="AY4" dT="2019-03-22T13:00:24.48" personId="{51F1A2BF-5699-4337-B875-D53DBF6DE656}" id="{AF6D0AB4-140D-4D2B-A6BC-349CCFF64A7F}">
    <text>Lastverschiebung</text>
  </threadedComment>
  <threadedComment ref="AZ4" dT="2019-03-22T11:20:25.48" personId="{51F1A2BF-5699-4337-B875-D53DBF6DE656}" id="{4ECF5971-0285-43F5-B16E-E6896A615FA1}">
    <text>Lastverzicht</text>
  </threadedComment>
  <threadedComment ref="AF5" dT="2019-03-22T13:19:46.42" personId="{51F1A2BF-5699-4337-B875-D53DBF6DE656}" id="{1E17797E-31CA-456F-8AA8-D06F18E09839}">
    <text>Aussage S. 242: Schaltung binnen Sekunden bis wenigen Minuten</text>
  </threadedComment>
  <threadedComment ref="AY5" dT="2019-03-22T13:00:24.48" personId="{51F1A2BF-5699-4337-B875-D53DBF6DE656}" id="{24D88EEE-12DE-4986-A3FE-657F72D0DC44}">
    <text>Lastverschiebung</text>
  </threadedComment>
  <threadedComment ref="AZ5" dT="2019-03-22T11:20:25.48" personId="{51F1A2BF-5699-4337-B875-D53DBF6DE656}" id="{78A5C715-56D1-4B5A-A2A3-8758916111E1}">
    <text>Lastverzicht</text>
  </threadedComment>
  <threadedComment ref="AF6" dT="2019-03-22T13:19:46.42" personId="{51F1A2BF-5699-4337-B875-D53DBF6DE656}" id="{4EF61836-8E45-4D67-85CD-A7825E62300F}">
    <text>Aussage S. 242: Schaltung binnen Sekunden bis wenigen Minuten</text>
  </threadedComment>
  <threadedComment ref="AY6" dT="2019-03-22T13:00:24.48" personId="{51F1A2BF-5699-4337-B875-D53DBF6DE656}" id="{91EE9041-6615-47B6-92B2-B6D052856ACB}">
    <text>Lastverschiebung</text>
  </threadedComment>
  <threadedComment ref="AZ6" dT="2019-03-22T11:20:25.48" personId="{51F1A2BF-5699-4337-B875-D53DBF6DE656}" id="{99B0E8B1-7B3B-4000-B04C-31F0495A7B90}">
    <text>Lastverzicht</text>
  </threadedComment>
  <threadedComment ref="M7" dT="2019-03-22T13:41:40.66" personId="{51F1A2BF-5699-4337-B875-D53DBF6DE656}" id="{FF3FDE26-AA3C-46F4-A387-63950B8CE91A}">
    <text>Annahme, dass Aufteilung DE/AT identisch bleibt</text>
  </threadedComment>
  <threadedComment ref="N7" dT="2019-03-21T18:42:29.67" personId="{51F1A2BF-5699-4337-B875-D53DBF6DE656}" id="{94A7FB52-6288-45A5-8D48-CD1C8BB52803}">
    <text>Annahme, dass Aufteilung D/AT identisch bleibt</text>
  </threadedComment>
  <threadedComment ref="AF7" dT="2019-03-22T13:19:46.42" personId="{51F1A2BF-5699-4337-B875-D53DBF6DE656}" id="{BE92335F-BC06-4B78-93FC-80E3529D60A8}">
    <text>Aussage S. 242: Schaltung binnen Sekunden bis wenigen Minuten</text>
  </threadedComment>
  <threadedComment ref="AY7" dT="2019-03-22T13:00:24.48" personId="{51F1A2BF-5699-4337-B875-D53DBF6DE656}" id="{5A18B9C5-55EB-4ACF-82A9-4F4B645BCD2E}">
    <text>Lastverschiebung</text>
  </threadedComment>
  <threadedComment ref="AZ7" dT="2019-03-22T11:20:25.48" personId="{51F1A2BF-5699-4337-B875-D53DBF6DE656}" id="{B45B08C0-833C-436C-8BD4-B55619D5D221}">
    <text>Lastverzicht</text>
  </threadedComment>
  <threadedComment ref="AF8" dT="2019-03-22T13:19:46.42" personId="{51F1A2BF-5699-4337-B875-D53DBF6DE656}" id="{9052D0D0-05B2-43B2-902E-15F4C6C07F37}">
    <text>Aussage S. 242: Schaltung binnen Sekunden bis wenigen Minuten</text>
  </threadedComment>
  <threadedComment ref="AY8" dT="2019-03-22T13:00:24.48" personId="{51F1A2BF-5699-4337-B875-D53DBF6DE656}" id="{390966D2-119B-494F-AB4C-2E1A3CD2A8F5}">
    <text>Lastverschiebung</text>
  </threadedComment>
  <threadedComment ref="AZ8" dT="2019-03-22T11:20:25.48" personId="{51F1A2BF-5699-4337-B875-D53DBF6DE656}" id="{04CA81DD-399C-4E46-9DBD-3E692BD23D91}">
    <text>Lastverzicht</text>
  </threadedComment>
  <threadedComment ref="AF9" dT="2019-03-22T13:19:46.42" personId="{51F1A2BF-5699-4337-B875-D53DBF6DE656}" id="{5115D410-0E4F-417C-BD9C-7B3426578204}">
    <text>Aussage S. 242: Schaltung binnen Sekunden bis wenigen Minuten</text>
  </threadedComment>
  <threadedComment ref="AY9" dT="2019-03-22T13:00:24.48" personId="{51F1A2BF-5699-4337-B875-D53DBF6DE656}" id="{F8D147C2-607E-40D0-86D2-6F7D35995B6A}">
    <text>Lastverschiebung</text>
  </threadedComment>
  <threadedComment ref="AZ9" dT="2019-03-22T11:20:25.48" personId="{51F1A2BF-5699-4337-B875-D53DBF6DE656}" id="{3B6C4750-2297-4D3E-B888-F522538E49A6}">
    <text>Lastverzicht</text>
  </threadedComment>
  <threadedComment ref="M10" dT="2019-03-21T18:14:54.88" personId="{51F1A2BF-5699-4337-B875-D53DBF6DE656}" id="{1ABAA499-8950-43A9-88FD-43179BB9B0D0}">
    <text>inkl. TMP-Verfahren</text>
  </threadedComment>
  <threadedComment ref="T10" dT="2019-03-21T18:14:54.88" personId="{51F1A2BF-5699-4337-B875-D53DBF6DE656}" id="{2767DFC5-F3D3-443E-808B-8CEAED4D09D8}">
    <text>inkl. TMP-Verfahren</text>
  </threadedComment>
  <threadedComment ref="AF10" dT="2019-03-22T13:19:46.42" personId="{51F1A2BF-5699-4337-B875-D53DBF6DE656}" id="{22A7B1C2-27F2-4565-845A-C4A37C06CFDA}">
    <text>Aussage S. 242: Schaltung binnen Sekunden bis wenigen Minuten</text>
  </threadedComment>
  <threadedComment ref="AY10" dT="2019-03-22T13:00:24.48" personId="{51F1A2BF-5699-4337-B875-D53DBF6DE656}" id="{901674A5-5CB3-450C-A8FE-356EBE294716}">
    <text>Lastverschiebung</text>
  </threadedComment>
  <threadedComment ref="AZ10" dT="2019-03-22T11:20:25.48" personId="{51F1A2BF-5699-4337-B875-D53DBF6DE656}" id="{8BCB4973-35E4-46BD-A129-C66BB532D42E}">
    <text>Lastverzicht</text>
  </threadedComment>
  <threadedComment ref="M11" dT="2019-03-22T13:42:41.87" personId="{51F1A2BF-5699-4337-B875-D53DBF6DE656}" id="{5F5C7B7D-99C9-4A30-8A4E-2186A6D10B38}">
    <text>Annahme, dass Aufteilung DE/AT identisch bleibt</text>
  </threadedComment>
  <threadedComment ref="AF11" dT="2019-03-22T13:19:46.42" personId="{51F1A2BF-5699-4337-B875-D53DBF6DE656}" id="{1146AE96-27EE-44DD-B682-1449CE0A2038}">
    <text>Aussage S. 242: Schaltung binnen Sekunden bis wenigen Minuten</text>
  </threadedComment>
  <threadedComment ref="AY11" dT="2019-03-22T13:00:24.48" personId="{51F1A2BF-5699-4337-B875-D53DBF6DE656}" id="{01C84C66-C0DF-463A-A3B8-D6F94B10C81C}">
    <text>Lastverschiebung</text>
  </threadedComment>
  <threadedComment ref="AZ11" dT="2019-03-22T11:20:25.48" personId="{51F1A2BF-5699-4337-B875-D53DBF6DE656}" id="{8F0AACF3-1AF2-4436-8C16-7381AC66419C}">
    <text>Lastverzicht</text>
  </threadedComment>
  <threadedComment ref="AF12" dT="2019-03-22T13:19:46.42" personId="{51F1A2BF-5699-4337-B875-D53DBF6DE656}" id="{8DE399A9-1B23-4B05-838D-91051BFE31E2}">
    <text>Aussage S. 242: Schaltung binnen Sekunden bis wenigen Minuten</text>
  </threadedComment>
  <threadedComment ref="AY12" dT="2019-03-22T13:00:24.48" personId="{51F1A2BF-5699-4337-B875-D53DBF6DE656}" id="{DCC06660-6263-428E-B84A-6776BF9893FB}">
    <text>Lastverschiebung</text>
  </threadedComment>
  <threadedComment ref="AZ12" dT="2019-03-22T11:20:25.48" personId="{51F1A2BF-5699-4337-B875-D53DBF6DE656}" id="{95D1FB6E-90AB-47F0-A42E-943E49932678}">
    <text>Lastverzicht</text>
  </threadedComment>
  <threadedComment ref="AF13" dT="2019-03-22T13:19:46.42" personId="{51F1A2BF-5699-4337-B875-D53DBF6DE656}" id="{8D9721C7-F2FE-4D86-A425-0D51AA3FE3B1}">
    <text>Aussage S. 242: Schaltung binnen Sekunden bis wenigen Minuten</text>
  </threadedComment>
  <threadedComment ref="AY13" dT="2019-03-22T13:00:24.48" personId="{51F1A2BF-5699-4337-B875-D53DBF6DE656}" id="{0FB39A13-5439-4B91-9EBC-CA005F91DD0B}">
    <text>Lastverschiebung</text>
  </threadedComment>
  <threadedComment ref="AZ13" dT="2019-03-22T11:20:25.48" personId="{51F1A2BF-5699-4337-B875-D53DBF6DE656}" id="{A0B93097-E0BF-4903-BC06-FB746AD70FD5}">
    <text>Lastverzicht</text>
  </threadedComment>
  <threadedComment ref="AY14" dT="2019-03-22T13:00:24.48" personId="{51F1A2BF-5699-4337-B875-D53DBF6DE656}" id="{1A2046F3-4ED3-473C-B939-992248ED9D05}">
    <text>Lastverschiebung</text>
  </threadedComment>
  <threadedComment ref="AZ14" dT="2019-03-22T11:20:25.48" personId="{51F1A2BF-5699-4337-B875-D53DBF6DE656}" id="{BF337FC9-E87D-489A-A32F-6AC15E232FAD}">
    <text>Lastverzicht</text>
  </threadedComment>
  <threadedComment ref="N15" dT="2019-03-21T18:39:45.76" personId="{51F1A2BF-5699-4337-B875-D53DBF6DE656}" id="{BB2CA876-F78D-4089-A02F-35A9C7A6091B}">
    <text>Annahme, dass Aufteilung D/AT identisch bleibt.</text>
  </threadedComment>
  <threadedComment ref="AY15" dT="2019-03-22T13:00:24.48" personId="{51F1A2BF-5699-4337-B875-D53DBF6DE656}" id="{EB421FDC-FD34-4DA3-A064-A0FA5E8F5558}">
    <text>Lastverschiebung</text>
  </threadedComment>
  <threadedComment ref="AZ15" dT="2019-03-22T11:20:25.48" personId="{51F1A2BF-5699-4337-B875-D53DBF6DE656}" id="{84E9E13E-531A-49C6-A68A-DD31D9BB1871}">
    <text>Lastverzicht</text>
  </threadedComment>
  <threadedComment ref="AY16" dT="2019-03-22T13:00:24.48" personId="{51F1A2BF-5699-4337-B875-D53DBF6DE656}" id="{1CDE2AD8-F704-48CE-9DAE-AB26DB365C6B}">
    <text>Lastverschiebung</text>
  </threadedComment>
  <threadedComment ref="AZ16" dT="2019-03-22T11:20:25.48" personId="{51F1A2BF-5699-4337-B875-D53DBF6DE656}" id="{FBAD1FB3-8D86-426E-8BC0-E0583AA2F3CA}">
    <text>Lastverzicht</text>
  </threadedComment>
  <threadedComment ref="AY17" dT="2019-03-22T13:00:24.48" personId="{51F1A2BF-5699-4337-B875-D53DBF6DE656}" id="{76249C28-D235-4E59-9A9A-804B0AA50118}">
    <text>Lastverschiebung</text>
  </threadedComment>
  <threadedComment ref="AZ17" dT="2019-03-22T11:20:25.48" personId="{51F1A2BF-5699-4337-B875-D53DBF6DE656}" id="{A86A1221-7577-4C3C-A39E-96C45746EE33}">
    <text>Lastverzicht</text>
  </threadedComment>
  <threadedComment ref="AF18" dT="2019-03-22T13:19:46.42" personId="{51F1A2BF-5699-4337-B875-D53DBF6DE656}" id="{462655CF-BD51-49EA-A142-671957591B6B}">
    <text>Aussage S. 242: Schaltung binnen Sekunden bis wenigen Minuten</text>
  </threadedComment>
  <threadedComment ref="AY18" dT="2019-03-22T13:00:24.48" personId="{51F1A2BF-5699-4337-B875-D53DBF6DE656}" id="{D964847E-D60B-45BF-B738-69170D7CA832}">
    <text>Lastverschiebung</text>
  </threadedComment>
  <threadedComment ref="AZ18" dT="2019-03-22T11:20:25.48" personId="{51F1A2BF-5699-4337-B875-D53DBF6DE656}" id="{CBA541BC-47C8-4018-967B-4D4F1431DCC3}">
    <text>Lastverzicht</text>
  </threadedComment>
  <threadedComment ref="M19" dT="2019-03-22T13:44:00.09" personId="{51F1A2BF-5699-4337-B875-D53DBF6DE656}" id="{E40C3BB2-6CD0-47C2-A08D-8B7089F0F6B9}">
    <text>Annahme, dass Aufteilung DE/AT identisch bleibt</text>
  </threadedComment>
  <threadedComment ref="N19" dT="2019-03-21T18:43:07.56" personId="{51F1A2BF-5699-4337-B875-D53DBF6DE656}" id="{2795010D-A197-40D5-A19F-143A0C85E363}">
    <text>Annahme, dass Aufteilung D/AT identisch bleibt</text>
  </threadedComment>
  <threadedComment ref="AF19" dT="2019-03-22T13:19:46.42" personId="{51F1A2BF-5699-4337-B875-D53DBF6DE656}" id="{2A074857-BB15-4797-81D4-7F0CA707C185}">
    <text>Aussage S. 242: Schaltung binnen Sekunden bis wenigen Minuten</text>
  </threadedComment>
  <threadedComment ref="AY19" dT="2019-03-22T13:00:24.48" personId="{51F1A2BF-5699-4337-B875-D53DBF6DE656}" id="{9BECD6FB-FC16-40B6-AC66-D844B91172B2}">
    <text>Lastverschiebung</text>
  </threadedComment>
  <threadedComment ref="AZ19" dT="2019-03-22T11:20:25.48" personId="{51F1A2BF-5699-4337-B875-D53DBF6DE656}" id="{71C69080-5C9E-4612-8E0A-8B83D7EB4D4F}">
    <text>Lastverzicht</text>
  </threadedComment>
  <threadedComment ref="AF20" dT="2019-03-22T13:19:46.42" personId="{51F1A2BF-5699-4337-B875-D53DBF6DE656}" id="{81321553-6C30-4906-B9BE-8201F5F630FA}">
    <text>Aussage S. 242: Schaltung binnen Sekunden bis wenigen Minuten</text>
  </threadedComment>
  <threadedComment ref="AY20" dT="2019-03-22T13:00:24.48" personId="{51F1A2BF-5699-4337-B875-D53DBF6DE656}" id="{2452AC36-E0AC-4997-AA01-12F34AA5B0AC}">
    <text>Lastverschiebung</text>
  </threadedComment>
  <threadedComment ref="AZ20" dT="2019-03-22T11:20:25.48" personId="{51F1A2BF-5699-4337-B875-D53DBF6DE656}" id="{76CAB102-43A7-43A6-B228-D3792D9B5C81}">
    <text>Lastverzicht</text>
  </threadedComment>
  <threadedComment ref="AF21" dT="2019-03-22T13:19:46.42" personId="{51F1A2BF-5699-4337-B875-D53DBF6DE656}" id="{0DD36166-77F6-420C-ABE5-195AB1AC6DB0}">
    <text>Aussage S. 242: Schaltung binnen Sekunden bis wenigen Minuten</text>
  </threadedComment>
  <threadedComment ref="AY21" dT="2019-03-22T13:00:24.48" personId="{51F1A2BF-5699-4337-B875-D53DBF6DE656}" id="{4A978F11-7A7D-46DF-B76B-34DDBB125E2E}">
    <text>Lastverschiebung</text>
  </threadedComment>
  <threadedComment ref="AZ21" dT="2019-03-22T11:20:25.48" personId="{51F1A2BF-5699-4337-B875-D53DBF6DE656}" id="{E689A699-9833-42EC-9F35-40AAEA2184D0}">
    <text>Lastverzicht</text>
  </threadedComment>
  <threadedComment ref="AF22" dT="2019-03-22T13:19:46.42" personId="{51F1A2BF-5699-4337-B875-D53DBF6DE656}" id="{FF6F44D7-58B5-43AA-80FA-CCE1597E5F69}">
    <text>Aussage S. 242: Schaltung binnen Sekunden bis wenigen Minuten</text>
  </threadedComment>
  <threadedComment ref="AY22" dT="2019-03-22T13:00:24.48" personId="{51F1A2BF-5699-4337-B875-D53DBF6DE656}" id="{E61778A0-2EF5-423B-BE7E-FE115B643C47}">
    <text>Lastverschiebung</text>
  </threadedComment>
  <threadedComment ref="AZ22" dT="2019-03-22T11:20:25.48" personId="{51F1A2BF-5699-4337-B875-D53DBF6DE656}" id="{71452997-5ECD-4BD6-94ED-3DEB7BFBBB83}">
    <text>Lastverzicht</text>
  </threadedComment>
  <threadedComment ref="M23" dT="2019-03-22T13:44:14.14" personId="{51F1A2BF-5699-4337-B875-D53DBF6DE656}" id="{0DB4BAE5-C12F-469F-BFBD-A07737AD7512}">
    <text>Annahme, dass Aufteilung DE/AT identisch bleibt</text>
  </threadedComment>
  <threadedComment ref="N23" dT="2019-03-21T18:43:22.00" personId="{51F1A2BF-5699-4337-B875-D53DBF6DE656}" id="{81F98D7B-3688-4296-BF76-B58DCD7405C3}">
    <text>Annahme, dass Aufteilung D/AT identisch bleibt</text>
  </threadedComment>
  <threadedComment ref="AF23" dT="2019-03-22T13:19:46.42" personId="{51F1A2BF-5699-4337-B875-D53DBF6DE656}" id="{DC9E1437-B930-4F81-A051-946D0A3C0AE7}">
    <text>Aussage S. 242: Schaltung binnen Sekunden bis wenigen Minuten</text>
  </threadedComment>
  <threadedComment ref="AY23" dT="2019-03-22T13:00:24.48" personId="{51F1A2BF-5699-4337-B875-D53DBF6DE656}" id="{ABAB29ED-CA1E-4659-8747-0F09931C4F94}">
    <text>Lastverschiebung</text>
  </threadedComment>
  <threadedComment ref="AZ23" dT="2019-03-22T11:20:25.48" personId="{51F1A2BF-5699-4337-B875-D53DBF6DE656}" id="{9A18DC09-E511-4209-8B94-7E768B5A04F0}">
    <text>Lastverzicht</text>
  </threadedComment>
  <threadedComment ref="AF24" dT="2019-03-22T13:19:46.42" personId="{51F1A2BF-5699-4337-B875-D53DBF6DE656}" id="{09AC6F39-B913-40E6-BA51-10B870657E37}">
    <text>Aussage S. 242: Schaltung binnen Sekunden bis wenigen Minuten</text>
  </threadedComment>
  <threadedComment ref="AY24" dT="2019-03-22T13:00:24.48" personId="{51F1A2BF-5699-4337-B875-D53DBF6DE656}" id="{0952EC1D-489E-4A4E-98B3-737C9F54F1CE}">
    <text>Lastverschiebung</text>
  </threadedComment>
  <threadedComment ref="AZ24" dT="2019-03-22T11:20:25.48" personId="{51F1A2BF-5699-4337-B875-D53DBF6DE656}" id="{0CF447F4-A80A-410D-B489-1C546019C636}">
    <text>Lastverzicht</text>
  </threadedComment>
  <threadedComment ref="AF25" dT="2019-03-22T13:19:46.42" personId="{51F1A2BF-5699-4337-B875-D53DBF6DE656}" id="{8BBE540B-3905-4F6B-A872-D032FC7230B6}">
    <text>Aussage S. 242: Schaltung binnen Sekunden bis wenigen Minuten</text>
  </threadedComment>
  <threadedComment ref="AY25" dT="2019-03-22T13:00:24.48" personId="{51F1A2BF-5699-4337-B875-D53DBF6DE656}" id="{49EC804F-2350-4163-9F5D-986D5B9E7BAC}">
    <text>Lastverschiebung</text>
  </threadedComment>
  <threadedComment ref="AZ25" dT="2019-03-22T11:20:25.48" personId="{51F1A2BF-5699-4337-B875-D53DBF6DE656}" id="{971BE820-88D4-4B9C-9323-7B80B5A9B7B6}">
    <text>Lastverzicht</text>
  </threadedComment>
  <threadedComment ref="AX26" dT="2019-03-22T13:07:55.84" personId="{51F1A2BF-5699-4337-B875-D53DBF6DE656}" id="{369C8F21-2329-4F7E-8AB9-884DCFB781C6}">
    <text>ab 500 kW Leistung; darunter pauschal 3.000 €</text>
  </threadedComment>
  <threadedComment ref="BE26" dT="2019-03-22T13:07:55.84" personId="{51F1A2BF-5699-4337-B875-D53DBF6DE656}" id="{79055818-B7AF-4C60-B059-77D90B5B6A96}">
    <text>Pauschalwert; ab 500 kW Leistung 6,2 €/kW</text>
  </threadedComment>
  <threadedComment ref="AX27" dT="2019-03-22T13:07:55.84" personId="{51F1A2BF-5699-4337-B875-D53DBF6DE656}" id="{A068564E-CE7A-4392-BE22-1EE16279AEC8}">
    <text>ab 500 kW Leistung; darunter pauschal 2.550 €</text>
  </threadedComment>
  <threadedComment ref="BE27" dT="2019-03-22T13:07:55.84" personId="{51F1A2BF-5699-4337-B875-D53DBF6DE656}" id="{B12C1CED-D7DB-4895-894F-F3012EB816F7}">
    <text>Pauschalwert; ab 500 kW Leistung 5,6€/kW</text>
  </threadedComment>
  <threadedComment ref="AX28" dT="2019-03-22T13:07:55.84" personId="{51F1A2BF-5699-4337-B875-D53DBF6DE656}" id="{BD2E1FD6-0322-4F74-A8FF-339B9832DAA3}">
    <text>ab 500 kW Leistung; darunter pauschal 2.100 €</text>
  </threadedComment>
  <threadedComment ref="BE28" dT="2019-03-22T13:07:55.84" personId="{51F1A2BF-5699-4337-B875-D53DBF6DE656}" id="{4B473858-F4BD-42EF-874D-B97230B94EB2}">
    <text>Pauschalwert; ab 500 kW Leistung 5,3 €/kW</text>
  </threadedComment>
  <threadedComment ref="AX29" dT="2019-03-22T13:07:55.84" personId="{51F1A2BF-5699-4337-B875-D53DBF6DE656}" id="{E600ED1E-B00B-413B-A70C-FFA594F46B5C}">
    <text>ab 500 kW Leistung; darunter pauschal 1.650 €</text>
  </threadedComment>
  <threadedComment ref="BE29" dT="2019-03-22T13:07:55.84" personId="{51F1A2BF-5699-4337-B875-D53DBF6DE656}" id="{22CFD6B4-025D-4EC9-A65E-AFC0B9CA72C4}">
    <text>Pauschalwert; ab 500 kW Leistung 4,9 €/kW</text>
  </threadedComment>
  <threadedComment ref="A30" dT="2019-02-26T12:50:21.40" personId="{51F1A2BF-5699-4337-B875-D53DBF6DE656}" id="{70E38203-3AFF-42AD-A3AB-95BFDF9850BA}">
    <text>Samira: Belüftung und Klimatisierung</text>
  </threadedComment>
  <threadedComment ref="AX30" dT="2019-03-22T13:07:55.84" personId="{51F1A2BF-5699-4337-B875-D53DBF6DE656}" id="{EACC701D-F800-4C4F-9945-B56CB39522B5}">
    <text>ab 500 kW Leistung; darunter pauschal 3.000 €</text>
  </threadedComment>
  <threadedComment ref="BE30" dT="2019-03-22T13:07:55.84" personId="{51F1A2BF-5699-4337-B875-D53DBF6DE656}" id="{AC366BA3-7646-4580-BCE7-62D1563D94EA}">
    <text>Pauschalwert; ab 500 kW Leistung 6,2 €/kW</text>
  </threadedComment>
  <threadedComment ref="A31" dT="2019-02-26T12:50:21.40" personId="{51F1A2BF-5699-4337-B875-D53DBF6DE656}" id="{112FF432-07AD-4D4A-B250-D43F394A092E}">
    <text>Samira: Belüftung und Klimatisierung</text>
  </threadedComment>
  <threadedComment ref="AX31" dT="2019-03-22T13:07:55.84" personId="{51F1A2BF-5699-4337-B875-D53DBF6DE656}" id="{4DB109A5-70D0-4BA4-AB95-3D717753423C}">
    <text>ab 500 kW Leistung; darunter pauschal 2.550 €</text>
  </threadedComment>
  <threadedComment ref="BE31" dT="2019-03-22T13:07:55.84" personId="{51F1A2BF-5699-4337-B875-D53DBF6DE656}" id="{CD40D9C5-835C-4765-B5AC-703793CAFDB9}">
    <text>Pauschalwert; ab 500 kW Leistung 5,6€/kW</text>
  </threadedComment>
  <threadedComment ref="A32" dT="2019-02-26T12:50:21.40" personId="{51F1A2BF-5699-4337-B875-D53DBF6DE656}" id="{6734934E-B1CC-45E6-AB60-D4919C456B88}">
    <text>Samira: Belüftung und Klimatisierung</text>
  </threadedComment>
  <threadedComment ref="AX32" dT="2019-03-22T13:07:55.84" personId="{51F1A2BF-5699-4337-B875-D53DBF6DE656}" id="{C0B89CC9-D25E-4A60-973F-C1A36432B037}">
    <text>ab 500 kW Leistung; darunter pauschal 2.100 €</text>
  </threadedComment>
  <threadedComment ref="BE32" dT="2019-03-22T13:07:55.84" personId="{51F1A2BF-5699-4337-B875-D53DBF6DE656}" id="{2F5AFD12-28DB-46A3-ABC6-B1ECB6834D69}">
    <text>Pauschalwert; ab 500 kW Leistung 5,3 €/kW</text>
  </threadedComment>
  <threadedComment ref="A33" dT="2019-02-26T12:50:21.40" personId="{51F1A2BF-5699-4337-B875-D53DBF6DE656}" id="{2938EE5C-693F-49C0-B836-5701D0478B7F}">
    <text>Samira: Belüftung und Klimatisierung</text>
  </threadedComment>
  <threadedComment ref="AX33" dT="2019-03-22T13:07:55.84" personId="{51F1A2BF-5699-4337-B875-D53DBF6DE656}" id="{4430E896-904B-4E1C-A712-18BB534EBAE4}">
    <text>ab 500 kW Leistung; darunter pauschal 1.650 €</text>
  </threadedComment>
  <threadedComment ref="BE33" dT="2019-03-22T13:07:55.84" personId="{51F1A2BF-5699-4337-B875-D53DBF6DE656}" id="{FEA5224A-A34A-4A9D-8DD2-450AF4FD0AA1}">
    <text>Pauschalwert; ab 500 kW Leistung 4,9 €/kW</text>
  </threadedComment>
  <threadedComment ref="AX34" dT="2019-03-22T13:07:55.84" personId="{51F1A2BF-5699-4337-B875-D53DBF6DE656}" id="{C5B9DA9D-6318-42F9-B09A-3091745476C6}">
    <text>ab 500 kW Leistung; darunter pauschal 3.000 €</text>
  </threadedComment>
  <threadedComment ref="BE34" dT="2019-03-22T13:07:55.84" personId="{51F1A2BF-5699-4337-B875-D53DBF6DE656}" id="{CD4942B0-BE1A-43F6-8AA4-D7E15234D1AC}">
    <text>Pauschalwert; ab 500 kW Leistung 6,2 €/kW</text>
  </threadedComment>
  <threadedComment ref="AX35" dT="2019-03-22T13:07:55.84" personId="{51F1A2BF-5699-4337-B875-D53DBF6DE656}" id="{8B1C7811-BF24-4CD3-9847-2E8734376A12}">
    <text>ab 500 kW Leistung; darunter pauschal 2.550 €</text>
  </threadedComment>
  <threadedComment ref="BE35" dT="2019-03-22T13:07:55.84" personId="{51F1A2BF-5699-4337-B875-D53DBF6DE656}" id="{9EB740E8-F0D0-4940-B168-00BE8372699A}">
    <text>Pauschalwert; ab 500 kW Leistung 5,6€/kW</text>
  </threadedComment>
  <threadedComment ref="AX36" dT="2019-03-22T13:07:55.84" personId="{51F1A2BF-5699-4337-B875-D53DBF6DE656}" id="{7D26131E-D55E-4C58-8A73-FCA2D35704CC}">
    <text>ab 500 kW Leistung; darunter pauschal 2.100 €</text>
  </threadedComment>
  <threadedComment ref="BE36" dT="2019-03-22T13:07:55.84" personId="{51F1A2BF-5699-4337-B875-D53DBF6DE656}" id="{05FA1B98-2E69-4B92-9670-904357959A8F}">
    <text>Pauschalwert; ab 500 kW Leistung 5,3 €/kW</text>
  </threadedComment>
  <threadedComment ref="AX37" dT="2019-03-22T13:07:55.84" personId="{51F1A2BF-5699-4337-B875-D53DBF6DE656}" id="{FC2B9C33-E898-470A-9C12-019013541F2C}">
    <text>ab 500 kW Leistung; darunter pauschal 1.650 €</text>
  </threadedComment>
  <threadedComment ref="BE37" dT="2019-03-22T13:07:55.84" personId="{51F1A2BF-5699-4337-B875-D53DBF6DE656}" id="{9C12C573-D1C7-4011-9D7D-FE7D50E8D77B}">
    <text>Pauschalwert; ab 500 kW Leistung 4,9 €/kW</text>
  </threadedComment>
  <threadedComment ref="D38" dT="2019-03-21T10:43:43.78" personId="{51F1A2BF-5699-4337-B875-D53DBF6DE656}" id="{7AA89F44-9FD0-426A-ACBF-FF93F7E12AEB}">
    <text>Implizit, da funktionale Speicher (mit Nachholung) betrachtet werden.</text>
  </threadedComment>
  <threadedComment ref="J38" dT="2019-03-21T09:37:57.43" personId="{51F1A2BF-5699-4337-B875-D53DBF6DE656}" id="{FE343DD5-3FFD-48CC-A20E-70A20044C1EC}">
    <text>kältester Tag</text>
  </threadedComment>
  <threadedComment ref="M38" dT="2019-03-21T09:38:10.11" personId="{51F1A2BF-5699-4337-B875-D53DBF6DE656}" id="{01B4994C-B99F-4B17-9FAB-44D0123279D2}">
    <text>kältester Tag</text>
  </threadedComment>
  <threadedComment ref="AF38" dT="2019-03-21T10:19:47.44" personId="{51F1A2BF-5699-4337-B875-D53DBF6DE656}" id="{6B3E57A1-F934-49D5-BE60-2E8736FA48CE}">
    <text>Annahme</text>
  </threadedComment>
  <threadedComment ref="AG38" dT="2019-03-21T10:20:53.89" personId="{51F1A2BF-5699-4337-B875-D53DBF6DE656}" id="{66B8CC35-27D6-4B82-B0EE-1AACDFAF05F1}">
    <text>2 (S. 96, 109)</text>
  </threadedComment>
  <threadedComment ref="AH38" dT="2019-03-21T10:21:02.37" personId="{51F1A2BF-5699-4337-B875-D53DBF6DE656}" id="{735D7AE3-91D9-48C6-9E7C-CC7F4EFB8181}">
    <text>30 (S.96, 109)</text>
  </threadedComment>
  <threadedComment ref="AM38" dT="2019-03-21T10:20:53.89" personId="{51F1A2BF-5699-4337-B875-D53DBF6DE656}" id="{38221BB5-900D-4A35-BA4F-72FEFA1F1524}">
    <text>wärmster Tag</text>
  </threadedComment>
  <threadedComment ref="AN38" dT="2019-03-21T09:44:26.51" personId="{51F1A2BF-5699-4337-B875-D53DBF6DE656}" id="{81EEFF94-9A75-4F3D-8826-AC88BE9BC6CD}">
    <text>kältester Tag</text>
  </threadedComment>
  <threadedComment ref="D39" dT="2019-03-21T10:43:43.78" personId="{51F1A2BF-5699-4337-B875-D53DBF6DE656}" id="{ADB2BC00-91BE-49CD-9F22-64E4EF9CF556}">
    <text>Implizit, da funktionale Speicher (mit Nachholung) betrachtet werden.</text>
  </threadedComment>
  <threadedComment ref="J39" dT="2019-03-21T09:56:58.94" personId="{51F1A2BF-5699-4337-B875-D53DBF6DE656}" id="{B6A9A49F-BA5B-4FDD-B9E6-8D9C976B494F}">
    <text>Skalierung über Stromverbrauch in Referenzentwicklung</text>
  </threadedComment>
  <threadedComment ref="M39" dT="2019-03-21T09:56:58.94" personId="{51F1A2BF-5699-4337-B875-D53DBF6DE656}" id="{E60FEF4C-A563-420B-8ADC-8E5D4061FD84}">
    <text>lineare Interpolation</text>
  </threadedComment>
  <threadedComment ref="O39" dT="2019-03-21T09:56:58.94" personId="{51F1A2BF-5699-4337-B875-D53DBF6DE656}" id="{66FC6EAA-0A2B-45A0-B554-8ECE6AE2B2AF}">
    <text>Skalierung über Stromverbrauch in Referenzentwicklung</text>
  </threadedComment>
  <threadedComment ref="R39" dT="2019-03-21T09:56:58.94" personId="{51F1A2BF-5699-4337-B875-D53DBF6DE656}" id="{47EC7FF8-ECFC-4556-809B-B510D3590DD8}">
    <text>Skalierung über Stromverbrauch in Referenzentwicklung</text>
  </threadedComment>
  <threadedComment ref="T39" dT="2019-03-21T09:56:58.94" personId="{51F1A2BF-5699-4337-B875-D53DBF6DE656}" id="{81EC4312-D316-44E4-8C4C-74761CA0A7BB}">
    <text>lineare Interpolation</text>
  </threadedComment>
  <threadedComment ref="U39" dT="2019-03-21T09:56:58.94" personId="{51F1A2BF-5699-4337-B875-D53DBF6DE656}" id="{108E56FA-DE5A-4891-9E40-EA435D077B33}">
    <text>Skalierung über Stromverbrauch in Referenzentwicklung</text>
  </threadedComment>
  <threadedComment ref="AG39" dT="2019-03-21T10:20:53.89" personId="{51F1A2BF-5699-4337-B875-D53DBF6DE656}" id="{D470EF98-432C-4405-8E62-CB17C1A55C3D}">
    <text>2 (S. 96, 109)</text>
  </threadedComment>
  <threadedComment ref="AH39" dT="2019-03-21T10:21:02.37" personId="{51F1A2BF-5699-4337-B875-D53DBF6DE656}" id="{8D9492D9-8D4D-4AA2-B106-C6BF506FBDCC}">
    <text>30 (S.96, 109)</text>
  </threadedComment>
  <threadedComment ref="AM39" dT="2019-03-21T10:20:53.89" personId="{51F1A2BF-5699-4337-B875-D53DBF6DE656}" id="{5F88BF63-438D-42E0-83DF-00F38A167DAC}">
    <text>wärmster Tag</text>
  </threadedComment>
  <threadedComment ref="AN39" dT="2019-03-21T09:44:26.51" personId="{51F1A2BF-5699-4337-B875-D53DBF6DE656}" id="{2D2C3F36-73D3-4634-99D2-32E7BC0D56B3}">
    <text>kältester Tag</text>
  </threadedComment>
  <threadedComment ref="D40" dT="2019-03-21T10:43:43.78" personId="{51F1A2BF-5699-4337-B875-D53DBF6DE656}" id="{2B7CB082-EC47-4A92-BE53-2244CAEAED86}">
    <text>Implizit, da funktionale Speicher (mit Nachholung) betrachtet werden.</text>
  </threadedComment>
  <threadedComment ref="J40" dT="2019-03-21T09:56:58.94" personId="{51F1A2BF-5699-4337-B875-D53DBF6DE656}" id="{6F99E905-DA18-45D3-BAA8-CEA9F3BE4A5E}">
    <text>Skalierung über Stromverbrauch in Referenzentwicklung</text>
  </threadedComment>
  <threadedComment ref="M40" dT="2019-03-21T09:56:58.94" personId="{51F1A2BF-5699-4337-B875-D53DBF6DE656}" id="{40E921B3-7DAC-4BBB-8364-FCDF434BD64E}">
    <text>lineare Interpolation</text>
  </threadedComment>
  <threadedComment ref="O40" dT="2019-03-21T09:56:58.94" personId="{51F1A2BF-5699-4337-B875-D53DBF6DE656}" id="{D756BAA0-46F8-4F9C-8AC3-6DBBB67597BE}">
    <text>Skalierung über Stromverbrauch in Referenzentwicklung</text>
  </threadedComment>
  <threadedComment ref="R40" dT="2019-03-21T09:56:58.94" personId="{51F1A2BF-5699-4337-B875-D53DBF6DE656}" id="{78384D7E-2D7C-42D6-853F-CA1F049106A6}">
    <text>Skalierung über Stromverbrauch in Referenzentwicklung</text>
  </threadedComment>
  <threadedComment ref="T40" dT="2019-03-21T09:56:58.94" personId="{51F1A2BF-5699-4337-B875-D53DBF6DE656}" id="{ED29123A-DE84-4D88-AA93-D35CE2566103}">
    <text>lineare Interpolation</text>
  </threadedComment>
  <threadedComment ref="U40" dT="2019-03-21T09:56:58.94" personId="{51F1A2BF-5699-4337-B875-D53DBF6DE656}" id="{ABC9DEC2-E0CD-4956-BD86-574327758A48}">
    <text>Skalierung über Stromverbrauch in Referenzentwicklung</text>
  </threadedComment>
  <threadedComment ref="AG40" dT="2019-03-21T10:20:53.89" personId="{51F1A2BF-5699-4337-B875-D53DBF6DE656}" id="{38E857D4-CD08-488B-AE0D-F70D6A49947D}">
    <text>2 (S. 96, 109)</text>
  </threadedComment>
  <threadedComment ref="AH40" dT="2019-03-21T10:21:02.37" personId="{51F1A2BF-5699-4337-B875-D53DBF6DE656}" id="{D91CEC75-EFB1-46F0-972C-CB23EBA56570}">
    <text>30 (S.96, 109)</text>
  </threadedComment>
  <threadedComment ref="AM40" dT="2019-03-21T10:20:53.89" personId="{51F1A2BF-5699-4337-B875-D53DBF6DE656}" id="{7DC27E12-A6F8-4AC0-8BC0-DFC78942E8BE}">
    <text>wärmster Tag</text>
  </threadedComment>
  <threadedComment ref="AN40" dT="2019-03-21T09:44:26.51" personId="{51F1A2BF-5699-4337-B875-D53DBF6DE656}" id="{CE0EE21D-A5FD-4ABC-810E-4D9837D6D9D2}">
    <text>kältester Tag</text>
  </threadedComment>
  <threadedComment ref="D41" dT="2019-03-21T10:43:43.78" personId="{51F1A2BF-5699-4337-B875-D53DBF6DE656}" id="{5A2992BF-75D8-41EC-9B12-952BAB2643F7}">
    <text>Implizit, da funktionale Speicher (mit Nachholung) betrachtet werden.</text>
  </threadedComment>
  <threadedComment ref="J41" dT="2019-03-21T09:56:58.94" personId="{51F1A2BF-5699-4337-B875-D53DBF6DE656}" id="{347D2CB8-5A84-4A42-ADC7-05F77CF1EF27}">
    <text>Skalierung über Stromverbrauch in Referenzentwicklung</text>
  </threadedComment>
  <threadedComment ref="M41" dT="2019-03-21T09:12:36.91" personId="{51F1A2BF-5699-4337-B875-D53DBF6DE656}" id="{4D3D51C5-8AF9-4AA2-BD97-E38A010ECCA3}">
    <text>Wert für Referenzszenario</text>
  </threadedComment>
  <threadedComment ref="O41" dT="2019-03-21T09:56:58.94" personId="{51F1A2BF-5699-4337-B875-D53DBF6DE656}" id="{24437DCB-DD2D-49F3-A82E-10BD5654E340}">
    <text>Skalierung über Stromverbrauch in Referenzentwicklung</text>
  </threadedComment>
  <threadedComment ref="R41" dT="2019-03-21T09:56:58.94" personId="{51F1A2BF-5699-4337-B875-D53DBF6DE656}" id="{6C52C4A7-F61B-43DE-B809-A47163A10382}">
    <text>Skalierung über Stromverbrauch in Referenzentwicklung</text>
  </threadedComment>
  <threadedComment ref="T41" dT="2019-03-21T09:12:36.91" personId="{51F1A2BF-5699-4337-B875-D53DBF6DE656}" id="{52044294-6ED0-464F-A39F-3C5EEC86A319}">
    <text>Wert für Referenzszenario</text>
  </threadedComment>
  <threadedComment ref="U41" dT="2019-03-21T09:56:58.94" personId="{51F1A2BF-5699-4337-B875-D53DBF6DE656}" id="{523E97FC-A4FA-434B-B615-1A7BE200A552}">
    <text>Skalierung über Stromverbrauch in Referenzentwicklung</text>
  </threadedComment>
  <threadedComment ref="AM41" dT="2019-03-21T10:20:53.89" personId="{51F1A2BF-5699-4337-B875-D53DBF6DE656}" id="{EB5BFACA-B131-45D4-AB40-1F4D9981FEBE}">
    <text>wärmster Tag</text>
  </threadedComment>
  <threadedComment ref="AN41" dT="2019-03-21T09:44:26.51" personId="{51F1A2BF-5699-4337-B875-D53DBF6DE656}" id="{CF80ADC7-2FCE-4FC3-94B5-12A1A5ABD420}">
    <text>kältester Tag</text>
  </threadedComment>
  <threadedComment ref="D42" dT="2019-03-21T10:43:43.78" personId="{51F1A2BF-5699-4337-B875-D53DBF6DE656}" id="{36FC6B85-B587-4CE0-9EFB-A2B431425097}">
    <text>Implizit, da funktionale Speicher (mit Nachholung) betrachtet werden.</text>
  </threadedComment>
  <threadedComment ref="AF42" dT="2019-03-21T10:19:47.44" personId="{51F1A2BF-5699-4337-B875-D53DBF6DE656}" id="{5437B899-6361-41F6-A6DF-5771CD8E31C4}">
    <text>Annahme</text>
  </threadedComment>
  <threadedComment ref="AG42" dT="2019-03-21T09:21:59.06" personId="{51F1A2BF-5699-4337-B875-D53DBF6DE656}" id="{FE00EE58-F608-4AA6-BFCF-E132FB9529B0}">
    <text>kältester Tag des Jahres</text>
  </threadedComment>
  <threadedComment ref="AH42" dT="2019-03-21T09:22:08.67" personId="{51F1A2BF-5699-4337-B875-D53DBF6DE656}" id="{17AD6DD9-F961-47AD-83EC-E810E415D28F}">
    <text>wärmster Tag des Jahres</text>
  </threadedComment>
  <threadedComment ref="AL42" dT="2019-03-21T09:44:17.23" personId="{51F1A2BF-5699-4337-B875-D53DBF6DE656}" id="{D428F92E-41D3-454D-8155-F3DEA6FF1033}">
    <text>3 h (S. 109; wärmster Tag)</text>
  </threadedComment>
  <threadedComment ref="AM42" dT="2019-03-21T10:20:53.89" personId="{51F1A2BF-5699-4337-B875-D53DBF6DE656}" id="{1C88E484-68CC-4085-A3C2-7F23FA3E645C}">
    <text>wärmster Tag</text>
  </threadedComment>
  <threadedComment ref="AN42" dT="2019-03-21T09:44:26.51" personId="{51F1A2BF-5699-4337-B875-D53DBF6DE656}" id="{EAD98E80-5FA2-4F7D-8886-59D0B5A7B373}">
    <text>kältester Tag</text>
  </threadedComment>
  <threadedComment ref="D43" dT="2019-03-21T10:43:43.78" personId="{51F1A2BF-5699-4337-B875-D53DBF6DE656}" id="{3E2AED2F-67C9-4B37-A923-4C9E618A20FC}">
    <text>Implizit, da funktionale Speicher (mit Nachholung) betrachtet werden.</text>
  </threadedComment>
  <threadedComment ref="J43" dT="2019-03-21T09:56:58.94" personId="{51F1A2BF-5699-4337-B875-D53DBF6DE656}" id="{B34F2732-06AE-4DAC-8AE6-6B83D10B8995}">
    <text>Skalierung über Stromverbrauch in Referenzentwicklung</text>
  </threadedComment>
  <threadedComment ref="K43" dT="2019-03-21T09:56:58.94" personId="{51F1A2BF-5699-4337-B875-D53DBF6DE656}" id="{0D1935BD-13CA-46BE-AB66-E5BCE329CDD6}">
    <text>Skalierung über Stromverbrauch in Referenzentwicklung</text>
  </threadedComment>
  <threadedComment ref="M43" dT="2019-03-21T09:56:58.94" personId="{51F1A2BF-5699-4337-B875-D53DBF6DE656}" id="{D2D6895C-4A1E-4A7B-97F2-2330773436F7}">
    <text>lineare Interpolation</text>
  </threadedComment>
  <threadedComment ref="O43" dT="2019-03-21T09:56:58.94" personId="{51F1A2BF-5699-4337-B875-D53DBF6DE656}" id="{EF0A61FD-4C83-4AAF-910E-365AB787B3C9}">
    <text>Skalierung über Stromverbrauch in Referenzentwicklung</text>
  </threadedComment>
  <threadedComment ref="R43" dT="2019-03-21T09:56:58.94" personId="{51F1A2BF-5699-4337-B875-D53DBF6DE656}" id="{3F593FF6-C495-4C3F-9172-7033BD7FE6EC}">
    <text>Skalierung über Stromverbrauch in Referenzentwicklung</text>
  </threadedComment>
  <threadedComment ref="T43" dT="2019-03-21T09:56:58.94" personId="{51F1A2BF-5699-4337-B875-D53DBF6DE656}" id="{853591AD-D81E-4CD0-89C4-FCC8187B150A}">
    <text>Skalierung über Stromverbrauch in Referenzentwicklung</text>
  </threadedComment>
  <threadedComment ref="U43" dT="2019-03-21T09:56:58.94" personId="{51F1A2BF-5699-4337-B875-D53DBF6DE656}" id="{56581990-D245-426E-A4AD-53F1A2FD1F90}">
    <text>Skalierung über Stromverbrauch in Referenzentwicklung</text>
  </threadedComment>
  <threadedComment ref="AL43" dT="2019-03-21T09:44:17.23" personId="{51F1A2BF-5699-4337-B875-D53DBF6DE656}" id="{85699336-0396-4904-BCCB-FFB8ED851D1E}">
    <text>3 h (S. 109; wärmster Tag)</text>
  </threadedComment>
  <threadedComment ref="AM43" dT="2019-03-21T10:20:53.89" personId="{51F1A2BF-5699-4337-B875-D53DBF6DE656}" id="{5E48F251-7DF2-4FEB-BA36-E263B8D5C61D}">
    <text>wärmster Tag</text>
  </threadedComment>
  <threadedComment ref="AN43" dT="2019-03-21T09:44:26.51" personId="{51F1A2BF-5699-4337-B875-D53DBF6DE656}" id="{11E003CC-171D-47E3-9E72-31216BAE641A}">
    <text>kältester Tag</text>
  </threadedComment>
  <threadedComment ref="D44" dT="2019-03-21T10:43:43.78" personId="{51F1A2BF-5699-4337-B875-D53DBF6DE656}" id="{5196CC84-8F4B-4689-9B2E-E93F417E83A6}">
    <text>Implizit, da funktionale Speicher (mit Nachholung) betrachtet werden.</text>
  </threadedComment>
  <threadedComment ref="J44" dT="2019-03-21T09:56:58.94" personId="{51F1A2BF-5699-4337-B875-D53DBF6DE656}" id="{FC0C574F-E02D-4A87-96EA-09D8E1A6154C}">
    <text>Skalierung über Stromverbrauch in Referenzentwicklung</text>
  </threadedComment>
  <threadedComment ref="K44" dT="2019-03-21T09:56:58.94" personId="{51F1A2BF-5699-4337-B875-D53DBF6DE656}" id="{A046DA41-BD43-4EFE-B5EC-DAFD9242CFE9}">
    <text>Skalierung über Stromverbrauch in Referenzentwicklung</text>
  </threadedComment>
  <threadedComment ref="M44" dT="2019-03-21T09:56:58.94" personId="{51F1A2BF-5699-4337-B875-D53DBF6DE656}" id="{63971614-6DD8-4059-96DF-EE6096DB0BB9}">
    <text>lineare Interpolation</text>
  </threadedComment>
  <threadedComment ref="O44" dT="2019-03-21T09:56:58.94" personId="{51F1A2BF-5699-4337-B875-D53DBF6DE656}" id="{56BFBB61-B376-45A7-A1D6-CEC6BC457465}">
    <text>Skalierung über Stromverbrauch in Referenzentwicklung</text>
  </threadedComment>
  <threadedComment ref="R44" dT="2019-03-21T09:56:58.94" personId="{51F1A2BF-5699-4337-B875-D53DBF6DE656}" id="{57D383CB-2A7C-486F-B682-0B2E4696A9AC}">
    <text>Skalierung über Stromverbrauch in Referenzentwicklung</text>
  </threadedComment>
  <threadedComment ref="T44" dT="2019-03-21T09:56:58.94" personId="{51F1A2BF-5699-4337-B875-D53DBF6DE656}" id="{ABEE3702-593B-47A4-AC2E-9B5C3711FFAF}">
    <text>Skalierung über Stromverbrauch in Referenzentwicklung</text>
  </threadedComment>
  <threadedComment ref="U44" dT="2019-03-21T09:56:58.94" personId="{51F1A2BF-5699-4337-B875-D53DBF6DE656}" id="{BEC87A2D-FF74-4EAD-BFA8-8BB2B090FF74}">
    <text>Skalierung über Stromverbrauch in Referenzentwicklung</text>
  </threadedComment>
  <threadedComment ref="AL44" dT="2019-03-21T09:44:17.23" personId="{51F1A2BF-5699-4337-B875-D53DBF6DE656}" id="{B6EC0A38-D5F5-491F-89A4-BE3D9DFC1CC8}">
    <text>3 h (S. 109; wärmster Tag)</text>
  </threadedComment>
  <threadedComment ref="AM44" dT="2019-03-21T10:20:53.89" personId="{51F1A2BF-5699-4337-B875-D53DBF6DE656}" id="{2F011D1D-D4A0-43D5-9DF9-29F19076464C}">
    <text>wärmster Tag</text>
  </threadedComment>
  <threadedComment ref="AN44" dT="2019-03-21T09:44:26.51" personId="{51F1A2BF-5699-4337-B875-D53DBF6DE656}" id="{B6A4611E-0119-47DC-B7F3-4923B66BBFBA}">
    <text>kältester Tag</text>
  </threadedComment>
  <threadedComment ref="D45" dT="2019-03-21T10:43:43.78" personId="{51F1A2BF-5699-4337-B875-D53DBF6DE656}" id="{74FA45D0-4C4E-4585-B55A-E628C6113C45}">
    <text>Implizit, da funktionale Speicher (mit Nachholung) betrachtet werden.</text>
  </threadedComment>
  <threadedComment ref="J45" dT="2019-03-21T09:56:58.94" personId="{51F1A2BF-5699-4337-B875-D53DBF6DE656}" id="{16A15FDF-21BC-4B88-A4B9-72744371E7D3}">
    <text>Skalierung über Stromverbrauch in Referenzentwicklung</text>
  </threadedComment>
  <threadedComment ref="K45" dT="2019-03-21T09:56:58.94" personId="{51F1A2BF-5699-4337-B875-D53DBF6DE656}" id="{C83BAF5F-A712-44F8-9686-6917D75104C0}">
    <text>Skalierung über Stromverbrauch in Referenzentwicklung</text>
  </threadedComment>
  <threadedComment ref="O45" dT="2019-03-21T09:56:58.94" personId="{51F1A2BF-5699-4337-B875-D53DBF6DE656}" id="{8792E949-2470-4A0C-AF37-3E9C4186F73A}">
    <text>Skalierung über Stromverbrauch in Referenzentwicklung</text>
  </threadedComment>
  <threadedComment ref="R45" dT="2019-03-21T09:56:58.94" personId="{51F1A2BF-5699-4337-B875-D53DBF6DE656}" id="{55EC1CD2-C6FE-4574-A5C9-9338E9C3AF6C}">
    <text>Skalierung über Stromverbrauch in Referenzentwicklung</text>
  </threadedComment>
  <threadedComment ref="T45" dT="2019-03-21T09:56:58.94" personId="{51F1A2BF-5699-4337-B875-D53DBF6DE656}" id="{314A6992-81AA-4E27-80E4-A9EE1AFEC3AF}">
    <text>Skalierung über Stromverbrauch in Referenzentwicklung</text>
  </threadedComment>
  <threadedComment ref="U45" dT="2019-03-21T09:56:58.94" personId="{51F1A2BF-5699-4337-B875-D53DBF6DE656}" id="{5EBEFA85-2E5E-43EC-A52F-4C5A7ABBCECA}">
    <text>Skalierung über Stromverbrauch in Referenzentwicklung</text>
  </threadedComment>
  <threadedComment ref="AL45" dT="2019-03-21T09:44:17.23" personId="{51F1A2BF-5699-4337-B875-D53DBF6DE656}" id="{CA45A569-371F-42BD-9030-DEF614585CAA}">
    <text>3 h (S. 109; wärmster Tag)</text>
  </threadedComment>
  <threadedComment ref="AM45" dT="2019-03-21T10:20:53.89" personId="{51F1A2BF-5699-4337-B875-D53DBF6DE656}" id="{D84F4380-8608-4D2F-9448-DCA21B71FC66}">
    <text>wärmster Tag</text>
  </threadedComment>
  <threadedComment ref="AN45" dT="2019-03-21T09:44:26.51" personId="{51F1A2BF-5699-4337-B875-D53DBF6DE656}" id="{FB8FC3CB-C7E6-484F-8BE3-A34553CBBEC3}">
    <text>kältester Tag</text>
  </threadedComment>
  <threadedComment ref="D46" dT="2019-03-21T10:43:43.78" personId="{51F1A2BF-5699-4337-B875-D53DBF6DE656}" id="{68C98BB4-4652-46A0-A7A9-0DE2DF2AACAC}">
    <text>Implizit, da funktionale Speicher (mit Nachholung) betrachtet werden.</text>
  </threadedComment>
  <threadedComment ref="M46" dT="2019-03-21T09:55:07.39" personId="{51F1A2BF-5699-4337-B875-D53DBF6DE656}" id="{C0A01F35-67DD-429F-9DAB-6AC3BE7F1537}">
    <text>Angabe 500+x</text>
  </threadedComment>
  <threadedComment ref="O46" dT="2019-03-21T09:55:07.39" personId="{51F1A2BF-5699-4337-B875-D53DBF6DE656}" id="{AC130A6B-9638-4FB1-9251-039EFED912D1}">
    <text>Angabe 500+x</text>
  </threadedComment>
  <threadedComment ref="D47" dT="2019-03-21T10:43:43.78" personId="{51F1A2BF-5699-4337-B875-D53DBF6DE656}" id="{2018B371-6548-4352-BACA-375D24CC5F41}">
    <text>Implizit, da funktionale Speicher (mit Nachholung) betrachtet werden.</text>
  </threadedComment>
  <threadedComment ref="J47" dT="2019-03-21T10:09:30.75" personId="{51F1A2BF-5699-4337-B875-D53DBF6DE656}" id="{276B2C7A-E7B4-493E-8F72-9A0660F6A337}">
    <text>näherungsweise konstante Durchdringung wird unterstellt (S. 106)</text>
  </threadedComment>
  <threadedComment ref="K47" dT="2019-03-21T10:09:30.75" personId="{51F1A2BF-5699-4337-B875-D53DBF6DE656}" id="{0ADA5375-21A3-461D-8C43-E0EA9FC640E3}">
    <text>näherungsweise konstante Durchdringung wird unterstellt (S. 106)</text>
  </threadedComment>
  <threadedComment ref="M47" dT="2019-03-21T10:09:30.75" personId="{51F1A2BF-5699-4337-B875-D53DBF6DE656}" id="{AB7BD124-759D-43A4-BD1D-4C0101BDAF2D}">
    <text>näherungsweise konstante Durchdringung wird unterstellt (S. 106)</text>
  </threadedComment>
  <threadedComment ref="O47" dT="2019-03-21T10:09:30.75" personId="{51F1A2BF-5699-4337-B875-D53DBF6DE656}" id="{9621318F-6554-439C-8CEE-7425DF402D7F}">
    <text>näherungsweise konstante Durchdringung wird unterstellt (S. 106)</text>
  </threadedComment>
  <threadedComment ref="Q47" dT="2019-03-21T10:09:30.75" personId="{51F1A2BF-5699-4337-B875-D53DBF6DE656}" id="{64C13703-A273-4EF0-B9AC-A56A47871B84}">
    <text>näherungsweise konstante Durchdringung wird unterstellt (S. 106)</text>
  </threadedComment>
  <threadedComment ref="R47" dT="2019-03-21T10:09:30.75" personId="{51F1A2BF-5699-4337-B875-D53DBF6DE656}" id="{D3AFCE91-B4EE-426E-95FF-AF027BB3FD18}">
    <text>näherungsweise konstante Durchdringung wird unterstellt (S. 106)</text>
  </threadedComment>
  <threadedComment ref="T47" dT="2019-03-21T10:09:30.75" personId="{51F1A2BF-5699-4337-B875-D53DBF6DE656}" id="{406FF110-8C5D-4484-8768-CC5D87BD8B83}">
    <text>näherungsweise konstante Durchdringung wird unterstellt (S. 106)</text>
  </threadedComment>
  <threadedComment ref="U47" dT="2019-03-21T10:09:30.75" personId="{51F1A2BF-5699-4337-B875-D53DBF6DE656}" id="{46C2723F-9A43-4913-9887-C0EDAC29A06E}">
    <text>näherungsweise konstante Durchdringung wird unterstellt (S. 106)</text>
  </threadedComment>
  <threadedComment ref="D48" dT="2019-03-21T10:43:43.78" personId="{51F1A2BF-5699-4337-B875-D53DBF6DE656}" id="{E2023B7D-8223-416B-BF0A-4B598F066E67}">
    <text>Implizit, da funktionale Speicher (mit Nachholung) betrachtet werden.</text>
  </threadedComment>
  <threadedComment ref="J48" dT="2019-03-21T10:09:30.75" personId="{51F1A2BF-5699-4337-B875-D53DBF6DE656}" id="{EA04EAAB-88FF-45D0-B91C-01FF5874DCE6}">
    <text>näherungsweise konstante Durchdringung wird unterstellt (S. 106)</text>
  </threadedComment>
  <threadedComment ref="K48" dT="2019-03-21T10:09:30.75" personId="{51F1A2BF-5699-4337-B875-D53DBF6DE656}" id="{5BB590B8-EFDA-4430-8C6B-DD970DE65704}">
    <text>näherungsweise konstante Durchdringung wird unterstellt (S. 106)</text>
  </threadedComment>
  <threadedComment ref="M48" dT="2019-03-21T10:09:30.75" personId="{51F1A2BF-5699-4337-B875-D53DBF6DE656}" id="{FC462716-E5FB-4885-998C-A0DD12C1C7AF}">
    <text>näherungsweise konstante Durchdringung wird unterstellt (S. 106)</text>
  </threadedComment>
  <threadedComment ref="O48" dT="2019-03-21T10:09:30.75" personId="{51F1A2BF-5699-4337-B875-D53DBF6DE656}" id="{DE995F5A-1E47-4410-86FF-AE28BE288B0E}">
    <text>näherungsweise konstante Durchdringung wird unterstellt (S. 106)</text>
  </threadedComment>
  <threadedComment ref="Q48" dT="2019-03-21T10:09:30.75" personId="{51F1A2BF-5699-4337-B875-D53DBF6DE656}" id="{FDEA2661-1E54-4620-B218-FAB1D55FFD11}">
    <text>näherungsweise konstante Durchdringung wird unterstellt (S. 106)</text>
  </threadedComment>
  <threadedComment ref="R48" dT="2019-03-21T10:09:30.75" personId="{51F1A2BF-5699-4337-B875-D53DBF6DE656}" id="{4F37555E-086A-4527-9632-0074F7BB836A}">
    <text>näherungsweise konstante Durchdringung wird unterstellt (S. 106)</text>
  </threadedComment>
  <threadedComment ref="T48" dT="2019-03-21T10:09:30.75" personId="{51F1A2BF-5699-4337-B875-D53DBF6DE656}" id="{DE168CB1-746F-4C95-84C2-E0C3F386B532}">
    <text>näherungsweise konstante Durchdringung wird unterstellt (S. 106)</text>
  </threadedComment>
  <threadedComment ref="U48" dT="2019-03-21T10:09:30.75" personId="{51F1A2BF-5699-4337-B875-D53DBF6DE656}" id="{C0BB0937-B3C4-44A4-9915-F11A25E622B3}">
    <text>näherungsweise konstante Durchdringung wird unterstellt (S. 106)</text>
  </threadedComment>
  <threadedComment ref="D49" dT="2019-03-21T10:43:43.78" personId="{51F1A2BF-5699-4337-B875-D53DBF6DE656}" id="{F46DCF97-3556-4D72-898D-CD588458B25A}">
    <text>Implizit, da funktionale Speicher (mit Nachholung) betrachtet werden.</text>
  </threadedComment>
  <threadedComment ref="J49" dT="2019-03-21T10:09:30.75" personId="{51F1A2BF-5699-4337-B875-D53DBF6DE656}" id="{78D3CE11-7053-4D90-9629-8B4FCC0A2F0B}">
    <text>näherungsweise konstante Durchdringung wird unterstellt (S. 106)</text>
  </threadedComment>
  <threadedComment ref="K49" dT="2019-03-21T10:09:30.75" personId="{51F1A2BF-5699-4337-B875-D53DBF6DE656}" id="{94530F2C-302A-411C-A027-E451B26DAC4F}">
    <text>näherungsweise konstante Durchdringung wird unterstellt (S. 106)</text>
  </threadedComment>
  <threadedComment ref="M49" dT="2019-03-21T10:09:30.75" personId="{51F1A2BF-5699-4337-B875-D53DBF6DE656}" id="{636E2B6E-F022-4C24-8EF9-BA330CA684BB}">
    <text>näherungsweise konstante Durchdringung wird unterstellt (S. 106)</text>
  </threadedComment>
  <threadedComment ref="O49" dT="2019-03-21T10:09:30.75" personId="{51F1A2BF-5699-4337-B875-D53DBF6DE656}" id="{8349FC27-C9EF-4712-AA09-CC10C3CFDA47}">
    <text>näherungsweise konstante Durchdringung wird unterstellt (S. 106)</text>
  </threadedComment>
  <threadedComment ref="Q49" dT="2019-03-21T10:09:30.75" personId="{51F1A2BF-5699-4337-B875-D53DBF6DE656}" id="{E2AA62B0-5600-4908-868D-7B3705118A2C}">
    <text>näherungsweise konstante Durchdringung wird unterstellt (S. 106)</text>
  </threadedComment>
  <threadedComment ref="R49" dT="2019-03-21T10:09:30.75" personId="{51F1A2BF-5699-4337-B875-D53DBF6DE656}" id="{DF89C04D-FF65-4B56-AA30-04E8B5184CCB}">
    <text>näherungsweise konstante Durchdringung wird unterstellt (S. 106)</text>
  </threadedComment>
  <threadedComment ref="T49" dT="2019-03-21T10:09:30.75" personId="{51F1A2BF-5699-4337-B875-D53DBF6DE656}" id="{7A774721-5936-4F89-8F1E-A7643E8D58C9}">
    <text>näherungsweise konstante Durchdringung wird unterstellt (S. 106)</text>
  </threadedComment>
  <threadedComment ref="U49" dT="2019-03-21T10:09:30.75" personId="{51F1A2BF-5699-4337-B875-D53DBF6DE656}" id="{1F6CCF41-2535-41CD-8EA9-DD113387B46D}">
    <text>näherungsweise konstante Durchdringung wird unterstellt (S. 106)</text>
  </threadedComment>
  <threadedComment ref="D50" dT="2019-03-21T10:43:43.78" personId="{51F1A2BF-5699-4337-B875-D53DBF6DE656}" id="{75B2D925-4F42-4BCA-8F81-6FAEFBC4121F}">
    <text>Implizit, da funktionale Speicher (mit Nachholung) betrachtet werden.</text>
  </threadedComment>
  <threadedComment ref="M50" dT="2019-03-21T12:16:33.05" personId="{51F1A2BF-5699-4337-B875-D53DBF6DE656}" id="{33B579F3-A90B-401D-9D96-1EC8C4193083}">
    <text>Ausgewiesene Potenziale als symmetrisch unterstellt</text>
  </threadedComment>
  <threadedComment ref="T50" dT="2019-03-21T12:16:15.97" personId="{51F1A2BF-5699-4337-B875-D53DBF6DE656}" id="{38647591-0E4D-4DB6-AA73-B628C0588480}">
    <text>Ausgewiesene Potenziale als symmetrisch unterstellt.</text>
  </threadedComment>
  <threadedComment ref="D51" dT="2019-03-21T10:43:43.78" personId="{51F1A2BF-5699-4337-B875-D53DBF6DE656}" id="{BCA6707F-7D69-4F3E-AFFA-ABE00519022B}">
    <text>Implizit, da funktionale Speicher (mit Nachholung) betrachtet werden.</text>
  </threadedComment>
  <threadedComment ref="D52" dT="2019-03-21T10:43:43.78" personId="{51F1A2BF-5699-4337-B875-D53DBF6DE656}" id="{9FD466BB-E258-43FA-BDD0-81B31288C60C}">
    <text>Implizit, da funktionale Speicher (mit Nachholung) betrachtet werden.</text>
  </threadedComment>
  <threadedComment ref="D53" dT="2019-03-21T10:43:43.78" personId="{51F1A2BF-5699-4337-B875-D53DBF6DE656}" id="{E6DB736E-DA93-4207-9C41-FD99126BC2F4}">
    <text>Implizit, da funktionale Speicher (mit Nachholung) betrachtet werden.</text>
  </threadedComment>
  <threadedComment ref="D54" dT="2019-03-21T10:43:43.78" personId="{51F1A2BF-5699-4337-B875-D53DBF6DE656}" id="{C8B4AACC-2A69-4F9C-8C8A-D8A1633E2C1C}">
    <text>Implizit, da funktionale Speicher (mit Nachholung) betrachtet werden.</text>
  </threadedComment>
  <threadedComment ref="AM54" dT="2019-03-21T11:53:59.43" personId="{51F1A2BF-5699-4337-B875-D53DBF6DE656}" id="{DC37A05F-525E-4E49-A928-57D4DE0446D7}">
    <text>Tag</text>
  </threadedComment>
  <threadedComment ref="AN54" dT="2019-03-21T11:54:04.51" personId="{51F1A2BF-5699-4337-B875-D53DBF6DE656}" id="{D5490529-A72E-44A1-BDAD-859CE479CF56}">
    <text>Nacht</text>
  </threadedComment>
  <threadedComment ref="D55" dT="2019-03-21T10:43:43.78" personId="{51F1A2BF-5699-4337-B875-D53DBF6DE656}" id="{A0198E2A-DA05-4DB0-B8D0-B0B2D7C4C281}">
    <text>Implizit, da funktionale Speicher (mit Nachholung) betrachtet werden.</text>
  </threadedComment>
  <threadedComment ref="AM55" dT="2019-03-21T11:53:59.43" personId="{51F1A2BF-5699-4337-B875-D53DBF6DE656}" id="{93E79508-8A59-41AE-B914-D80D28C4C0FD}">
    <text>Tag</text>
  </threadedComment>
  <threadedComment ref="AN55" dT="2019-03-21T11:54:04.51" personId="{51F1A2BF-5699-4337-B875-D53DBF6DE656}" id="{07DBD97F-1880-49B9-B77C-E506F7BE3211}">
    <text>Nacht</text>
  </threadedComment>
  <threadedComment ref="D56" dT="2019-03-21T10:43:43.78" personId="{51F1A2BF-5699-4337-B875-D53DBF6DE656}" id="{8DC145D3-A680-42EF-9585-E5E395B11F77}">
    <text>Implizit, da funktionale Speicher (mit Nachholung) betrachtet werden.</text>
  </threadedComment>
  <threadedComment ref="AM56" dT="2019-03-21T11:53:59.43" personId="{51F1A2BF-5699-4337-B875-D53DBF6DE656}" id="{3F881113-FD8A-479E-8B7A-09989EC68501}">
    <text>Tag</text>
  </threadedComment>
  <threadedComment ref="AN56" dT="2019-03-21T11:54:04.51" personId="{51F1A2BF-5699-4337-B875-D53DBF6DE656}" id="{0BFC8415-CEE5-427A-AA36-F751AD6182E8}">
    <text>Nacht</text>
  </threadedComment>
  <threadedComment ref="D57" dT="2019-03-21T10:43:43.78" personId="{51F1A2BF-5699-4337-B875-D53DBF6DE656}" id="{153E8956-9748-4BD3-A54E-5E165F85128A}">
    <text>Implizit, da funktionale Speicher (mit Nachholung) betrachtet werden.</text>
  </threadedComment>
  <threadedComment ref="AM57" dT="2019-03-21T11:53:59.43" personId="{51F1A2BF-5699-4337-B875-D53DBF6DE656}" id="{D9D4B359-8D01-45D3-9951-C302D5ADE133}">
    <text>Tag</text>
  </threadedComment>
  <threadedComment ref="AN57" dT="2019-03-21T11:54:04.51" personId="{51F1A2BF-5699-4337-B875-D53DBF6DE656}" id="{9643E4F5-B1B4-4054-AAC3-D532C32BC3E3}">
    <text>Nacht</text>
  </threadedComment>
  <threadedComment ref="Z61" dT="2019-03-22T14:39:00.24" personId="{51F1A2BF-5699-4337-B875-D53DBF6DE656}" id="{A1227423-6253-4F63-8C6F-6AD0E5E1FCA7}">
    <text>mittlere Verfügbarkeit (!); Betriebsstunden können mitunter deutlich darüber liegen</text>
  </threadedComment>
  <threadedComment ref="AX61" dT="2019-03-22T13:07:55.84" personId="{51F1A2BF-5699-4337-B875-D53DBF6DE656}" id="{ACF833A8-26B5-4DFE-B220-E1ADF310CE69}">
    <text>ab 500 kW Leistung; darunter pauschal 3.000 €</text>
  </threadedComment>
  <threadedComment ref="Z62" dT="2019-03-22T14:39:00.24" personId="{51F1A2BF-5699-4337-B875-D53DBF6DE656}" id="{485229A9-337D-4A5D-A419-869629C8DDB5}">
    <text>mittlere Verfügbarkeit (!); Betriebsstunden können mitunter deutlich darüber liegen</text>
  </threadedComment>
  <threadedComment ref="AX62" dT="2019-03-22T13:07:55.84" personId="{51F1A2BF-5699-4337-B875-D53DBF6DE656}" id="{40AFF255-6B76-4D47-9004-689002884DCE}">
    <text>ab 500 kW Leistung; darunter pauschal 2.550 €</text>
  </threadedComment>
  <threadedComment ref="Z63" dT="2019-03-22T14:39:00.24" personId="{51F1A2BF-5699-4337-B875-D53DBF6DE656}" id="{90094D3F-B1FA-4026-BDA4-D1A3C78593BC}">
    <text>mittlere Verfügbarkeit (!); Betriebsstunden können mitunter deutlich darüber liegen</text>
  </threadedComment>
  <threadedComment ref="AX63" dT="2019-03-22T13:07:55.84" personId="{51F1A2BF-5699-4337-B875-D53DBF6DE656}" id="{44A78650-3A5A-44C6-9995-D23C2CD7CDAE}">
    <text>ab 500 kW Leistung; darunter pauschal 2.100 €</text>
  </threadedComment>
  <threadedComment ref="Z64" dT="2019-03-22T14:39:00.24" personId="{51F1A2BF-5699-4337-B875-D53DBF6DE656}" id="{3D00C463-B70F-45D7-AA25-B46B07215542}">
    <text>mittlere Verfügbarkeit (!); Betriebsstunden können mitunter deutlich darüber liegen</text>
  </threadedComment>
  <threadedComment ref="AX64" dT="2019-03-22T13:07:55.84" personId="{51F1A2BF-5699-4337-B875-D53DBF6DE656}" id="{6F962807-9629-4BF1-84F5-E713034C3884}">
    <text>ab 500 kW Leistung; darunter pauschal 1.650 €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F40C1633-2421-4D4C-B0FA-8F7EE2001942}">
    <text>Hinweis: Daten aus Diagrammen S. 34, 35 abgelesen!</text>
  </threadedComment>
  <threadedComment ref="A1" dT="2019-09-14T13:23:20.69" personId="{71FC54F3-5E8D-460B-9FCF-F7AD63FF6B98}" id="{BD666AB1-FE3D-4B1B-98E5-FBC621FEDAEA}" parentId="{F40C1633-2421-4D4C-B0FA-8F7EE2001942}">
    <text>TODO: Verschneiden mit den Werten aus Apel (2012)!</text>
  </threadedComment>
  <threadedComment ref="H1" dT="2019-10-27T14:11:08.19" personId="{71FC54F3-5E8D-460B-9FCF-F7AD63FF6B98}" id="{D79BB86F-53AA-415F-80F9-DFBDD4FA127B}">
    <text>3 Szenarien betrachtet: MIN, REF und MAX</text>
  </threadedComment>
  <threadedComment ref="K1" dT="2019-10-27T14:59:07.05" personId="{71FC54F3-5E8D-460B-9FCF-F7AD63FF6B98}" id="{91A73B24-706F-4124-9A59-25BC3745AAC6}">
    <text>Abschätzung via Hochrechnung der Potenziale mittels Stromverbrauchsentwicklung!</text>
  </threadedComment>
  <threadedComment ref="M1" dT="2019-09-13T15:07:45.92" personId="{71FC54F3-5E8D-460B-9FCF-F7AD63FF6B98}" id="{6473B44D-1E40-4428-BEA2-CA326B22E35B}">
    <text>Werte abgelesen (S. 34 u. 36)</text>
  </threadedComment>
  <threadedComment ref="N1" dT="2019-09-13T15:07:55.17" personId="{71FC54F3-5E8D-460B-9FCF-F7AD63FF6B98}" id="{BADCA036-E654-41B7-A169-9098F9ED4828}">
    <text>Werte abgelesen (S. 34)</text>
  </threadedComment>
  <threadedComment ref="O1" dT="2019-09-13T15:07:45.92" personId="{71FC54F3-5E8D-460B-9FCF-F7AD63FF6B98}" id="{CBB13608-78A9-4B5D-B614-1FB253F8FBA3}">
    <text>Werte abgelesen (S. 34)</text>
  </threadedComment>
  <threadedComment ref="P1" dT="2019-09-13T15:07:45.92" personId="{71FC54F3-5E8D-460B-9FCF-F7AD63FF6B98}" id="{7C5D5C86-F9E6-4D20-8372-7E1FB6411CFA}">
    <text>Werte abgelesen (S. 34)</text>
  </threadedComment>
  <threadedComment ref="E2" dT="2020-01-04T15:30:14.93" personId="{71FC54F3-5E8D-460B-9FCF-F7AD63FF6B98}" id="{D9EB4A29-7754-4F3C-AE55-6F2E35114C3C}">
    <text>Implizit aus Kontext der Studie</text>
  </threadedComment>
  <threadedComment ref="E3" dT="2020-01-04T15:30:14.93" personId="{71FC54F3-5E8D-460B-9FCF-F7AD63FF6B98}" id="{7C4671D3-9925-4459-BC4A-968E88927B6C}">
    <text>Implizit aus Kontext der Studie</text>
  </threadedComment>
  <threadedComment ref="E4" dT="2020-01-04T15:30:14.93" personId="{71FC54F3-5E8D-460B-9FCF-F7AD63FF6B98}" id="{35FEF1BB-61D3-46FC-B72E-C4E42659E9A9}">
    <text>Implizit aus Kontext der Studie</text>
  </threadedComment>
  <threadedComment ref="E5" dT="2020-01-04T15:30:14.93" personId="{71FC54F3-5E8D-460B-9FCF-F7AD63FF6B98}" id="{608AD71B-F8D7-4814-9E44-B0E2DB448855}">
    <text>Implizit aus Kontext der Studie</text>
  </threadedComment>
  <threadedComment ref="E6" dT="2020-01-04T15:30:14.93" personId="{71FC54F3-5E8D-460B-9FCF-F7AD63FF6B98}" id="{FE453C0E-AEB4-4F88-BFEE-82E0B82A3D9E}">
    <text>Implizit aus Kontext der Studie</text>
  </threadedComment>
  <threadedComment ref="E7" dT="2020-01-04T15:30:14.93" personId="{71FC54F3-5E8D-460B-9FCF-F7AD63FF6B98}" id="{1E022595-E5F3-4506-9C9E-317C76D2492A}">
    <text>Implizit aus Kontext der Studie</text>
  </threadedComment>
  <threadedComment ref="E8" dT="2020-01-04T15:30:14.93" personId="{71FC54F3-5E8D-460B-9FCF-F7AD63FF6B98}" id="{EF54A784-7926-4127-9F01-11DE52FD9817}">
    <text>Implizit aus Kontext der Studie</text>
  </threadedComment>
  <threadedComment ref="E9" dT="2020-01-04T15:30:14.93" personId="{71FC54F3-5E8D-460B-9FCF-F7AD63FF6B98}" id="{45CF02F1-3804-4EC2-B012-DF1EFFF2E42C}">
    <text>Implizit aus Kontext der Studie</text>
  </threadedComment>
  <threadedComment ref="E10" dT="2020-01-04T15:30:14.93" personId="{71FC54F3-5E8D-460B-9FCF-F7AD63FF6B98}" id="{5DD02952-A5B3-49D6-84C6-8962663F5DE7}">
    <text>Implizit aus Kontext der Studie</text>
  </threadedComment>
  <threadedComment ref="E11" dT="2020-01-04T15:30:14.93" personId="{71FC54F3-5E8D-460B-9FCF-F7AD63FF6B98}" id="{2993BE54-9DF8-4708-98E2-A3ADD09B0793}">
    <text>Implizit aus Kontext der Studie</text>
  </threadedComment>
  <threadedComment ref="E12" dT="2020-01-04T15:30:14.93" personId="{71FC54F3-5E8D-460B-9FCF-F7AD63FF6B98}" id="{EEADB1E7-33F3-4D68-9465-EFA9AF15116C}">
    <text>Implizit aus Kontext der Studie</text>
  </threadedComment>
  <threadedComment ref="E13" dT="2020-01-04T15:30:14.93" personId="{71FC54F3-5E8D-460B-9FCF-F7AD63FF6B98}" id="{09FF5934-D251-47A0-B26D-0DE898F132F5}">
    <text>Implizit aus Kontext der Studie</text>
  </threadedComment>
  <threadedComment ref="A14" dT="2019-11-26T06:15:17.06" personId="{71FC54F3-5E8D-460B-9FCF-F7AD63FF6B98}" id="{5B35CADB-D991-4802-B990-67E559343D44}">
    <text>ausgewiesen als mechanische Energie; Beschreibungstext (S. 764) legt allerdings dar, dass nur Belüftung einbezogen wurde.</text>
  </threadedComment>
  <threadedComment ref="E14" dT="2020-01-04T15:30:14.93" personId="{71FC54F3-5E8D-460B-9FCF-F7AD63FF6B98}" id="{C813DE76-EE7E-43C4-9A79-0E47508FD018}">
    <text>Implizit aus Kontext der Studie</text>
  </threadedComment>
  <threadedComment ref="E15" dT="2020-01-04T15:30:14.93" personId="{71FC54F3-5E8D-460B-9FCF-F7AD63FF6B98}" id="{3CE9C4DF-5E12-4590-A844-BC65F7EAA3B9}">
    <text>Implizit aus Kontext der Studie</text>
  </threadedComment>
  <threadedComment ref="E16" dT="2020-01-04T15:30:14.93" personId="{71FC54F3-5E8D-460B-9FCF-F7AD63FF6B98}" id="{54E0A2D2-4CDD-40D4-A6E5-2677B913756B}">
    <text>Implizit aus Kontext der Studie</text>
  </threadedComment>
  <threadedComment ref="E17" dT="2020-01-04T15:30:14.93" personId="{71FC54F3-5E8D-460B-9FCF-F7AD63FF6B98}" id="{716DD388-AB3D-466A-9FAB-1898494F0D4F}">
    <text>Implizit aus Kontext der Studie</text>
  </threadedComment>
  <threadedComment ref="E18" dT="2020-01-04T15:30:14.93" personId="{71FC54F3-5E8D-460B-9FCF-F7AD63FF6B98}" id="{46CD3C0F-6EAB-4CC2-AF51-FDA9C9BE5A85}">
    <text>Implizit aus Kontext der Studie</text>
  </threadedComment>
  <threadedComment ref="E19" dT="2020-01-04T15:30:14.93" personId="{71FC54F3-5E8D-460B-9FCF-F7AD63FF6B98}" id="{C44FD56D-9705-4407-80B0-943C520D0D6E}">
    <text>Implizit aus Kontext der Studie</text>
  </threadedComment>
  <threadedComment ref="E20" dT="2020-01-04T15:30:14.93" personId="{71FC54F3-5E8D-460B-9FCF-F7AD63FF6B98}" id="{2312E256-8F03-41AB-A548-6F286361FE00}">
    <text>Implizit aus Kontext der Studie</text>
  </threadedComment>
  <threadedComment ref="E21" dT="2020-01-04T15:30:14.93" personId="{71FC54F3-5E8D-460B-9FCF-F7AD63FF6B98}" id="{F533937C-E4FB-46E9-B0AD-1926E1DA6936}">
    <text>Implizit aus Kontext der Studie</text>
  </threadedComment>
  <threadedComment ref="E22" dT="2020-01-04T15:30:14.93" personId="{71FC54F3-5E8D-460B-9FCF-F7AD63FF6B98}" id="{BE76AE40-4E4E-4724-82D7-D9BBC8C764FC}">
    <text>Implizit aus Kontext der Studie</text>
  </threadedComment>
  <threadedComment ref="E23" dT="2020-01-04T15:30:14.93" personId="{71FC54F3-5E8D-460B-9FCF-F7AD63FF6B98}" id="{56D6DEC5-FCD6-43E1-9867-C2D55B1AD3CA}">
    <text>Implizit aus Kontext der Studie</text>
  </threadedComment>
  <threadedComment ref="A24" dT="2019-11-26T15:25:48.81" personId="{71FC54F3-5E8D-460B-9FCF-F7AD63FF6B98}" id="{1474DFB6-F764-412E-BDCB-3704097EF776}">
    <text>Potenziale leider nur aggregiert dargestellt; Disaggregierungsmöglichkeit ggf. über die unterstellten zeitlichen Limitationen der Prozesse / Anwendungen möglich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A50" dT="2019-02-26T12:47:49.52" personId="{51F1A2BF-5699-4337-B875-D53DBF6DE656}" id="{B30C8BE7-5968-4CD1-8BB9-2A12F4B801C3}">
    <text>Samira: Belüftung und Klimatisierung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FB42DF06-10E3-4E37-A6A6-28A07FA9FB3F}">
    <text>Hinweis: Daten aus Diagrammen S. 34, 35 abgelesen!</text>
  </threadedComment>
  <threadedComment ref="A1" dT="2019-09-14T13:23:20.69" personId="{71FC54F3-5E8D-460B-9FCF-F7AD63FF6B98}" id="{E0753A1D-56AE-4B61-9709-50B4BA2F2E94}" parentId="{FB42DF06-10E3-4E37-A6A6-28A07FA9FB3F}">
    <text>TODO: Verschneiden mit den Werten aus Apel (2012)!</text>
  </threadedComment>
  <threadedComment ref="E1" dT="2019-11-22T14:38:45.64" personId="{71FC54F3-5E8D-460B-9FCF-F7AD63FF6B98}" id="{83B22062-F3BB-4DA9-9304-B34ED6811005}">
    <text>keine Aussagen getroffen; Annahme, dass jeweils Lastverschiebung betrachtet wird, da positive und negative Regelpotenziale ausgewiesen werden...</text>
  </threadedComment>
  <threadedComment ref="H1" dT="2019-10-27T14:11:16.78" personId="{71FC54F3-5E8D-460B-9FCF-F7AD63FF6B98}" id="{942DFEEA-40BE-4C49-8C97-D68218B77F73}">
    <text>3 Szenarien betrachtet: MIN, REF und MAX</text>
  </threadedComment>
  <threadedComment ref="R1" dT="2019-10-27T14:59:07.05" personId="{71FC54F3-5E8D-460B-9FCF-F7AD63FF6B98}" id="{A4755949-C1AD-47B1-BAC0-A38D452F164C}">
    <text>Abschätzung via Hochrechnung der Potenziale mittels Stromverbrauchsentwicklung!</text>
  </threadedComment>
  <threadedComment ref="T1" dT="2019-09-13T15:07:45.92" personId="{71FC54F3-5E8D-460B-9FCF-F7AD63FF6B98}" id="{C1231DC0-6E35-41C4-9083-61CD6FA3574C}">
    <text>Werte abgelesen (S. 34 u. 36)</text>
  </threadedComment>
  <threadedComment ref="U1" dT="2019-09-13T15:07:55.17" personId="{71FC54F3-5E8D-460B-9FCF-F7AD63FF6B98}" id="{2B203EE6-A954-4CF2-BC3B-825A44ABAF79}">
    <text>Werte abgelesen (S. 34)</text>
  </threadedComment>
  <threadedComment ref="V1" dT="2019-09-13T15:07:45.92" personId="{71FC54F3-5E8D-460B-9FCF-F7AD63FF6B98}" id="{A04BD5AB-8B3E-4CCE-9B87-50EDB93F87D4}">
    <text>Werte abgelesen (S. 34)</text>
  </threadedComment>
  <threadedComment ref="W1" dT="2019-09-13T15:07:45.92" personId="{71FC54F3-5E8D-460B-9FCF-F7AD63FF6B98}" id="{B5B5E688-B286-4E70-A488-8EB3E9D6F2C9}">
    <text>Werte abgelesen (S. 34)</text>
  </threadedComment>
  <threadedComment ref="AM1" dT="2019-11-22T14:21:25.76" personId="{71FC54F3-5E8D-460B-9FCF-F7AD63FF6B98}" id="{49C805F7-915C-46AA-A538-9F53C8ACDD93}">
    <text>Schaltdauern korrespondieren mit maximaler / minimaler Potenzialhöhe (Potenzial nichtlinear abnehmend mit zunehmender Schaltdauer)</text>
  </threadedComment>
  <threadedComment ref="AM1" dT="2019-11-22T14:24:20.25" personId="{71FC54F3-5E8D-460B-9FCF-F7AD63FF6B98}" id="{EFAC9EFA-65D6-446C-BF07-3955A32CFB48}" parentId="{49C805F7-915C-46AA-A538-9F53C8ACDD93}">
    <text>grobe Abschätzung von zwei (arbiträren) Stützwerten auf Diagrammen</text>
  </threadedComment>
  <threadedComment ref="B2" dT="2019-11-22T11:04:40.49" personId="{71FC54F3-5E8D-460B-9FCF-F7AD63FF6B98}" id="{01D0519E-4C7D-43D0-8A37-679BD57C5B3C}">
    <text>überwiegend in Haushalten zu finden (S. 49)</text>
  </threadedComment>
  <threadedComment ref="L3" dT="2019-11-22T11:33:45.23" personId="{71FC54F3-5E8D-460B-9FCF-F7AD63FF6B98}" id="{DF290441-950E-49F7-BFC0-751A668CD9A8}">
    <text>Anzahl in Haushalten; davon 4.000 Tsd. mit zentraler elektrischer Warmwasserbereitung</text>
  </threadedComment>
  <threadedComment ref="Q3" dT="2019-11-22T11:32:47.14" personId="{71FC54F3-5E8D-460B-9FCF-F7AD63FF6B98}" id="{CDD362D8-A8F6-47D3-9E42-85BE49D93285}">
    <text>(konservative) Annahme: 1/4 des Stromverbrauchs kann genutzt werden für DR</text>
  </threadedComment>
  <threadedComment ref="R3" dT="2019-11-22T12:45:24.21" personId="{71FC54F3-5E8D-460B-9FCF-F7AD63FF6B98}" id="{046E425C-0033-433C-A9FA-24E22D4F5D51}">
    <text>abgelesene Werte (S. 68)</text>
  </threadedComment>
  <threadedComment ref="T3" dT="2019-11-22T12:45:14.15" personId="{71FC54F3-5E8D-460B-9FCF-F7AD63FF6B98}" id="{7AAB506C-C6D4-4C60-8B40-1FA3692B7110}">
    <text>abgelesene Werte (S. 68)</text>
  </threadedComment>
  <threadedComment ref="Z3" dT="2019-11-22T12:45:04.56" personId="{71FC54F3-5E8D-460B-9FCF-F7AD63FF6B98}" id="{FEBCC5B2-A179-4B75-BDFC-376CDBDC7727}">
    <text>abgelesene Werte (S. 69)</text>
  </threadedComment>
  <threadedComment ref="B4" dT="2019-11-22T13:17:24.03" personId="{71FC54F3-5E8D-460B-9FCF-F7AD63FF6B98}" id="{54BCD683-CE8E-4415-BD38-DAAA53CF374B}">
    <text>überwiegend Industrie</text>
  </threadedComment>
  <threadedComment ref="P5" dT="2019-11-22T14:00:53.49" personId="{71FC54F3-5E8D-460B-9FCF-F7AD63FF6B98}" id="{25A7567F-FC63-434A-BE53-27BE96BFC102}">
    <text>Gesamstrombedarf Kühl- und Gefrieranwendungen; davon 18,63 bei der Lagerung in Haushalten</text>
  </threadedComment>
  <threadedComment ref="P6" dT="2019-11-22T14:00:53.49" personId="{71FC54F3-5E8D-460B-9FCF-F7AD63FF6B98}" id="{D9E72B01-1DA5-40BE-A92B-A9EDD41DF071}">
    <text>Gesamstrombedarf Kühl- und Gefrieranwendungen; davon 18,63 bei der Lagerung in Haushalten</text>
  </threadedComment>
  <threadedComment ref="A7" dT="2019-11-22T14:26:03.68" personId="{71FC54F3-5E8D-460B-9FCF-F7AD63FF6B98}" id="{C9AC1E5E-CA20-4518-A2A9-18EA93114341}">
    <text>Kühl- und Gefriergeräte im Lebensmitteleinzelhandel</text>
  </threadedComment>
  <threadedComment ref="P7" dT="2019-11-22T14:00:53.49" personId="{71FC54F3-5E8D-460B-9FCF-F7AD63FF6B98}" id="{100795C4-C14F-40C8-85C2-01E5748A46D4}">
    <text>Gesamstrombedarf Kühl- und Gefrieranwendungen; davon 18,63 bei der Lagerung in Haushalten</text>
  </threadedComment>
  <threadedComment ref="A8" dT="2019-11-22T14:37:12.04" personId="{71FC54F3-5E8D-460B-9FCF-F7AD63FF6B98}" id="{4973EA7A-C0BE-4DD7-8936-C3A57A9EDD10}">
    <text>Sonderfall: Umwälzpumpen für Warmwasserheizungen</text>
  </threadedComment>
  <threadedComment ref="F8" dT="2019-11-22T14:47:56.47" personId="{71FC54F3-5E8D-460B-9FCF-F7AD63FF6B98}" id="{5C44675F-8D80-46FB-8EB4-50A880E44CC4}">
    <text>nur positive Regelleistung (S. 140)</text>
  </threadedComment>
  <threadedComment ref="P8" dT="2019-11-22T14:38:05.04" personId="{71FC54F3-5E8D-460B-9FCF-F7AD63FF6B98}" id="{13809119-DE0E-46A4-B893-E08398126FEA}">
    <text>Strombedarf für Umwälzpumpen in Deutschland</text>
  </threadedComment>
  <threadedComment ref="A9" dT="2019-11-22T14:37:12.04" personId="{71FC54F3-5E8D-460B-9FCF-F7AD63FF6B98}" id="{F5CED530-AD75-4D0B-ABD9-E26485FEA056}">
    <text>Sonderfall: Umwälzpumpen für Warmwasserheizungen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A1" dT="2019-11-26T12:53:59.91" personId="{71FC54F3-5E8D-460B-9FCF-F7AD63FF6B98}" id="{FBF3ADD0-B56D-4DAE-8F21-CC2347C73D5C}">
    <text>Tabellenblatt enthält Werte, die je Prozess aggregiert dargestellt wurden (Aggregation jeweils durch Mittelwert- oder Summenbildung erfolgt -&gt; s. Aufbereitungsnotebook)</text>
  </threadedComment>
  <threadedComment ref="A186" dT="2019-04-01T14:13:46.45" personId="{51F1A2BF-5699-4337-B875-D53DBF6DE656}" id="{94C10CB7-65DC-4B1E-83E5-0941AF46AFE8}">
    <text>Behälterglas</text>
  </threadedComment>
  <threadedComment ref="A202" dT="2019-04-01T14:05:13.19" personId="{51F1A2BF-5699-4337-B875-D53DBF6DE656}" id="{D115012A-AA3D-402B-BF85-D767EFAA4ACC}">
    <text>Holzschleifer und TMP-Verfahren</text>
  </threadedComment>
  <threadedComment ref="A226" dT="2019-04-01T14:05:36.11" personId="{51F1A2BF-5699-4337-B875-D53DBF6DE656}" id="{A06263FC-8A2A-435B-9472-EFF9B92A9514}">
    <text>Zellstoff- und Altpapieraufbereitung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EE6E04F9-26E9-482D-A026-FC2281CEC518}">
    <text>Hinweis: Daten aus Diagrammen S. 34, 35 abgelesen!</text>
  </threadedComment>
  <threadedComment ref="A1" dT="2019-09-14T13:23:20.69" personId="{71FC54F3-5E8D-460B-9FCF-F7AD63FF6B98}" id="{7B10DA75-7AAA-495A-BCB0-2FA0C691504A}" parentId="{EE6E04F9-26E9-482D-A026-FC2281CEC518}">
    <text>TODO: Verschneiden mit den Werten aus Apel (2012)!</text>
  </threadedComment>
  <threadedComment ref="H1" dT="2019-09-13T15:07:45.92" personId="{71FC54F3-5E8D-460B-9FCF-F7AD63FF6B98}" id="{AA34A7A7-DDCC-4A71-8170-389DA35A0E2F}">
    <text>Werte abgelesen (S. 34 u. 36)</text>
  </threadedComment>
  <threadedComment ref="I1" dT="2019-09-13T15:07:55.17" personId="{71FC54F3-5E8D-460B-9FCF-F7AD63FF6B98}" id="{9544F0BA-48F1-430C-B777-5EB04D213E44}">
    <text>Werte abgelesen (S. 34)</text>
  </threadedComment>
  <threadedComment ref="J1" dT="2019-09-13T15:07:45.92" personId="{71FC54F3-5E8D-460B-9FCF-F7AD63FF6B98}" id="{C1DB94E9-D1B1-43A6-BE62-0032FBE2EA36}">
    <text>Werte abgelesen (S. 34)</text>
  </threadedComment>
  <threadedComment ref="K1" dT="2019-09-13T15:07:45.92" personId="{71FC54F3-5E8D-460B-9FCF-F7AD63FF6B98}" id="{168F2958-2C35-4D6E-A9BF-27CAAFDB4F0D}">
    <text>Werte abgelesen (S. 34)</text>
  </threadedComment>
  <threadedComment ref="AH8" dT="2019-02-26T15:03:08.25" personId="{51F1A2BF-5699-4337-B875-D53DBF6DE656}" id="{223D4FBC-D6B7-417C-B27A-66564245BE70}">
    <text>Celina</text>
  </threadedComment>
  <threadedComment ref="H17" dT="2019-09-13T14:52:51.98" personId="{71FC54F3-5E8D-460B-9FCF-F7AD63FF6B98}" id="{34DEAD6B-52E4-4A32-B4E8-9485C64B0686}">
    <text>Zusammenfassung: Kühl/Gefrierkombination sowie Gefrierschrank/-truhe</text>
  </threadedComment>
  <threadedComment ref="I17" dT="2019-09-13T14:52:51.98" personId="{71FC54F3-5E8D-460B-9FCF-F7AD63FF6B98}" id="{3E05DEB4-FDCE-4D4C-BF20-B42C75ECB962}">
    <text>Zusammenfassung: Kühl/Gefrierkombination sowie Gefrierschrank/-truhe</text>
  </threadedComment>
  <threadedComment ref="J17" dT="2019-09-13T14:52:51.98" personId="{71FC54F3-5E8D-460B-9FCF-F7AD63FF6B98}" id="{FF23A1BB-6B37-48B5-B84E-8C79244A88FD}">
    <text>Zusammenfassung: Kühl/Gefrierkombination sowie Gefrierschrank/-truhe</text>
  </threadedComment>
  <threadedComment ref="K17" dT="2019-09-13T14:52:51.98" personId="{71FC54F3-5E8D-460B-9FCF-F7AD63FF6B98}" id="{65193C96-4AB2-4A39-8097-FBB0DBD031CE}">
    <text>Zusammenfassung: Kühl/Gefrierkombination sowie Gefrierschrank/-truhe</text>
  </threadedComment>
  <threadedComment ref="AH23" dT="2019-02-26T15:07:02.24" personId="{51F1A2BF-5699-4337-B875-D53DBF6DE656}" id="{92F93B64-5FA1-4E67-A2BC-3BCCB5FFD2C4}">
    <text>Celina</text>
  </threadedComment>
  <threadedComment ref="AI23" dT="2019-02-26T15:07:16.45" personId="{51F1A2BF-5699-4337-B875-D53DBF6DE656}" id="{B7BBC7AE-7AAB-4E0C-BF45-2A7FE8CB16AD}">
    <text>Celina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CEA1FD89-1504-4013-9A33-6737BFA3FA3D}">
    <text>Auf eine gesonderte Darstellung der Potenziale für den Industriesektor wird verzichtet, da diese aus Buber et al. (2013) übernommen wurden und bereits dort aufgeführt werden.</text>
  </threadedComment>
  <threadedComment ref="S2" dT="2019-03-16T16:50:06.91" personId="{51F1A2BF-5699-4337-B875-D53DBF6DE656}" id="{6B249502-2D9A-4EDD-8F0D-E18FF7151946}">
    <text>Minimalwert: 4.000</text>
  </threadedComment>
  <threadedComment ref="S3" dT="2019-03-16T16:50:19.38" personId="{51F1A2BF-5699-4337-B875-D53DBF6DE656}" id="{850613CD-B1FE-4F8E-8640-7E0785E01F2C}">
    <text>Minimalwert: 4.100</text>
  </threadedComment>
  <threadedComment ref="S4" dT="2019-03-16T16:50:19.38" personId="{51F1A2BF-5699-4337-B875-D53DBF6DE656}" id="{8BD9C0A2-F337-46DB-A0A0-CF75DD1BB350}">
    <text>Minimalwert: 4.100</text>
  </threadedComment>
  <threadedComment ref="S5" dT="2019-03-16T16:58:45.21" personId="{51F1A2BF-5699-4337-B875-D53DBF6DE656}" id="{D0277F0E-3D3A-430B-809F-33E385404677}">
    <text>Minimalwert: 1.600</text>
  </threadedComment>
  <threadedComment ref="S6" dT="2019-03-16T16:58:52.03" personId="{51F1A2BF-5699-4337-B875-D53DBF6DE656}" id="{0A684F61-118C-4186-A8F0-E2DFB54825EC}">
    <text>Minimalwert: 1.640</text>
  </threadedComment>
  <threadedComment ref="S7" dT="2019-03-16T16:58:58.59" personId="{51F1A2BF-5699-4337-B875-D53DBF6DE656}" id="{F6F526D0-02EC-4667-B09D-E24EBE07B009}">
    <text>Minimalwert: 1.640</text>
  </threadedComment>
  <threadedComment ref="Q8" dT="2019-03-16T17:05:49.55" personId="{51F1A2BF-5699-4337-B875-D53DBF6DE656}" id="{4D5655EB-FF18-4EC9-949A-2D704DB1B644}">
    <text>abgestellt auf Maximalwerte</text>
  </threadedComment>
  <threadedComment ref="S8" dT="2019-03-16T17:06:28.33" personId="{51F1A2BF-5699-4337-B875-D53DBF6DE656}" id="{62EEDFFD-23DF-4882-9CC7-C48796C7089A}">
    <text>Minimalwert: 32.000</text>
  </threadedComment>
  <threadedComment ref="S9" dT="2019-03-16T17:06:37.63" personId="{51F1A2BF-5699-4337-B875-D53DBF6DE656}" id="{3F765E9F-E4AB-4FF5-A6AF-217158F779A9}">
    <text>Minimalwert: 16.400</text>
  </threadedComment>
  <threadedComment ref="S10" dT="2019-03-16T17:06:46.54" personId="{51F1A2BF-5699-4337-B875-D53DBF6DE656}" id="{76070A1F-64E7-454A-B26A-1A465FB2F42E}">
    <text>Minimalwert: 10.250</text>
  </threadedComment>
  <threadedComment ref="S11" dT="2019-03-16T17:21:34.44" personId="{51F1A2BF-5699-4337-B875-D53DBF6DE656}" id="{67CE0A31-1EFA-4DB6-BB10-99D3C54C2789}">
    <text>Minimalwert: 3.400</text>
  </threadedComment>
  <threadedComment ref="S12" dT="2019-03-16T17:21:50.98" personId="{51F1A2BF-5699-4337-B875-D53DBF6DE656}" id="{7365EF40-3031-4C27-B82E-B138B7C9FD76}">
    <text>Minimalwert: 13.940</text>
  </threadedComment>
  <threadedComment ref="S13" dT="2019-03-16T17:22:01.44" personId="{51F1A2BF-5699-4337-B875-D53DBF6DE656}" id="{9396D2FB-4BE7-4226-8910-E1602C925784}">
    <text>Minimalwert: 27.880</text>
  </threadedComment>
  <threadedComment ref="S14" dT="2019-03-16T17:27:43.48" personId="{51F1A2BF-5699-4337-B875-D53DBF6DE656}" id="{A1EEE7B4-D4C7-4FA5-B43E-4DA83E132365}">
    <text>Minimalwert: 2.500</text>
  </threadedComment>
  <threadedComment ref="S15" dT="2019-03-16T17:27:51.61" personId="{51F1A2BF-5699-4337-B875-D53DBF6DE656}" id="{D448AF66-6203-440A-A0A6-5C6418C8B224}">
    <text>Minimalwert: 1.281</text>
  </threadedComment>
  <threadedComment ref="S16" dT="2019-03-16T17:28:01.89" personId="{51F1A2BF-5699-4337-B875-D53DBF6DE656}" id="{2D554695-7E68-47FA-9B37-3549FF2111A8}">
    <text>Minimalwert: 256</text>
  </threadedComment>
  <threadedComment ref="Q17" dT="2019-03-16T17:34:25.11" personId="{51F1A2BF-5699-4337-B875-D53DBF6DE656}" id="{4F464C07-F1BF-488E-B0A5-A1B6378BCF93}">
    <text>Minimalwert: 1.059 Vollbenutzungsstunden</text>
  </threadedComment>
  <threadedComment ref="S17" dT="2019-03-16T17:35:10.28" personId="{51F1A2BF-5699-4337-B875-D53DBF6DE656}" id="{E17887BC-E2F7-4415-AA9A-E619BA05D0CC}">
    <text>Minimalwert: 15.200</text>
  </threadedComment>
  <threadedComment ref="S18" dT="2019-03-16T17:35:18.61" personId="{51F1A2BF-5699-4337-B875-D53DBF6DE656}" id="{A412C09A-F9C0-4EA1-8446-9182E7838AEA}">
    <text>Minimalwert: 15.580</text>
  </threadedComment>
  <threadedComment ref="S19" dT="2019-03-16T17:35:26.72" personId="{51F1A2BF-5699-4337-B875-D53DBF6DE656}" id="{D05C0518-1169-4D08-B0B6-136BE90DA9E6}">
    <text>Minimalwert: 15.580</text>
  </threadedComment>
  <threadedComment ref="S20" dT="2019-03-16T17:53:59.94" personId="{51F1A2BF-5699-4337-B875-D53DBF6DE656}" id="{9DC8650D-8F7D-42A4-9044-9DBA02A3A53E}">
    <text>Minimalwert: 2.700</text>
  </threadedComment>
  <threadedComment ref="S21" dT="2019-03-16T17:54:06.95" personId="{51F1A2BF-5699-4337-B875-D53DBF6DE656}" id="{F484E73A-8782-4642-AFDC-2CA045D83D53}">
    <text>Minimalwert: 4.000</text>
  </threadedComment>
  <threadedComment ref="S22" dT="2019-03-16T17:54:20.10" personId="{51F1A2BF-5699-4337-B875-D53DBF6DE656}" id="{05E3FD7B-1E3A-41A3-B98B-C3175779CDDE}">
    <text>Minimalwert: 5.400</text>
  </threadedComment>
  <threadedComment ref="S23" dT="2019-03-16T18:03:36.09" personId="{51F1A2BF-5699-4337-B875-D53DBF6DE656}" id="{65B20F49-A09B-4A29-A272-9DF6DB951849}">
    <text>Minimalwert: 22.655</text>
  </threadedComment>
  <threadedComment ref="S24" dT="2019-03-16T18:03:48.65" personId="{51F1A2BF-5699-4337-B875-D53DBF6DE656}" id="{6A4833E7-379F-4F6F-B529-9AEF460D73D6}">
    <text>Minimalwert: 21.715</text>
  </threadedComment>
  <threadedComment ref="S25" dT="2019-03-16T18:03:58.08" personId="{51F1A2BF-5699-4337-B875-D53DBF6DE656}" id="{A64FC9A4-252E-48E0-A5C0-82B313044CEF}">
    <text>Minimalwert: 19.912</text>
  </threadedComment>
  <threadedComment ref="S26" dT="2019-03-16T18:09:44.59" personId="{51F1A2BF-5699-4337-B875-D53DBF6DE656}" id="{1E36F65A-3104-449C-B538-27CCCBFD7058}">
    <text>Minimalwert: 1.284</text>
  </threadedComment>
  <threadedComment ref="S27" dT="2019-03-16T18:09:44.59" personId="{51F1A2BF-5699-4337-B875-D53DBF6DE656}" id="{7887E1AE-11FC-4685-8429-533BC863B0DE}">
    <text>Minimalwert: 1.284</text>
  </threadedComment>
  <threadedComment ref="S28" dT="2019-03-16T18:09:44.59" personId="{51F1A2BF-5699-4337-B875-D53DBF6DE656}" id="{065B56C8-126F-4D8B-8A20-5628D12CE25B}">
    <text>Minimalwert: 1.284</text>
  </threadedComment>
  <threadedComment ref="S29" dT="2019-03-16T18:13:13.06" personId="{51F1A2BF-5699-4337-B875-D53DBF6DE656}" id="{B04231C8-34AD-4FA5-8EFF-E03BBF0E30AD}">
    <text>Minimalwert: 2.945</text>
  </threadedComment>
  <threadedComment ref="S30" dT="2019-03-16T18:13:13.06" personId="{51F1A2BF-5699-4337-B875-D53DBF6DE656}" id="{5EE1D81D-5AE0-40C7-8A96-605C6F7E1C5A}">
    <text>Minimalwert: 2.945</text>
  </threadedComment>
  <threadedComment ref="S31" dT="2019-03-16T18:13:13.06" personId="{51F1A2BF-5699-4337-B875-D53DBF6DE656}" id="{A553FF40-6F33-47C3-815C-71061EDE08FD}">
    <text>Minimalwert: 2.945</text>
  </threadedComment>
  <threadedComment ref="S32" dT="2019-03-16T18:18:33.73" personId="{51F1A2BF-5699-4337-B875-D53DBF6DE656}" id="{FDA1B1E1-C358-4B3D-AE39-F253E9070D39}">
    <text>Minimalwert: 10.781</text>
  </threadedComment>
  <threadedComment ref="S33" dT="2019-03-16T18:18:33.73" personId="{51F1A2BF-5699-4337-B875-D53DBF6DE656}" id="{E1B032F5-B370-4C21-82B3-C7730E626F97}">
    <text>Minimalwert: 10.781</text>
  </threadedComment>
  <threadedComment ref="S34" dT="2019-03-16T18:18:33.73" personId="{51F1A2BF-5699-4337-B875-D53DBF6DE656}" id="{58A425E6-C3F3-4796-90AE-C9A8C7F62F54}">
    <text>Minimalwert: 10.781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B8" dT="2019-03-21T17:31:30.60" personId="{51F1A2BF-5699-4337-B875-D53DBF6DE656}" id="{CC38F092-F1EC-400D-82EF-62FABF45AD3E}">
    <text>+GHD</text>
  </threadedComment>
  <threadedComment ref="B9" dT="2019-03-21T17:31:30.60" personId="{51F1A2BF-5699-4337-B875-D53DBF6DE656}" id="{D0D10A1D-037F-4330-BFA1-4239240AD855}">
    <text>+GHD</text>
  </threadedComment>
  <threadedComment ref="B10" dT="2019-03-21T17:31:30.60" personId="{51F1A2BF-5699-4337-B875-D53DBF6DE656}" id="{91878450-2B39-4430-9195-0F80744AEB00}">
    <text>+GHD</text>
  </threadedComment>
  <threadedComment ref="B11" dT="2019-03-21T17:31:30.60" personId="{51F1A2BF-5699-4337-B875-D53DBF6DE656}" id="{BBF38ADF-868E-4ABE-8150-31325C33D55D}">
    <text>+GHD</text>
  </threadedComment>
  <threadedComment ref="B12" dT="2019-03-21T17:31:30.60" personId="{51F1A2BF-5699-4337-B875-D53DBF6DE656}" id="{76F768A2-5825-4AFC-BF79-3D2BC6222FE5}">
    <text>+GHD</text>
  </threadedComment>
  <threadedComment ref="B13" dT="2019-03-21T17:31:30.60" personId="{51F1A2BF-5699-4337-B875-D53DBF6DE656}" id="{FD4C7762-1275-4156-A48B-82ABD30985BD}">
    <text>+GHD</text>
  </threadedComment>
  <threadedComment ref="B14" dT="2019-03-21T17:31:30.60" personId="{51F1A2BF-5699-4337-B875-D53DBF6DE656}" id="{D1BC916A-07F8-41CB-A895-E76FBF945AC4}">
    <text>+GHD</text>
  </threadedComment>
  <threadedComment ref="B15" dT="2019-03-21T17:31:30.60" personId="{51F1A2BF-5699-4337-B875-D53DBF6DE656}" id="{FACA42EA-474B-433F-AA8F-9C011F8E42A9}">
    <text>+GHD</text>
  </threadedComment>
  <threadedComment ref="B16" dT="2019-03-21T17:31:30.60" personId="{51F1A2BF-5699-4337-B875-D53DBF6DE656}" id="{3EDC4EFD-A5EC-4108-B1F8-BA3890ECF5A7}">
    <text>+GHD</text>
  </threadedComment>
  <threadedComment ref="B17" dT="2019-03-21T17:31:30.60" personId="{51F1A2BF-5699-4337-B875-D53DBF6DE656}" id="{8BCBF14E-E2DF-4C85-A606-F28153B3011E}">
    <text>+GHD</text>
  </threadedComment>
  <threadedComment ref="B18" dT="2019-03-21T17:31:30.60" personId="{51F1A2BF-5699-4337-B875-D53DBF6DE656}" id="{F81394D2-84E1-4177-947D-3EB42DC4875F}">
    <text>+GHD</text>
  </threadedComment>
  <threadedComment ref="B19" dT="2019-03-21T17:31:30.60" personId="{51F1A2BF-5699-4337-B875-D53DBF6DE656}" id="{4BB0AD5F-61E4-4D1E-A14C-0326526EE034}">
    <text>+GHD</text>
  </threadedComment>
  <threadedComment ref="B20" dT="2019-03-21T17:31:30.60" personId="{51F1A2BF-5699-4337-B875-D53DBF6DE656}" id="{6AEB550C-C2B9-4E81-A815-2913C0C3F5CE}">
    <text>+GHD</text>
  </threadedComment>
  <threadedComment ref="B21" dT="2019-03-21T17:31:30.60" personId="{51F1A2BF-5699-4337-B875-D53DBF6DE656}" id="{25C4E9D5-71E4-49A2-8CF7-35E1A942A6F8}">
    <text>+GHD</text>
  </threadedComment>
  <threadedComment ref="B22" dT="2019-03-21T17:31:30.60" personId="{51F1A2BF-5699-4337-B875-D53DBF6DE656}" id="{A656CD98-4594-4065-B7D3-4278699E57A4}">
    <text>+GHD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A1" dT="2019-11-26T12:53:59.91" personId="{71FC54F3-5E8D-460B-9FCF-F7AD63FF6B98}" id="{6A66696E-0898-420C-9918-107CBC9A57B0}">
    <text>Tabellenblatt enthält detaillierte Werte auf Ebene von Branchen im Sinne einer weiteren Untergliederung der Sektoren</text>
  </threadedComment>
  <threadedComment ref="A1" dT="2020-01-21T17:06:16.85" personId="{71FC54F3-5E8D-460B-9FCF-F7AD63FF6B98}" id="{0911582B-6DFF-4E37-9858-4752C33867F9}" parentId="{6A66696E-0898-420C-9918-107CBC9A57B0}">
    <text>Detaillierte Werte aus Steurer 2017 werden (aus Zeitgründen) nicht ausgewertet.</text>
  </threadedComment>
  <threadedComment ref="A370" dT="2019-04-01T14:13:46.45" personId="{51F1A2BF-5699-4337-B875-D53DBF6DE656}" id="{2DCC246B-ACDF-4B7F-8CB4-65608738B2C4}">
    <text>Behälterglas</text>
  </threadedComment>
  <threadedComment ref="A386" dT="2019-04-01T14:05:13.19" personId="{51F1A2BF-5699-4337-B875-D53DBF6DE656}" id="{AE2C791B-D6C3-44B9-84BB-C80768CA7E93}">
    <text>Holzschleifer und TMP-Verfahren</text>
  </threadedComment>
  <threadedComment ref="A410" dT="2019-04-01T14:05:36.11" personId="{51F1A2BF-5699-4337-B875-D53DBF6DE656}" id="{16FC34B1-B7DB-4B44-9AF5-34A376D66714}">
    <text>Zellstoff- und Altpapieraufbereitung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A2" dT="2019-02-26T12:47:49.52" personId="{51F1A2BF-5699-4337-B875-D53DBF6DE656}" id="{B30C8BE7-5968-4CD0-8BB9-2A12F4B801C3}">
    <text>Samira: Belüftung und Klimatisierung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A34" dT="2019-02-16T12:37:56.21" personId="{51F1A2BF-5699-4337-B875-D53DBF6DE656}" id="{7B5332E6-8577-4F18-8BAB-CF0399BB62AB}">
    <text>Waschmaschin, Spülmaschine, Trockner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A34" dT="2019-02-16T12:37:56.21" personId="{51F1A2BF-5699-4337-B875-D53DBF6DE656}" id="{BA910BFF-6BA7-4440-85D8-3F38862DF00B}">
    <text>Waschmaschin, Spülmaschine, Trockner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2" dT="2020-01-20T16:10:25.41" personId="{71FC54F3-5E8D-460B-9FCF-F7AD63FF6B98}" id="{3343CC46-B642-4711-A37F-E30B4CDAEDE6}">
    <text>offenbar Datenfehler</text>
  </threadedComment>
  <threadedComment ref="Z2" dT="2020-01-20T16:10:25.41" personId="{71FC54F3-5E8D-460B-9FCF-F7AD63FF6B98}" id="{20888235-6E85-4BB8-AC3B-827139F075CA}">
    <text>offenbar Datenfehler</text>
  </threadedComment>
  <threadedComment ref="A4" dT="2020-01-04T15:35:56.09" personId="{71FC54F3-5E8D-460B-9FCF-F7AD63FF6B98}" id="{6AC0FD0F-BD60-4635-9AFD-295774DE7423}">
    <text>Zell- und Holzstoffherstellung (S. 5)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7" dT="2019-02-26T14:32:14.13" personId="{51F1A2BF-5699-4337-B875-D53DBF6DE656}" id="{5185CF36-782A-4B45-9DD3-14EE3199423D}">
    <text>Werte Celina; kritisch prüfen!</text>
  </threadedComment>
  <threadedComment ref="Y7" dT="2019-02-26T15:02:00.31" personId="{51F1A2BF-5699-4337-B875-D53DBF6DE656}" id="{A4D23BA3-8718-43B5-9741-2BD3224DF571}">
    <text>kurze Pausen (Celina)</text>
  </threadedComment>
  <threadedComment ref="W10" dT="2019-02-26T15:06:06.21" personId="{51F1A2BF-5699-4337-B875-D53DBF6DE656}" id="{053F4F42-AE94-44F3-9BC8-C50A19A6E3EB}">
    <text>Celina</text>
  </threadedComment>
  <threadedComment ref="AE11" dT="2019-02-26T15:02:17.88" personId="{51F1A2BF-5699-4337-B875-D53DBF6DE656}" id="{212E9F89-28EA-4E48-97B1-015E2B1D4CB8}">
    <text>nur vorziehbar (Celina)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2" dT="2019-09-16T16:35:14.44" personId="{71FC54F3-5E8D-460B-9FCF-F7AD63FF6B98}" id="{81887FEC-DDC5-418E-9BB2-3F6F3CB6CB16}">
    <text>nicht explizit angegeben, aber implizit ableitbar</text>
  </threadedComment>
  <threadedComment ref="AV2" dT="2019-09-17T06:09:24.81" personId="{71FC54F3-5E8D-460B-9FCF-F7AD63FF6B98}" id="{D04B2933-B873-48C3-893E-4CF2A541F51A}">
    <text>Aktivierungskosten I: Personalkosten umgelegt auf Aktivierungen</text>
  </threadedComment>
  <threadedComment ref="AW2" dT="2019-09-17T06:09:44.02" personId="{71FC54F3-5E8D-460B-9FCF-F7AD63FF6B98}" id="{9ADCAFC6-26CA-43E4-9ED5-1FFE2003EF8D}">
    <text>Aktivierungskosten II: VOLL</text>
  </threadedComment>
  <threadedComment ref="D3" dT="2019-09-16T16:35:14.44" personId="{71FC54F3-5E8D-460B-9FCF-F7AD63FF6B98}" id="{FB37EDFD-0A01-421E-AC89-ED380B2B59DD}">
    <text>nicht explizit angegeben, aber implizit ableitbar</text>
  </threadedComment>
  <threadedComment ref="D4" dT="2019-09-16T16:35:14.44" personId="{71FC54F3-5E8D-460B-9FCF-F7AD63FF6B98}" id="{FE324868-3EED-419B-854F-53AB56A9F95A}">
    <text>nicht explizit angegeben, aber implizit ableitbar</text>
  </threadedComment>
  <threadedComment ref="G4" dT="2019-09-14T15:18:04.15" personId="{71FC54F3-5E8D-460B-9FCF-F7AD63FF6B98}" id="{F82E82CF-082C-4DBE-8805-BAF21B1C1F2B}">
    <text>2007</text>
  </threadedComment>
  <threadedComment ref="S4" dT="2019-09-14T15:22:10.07" personId="{71FC54F3-5E8D-460B-9FCF-F7AD63FF6B98}" id="{D7206562-633D-4495-AC3F-CAFAA2D72D6D}">
    <text>+/- 10 %</text>
  </threadedComment>
  <threadedComment ref="AV4" dT="2019-09-17T06:09:21.95" personId="{71FC54F3-5E8D-460B-9FCF-F7AD63FF6B98}" id="{F0057087-7EC1-4BE9-959D-15A7A4FFF81C}">
    <text>Aktivierungskosten I: Personalkosten umgelegt auf Aktivierungen</text>
  </threadedComment>
  <threadedComment ref="AW4" dT="2019-09-17T06:09:40.86" personId="{71FC54F3-5E8D-460B-9FCF-F7AD63FF6B98}" id="{644BBC7F-A37D-404E-93E0-421C4E06DB1B}">
    <text>Aktivierungskosten II: VOLL</text>
  </threadedComment>
  <threadedComment ref="D5" dT="2019-09-16T16:35:14.44" personId="{71FC54F3-5E8D-460B-9FCF-F7AD63FF6B98}" id="{E9F9D5A6-706A-4C60-9A9D-3E04F013C22C}">
    <text>nicht explizit angegeben, aber implizit ableitbar</text>
  </threadedComment>
  <threadedComment ref="D6" dT="2019-09-16T16:35:14.44" personId="{71FC54F3-5E8D-460B-9FCF-F7AD63FF6B98}" id="{F100EA9D-87E1-4261-BB6B-BBDC71DAE940}">
    <text>nicht explizit angegeben, aber implizit ableitbar</text>
  </threadedComment>
  <threadedComment ref="D7" dT="2019-09-16T16:35:14.44" personId="{71FC54F3-5E8D-460B-9FCF-F7AD63FF6B98}" id="{4DDF85CE-5F56-44FC-8504-04DF55CA0E23}">
    <text>nicht explizit angegeben, aber implizit ableitbar</text>
  </threadedComment>
  <threadedComment ref="A8" dT="2019-09-14T15:32:42.73" personId="{71FC54F3-5E8D-460B-9FCF-F7AD63FF6B98}" id="{4AA08DEE-9468-403B-84DA-B4E71848E299}">
    <text>Recycling-Industrie; Fallbeispiele für Hochrechnung: n = 2</text>
  </threadedComment>
  <threadedComment ref="D8" dT="2019-09-16T16:35:14.44" personId="{71FC54F3-5E8D-460B-9FCF-F7AD63FF6B98}" id="{36768E8C-A75E-49FD-8134-A67AE851F97E}">
    <text>nicht explizit angegeben, aber implizit ableitbar</text>
  </threadedComment>
  <threadedComment ref="AV8" dT="2019-09-17T06:09:18.97" personId="{71FC54F3-5E8D-460B-9FCF-F7AD63FF6B98}" id="{3D5AFC60-A394-4B3E-AAC1-A09B896092DE}">
    <text>Aktivierungskosten I: Personalkosten umgelegt auf Aktivierungen</text>
  </threadedComment>
  <threadedComment ref="AW8" dT="2019-09-17T06:09:38.14" personId="{71FC54F3-5E8D-460B-9FCF-F7AD63FF6B98}" id="{0A570BFA-02B9-4ECB-8F92-F7D854791896}">
    <text>Aktivierungskosten II: VOLL</text>
  </threadedComment>
  <threadedComment ref="D9" dT="2019-09-16T16:35:14.44" personId="{71FC54F3-5E8D-460B-9FCF-F7AD63FF6B98}" id="{FC2F993C-CA62-4147-9590-95D9B07BE144}">
    <text>nicht explizit angegeben, aber implizit ableitbar</text>
  </threadedComment>
  <threadedComment ref="D10" dT="2019-09-16T16:35:14.44" personId="{71FC54F3-5E8D-460B-9FCF-F7AD63FF6B98}" id="{E0016CF1-9A91-49E1-BE01-2C1FD7FB5B6A}">
    <text>nicht explizit angegeben, aber implizit ableitbar</text>
  </threadedComment>
  <threadedComment ref="O10" dT="2019-02-26T13:17:08.34" personId="{51F1A2BF-5699-4337-B875-D53DBF6DE656}" id="{15A83F11-EDF5-4903-BD8F-68E05957AB4C}">
    <text>Lara</text>
  </threadedComment>
  <threadedComment ref="D11" dT="2019-09-16T16:35:14.44" personId="{71FC54F3-5E8D-460B-9FCF-F7AD63FF6B98}" id="{791838BC-5F30-4E94-9AF3-E8F90DF06043}">
    <text>nicht explizit angegeben, aber implizit ableitbar</text>
  </threadedComment>
  <threadedComment ref="D12" dT="2019-09-16T16:35:14.44" personId="{71FC54F3-5E8D-460B-9FCF-F7AD63FF6B98}" id="{B40DEBB1-8615-4C86-92DD-797A31200019}">
    <text>nicht explizit angegeben, aber implizit ableitbar</text>
  </threadedComment>
  <threadedComment ref="D13" dT="2019-09-16T16:35:14.44" personId="{71FC54F3-5E8D-460B-9FCF-F7AD63FF6B98}" id="{CA537709-0A0D-4EE4-ACD0-D67FCF091BC8}">
    <text>nicht explizit angegeben, aber implizit ableitbar</text>
  </threadedComment>
  <threadedComment ref="D14" dT="2019-09-16T16:35:14.44" personId="{71FC54F3-5E8D-460B-9FCF-F7AD63FF6B98}" id="{7B251C24-7CC9-4873-AE68-55B6104A52E0}">
    <text>nicht explizit angegeben, aber implizit ableitbar</text>
  </threadedComment>
  <threadedComment ref="A15" dT="2020-01-09T13:06:43.01" personId="{71FC54F3-5E8D-460B-9FCF-F7AD63FF6B98}" id="{F8DE9911-E9D2-45CD-8938-AE9884848014}">
    <text>Fallbeispiele für Hochrechnung: n = 2</text>
  </threadedComment>
  <threadedComment ref="D15" dT="2019-09-16T16:35:14.44" personId="{71FC54F3-5E8D-460B-9FCF-F7AD63FF6B98}" id="{5976597A-677B-44BF-BDFB-FD92873DE3B1}">
    <text>nicht explizit angegeben, aber implizit ableitbar</text>
  </threadedComment>
  <threadedComment ref="AV15" dT="2019-09-17T06:09:15.70" personId="{71FC54F3-5E8D-460B-9FCF-F7AD63FF6B98}" id="{4AC5E621-505E-479E-AA32-6F1A1A42009C}">
    <text>Aktivierungskosten I: Personalkosten umgelegt auf Aktivierungen</text>
  </threadedComment>
  <threadedComment ref="AW15" dT="2019-09-17T06:09:35.13" personId="{71FC54F3-5E8D-460B-9FCF-F7AD63FF6B98}" id="{1A23B923-CBAC-458C-A07D-8B06BD7F8E81}">
    <text>Aktivierungskosten II: VOLL</text>
  </threadedComment>
  <threadedComment ref="A16" dT="2019-09-14T14:55:12.15" personId="{71FC54F3-5E8D-460B-9FCF-F7AD63FF6B98}" id="{DA5059DB-65DB-4A6E-B76B-91AFF9180B3B}">
    <text>Beleuchtung im Gartenbau; Fallbeispiele für Hochrechnung: n = 2</text>
  </threadedComment>
  <threadedComment ref="D16" dT="2019-09-16T16:35:14.44" personId="{71FC54F3-5E8D-460B-9FCF-F7AD63FF6B98}" id="{06F80E9A-F362-4962-8FA4-F3A2611228F9}">
    <text>nicht explizit angegeben, aber implizit ableitbar</text>
  </threadedComment>
  <threadedComment ref="AM16" dT="2019-09-16T14:30:38.51" personId="{71FC54F3-5E8D-460B-9FCF-F7AD63FF6B98}" id="{AF96A984-A1A3-4DEC-B3E0-A889205CBEDC}">
    <text>mehrere Tage...; Annahme für Fallbeispiel bei 2 Tagen</text>
  </threadedComment>
  <threadedComment ref="AP16" dT="2019-09-16T14:29:05.18" personId="{71FC54F3-5E8D-460B-9FCF-F7AD63FF6B98}" id="{1583A8C4-936D-400B-9362-7012ABE1D904}">
    <text>Erfolgt tatsächlich nachts eine Beleuchtung?! Ist dies nicht schädlich für Pflanzen?</text>
  </threadedComment>
  <threadedComment ref="AQ16" dT="2019-09-16T14:35:30.19" personId="{71FC54F3-5E8D-460B-9FCF-F7AD63FF6B98}" id="{38A6B47D-4738-4615-B4B0-4E4E5E45377F}">
    <text>innerhalb von 2 Tagen einmal schaltbar</text>
  </threadedComment>
  <threadedComment ref="A17" dT="2020-01-09T13:07:14.77" personId="{71FC54F3-5E8D-460B-9FCF-F7AD63FF6B98}" id="{CF070B4E-C835-4898-A896-A2839AE9D649}">
    <text>Fallbeispiele für Hochrechnung: n = 4</text>
  </threadedComment>
  <threadedComment ref="D17" dT="2019-09-16T16:35:14.44" personId="{71FC54F3-5E8D-460B-9FCF-F7AD63FF6B98}" id="{25D6FDD9-C8BB-4509-95E5-15E6B95AA34E}">
    <text>nicht explizit angegeben, aber implizit ableitbar</text>
  </threadedComment>
  <threadedComment ref="AV17" dT="2019-09-16T16:31:44.69" personId="{71FC54F3-5E8D-460B-9FCF-F7AD63FF6B98}" id="{C53ED492-2D6C-4728-BE2D-4CB41A0F6BC9}">
    <text>Aktivierungskosten I: Personalkosten umgelegt auf Aktivierungen</text>
  </threadedComment>
  <threadedComment ref="AW17" dT="2019-09-16T16:31:53.32" personId="{71FC54F3-5E8D-460B-9FCF-F7AD63FF6B98}" id="{3BADFFF8-34F5-4370-AD2F-D0F826B17644}">
    <text>Aktivierungskosten II: VOLL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F1" dT="2019-03-19T12:15:26.05" personId="{51F1A2BF-5699-4337-B875-D53DBF6DE656}" id="{87FAC640-56F2-4033-B588-A566BBE1139A}">
    <text>Wirkungsgrad sinkt mit Länge der Aktivierung.</text>
  </threadedComment>
  <threadedComment ref="U6" dT="2019-02-26T16:44:51.26" personId="{51F1A2BF-5699-4337-B875-D53DBF6DE656}" id="{085364D3-7CFF-4717-BDBF-43D2A01089E4}">
    <text>arithmetisches Mittel über Stromverbrauchsanteile von Membran- und Amalgamverfahren</text>
  </threadedComment>
  <threadedComment ref="W6" dT="2019-02-26T16:44:51.26" personId="{51F1A2BF-5699-4337-B875-D53DBF6DE656}" id="{085364D3-7CFF-4718-BDBF-43D2A01089E4}">
    <text>arithmetisches Mittel über Stromverbrauchsanteile von Membran- und Amalgamverfahren</text>
  </threadedComment>
  <threadedComment ref="A50" dT="2019-02-26T12:47:49.52" personId="{51F1A2BF-5699-4337-B875-D53DBF6DE656}" id="{B30C8BE7-5968-4CCF-8BB9-2A12F4B801C3}">
    <text>Samira: Belüftung und Klimatisierung</text>
  </threadedComment>
  <threadedComment ref="BE50" dT="2019-03-19T12:29:22.53" personId="{51F1A2BF-5699-4337-B875-D53DBF6DE656}" id="{19CD1575-8317-4227-B5F4-DA834BE63447}">
    <text>3 %</text>
  </threadedComment>
  <threadedComment ref="BE90" dT="2019-03-19T12:24:54.03" personId="{51F1A2BF-5699-4337-B875-D53DBF6DE656}" id="{1BFB4C6D-6867-441C-9189-60A9B5366CBE}">
    <text>3 %</text>
  </threadedComment>
  <threadedComment ref="M91" dT="2019-02-26T14:12:28.62" personId="{51F1A2BF-5699-4337-B875-D53DBF6DE656}" id="{B4E0E783-EC0A-4D10-B330-1010A79C5B13}">
    <text>Überprüfen; Werte Celina</text>
  </threadedComment>
  <threadedComment ref="AR98" dT="2019-02-26T15:12:28.72" personId="{51F1A2BF-5699-4337-B875-D53DBF6DE656}" id="{26B66002-3AD0-41BF-866F-17FFE4839BB6}">
    <text>Celina</text>
  </threadedComment>
  <threadedComment ref="AR99" dT="2019-02-26T15:12:28.72" personId="{51F1A2BF-5699-4337-B875-D53DBF6DE656}" id="{26B66002-3AD0-41C0-866F-17FFE4839BB6}">
    <text>Celina</text>
  </threadedComment>
  <threadedComment ref="AR100" dT="2019-02-26T15:12:28.72" personId="{51F1A2BF-5699-4337-B875-D53DBF6DE656}" id="{26B66002-3AD0-41C1-866F-17FFE4839BB6}">
    <text>Celina</text>
  </threadedComment>
  <threadedComment ref="AR101" dT="2019-02-26T15:12:28.72" personId="{51F1A2BF-5699-4337-B875-D53DBF6DE656}" id="{26B66002-3AD0-41C2-866F-17FFE4839BB6}">
    <text>Celina</text>
  </threadedComment>
  <threadedComment ref="AR102" dT="2019-02-26T15:12:28.72" personId="{51F1A2BF-5699-4337-B875-D53DBF6DE656}" id="{26B66002-3AD0-41C3-866F-17FFE4839BB6}">
    <text>Celina</text>
  </threadedComment>
  <threadedComment ref="AR103" dT="2019-02-26T15:12:28.72" personId="{51F1A2BF-5699-4337-B875-D53DBF6DE656}" id="{26B66002-3AD0-41C4-866F-17FFE4839BB6}">
    <text>Celina</text>
  </threadedComment>
  <threadedComment ref="AR104" dT="2019-02-26T15:12:28.72" personId="{51F1A2BF-5699-4337-B875-D53DBF6DE656}" id="{26B66002-3AD0-41C5-866F-17FFE4839BB6}">
    <text>Celina</text>
  </threadedComment>
  <threadedComment ref="AR105" dT="2019-02-26T15:12:28.72" personId="{51F1A2BF-5699-4337-B875-D53DBF6DE656}" id="{26B66002-3AD0-41C6-866F-17FFE4839BB6}">
    <text>Celina</text>
  </threadedComment>
  <threadedComment ref="AR106" dT="2019-02-26T15:12:28.72" personId="{51F1A2BF-5699-4337-B875-D53DBF6DE656}" id="{26B66002-3AD0-41C7-866F-17FFE4839BB6}">
    <text>Celina</text>
  </threadedComment>
  <threadedComment ref="AR107" dT="2019-02-26T15:12:28.72" personId="{51F1A2BF-5699-4337-B875-D53DBF6DE656}" id="{26B66002-3AD0-41C8-866F-17FFE4839BB6}">
    <text>Celina</text>
  </threadedComment>
  <threadedComment ref="AR108" dT="2019-02-26T15:12:28.72" personId="{51F1A2BF-5699-4337-B875-D53DBF6DE656}" id="{26B66002-3AD0-41C9-866F-17FFE4839BB6}">
    <text>Celina</text>
  </threadedComment>
  <threadedComment ref="AR109" dT="2019-02-26T15:12:28.72" personId="{51F1A2BF-5699-4337-B875-D53DBF6DE656}" id="{26B66002-3AD0-41CA-866F-17FFE4839BB6}">
    <text>Celina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W1" dT="2020-01-20T18:14:11.79" personId="{71FC54F3-5E8D-460B-9FCF-F7AD63FF6B98}" id="{885E4A94-FB6A-41DE-B30D-9B9547517552}">
    <text>Werte scheinen unplausibel; ggf. andere Interpretation des flexiblen Anteils / Anteils an den Energiemärkten</text>
  </threadedComment>
  <threadedComment ref="B20" dT="2019-09-21T15:15:49.18" personId="{71FC54F3-5E8D-460B-9FCF-F7AD63FF6B98}" id="{67001094-AC4E-4496-B794-54322D685FA1}">
    <text>und Haushalte!</text>
  </threadedComment>
  <threadedComment ref="B21" dT="2019-09-21T15:15:49.18" personId="{71FC54F3-5E8D-460B-9FCF-F7AD63FF6B98}" id="{A523BF2E-E4AA-407F-9BB4-C51E938A9162}">
    <text>und Haushalte!</text>
  </threadedComment>
  <threadedComment ref="A22" dT="2019-09-21T15:15:28.31" personId="{71FC54F3-5E8D-460B-9FCF-F7AD63FF6B98}" id="{D1269D35-AE27-4571-AEE7-DE054EEEB92E}">
    <text>Gesamtheit aller Industrieprozesse</text>
  </threadedComment>
  <threadedComment ref="A23" dT="2019-09-21T15:15:28.31" personId="{71FC54F3-5E8D-460B-9FCF-F7AD63FF6B98}" id="{E31ADA97-82D8-4606-96A3-FC11B193DD12}">
    <text>Gesamtheit aller Industrieprozesse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253CB2AB-FA7A-47C9-ACB8-E01B36106653}">
    <text>Auf eine gesonderte Darstellung der Potenziale für den Industriesektor wird verzichtet, da diese aus Buber et al. (2013) übernommen wurden und bereits dort aufgeführt werden.</text>
  </threadedComment>
  <threadedComment ref="J1" dT="2020-01-20T18:13:06.50" personId="{71FC54F3-5E8D-460B-9FCF-F7AD63FF6B98}" id="{3E208A53-E842-47B0-B1A6-BEBA4D3AEF51}">
    <text>keine Spezifizierung, daher Annahme, dass durchschnittliche Potenziale ausgewiesen</text>
  </threadedComment>
  <threadedComment ref="N1" dT="2020-01-20T18:13:25.08" personId="{71FC54F3-5E8D-460B-9FCF-F7AD63FF6B98}" id="{2A946C5C-A7E6-462B-87B4-BE6F256A9450}">
    <text>keine Spezifizierung, daher Annahme, dass durchschnittliche Werte ausgewiesen</text>
  </threadedComment>
  <threadedComment ref="AQ1" dT="2019-09-21T16:48:41.86" personId="{71FC54F3-5E8D-460B-9FCF-F7AD63FF6B98}" id="{8EE90534-19EF-4D64-A5D1-75257E336028}">
    <text>exklusive Stromkosten!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Z2" dT="2019-03-23T14:59:42.31" personId="{51F1A2BF-5699-4337-B875-D53DBF6DE656}" id="{CB5E755F-AF9C-4DAA-9177-59F730B36FD1}">
    <text>Schaltdauer innerhalb von 15 Minuten für alle Prozesse möglich</text>
  </threadedComment>
  <threadedComment ref="AT2" dT="2019-03-23T15:56:51.02" personId="{51F1A2BF-5699-4337-B875-D53DBF6DE656}" id="{69437706-E979-4FB6-BB3C-EB2D9ECD0FB7}">
    <text>variable Kosten resultierend aus Wirkungsgradeinbußen</text>
  </threadedComment>
  <threadedComment ref="Z3" dT="2019-03-23T14:59:42.31" personId="{51F1A2BF-5699-4337-B875-D53DBF6DE656}" id="{6409B205-9A19-4EA8-AA61-EEC3CEA4C07F}">
    <text>Schaltdauer innerhalb von 15 Minuten für alle Prozesse möglich</text>
  </threadedComment>
  <threadedComment ref="Z4" dT="2019-03-23T14:59:42.31" personId="{51F1A2BF-5699-4337-B875-D53DBF6DE656}" id="{8FCA4682-7310-41E2-8636-94041655F8C4}">
    <text>Schaltdauer innerhalb von 15 Minuten für alle Prozesse möglich</text>
  </threadedComment>
  <threadedComment ref="Z5" dT="2019-03-23T14:59:42.31" personId="{51F1A2BF-5699-4337-B875-D53DBF6DE656}" id="{05F84056-7F2F-493B-8AA6-0B3215129AC6}">
    <text>Schaltdauer innerhalb von 15 Minuten für alle Prozesse möglich</text>
  </threadedComment>
  <threadedComment ref="Z6" dT="2019-03-23T14:59:42.31" personId="{51F1A2BF-5699-4337-B875-D53DBF6DE656}" id="{B6A389C3-BBD2-45B5-99DD-F7078C62EC11}">
    <text>Schaltdauer innerhalb von 15 Minuten für alle Prozesse möglich</text>
  </threadedComment>
  <threadedComment ref="AU6" dT="2019-03-23T15:56:51.02" personId="{51F1A2BF-5699-4337-B875-D53DBF6DE656}" id="{5F4ED064-43D6-404E-BE2A-73994E7F6479}">
    <text>variable Kosten resultierend aus Wirkungsgradeinbußen; nur für den Abruf negativer Leistung</text>
  </threadedComment>
  <threadedComment ref="Z7" dT="2019-03-23T14:59:42.31" personId="{51F1A2BF-5699-4337-B875-D53DBF6DE656}" id="{0696EF0F-FE16-49F6-AEF7-25BC6EBFC74D}">
    <text>Schaltdauer innerhalb von 15 Minuten für alle Prozesse möglich</text>
  </threadedComment>
  <threadedComment ref="Z8" dT="2019-03-23T14:59:42.31" personId="{51F1A2BF-5699-4337-B875-D53DBF6DE656}" id="{9A0DEA94-BB06-49EB-997C-F207749CC8FE}">
    <text>Schaltdauer innerhalb von 15 Minuten für alle Prozesse möglich</text>
  </threadedComment>
  <threadedComment ref="Z9" dT="2019-03-23T14:59:42.31" personId="{51F1A2BF-5699-4337-B875-D53DBF6DE656}" id="{E1A9EB2E-AE2E-4835-B6B9-C81B71FF638C}">
    <text>Schaltdauer innerhalb von 15 Minuten für alle Prozesse möglich</text>
  </threadedComment>
  <threadedComment ref="Z10" dT="2019-03-23T14:59:42.31" personId="{51F1A2BF-5699-4337-B875-D53DBF6DE656}" id="{14F7FD4E-E6C0-4467-8D55-6EC233EBA815}">
    <text>Schaltdauer innerhalb von 15 Minuten für alle Prozesse möglich</text>
  </threadedComment>
  <threadedComment ref="Z11" dT="2019-03-23T14:59:42.31" personId="{51F1A2BF-5699-4337-B875-D53DBF6DE656}" id="{51A1D957-53C7-405E-8C16-11C79DBBBC27}">
    <text>Schaltdauer innerhalb von 15 Minuten für alle Prozesse möglich</text>
  </threadedComment>
  <threadedComment ref="Z12" dT="2019-03-23T14:59:42.31" personId="{51F1A2BF-5699-4337-B875-D53DBF6DE656}" id="{BA41DB57-77BF-4891-B726-BFAF3E6D9AA8}">
    <text>Schaltdauer innerhalb von 15 Minuten für alle Prozesse möglich</text>
  </threadedComment>
  <threadedComment ref="Z13" dT="2019-03-23T14:59:42.31" personId="{51F1A2BF-5699-4337-B875-D53DBF6DE656}" id="{E0B66563-4F24-40B3-A346-24F1F5E73B97}">
    <text>Schaltdauer innerhalb von 15 Minuten für alle Prozesse möglich</text>
  </threadedComment>
  <threadedComment ref="Z14" dT="2019-03-23T14:59:42.31" personId="{51F1A2BF-5699-4337-B875-D53DBF6DE656}" id="{3B60D020-86E7-4A07-BE56-8F07DA322E62}">
    <text>Schaltdauer innerhalb von 15 Minuten für alle Prozesse möglich</text>
  </threadedComment>
  <threadedComment ref="Z15" dT="2019-03-23T14:59:42.31" personId="{51F1A2BF-5699-4337-B875-D53DBF6DE656}" id="{9A712665-7E30-4086-BCCD-65F5F39FCE8A}">
    <text>Schaltdauer innerhalb von 15 Minuten für alle Prozesse möglich</text>
  </threadedComment>
  <threadedComment ref="Z16" dT="2019-03-23T14:59:42.31" personId="{51F1A2BF-5699-4337-B875-D53DBF6DE656}" id="{166AB3CD-3AA9-4B13-B2CC-709B138CEBB2}">
    <text>Schaltdauer innerhalb von 15 Minuten für alle Prozesse möglich</text>
  </threadedComment>
  <threadedComment ref="Z17" dT="2019-03-23T14:59:42.31" personId="{51F1A2BF-5699-4337-B875-D53DBF6DE656}" id="{8D2688E9-289E-4ABF-82E7-FA296F0FA476}">
    <text>Schaltdauer innerhalb von 15 Minuten für alle Prozesse möglich</text>
  </threadedComment>
  <threadedComment ref="Z18" dT="2019-03-23T14:59:42.31" personId="{51F1A2BF-5699-4337-B875-D53DBF6DE656}" id="{241E3776-3ABF-474E-8D98-46F8ABBED4B3}">
    <text>Schaltdauer innerhalb von 15 Minuten für alle Prozesse möglich</text>
  </threadedComment>
  <threadedComment ref="Z19" dT="2019-03-23T14:59:42.31" personId="{51F1A2BF-5699-4337-B875-D53DBF6DE656}" id="{C1C5A97C-19E1-4113-AAE9-8F97EF60CCC5}">
    <text>Schaltdauer innerhalb von 15 Minuten für alle Prozesse möglich</text>
  </threadedComment>
  <threadedComment ref="Z20" dT="2019-03-23T14:59:42.31" personId="{51F1A2BF-5699-4337-B875-D53DBF6DE656}" id="{04336AA6-67EB-4446-9343-A1FA53A674B0}">
    <text>Schaltdauer innerhalb von 15 Minuten für alle Prozesse möglich</text>
  </threadedComment>
  <threadedComment ref="Z21" dT="2019-03-23T14:59:42.31" personId="{51F1A2BF-5699-4337-B875-D53DBF6DE656}" id="{0207F2BB-C7FA-4CAE-9756-9E252FBDB838}">
    <text>Schaltdauer innerhalb von 15 Minuten für alle Prozesse möglich</text>
  </threadedComment>
  <threadedComment ref="Z22" dT="2019-03-23T14:59:42.31" personId="{51F1A2BF-5699-4337-B875-D53DBF6DE656}" id="{4508892D-E1C5-4124-A383-DC28C461D2F0}">
    <text>Schaltdauer innerhalb von 15 Minuten für alle Prozesse möglich</text>
  </threadedComment>
  <threadedComment ref="Z23" dT="2019-03-23T14:59:42.31" personId="{51F1A2BF-5699-4337-B875-D53DBF6DE656}" id="{4FB65C6F-2931-482F-997A-8B3586AC7E81}">
    <text>Schaltdauer innerhalb von 15 Minuten für alle Prozesse möglich</text>
  </threadedComment>
  <threadedComment ref="Z24" dT="2019-03-23T14:59:42.31" personId="{51F1A2BF-5699-4337-B875-D53DBF6DE656}" id="{FB4BB279-A819-480F-ACC1-89842F953617}">
    <text>Schaltdauer innerhalb von 15 Minuten für alle Prozesse möglich</text>
  </threadedComment>
  <threadedComment ref="Z25" dT="2019-03-23T14:59:42.31" personId="{51F1A2BF-5699-4337-B875-D53DBF6DE656}" id="{1DA0D4E2-AE2A-44FF-B659-4A6D371C2BDC}">
    <text>Schaltdauer innerhalb von 15 Minuten für alle Prozesse möglich</text>
  </threadedComment>
  <threadedComment ref="I26" dT="2019-03-23T17:06:12.31" personId="{51F1A2BF-5699-4337-B875-D53DBF6DE656}" id="{4E1E4F47-CAF7-4A92-B41B-F63126AEE779}">
    <text>Abgelesene Werte; Normalbetrieb</text>
  </threadedComment>
  <threadedComment ref="N26" dT="2019-03-23T17:06:12.31" personId="{51F1A2BF-5699-4337-B875-D53DBF6DE656}" id="{4F399106-F420-449F-A9AD-EDF6649D8E15}">
    <text>Abgelesene Werte; Normalbetrieb</text>
  </threadedComment>
  <threadedComment ref="A27" dT="2019-02-26T12:53:12.91" personId="{51F1A2BF-5699-4337-B875-D53DBF6DE656}" id="{880A00B7-5B16-40F5-B814-A2CC483594B6}">
    <text>Samira: Belüftung und Klimatisierung</text>
  </threadedComment>
  <threadedComment ref="I27" dT="2019-03-23T17:06:12.31" personId="{51F1A2BF-5699-4337-B875-D53DBF6DE656}" id="{FAAC014A-B97F-42D8-AAC8-4559F54259CA}">
    <text>Abgelesene Werte; Normalbetrieb</text>
  </threadedComment>
  <threadedComment ref="N27" dT="2019-03-23T17:06:12.31" personId="{51F1A2BF-5699-4337-B875-D53DBF6DE656}" id="{D28FD05D-2F10-4C5F-81B3-D5DB1B8C292B}">
    <text>Abgelesene Werte; Normalbetrieb</text>
  </threadedComment>
  <threadedComment ref="AA27" dT="2019-03-23T16:22:49.71" personId="{51F1A2BF-5699-4337-B875-D53DBF6DE656}" id="{71C967DF-0DE2-482B-932F-06B0D48AA2CD}">
    <text>wenige Minuten (S. 95)</text>
  </threadedComment>
  <threadedComment ref="I28" dT="2019-03-23T17:06:12.31" personId="{51F1A2BF-5699-4337-B875-D53DBF6DE656}" id="{14440FB0-1DDC-4692-8CB4-5FBBB70A1B0F}">
    <text>Abgelesene Werte; Normalbetrieb</text>
  </threadedComment>
  <threadedComment ref="N28" dT="2019-03-23T17:06:12.31" personId="{51F1A2BF-5699-4337-B875-D53DBF6DE656}" id="{92F0A39B-0AA8-4A6A-90E5-173AFEC9B410}">
    <text>Abgelesene Werte; Normalbetrieb</text>
  </threadedComment>
  <threadedComment ref="A29" dT="2019-03-23T16:25:17.92" personId="{51F1A2BF-5699-4337-B875-D53DBF6DE656}" id="{FAD28DF2-1480-44A6-93F9-E37194264D8B}">
    <text>Druckluft Sonderfall; eigentlich ungeeignet (S. 97)</text>
  </threadedComment>
  <threadedComment ref="I29" dT="2019-03-23T17:06:12.31" personId="{51F1A2BF-5699-4337-B875-D53DBF6DE656}" id="{79354FF0-EA1B-4A5A-8DD3-B6D9145FF845}">
    <text>Abgelesene Werte; Normalbetrieb</text>
  </threadedComment>
  <threadedComment ref="N29" dT="2019-03-23T17:06:12.31" personId="{51F1A2BF-5699-4337-B875-D53DBF6DE656}" id="{B6E7B2D1-C1A8-4842-9563-8F43D021EED6}">
    <text>Abgelesene Werte; Normalbetrieb</text>
  </threadedComment>
  <threadedComment ref="I30" dT="2019-03-23T17:06:12.31" personId="{51F1A2BF-5699-4337-B875-D53DBF6DE656}" id="{4E64D677-A9A3-40AB-B7F9-EF708AE2268E}">
    <text>Abgelesene Werte; Normalbetrieb</text>
  </threadedComment>
  <threadedComment ref="N30" dT="2019-03-23T17:06:12.31" personId="{51F1A2BF-5699-4337-B875-D53DBF6DE656}" id="{FD515933-2B32-4A00-9CC3-15E0CFD54C7A}">
    <text>Abgelesene Werte; Normalbetrieb</text>
  </threadedComment>
  <threadedComment ref="AE30" dT="2019-03-23T16:24:14.04" personId="{51F1A2BF-5699-4337-B875-D53DBF6DE656}" id="{1073DAB8-6914-4A02-AC3B-6DA75D918D49}">
    <text>&gt; 1 Stunde; bei Vorhandensein eines Speichers (S. 96)</text>
  </threadedComment>
  <threadedComment ref="AQ31" dT="2019-03-23T16:44:00.16" personId="{51F1A2BF-5699-4337-B875-D53DBF6DE656}" id="{962CC2FC-B47A-41D1-9F50-AD8561F7129E}">
    <text>bei Leistungen &gt; 500 kW</text>
  </threadedComment>
  <threadedComment ref="AY31" dT="2019-03-23T16:44:35.43" personId="{51F1A2BF-5699-4337-B875-D53DBF6DE656}" id="{4678BD87-FE9F-4620-A2C8-7BF2C0A758DB}">
    <text>Pauschalwert bei Leistungen &lt; 500 kW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Relationship Id="rId4" Type="http://schemas.microsoft.com/office/2017/10/relationships/threadedComment" Target="../threadedComments/threadedComment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2.vml"/><Relationship Id="rId4" Type="http://schemas.microsoft.com/office/2017/10/relationships/threadedComment" Target="../threadedComments/threadedComment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2.xml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15.vml"/><Relationship Id="rId4" Type="http://schemas.microsoft.com/office/2017/10/relationships/threadedComment" Target="../threadedComments/threadedComment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6.vml"/><Relationship Id="rId4" Type="http://schemas.microsoft.com/office/2017/10/relationships/threadedComment" Target="../threadedComments/threadedComment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table" Target="../tables/table18.xml"/><Relationship Id="rId1" Type="http://schemas.openxmlformats.org/officeDocument/2006/relationships/vmlDrawing" Target="../drawings/vmlDrawing17.vml"/><Relationship Id="rId4" Type="http://schemas.microsoft.com/office/2017/10/relationships/threadedComment" Target="../threadedComments/threadedComment1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6.xml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17.xml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20.vml"/><Relationship Id="rId4" Type="http://schemas.microsoft.com/office/2017/10/relationships/threadedComment" Target="../threadedComments/threadedComment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table" Target="../tables/table24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table" Target="../tables/table25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table" Target="../tables/table26.xml"/><Relationship Id="rId1" Type="http://schemas.openxmlformats.org/officeDocument/2006/relationships/vmlDrawing" Target="../drawings/vmlDrawing23.vml"/><Relationship Id="rId4" Type="http://schemas.microsoft.com/office/2017/10/relationships/threadedComment" Target="../threadedComments/threadedComment1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table" Target="../tables/table27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table" Target="../tables/table28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table" Target="../tables/table29.xml"/><Relationship Id="rId1" Type="http://schemas.openxmlformats.org/officeDocument/2006/relationships/vmlDrawing" Target="../drawings/vmlDrawing26.vml"/><Relationship Id="rId4" Type="http://schemas.microsoft.com/office/2017/10/relationships/threadedComment" Target="../threadedComments/threadedComment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8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table" Target="../tables/table32.xml"/><Relationship Id="rId1" Type="http://schemas.openxmlformats.org/officeDocument/2006/relationships/vmlDrawing" Target="../drawings/vmlDrawing29.vml"/><Relationship Id="rId4" Type="http://schemas.microsoft.com/office/2017/10/relationships/threadedComment" Target="../threadedComments/threadedComment2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table" Target="../tables/table33.xml"/><Relationship Id="rId1" Type="http://schemas.openxmlformats.org/officeDocument/2006/relationships/vmlDrawing" Target="../drawings/vmlDrawing30.vml"/><Relationship Id="rId4" Type="http://schemas.microsoft.com/office/2017/10/relationships/threadedComment" Target="../threadedComments/threadedComment2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table" Target="../tables/table34.xml"/><Relationship Id="rId1" Type="http://schemas.openxmlformats.org/officeDocument/2006/relationships/vmlDrawing" Target="../drawings/vmlDrawing31.vml"/><Relationship Id="rId4" Type="http://schemas.microsoft.com/office/2017/10/relationships/threadedComment" Target="../threadedComments/threadedComment2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table" Target="../tables/table35.xml"/><Relationship Id="rId1" Type="http://schemas.openxmlformats.org/officeDocument/2006/relationships/vmlDrawing" Target="../drawings/vmlDrawing32.vml"/><Relationship Id="rId4" Type="http://schemas.microsoft.com/office/2017/10/relationships/threadedComment" Target="../threadedComments/threadedComment2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25.xml"/><Relationship Id="rId4" Type="http://schemas.openxmlformats.org/officeDocument/2006/relationships/comments" Target="../comments33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table" Target="../tables/table37.xml"/><Relationship Id="rId1" Type="http://schemas.openxmlformats.org/officeDocument/2006/relationships/vmlDrawing" Target="../drawings/vmlDrawing34.vml"/><Relationship Id="rId4" Type="http://schemas.microsoft.com/office/2017/10/relationships/threadedComment" Target="../threadedComments/threadedComment26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5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table" Target="../tables/table39.xml"/><Relationship Id="rId1" Type="http://schemas.openxmlformats.org/officeDocument/2006/relationships/vmlDrawing" Target="../drawings/vmlDrawing36.vml"/><Relationship Id="rId4" Type="http://schemas.microsoft.com/office/2017/10/relationships/threadedComment" Target="../threadedComments/threadedComment2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table" Target="../tables/table41.xml"/><Relationship Id="rId1" Type="http://schemas.openxmlformats.org/officeDocument/2006/relationships/vmlDrawing" Target="../drawings/vmlDrawing37.vml"/><Relationship Id="rId4" Type="http://schemas.microsoft.com/office/2017/10/relationships/threadedComment" Target="../threadedComments/threadedComment28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38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table" Target="../tables/table43.xml"/><Relationship Id="rId1" Type="http://schemas.openxmlformats.org/officeDocument/2006/relationships/vmlDrawing" Target="../drawings/vmlDrawing39.v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table" Target="../tables/table44.xml"/><Relationship Id="rId1" Type="http://schemas.openxmlformats.org/officeDocument/2006/relationships/vmlDrawing" Target="../drawings/vmlDrawing40.vml"/><Relationship Id="rId4" Type="http://schemas.microsoft.com/office/2017/10/relationships/threadedComment" Target="../threadedComments/threadedComment2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Relationship Id="rId4" Type="http://schemas.microsoft.com/office/2017/10/relationships/threadedComment" Target="../threadedComments/threadedComment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"/>
  <dimension ref="A1:BP79"/>
  <sheetViews>
    <sheetView tabSelected="1" zoomScale="70" zoomScaleNormal="70" workbookViewId="0">
      <pane xSplit="3" ySplit="1" topLeftCell="AB5" activePane="bottomRight" state="frozen"/>
      <selection pane="topRight" activeCell="D1" sqref="D1"/>
      <selection pane="bottomLeft" activeCell="A2" sqref="A2"/>
      <selection pane="bottomRight" activeCell="AE1" sqref="AE1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11" width="17.7265625" style="1" customWidth="1"/>
    <col min="12" max="12" width="36.81640625" style="1" bestFit="1" customWidth="1"/>
    <col min="13" max="13" width="44" style="1" bestFit="1" customWidth="1"/>
    <col min="14" max="14" width="34" style="1" bestFit="1" customWidth="1"/>
    <col min="15" max="15" width="34" style="1" customWidth="1"/>
    <col min="16" max="16" width="34.26953125" style="1" bestFit="1" customWidth="1"/>
    <col min="17" max="17" width="29.26953125" style="1" bestFit="1" customWidth="1"/>
    <col min="18" max="18" width="29.26953125" style="1" customWidth="1"/>
    <col min="19" max="19" width="55.7265625" style="1" customWidth="1"/>
    <col min="20" max="20" width="24.54296875" style="1" customWidth="1"/>
    <col min="21" max="21" width="33.81640625" style="1" bestFit="1" customWidth="1"/>
    <col min="22" max="22" width="31.7265625" style="1" bestFit="1" customWidth="1"/>
    <col min="23" max="23" width="34" style="1" bestFit="1" customWidth="1"/>
    <col min="24" max="24" width="24.453125" style="1" bestFit="1" customWidth="1"/>
    <col min="25" max="29" width="24.453125" style="1" customWidth="1"/>
    <col min="30" max="30" width="37.7265625" style="1" bestFit="1" customWidth="1"/>
    <col min="31" max="35" width="28.453125" style="1" customWidth="1"/>
    <col min="36" max="36" width="27.453125" style="1" bestFit="1" customWidth="1"/>
    <col min="37" max="40" width="27.453125" style="1" customWidth="1"/>
    <col min="41" max="41" width="20.7265625" style="1" bestFit="1" customWidth="1"/>
    <col min="42" max="43" width="20.7265625" style="1" customWidth="1"/>
    <col min="44" max="44" width="25.81640625" style="1" bestFit="1" customWidth="1"/>
    <col min="45" max="45" width="29.7265625" style="1" bestFit="1" customWidth="1"/>
    <col min="46" max="46" width="24" style="1" bestFit="1" customWidth="1"/>
    <col min="47" max="47" width="38.26953125" style="1" bestFit="1" customWidth="1"/>
    <col min="48" max="49" width="38.26953125" style="1" customWidth="1"/>
    <col min="50" max="50" width="56.7265625" style="1" bestFit="1" customWidth="1"/>
    <col min="51" max="54" width="35.54296875" style="1" customWidth="1"/>
    <col min="55" max="55" width="31.7265625" style="1" bestFit="1" customWidth="1"/>
    <col min="56" max="56" width="31.54296875" style="1" bestFit="1" customWidth="1"/>
    <col min="57" max="60" width="31.54296875" style="1" customWidth="1"/>
    <col min="61" max="61" width="37.453125" style="1" bestFit="1" customWidth="1"/>
    <col min="62" max="62" width="35.7265625" style="1" bestFit="1" customWidth="1"/>
    <col min="63" max="63" width="28.81640625" style="1" bestFit="1" customWidth="1"/>
    <col min="64" max="64" width="34" style="1" bestFit="1" customWidth="1"/>
    <col min="65" max="65" width="37.81640625" style="1" bestFit="1" customWidth="1"/>
    <col min="66" max="66" width="34.453125" style="1" bestFit="1" customWidth="1"/>
    <col min="67" max="67" width="38.1796875" style="1" bestFit="1" customWidth="1"/>
    <col min="68" max="68" width="31" style="1" bestFit="1" customWidth="1"/>
    <col min="69" max="16384" width="11.453125" style="1"/>
  </cols>
  <sheetData>
    <row r="1" spans="1:68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912</v>
      </c>
      <c r="H1" s="2" t="s">
        <v>1079</v>
      </c>
      <c r="I1" s="2" t="s">
        <v>884</v>
      </c>
      <c r="J1" s="2" t="s">
        <v>1080</v>
      </c>
      <c r="K1" s="2" t="s">
        <v>833</v>
      </c>
      <c r="L1" s="2" t="s">
        <v>1088</v>
      </c>
      <c r="M1" s="2" t="s">
        <v>279</v>
      </c>
      <c r="N1" s="2" t="s">
        <v>285</v>
      </c>
      <c r="O1" s="2" t="s">
        <v>286</v>
      </c>
      <c r="P1" s="2" t="s">
        <v>280</v>
      </c>
      <c r="Q1" s="2" t="s">
        <v>541</v>
      </c>
      <c r="R1" s="2" t="s">
        <v>1127</v>
      </c>
      <c r="S1" s="2" t="s">
        <v>281</v>
      </c>
      <c r="T1" s="2" t="s">
        <v>153</v>
      </c>
      <c r="U1" s="2" t="s">
        <v>287</v>
      </c>
      <c r="V1" s="2" t="s">
        <v>288</v>
      </c>
      <c r="W1" s="2" t="s">
        <v>282</v>
      </c>
      <c r="X1" s="2" t="s">
        <v>154</v>
      </c>
      <c r="Y1" s="2" t="s">
        <v>53</v>
      </c>
      <c r="Z1" s="2" t="s">
        <v>52</v>
      </c>
      <c r="AA1" s="2" t="s">
        <v>854</v>
      </c>
      <c r="AB1" s="2" t="s">
        <v>232</v>
      </c>
      <c r="AC1" s="2" t="s">
        <v>1115</v>
      </c>
      <c r="AD1" s="2" t="s">
        <v>113</v>
      </c>
      <c r="AE1" s="2" t="s">
        <v>55</v>
      </c>
      <c r="AF1" s="2" t="s">
        <v>593</v>
      </c>
      <c r="AG1" s="2" t="s">
        <v>594</v>
      </c>
      <c r="AH1" s="2" t="s">
        <v>984</v>
      </c>
      <c r="AI1" s="2" t="s">
        <v>417</v>
      </c>
      <c r="AJ1" s="2" t="s">
        <v>9</v>
      </c>
      <c r="AK1" s="2" t="s">
        <v>1128</v>
      </c>
      <c r="AL1" s="2" t="s">
        <v>1129</v>
      </c>
      <c r="AM1" s="2" t="s">
        <v>426</v>
      </c>
      <c r="AN1" s="2" t="s">
        <v>222</v>
      </c>
      <c r="AO1" s="2" t="s">
        <v>156</v>
      </c>
      <c r="AP1" s="2" t="s">
        <v>225</v>
      </c>
      <c r="AQ1" s="2" t="s">
        <v>157</v>
      </c>
      <c r="AR1" s="2" t="s">
        <v>3</v>
      </c>
      <c r="AS1" s="2" t="s">
        <v>10</v>
      </c>
      <c r="AT1" s="2" t="s">
        <v>14</v>
      </c>
      <c r="AU1" s="2" t="s">
        <v>4</v>
      </c>
      <c r="AV1" s="2" t="s">
        <v>1086</v>
      </c>
      <c r="AW1" s="2" t="s">
        <v>1087</v>
      </c>
      <c r="AX1" s="2" t="s">
        <v>20</v>
      </c>
      <c r="AY1" s="2" t="s">
        <v>161</v>
      </c>
      <c r="AZ1" s="2" t="s">
        <v>162</v>
      </c>
      <c r="BA1" s="2" t="s">
        <v>885</v>
      </c>
      <c r="BB1" s="2" t="s">
        <v>867</v>
      </c>
      <c r="BC1" s="2" t="s">
        <v>1</v>
      </c>
      <c r="BD1" s="2" t="s">
        <v>2</v>
      </c>
      <c r="BE1" s="2" t="s">
        <v>56</v>
      </c>
      <c r="BF1" s="2" t="s">
        <v>886</v>
      </c>
      <c r="BG1" s="2" t="s">
        <v>233</v>
      </c>
      <c r="BH1" s="2" t="s">
        <v>114</v>
      </c>
      <c r="BI1" s="2" t="s">
        <v>58</v>
      </c>
      <c r="BJ1" s="2" t="s">
        <v>95</v>
      </c>
      <c r="BK1" s="2" t="s">
        <v>5</v>
      </c>
      <c r="BL1" s="2" t="s">
        <v>6</v>
      </c>
      <c r="BM1" s="2" t="s">
        <v>15</v>
      </c>
      <c r="BN1" s="2" t="s">
        <v>16</v>
      </c>
      <c r="BO1" s="2" t="s">
        <v>7</v>
      </c>
      <c r="BP1" s="2" t="s">
        <v>21</v>
      </c>
    </row>
    <row r="2" spans="1:68" x14ac:dyDescent="0.25">
      <c r="A2" s="6" t="s">
        <v>51</v>
      </c>
      <c r="B2" s="1" t="s">
        <v>126</v>
      </c>
      <c r="C2" s="1">
        <v>2010</v>
      </c>
      <c r="D2" s="1">
        <v>1</v>
      </c>
      <c r="E2" s="1">
        <v>1</v>
      </c>
      <c r="F2" s="1">
        <v>0</v>
      </c>
      <c r="G2" s="1">
        <v>402.4</v>
      </c>
      <c r="H2" s="11">
        <v>13000</v>
      </c>
      <c r="I2" s="11"/>
      <c r="J2" s="11">
        <v>15000</v>
      </c>
      <c r="K2" s="1">
        <v>5.6</v>
      </c>
      <c r="L2" s="19">
        <v>489</v>
      </c>
      <c r="M2" s="19">
        <v>148</v>
      </c>
      <c r="N2" s="19"/>
      <c r="O2" s="19"/>
      <c r="P2" s="19">
        <v>534</v>
      </c>
      <c r="Q2" s="19">
        <v>637</v>
      </c>
      <c r="R2" s="19">
        <v>1000</v>
      </c>
      <c r="S2" s="19"/>
      <c r="T2" s="19">
        <v>30</v>
      </c>
      <c r="U2" s="19"/>
      <c r="V2" s="19"/>
      <c r="W2" s="19">
        <v>35</v>
      </c>
      <c r="X2" s="19">
        <v>50</v>
      </c>
      <c r="Y2" s="19"/>
      <c r="Z2" s="9"/>
      <c r="AA2" s="42">
        <f>Tabelle589711[[#This Row],[Durchschnittsauslastung]]*8760</f>
        <v>7000</v>
      </c>
      <c r="AB2" s="9">
        <f>7000/8760</f>
        <v>0.79908675799086759</v>
      </c>
      <c r="AC2" s="9"/>
      <c r="AD2" s="20" t="str">
        <f>IF(Tabelle589711[[#This Row],[installierte Leistung MW]]&lt;&gt;"",Tabelle589711[[#This Row],[Durchschnittsauslastung]]*Tabelle589711[[#This Row],[installierte Leistung MW]],"")</f>
        <v/>
      </c>
      <c r="AE2" s="19"/>
      <c r="AF2" s="19"/>
      <c r="AG2" s="19"/>
      <c r="AH2" s="29">
        <f t="shared" ref="AH2:AH7" si="0">0.01/60</f>
        <v>1.6666666666666666E-4</v>
      </c>
      <c r="AI2" s="27">
        <v>0.25</v>
      </c>
      <c r="AJ2" s="27">
        <v>0.25</v>
      </c>
      <c r="AK2" s="1">
        <v>1</v>
      </c>
      <c r="AL2" s="1">
        <v>4</v>
      </c>
      <c r="AS2" s="1">
        <v>0.5</v>
      </c>
      <c r="AT2" s="1" t="s">
        <v>300</v>
      </c>
      <c r="AU2" s="1">
        <v>7</v>
      </c>
      <c r="AV2" s="1">
        <v>365</v>
      </c>
      <c r="AW2" s="1">
        <f>ROUND(Tabelle589711[[#This Row],[max. Abrufhäufigkeit pro Jahr Lastverschiebung]]/3,0)</f>
        <v>122</v>
      </c>
      <c r="AX2" s="1" t="s">
        <v>278</v>
      </c>
      <c r="AY2" s="13" t="s">
        <v>299</v>
      </c>
      <c r="AZ2" s="13" t="s">
        <v>299</v>
      </c>
      <c r="BA2" s="13">
        <v>34</v>
      </c>
      <c r="BB2" s="13" t="s">
        <v>1081</v>
      </c>
      <c r="BC2" s="13" t="s">
        <v>1085</v>
      </c>
      <c r="BD2" s="13" t="s">
        <v>1085</v>
      </c>
      <c r="BE2" s="13"/>
      <c r="BF2" s="13"/>
      <c r="BG2" s="13">
        <v>37</v>
      </c>
      <c r="BH2" s="13"/>
      <c r="BI2" s="13"/>
      <c r="BJ2" s="13">
        <v>111</v>
      </c>
      <c r="BK2" s="1">
        <v>112</v>
      </c>
      <c r="BM2" s="1">
        <v>37</v>
      </c>
      <c r="BN2" s="1">
        <v>37</v>
      </c>
      <c r="BO2" s="1">
        <v>37</v>
      </c>
    </row>
    <row r="3" spans="1:68" x14ac:dyDescent="0.25">
      <c r="A3" s="1" t="s">
        <v>51</v>
      </c>
      <c r="B3" s="1" t="s">
        <v>126</v>
      </c>
      <c r="C3" s="1">
        <v>2020</v>
      </c>
      <c r="D3" s="1">
        <v>1</v>
      </c>
      <c r="E3" s="1">
        <v>1</v>
      </c>
      <c r="F3" s="1">
        <v>0</v>
      </c>
      <c r="G3" s="1">
        <v>402.4</v>
      </c>
      <c r="H3" s="11">
        <v>13000</v>
      </c>
      <c r="I3" s="11"/>
      <c r="J3" s="11">
        <v>15000</v>
      </c>
      <c r="K3" s="1">
        <v>5.6</v>
      </c>
      <c r="L3" s="19">
        <v>489</v>
      </c>
      <c r="M3" s="19">
        <v>148</v>
      </c>
      <c r="N3" s="19"/>
      <c r="O3" s="19"/>
      <c r="P3" s="19">
        <v>534</v>
      </c>
      <c r="Q3" s="19">
        <v>637</v>
      </c>
      <c r="R3" s="19">
        <v>1000</v>
      </c>
      <c r="S3" s="19"/>
      <c r="T3" s="19">
        <v>30</v>
      </c>
      <c r="U3" s="19"/>
      <c r="V3" s="19"/>
      <c r="W3" s="19">
        <v>35</v>
      </c>
      <c r="X3" s="19">
        <v>50</v>
      </c>
      <c r="Y3" s="19"/>
      <c r="Z3" s="9"/>
      <c r="AA3" s="42">
        <f>Tabelle589711[[#This Row],[Durchschnittsauslastung]]*8760</f>
        <v>7000</v>
      </c>
      <c r="AB3" s="9">
        <f>7000/8760</f>
        <v>0.79908675799086759</v>
      </c>
      <c r="AC3" s="9"/>
      <c r="AD3" s="20" t="str">
        <f>IF(Tabelle589711[[#This Row],[installierte Leistung MW]]&lt;&gt;"",Tabelle589711[[#This Row],[Durchschnittsauslastung]]*Tabelle589711[[#This Row],[installierte Leistung MW]],"")</f>
        <v/>
      </c>
      <c r="AE3" s="19"/>
      <c r="AF3" s="19"/>
      <c r="AG3" s="19"/>
      <c r="AH3" s="29">
        <f t="shared" si="0"/>
        <v>1.6666666666666666E-4</v>
      </c>
      <c r="AI3" s="27">
        <v>0.25</v>
      </c>
      <c r="AJ3" s="28">
        <v>0.25</v>
      </c>
      <c r="AK3" s="1">
        <v>1</v>
      </c>
      <c r="AL3" s="1">
        <v>4</v>
      </c>
      <c r="AS3" s="1">
        <v>0.5</v>
      </c>
      <c r="AT3" s="1" t="s">
        <v>300</v>
      </c>
      <c r="AU3" s="1">
        <v>7</v>
      </c>
      <c r="AV3" s="1">
        <v>365</v>
      </c>
      <c r="AW3" s="1">
        <f>ROUND(Tabelle589711[[#This Row],[max. Abrufhäufigkeit pro Jahr Lastverschiebung]]/3,0)</f>
        <v>122</v>
      </c>
      <c r="AX3" s="1" t="s">
        <v>278</v>
      </c>
      <c r="AY3" s="13" t="s">
        <v>299</v>
      </c>
      <c r="AZ3" s="13" t="s">
        <v>299</v>
      </c>
      <c r="BA3" s="13">
        <v>35</v>
      </c>
      <c r="BB3" s="13" t="s">
        <v>1081</v>
      </c>
      <c r="BC3" s="13" t="s">
        <v>1085</v>
      </c>
      <c r="BD3" s="13" t="s">
        <v>1085</v>
      </c>
      <c r="BE3" s="13"/>
      <c r="BF3" s="13"/>
      <c r="BG3" s="13">
        <v>37</v>
      </c>
      <c r="BH3" s="13"/>
      <c r="BI3" s="13"/>
      <c r="BJ3" s="13">
        <v>111</v>
      </c>
      <c r="BK3" s="1">
        <v>112</v>
      </c>
      <c r="BM3" s="1">
        <v>37</v>
      </c>
      <c r="BN3" s="1">
        <v>37</v>
      </c>
      <c r="BO3" s="1">
        <v>37</v>
      </c>
    </row>
    <row r="4" spans="1:68" x14ac:dyDescent="0.25">
      <c r="A4" s="6" t="s">
        <v>51</v>
      </c>
      <c r="B4" s="1" t="s">
        <v>126</v>
      </c>
      <c r="C4" s="1">
        <v>2030</v>
      </c>
      <c r="D4" s="1">
        <v>1</v>
      </c>
      <c r="E4" s="1">
        <v>1</v>
      </c>
      <c r="F4" s="1">
        <v>0</v>
      </c>
      <c r="G4" s="1">
        <v>402.4</v>
      </c>
      <c r="H4" s="11">
        <v>13000</v>
      </c>
      <c r="I4" s="11"/>
      <c r="J4" s="11">
        <v>15000</v>
      </c>
      <c r="K4" s="1">
        <v>5.6</v>
      </c>
      <c r="L4" s="19">
        <v>489</v>
      </c>
      <c r="M4" s="19">
        <v>148</v>
      </c>
      <c r="N4" s="19"/>
      <c r="O4" s="19"/>
      <c r="P4" s="19">
        <v>534</v>
      </c>
      <c r="Q4" s="19">
        <v>637</v>
      </c>
      <c r="R4" s="19">
        <v>1000</v>
      </c>
      <c r="S4" s="19"/>
      <c r="T4" s="19">
        <v>30</v>
      </c>
      <c r="U4" s="19"/>
      <c r="V4" s="19"/>
      <c r="W4" s="19">
        <v>35</v>
      </c>
      <c r="X4" s="19">
        <v>50</v>
      </c>
      <c r="Y4" s="19"/>
      <c r="Z4" s="9"/>
      <c r="AA4" s="42">
        <f>Tabelle589711[[#This Row],[Durchschnittsauslastung]]*8760</f>
        <v>7000</v>
      </c>
      <c r="AB4" s="9">
        <f>7000/8760</f>
        <v>0.79908675799086759</v>
      </c>
      <c r="AC4" s="9"/>
      <c r="AD4" s="87"/>
      <c r="AE4" s="19"/>
      <c r="AF4" s="19"/>
      <c r="AG4" s="19"/>
      <c r="AH4" s="29">
        <f t="shared" si="0"/>
        <v>1.6666666666666666E-4</v>
      </c>
      <c r="AI4" s="27">
        <v>0.25</v>
      </c>
      <c r="AJ4" s="27">
        <v>0.25</v>
      </c>
      <c r="AK4" s="1">
        <v>1</v>
      </c>
      <c r="AL4" s="1">
        <v>4</v>
      </c>
      <c r="AS4" s="1">
        <v>0.5</v>
      </c>
      <c r="AT4" s="1" t="s">
        <v>300</v>
      </c>
      <c r="AU4" s="1">
        <v>7</v>
      </c>
      <c r="AV4" s="1">
        <v>365</v>
      </c>
      <c r="AW4" s="1">
        <f>ROUND(Tabelle589711[[#This Row],[max. Abrufhäufigkeit pro Jahr Lastverschiebung]]/3,0)</f>
        <v>122</v>
      </c>
      <c r="AX4" s="1" t="s">
        <v>278</v>
      </c>
      <c r="AY4" s="13" t="s">
        <v>299</v>
      </c>
      <c r="AZ4" s="13" t="s">
        <v>299</v>
      </c>
      <c r="BA4" s="13">
        <v>36</v>
      </c>
      <c r="BB4" s="13" t="s">
        <v>1081</v>
      </c>
      <c r="BC4" s="13" t="s">
        <v>1085</v>
      </c>
      <c r="BD4" s="13" t="s">
        <v>1085</v>
      </c>
      <c r="BE4" s="13"/>
      <c r="BF4" s="13"/>
      <c r="BG4" s="13">
        <v>37</v>
      </c>
      <c r="BH4" s="13"/>
      <c r="BI4" s="13"/>
      <c r="BJ4" s="13">
        <v>111</v>
      </c>
      <c r="BK4" s="1">
        <v>112</v>
      </c>
      <c r="BM4" s="1">
        <v>37</v>
      </c>
      <c r="BN4" s="1">
        <v>37</v>
      </c>
      <c r="BO4" s="1">
        <v>37</v>
      </c>
    </row>
    <row r="5" spans="1:68" x14ac:dyDescent="0.25">
      <c r="A5" s="1" t="s">
        <v>27</v>
      </c>
      <c r="B5" s="1" t="s">
        <v>126</v>
      </c>
      <c r="C5" s="1">
        <v>2010</v>
      </c>
      <c r="D5" s="1">
        <v>1</v>
      </c>
      <c r="E5" s="1">
        <v>1</v>
      </c>
      <c r="F5" s="1">
        <v>0</v>
      </c>
      <c r="G5" s="1">
        <f>2467+254</f>
        <v>2721</v>
      </c>
      <c r="H5" s="11"/>
      <c r="I5" s="11">
        <f>Tabelle589711[[#This Row],[Stromverbrauch in TWh]]*10^6/Tabelle589711[[#This Row],[jährliche Produktion kt]]</f>
        <v>2535.832414553473</v>
      </c>
      <c r="J5" s="11"/>
      <c r="K5" s="1">
        <v>6.9</v>
      </c>
      <c r="L5" s="19">
        <v>303</v>
      </c>
      <c r="M5" s="19">
        <v>484</v>
      </c>
      <c r="N5" s="19"/>
      <c r="O5" s="19"/>
      <c r="P5" s="19">
        <v>635</v>
      </c>
      <c r="Q5" s="19">
        <v>787</v>
      </c>
      <c r="R5" s="19"/>
      <c r="S5" s="19"/>
      <c r="T5" s="19"/>
      <c r="U5" s="19"/>
      <c r="V5" s="19"/>
      <c r="W5" s="19"/>
      <c r="X5" s="19"/>
      <c r="Y5" s="19">
        <v>303</v>
      </c>
      <c r="Z5" s="9">
        <v>0.34</v>
      </c>
      <c r="AA5" s="42">
        <v>7771</v>
      </c>
      <c r="AB5" s="9">
        <v>0.877</v>
      </c>
      <c r="AC5" s="9"/>
      <c r="AD5" s="20">
        <v>787</v>
      </c>
      <c r="AE5" s="19">
        <v>888</v>
      </c>
      <c r="AF5" s="19"/>
      <c r="AG5" s="19"/>
      <c r="AH5" s="29">
        <f t="shared" si="0"/>
        <v>1.6666666666666666E-4</v>
      </c>
      <c r="AI5" s="27">
        <v>0.25</v>
      </c>
      <c r="AJ5" s="28">
        <f>10/60</f>
        <v>0.16666666666666666</v>
      </c>
      <c r="AK5" s="28"/>
      <c r="AL5" s="28"/>
      <c r="AS5" s="1">
        <v>3</v>
      </c>
      <c r="AX5" s="1" t="s">
        <v>278</v>
      </c>
      <c r="AY5" s="13" t="s">
        <v>301</v>
      </c>
      <c r="AZ5" s="13" t="s">
        <v>301</v>
      </c>
      <c r="BA5" s="13" t="s">
        <v>1082</v>
      </c>
      <c r="BB5" s="13" t="s">
        <v>1083</v>
      </c>
      <c r="BC5" s="13" t="s">
        <v>301</v>
      </c>
      <c r="BD5" s="13" t="s">
        <v>301</v>
      </c>
      <c r="BE5" s="13">
        <v>41</v>
      </c>
      <c r="BF5" s="13">
        <v>41</v>
      </c>
      <c r="BG5" s="13">
        <v>39</v>
      </c>
      <c r="BH5" s="13"/>
      <c r="BI5" s="13">
        <v>41</v>
      </c>
      <c r="BJ5" s="13" t="s">
        <v>302</v>
      </c>
      <c r="BM5" s="1">
        <v>42</v>
      </c>
    </row>
    <row r="6" spans="1:68" x14ac:dyDescent="0.25">
      <c r="A6" s="1" t="s">
        <v>27</v>
      </c>
      <c r="B6" s="1" t="s">
        <v>126</v>
      </c>
      <c r="C6" s="1">
        <v>2020</v>
      </c>
      <c r="D6" s="1">
        <v>1</v>
      </c>
      <c r="E6" s="1">
        <v>1</v>
      </c>
      <c r="F6" s="1">
        <v>0</v>
      </c>
      <c r="G6" s="1">
        <f t="shared" ref="G6:G7" si="1">2467+254</f>
        <v>2721</v>
      </c>
      <c r="H6" s="11"/>
      <c r="I6" s="11">
        <f>Tabelle589711[[#This Row],[Stromverbrauch in TWh]]*10^6/Tabelle589711[[#This Row],[jährliche Produktion kt]]</f>
        <v>2535.832414553473</v>
      </c>
      <c r="J6" s="11"/>
      <c r="K6" s="1">
        <v>6.9</v>
      </c>
      <c r="L6" s="19">
        <v>303</v>
      </c>
      <c r="M6" s="19">
        <v>484</v>
      </c>
      <c r="N6" s="19"/>
      <c r="O6" s="19"/>
      <c r="P6" s="19">
        <v>635</v>
      </c>
      <c r="Q6" s="19">
        <v>787</v>
      </c>
      <c r="R6" s="19"/>
      <c r="S6" s="19"/>
      <c r="T6" s="19"/>
      <c r="U6" s="19"/>
      <c r="V6" s="19"/>
      <c r="W6" s="19"/>
      <c r="X6" s="19"/>
      <c r="Y6" s="19">
        <v>303</v>
      </c>
      <c r="Z6" s="9">
        <v>0.34</v>
      </c>
      <c r="AA6" s="42">
        <v>7771</v>
      </c>
      <c r="AB6" s="9">
        <v>0.877</v>
      </c>
      <c r="AC6" s="9"/>
      <c r="AD6" s="20">
        <v>787</v>
      </c>
      <c r="AE6" s="19">
        <v>888</v>
      </c>
      <c r="AF6" s="19"/>
      <c r="AG6" s="19"/>
      <c r="AH6" s="29">
        <f t="shared" si="0"/>
        <v>1.6666666666666666E-4</v>
      </c>
      <c r="AI6" s="27">
        <v>0.25</v>
      </c>
      <c r="AJ6" s="28">
        <f>10/60</f>
        <v>0.16666666666666666</v>
      </c>
      <c r="AK6" s="28"/>
      <c r="AL6" s="28"/>
      <c r="AS6" s="1">
        <v>3</v>
      </c>
      <c r="AX6" s="1" t="s">
        <v>278</v>
      </c>
      <c r="AY6" s="13" t="s">
        <v>301</v>
      </c>
      <c r="AZ6" s="13" t="s">
        <v>301</v>
      </c>
      <c r="BA6" s="13" t="s">
        <v>1091</v>
      </c>
      <c r="BB6" s="13" t="s">
        <v>1083</v>
      </c>
      <c r="BC6" s="13" t="s">
        <v>301</v>
      </c>
      <c r="BD6" s="13" t="s">
        <v>301</v>
      </c>
      <c r="BE6" s="13">
        <v>41</v>
      </c>
      <c r="BF6" s="13">
        <v>41</v>
      </c>
      <c r="BG6" s="13">
        <v>39</v>
      </c>
      <c r="BH6" s="13"/>
      <c r="BI6" s="13">
        <v>41</v>
      </c>
      <c r="BJ6" s="13" t="s">
        <v>302</v>
      </c>
      <c r="BM6" s="1">
        <v>42</v>
      </c>
    </row>
    <row r="7" spans="1:68" x14ac:dyDescent="0.25">
      <c r="A7" s="1" t="s">
        <v>27</v>
      </c>
      <c r="B7" s="1" t="s">
        <v>126</v>
      </c>
      <c r="C7" s="1">
        <v>2030</v>
      </c>
      <c r="D7" s="1">
        <v>1</v>
      </c>
      <c r="E7" s="1">
        <v>1</v>
      </c>
      <c r="F7" s="1">
        <v>0</v>
      </c>
      <c r="G7" s="1">
        <f t="shared" si="1"/>
        <v>2721</v>
      </c>
      <c r="H7" s="11"/>
      <c r="I7" s="11">
        <f>Tabelle589711[[#This Row],[Stromverbrauch in TWh]]*10^6/Tabelle589711[[#This Row],[jährliche Produktion kt]]</f>
        <v>2535.832414553473</v>
      </c>
      <c r="J7" s="11"/>
      <c r="K7" s="1">
        <v>6.9</v>
      </c>
      <c r="L7" s="19">
        <v>303</v>
      </c>
      <c r="M7" s="19">
        <v>484</v>
      </c>
      <c r="N7" s="19"/>
      <c r="O7" s="19"/>
      <c r="P7" s="19">
        <v>635</v>
      </c>
      <c r="Q7" s="19">
        <v>787</v>
      </c>
      <c r="R7" s="19"/>
      <c r="S7" s="19"/>
      <c r="T7" s="19"/>
      <c r="U7" s="19"/>
      <c r="V7" s="19"/>
      <c r="W7" s="19"/>
      <c r="X7" s="19"/>
      <c r="Y7" s="19">
        <v>303</v>
      </c>
      <c r="Z7" s="9">
        <v>0.34</v>
      </c>
      <c r="AA7" s="42">
        <v>7771</v>
      </c>
      <c r="AB7" s="9">
        <v>0.877</v>
      </c>
      <c r="AC7" s="9"/>
      <c r="AD7" s="20">
        <v>787</v>
      </c>
      <c r="AE7" s="19">
        <v>888</v>
      </c>
      <c r="AF7" s="19"/>
      <c r="AG7" s="19"/>
      <c r="AH7" s="29">
        <f t="shared" si="0"/>
        <v>1.6666666666666666E-4</v>
      </c>
      <c r="AI7" s="27">
        <v>0.25</v>
      </c>
      <c r="AJ7" s="28">
        <f>10/60</f>
        <v>0.16666666666666666</v>
      </c>
      <c r="AK7" s="28"/>
      <c r="AL7" s="28"/>
      <c r="AS7" s="1">
        <v>3</v>
      </c>
      <c r="AX7" s="1" t="s">
        <v>278</v>
      </c>
      <c r="AY7" s="13" t="s">
        <v>301</v>
      </c>
      <c r="AZ7" s="13" t="s">
        <v>301</v>
      </c>
      <c r="BA7" s="13" t="s">
        <v>1092</v>
      </c>
      <c r="BB7" s="13" t="s">
        <v>1083</v>
      </c>
      <c r="BC7" s="13" t="s">
        <v>301</v>
      </c>
      <c r="BD7" s="13" t="s">
        <v>301</v>
      </c>
      <c r="BE7" s="13">
        <v>41</v>
      </c>
      <c r="BF7" s="13">
        <v>41</v>
      </c>
      <c r="BG7" s="13">
        <v>39</v>
      </c>
      <c r="BH7" s="13"/>
      <c r="BI7" s="13">
        <v>41</v>
      </c>
      <c r="BJ7" s="13" t="s">
        <v>302</v>
      </c>
      <c r="BM7" s="1">
        <v>42</v>
      </c>
    </row>
    <row r="8" spans="1:68" x14ac:dyDescent="0.25">
      <c r="A8" s="1" t="s">
        <v>74</v>
      </c>
      <c r="B8" s="1" t="s">
        <v>126</v>
      </c>
      <c r="C8" s="1">
        <v>2010</v>
      </c>
      <c r="D8" s="1">
        <v>1</v>
      </c>
      <c r="E8" s="1">
        <v>1</v>
      </c>
      <c r="F8" s="1">
        <v>0</v>
      </c>
      <c r="G8" s="1">
        <v>881</v>
      </c>
      <c r="H8" s="11"/>
      <c r="I8" s="11"/>
      <c r="J8" s="11"/>
      <c r="L8" s="19"/>
      <c r="M8" s="19">
        <v>208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AA8" s="42">
        <f>Tabelle589711[[#This Row],[Durchschnittsauslastung]]*8760</f>
        <v>6798.8059701492539</v>
      </c>
      <c r="AB8" s="9">
        <f>Tabelle589711[[#This Row],[Durchschnittliche Leistung MW]]/Tabelle589711[[#This Row],[installierte Leistung MW]]</f>
        <v>0.77611940298507465</v>
      </c>
      <c r="AC8" s="9">
        <v>0.9</v>
      </c>
      <c r="AD8" s="20">
        <v>208</v>
      </c>
      <c r="AE8" s="19">
        <v>268</v>
      </c>
      <c r="AF8" s="19"/>
      <c r="AG8" s="19"/>
      <c r="AH8" s="19"/>
      <c r="AI8" s="19"/>
      <c r="AJ8" s="19">
        <f>5/60</f>
        <v>8.3333333333333329E-2</v>
      </c>
      <c r="AK8" s="19"/>
      <c r="AL8" s="19"/>
      <c r="AX8" s="1" t="s">
        <v>1089</v>
      </c>
      <c r="AY8" s="13" t="s">
        <v>303</v>
      </c>
      <c r="AZ8" s="13" t="s">
        <v>303</v>
      </c>
      <c r="BA8" s="13">
        <v>46</v>
      </c>
      <c r="BB8" s="13">
        <v>46</v>
      </c>
      <c r="BC8" s="13" t="s">
        <v>303</v>
      </c>
      <c r="BE8" s="13"/>
      <c r="BF8" s="13"/>
      <c r="BG8" s="13">
        <v>46</v>
      </c>
      <c r="BH8" s="13">
        <v>46</v>
      </c>
      <c r="BI8" s="13">
        <v>46</v>
      </c>
      <c r="BJ8" s="13" t="s">
        <v>305</v>
      </c>
      <c r="BP8" s="1">
        <v>44</v>
      </c>
    </row>
    <row r="9" spans="1:68" x14ac:dyDescent="0.25">
      <c r="A9" s="1" t="s">
        <v>74</v>
      </c>
      <c r="B9" s="1" t="s">
        <v>126</v>
      </c>
      <c r="C9" s="1">
        <v>2020</v>
      </c>
      <c r="D9" s="1">
        <v>1</v>
      </c>
      <c r="E9" s="1">
        <v>1</v>
      </c>
      <c r="F9" s="1">
        <v>0</v>
      </c>
      <c r="G9" s="1">
        <v>881</v>
      </c>
      <c r="H9" s="11"/>
      <c r="I9" s="11"/>
      <c r="J9" s="11"/>
      <c r="L9" s="19"/>
      <c r="M9" s="19">
        <v>208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AA9" s="42">
        <f>Tabelle589711[[#This Row],[Durchschnittsauslastung]]*8760</f>
        <v>6798.8059701492539</v>
      </c>
      <c r="AB9" s="9">
        <f>Tabelle589711[[#This Row],[Durchschnittliche Leistung MW]]/Tabelle589711[[#This Row],[installierte Leistung MW]]</f>
        <v>0.77611940298507465</v>
      </c>
      <c r="AC9" s="9">
        <v>0.9</v>
      </c>
      <c r="AD9" s="20">
        <v>208</v>
      </c>
      <c r="AE9" s="19">
        <v>268</v>
      </c>
      <c r="AF9" s="19"/>
      <c r="AG9" s="19"/>
      <c r="AH9" s="19"/>
      <c r="AI9" s="19"/>
      <c r="AJ9" s="19">
        <f>5/60</f>
        <v>8.3333333333333329E-2</v>
      </c>
      <c r="AK9" s="19"/>
      <c r="AL9" s="19"/>
      <c r="AX9" s="1" t="s">
        <v>1089</v>
      </c>
      <c r="AY9" s="13" t="s">
        <v>303</v>
      </c>
      <c r="AZ9" s="13" t="s">
        <v>303</v>
      </c>
      <c r="BA9" s="13">
        <v>46</v>
      </c>
      <c r="BB9" s="13">
        <v>46</v>
      </c>
      <c r="BC9" s="13" t="s">
        <v>303</v>
      </c>
      <c r="BE9" s="13"/>
      <c r="BF9" s="13"/>
      <c r="BG9" s="13">
        <v>46</v>
      </c>
      <c r="BH9" s="13">
        <v>46</v>
      </c>
      <c r="BI9" s="13">
        <v>46</v>
      </c>
      <c r="BJ9" s="13" t="s">
        <v>305</v>
      </c>
      <c r="BP9" s="1">
        <v>44</v>
      </c>
    </row>
    <row r="10" spans="1:68" x14ac:dyDescent="0.25">
      <c r="A10" s="1" t="s">
        <v>74</v>
      </c>
      <c r="B10" s="1" t="s">
        <v>126</v>
      </c>
      <c r="C10" s="1">
        <v>2030</v>
      </c>
      <c r="D10" s="1">
        <v>1</v>
      </c>
      <c r="E10" s="1">
        <v>1</v>
      </c>
      <c r="F10" s="1">
        <v>0</v>
      </c>
      <c r="G10" s="1">
        <v>881</v>
      </c>
      <c r="H10" s="11"/>
      <c r="I10" s="11"/>
      <c r="J10" s="11"/>
      <c r="L10" s="19"/>
      <c r="M10" s="19">
        <v>208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AA10" s="42">
        <f>Tabelle589711[[#This Row],[Durchschnittsauslastung]]*8760</f>
        <v>6798.8059701492539</v>
      </c>
      <c r="AB10" s="9">
        <f>Tabelle589711[[#This Row],[Durchschnittliche Leistung MW]]/Tabelle589711[[#This Row],[installierte Leistung MW]]</f>
        <v>0.77611940298507465</v>
      </c>
      <c r="AC10" s="9">
        <v>0.9</v>
      </c>
      <c r="AD10" s="20">
        <v>208</v>
      </c>
      <c r="AE10" s="19">
        <v>268</v>
      </c>
      <c r="AF10" s="19"/>
      <c r="AG10" s="19"/>
      <c r="AH10" s="19"/>
      <c r="AI10" s="19"/>
      <c r="AJ10" s="19">
        <f>5/60</f>
        <v>8.3333333333333329E-2</v>
      </c>
      <c r="AK10" s="19"/>
      <c r="AL10" s="19"/>
      <c r="AX10" s="1" t="s">
        <v>1089</v>
      </c>
      <c r="AY10" s="13" t="s">
        <v>303</v>
      </c>
      <c r="AZ10" s="13" t="s">
        <v>303</v>
      </c>
      <c r="BA10" s="13">
        <v>46</v>
      </c>
      <c r="BB10" s="13">
        <v>46</v>
      </c>
      <c r="BC10" s="13" t="s">
        <v>303</v>
      </c>
      <c r="BE10" s="13"/>
      <c r="BF10" s="13"/>
      <c r="BG10" s="13">
        <v>46</v>
      </c>
      <c r="BH10" s="13">
        <v>46</v>
      </c>
      <c r="BI10" s="13">
        <v>46</v>
      </c>
      <c r="BJ10" s="13" t="s">
        <v>305</v>
      </c>
      <c r="BP10" s="1">
        <v>44</v>
      </c>
    </row>
    <row r="11" spans="1:68" x14ac:dyDescent="0.25">
      <c r="A11" s="1" t="s">
        <v>78</v>
      </c>
      <c r="B11" s="1" t="s">
        <v>126</v>
      </c>
      <c r="C11" s="1">
        <v>2010</v>
      </c>
      <c r="D11" s="1">
        <v>0</v>
      </c>
      <c r="E11" s="1">
        <v>1</v>
      </c>
      <c r="F11" s="1">
        <v>0</v>
      </c>
      <c r="H11" s="11"/>
      <c r="I11" s="11"/>
      <c r="J11" s="11"/>
      <c r="L11" s="19">
        <v>1694</v>
      </c>
      <c r="N11" s="19"/>
      <c r="O11" s="19"/>
      <c r="P11" s="19"/>
      <c r="Q11" s="19">
        <v>1700</v>
      </c>
      <c r="R11" s="19"/>
      <c r="S11" s="19"/>
      <c r="T11" s="19"/>
      <c r="U11" s="19"/>
      <c r="V11" s="19"/>
      <c r="W11" s="19"/>
      <c r="X11" s="19"/>
      <c r="Y11" s="19"/>
      <c r="Z11" s="20"/>
      <c r="AA11" s="42">
        <f>Tabelle589711[[#This Row],[Durchschnittsauslastung]]*8760</f>
        <v>7533.5999999999995</v>
      </c>
      <c r="AB11" s="9">
        <v>0.86</v>
      </c>
      <c r="AC11" s="9"/>
      <c r="AD11" s="20"/>
      <c r="AE11" s="19"/>
      <c r="AF11" s="19"/>
      <c r="AG11" s="19"/>
      <c r="AH11" s="19"/>
      <c r="AI11" s="19"/>
      <c r="AJ11" s="19">
        <f>120/60</f>
        <v>2</v>
      </c>
      <c r="AK11" s="19"/>
      <c r="AL11" s="19"/>
      <c r="AO11" s="1">
        <v>2</v>
      </c>
      <c r="AT11" s="1" t="s">
        <v>306</v>
      </c>
      <c r="AY11" s="13" t="s">
        <v>304</v>
      </c>
      <c r="AZ11" s="13" t="s">
        <v>304</v>
      </c>
      <c r="BA11" s="13">
        <v>43</v>
      </c>
      <c r="BB11" s="13">
        <v>43</v>
      </c>
      <c r="BC11" s="13" t="s">
        <v>304</v>
      </c>
      <c r="BE11" s="13"/>
      <c r="BF11" s="13"/>
      <c r="BG11" s="13">
        <v>47</v>
      </c>
      <c r="BH11" s="13">
        <v>47</v>
      </c>
      <c r="BI11" s="13">
        <v>47</v>
      </c>
      <c r="BJ11" s="13" t="s">
        <v>305</v>
      </c>
    </row>
    <row r="12" spans="1:68" x14ac:dyDescent="0.25">
      <c r="A12" s="1" t="s">
        <v>78</v>
      </c>
      <c r="B12" s="1" t="s">
        <v>126</v>
      </c>
      <c r="C12" s="1">
        <v>2020</v>
      </c>
      <c r="D12" s="1">
        <v>0</v>
      </c>
      <c r="E12" s="1">
        <v>1</v>
      </c>
      <c r="F12" s="1">
        <v>0</v>
      </c>
      <c r="H12" s="11"/>
      <c r="I12" s="11"/>
      <c r="J12" s="11"/>
      <c r="L12" s="19">
        <v>1694</v>
      </c>
      <c r="N12" s="19"/>
      <c r="O12" s="19"/>
      <c r="P12" s="19"/>
      <c r="Q12" s="19">
        <v>1700</v>
      </c>
      <c r="R12" s="19"/>
      <c r="S12" s="19"/>
      <c r="T12" s="19"/>
      <c r="U12" s="19"/>
      <c r="V12" s="19"/>
      <c r="W12" s="19"/>
      <c r="X12" s="19"/>
      <c r="Y12" s="19"/>
      <c r="Z12" s="20"/>
      <c r="AA12" s="42">
        <f>Tabelle589711[[#This Row],[Durchschnittsauslastung]]*8760</f>
        <v>7533.5999999999995</v>
      </c>
      <c r="AB12" s="9">
        <v>0.86</v>
      </c>
      <c r="AC12" s="9"/>
      <c r="AD12" s="20"/>
      <c r="AE12" s="19"/>
      <c r="AF12" s="19"/>
      <c r="AG12" s="19"/>
      <c r="AH12" s="19"/>
      <c r="AI12" s="19"/>
      <c r="AJ12" s="19">
        <f>120/60</f>
        <v>2</v>
      </c>
      <c r="AK12" s="19"/>
      <c r="AL12" s="19"/>
      <c r="AO12" s="1">
        <v>2</v>
      </c>
      <c r="AT12" s="1" t="s">
        <v>306</v>
      </c>
      <c r="AY12" s="13" t="s">
        <v>304</v>
      </c>
      <c r="AZ12" s="13" t="s">
        <v>304</v>
      </c>
      <c r="BA12" s="13">
        <v>43</v>
      </c>
      <c r="BB12" s="13">
        <v>43</v>
      </c>
      <c r="BC12" s="13" t="s">
        <v>304</v>
      </c>
      <c r="BE12" s="13"/>
      <c r="BF12" s="13"/>
      <c r="BG12" s="13">
        <v>47</v>
      </c>
      <c r="BH12" s="13">
        <v>47</v>
      </c>
      <c r="BI12" s="13">
        <v>47</v>
      </c>
      <c r="BJ12" s="13" t="s">
        <v>305</v>
      </c>
    </row>
    <row r="13" spans="1:68" x14ac:dyDescent="0.25">
      <c r="A13" s="1" t="s">
        <v>78</v>
      </c>
      <c r="B13" s="1" t="s">
        <v>126</v>
      </c>
      <c r="C13" s="1">
        <v>2030</v>
      </c>
      <c r="D13" s="1">
        <v>0</v>
      </c>
      <c r="E13" s="1">
        <v>1</v>
      </c>
      <c r="F13" s="1">
        <v>0</v>
      </c>
      <c r="H13" s="11"/>
      <c r="I13" s="11"/>
      <c r="J13" s="11"/>
      <c r="L13" s="19">
        <v>1694</v>
      </c>
      <c r="N13" s="19"/>
      <c r="O13" s="19"/>
      <c r="P13" s="19"/>
      <c r="Q13" s="19">
        <v>1700</v>
      </c>
      <c r="R13" s="19"/>
      <c r="S13" s="19"/>
      <c r="T13" s="19"/>
      <c r="U13" s="19"/>
      <c r="V13" s="19"/>
      <c r="W13" s="19"/>
      <c r="X13" s="19"/>
      <c r="Y13" s="19"/>
      <c r="Z13" s="20"/>
      <c r="AA13" s="42">
        <f>Tabelle589711[[#This Row],[Durchschnittsauslastung]]*8760</f>
        <v>7533.5999999999995</v>
      </c>
      <c r="AB13" s="9">
        <v>0.86</v>
      </c>
      <c r="AC13" s="9"/>
      <c r="AD13" s="20"/>
      <c r="AE13" s="19"/>
      <c r="AF13" s="19"/>
      <c r="AG13" s="19"/>
      <c r="AH13" s="19"/>
      <c r="AI13" s="19"/>
      <c r="AJ13" s="19">
        <f>120/60</f>
        <v>2</v>
      </c>
      <c r="AK13" s="19"/>
      <c r="AL13" s="19"/>
      <c r="AO13" s="1">
        <v>2</v>
      </c>
      <c r="AT13" s="1" t="s">
        <v>306</v>
      </c>
      <c r="AY13" s="13" t="s">
        <v>304</v>
      </c>
      <c r="AZ13" s="13" t="s">
        <v>304</v>
      </c>
      <c r="BA13" s="13">
        <v>43</v>
      </c>
      <c r="BB13" s="13">
        <v>43</v>
      </c>
      <c r="BC13" s="13" t="s">
        <v>304</v>
      </c>
      <c r="BE13" s="13"/>
      <c r="BF13" s="13"/>
      <c r="BG13" s="13">
        <v>47</v>
      </c>
      <c r="BH13" s="13">
        <v>47</v>
      </c>
      <c r="BI13" s="13">
        <v>47</v>
      </c>
      <c r="BJ13" s="13" t="s">
        <v>305</v>
      </c>
    </row>
    <row r="14" spans="1:68" x14ac:dyDescent="0.25">
      <c r="A14" s="1" t="s">
        <v>81</v>
      </c>
      <c r="B14" s="1" t="s">
        <v>126</v>
      </c>
      <c r="C14" s="1">
        <v>2010</v>
      </c>
      <c r="D14" s="1">
        <v>0</v>
      </c>
      <c r="E14" s="1">
        <v>1</v>
      </c>
      <c r="F14" s="1">
        <v>0</v>
      </c>
      <c r="G14" s="1">
        <v>13200</v>
      </c>
      <c r="H14" s="11"/>
      <c r="I14" s="11">
        <f>Tabelle589711[[#This Row],[Stromverbrauch in TWh]]*10^6/Tabelle589711[[#This Row],[jährliche Produktion kt]]</f>
        <v>492.42424242424244</v>
      </c>
      <c r="J14" s="11"/>
      <c r="K14" s="1">
        <v>6.5</v>
      </c>
      <c r="L14" s="19">
        <v>741</v>
      </c>
      <c r="M14" s="19"/>
      <c r="N14" s="19"/>
      <c r="O14" s="19"/>
      <c r="P14" s="19"/>
      <c r="Q14" s="19">
        <v>741</v>
      </c>
      <c r="R14" s="19"/>
      <c r="S14" s="19"/>
      <c r="T14" s="19"/>
      <c r="U14" s="19"/>
      <c r="V14" s="19"/>
      <c r="W14" s="19"/>
      <c r="X14" s="19"/>
      <c r="Y14" s="19"/>
      <c r="Z14" s="20"/>
      <c r="AA14" s="42">
        <v>4151</v>
      </c>
      <c r="AB14" s="9">
        <f>Tabelle589711[[#This Row],[Vollbenutzungsstunden h/a]]/8760</f>
        <v>0.47385844748858447</v>
      </c>
      <c r="AC14" s="9"/>
      <c r="AD14" s="20">
        <f>IF(Tabelle589711[[#This Row],[installierte Leistung MW]]&lt;&gt;"",Tabelle589711[[#This Row],[Durchschnittsauslastung]]*Tabelle589711[[#This Row],[installierte Leistung MW]],"")</f>
        <v>742.06232876712329</v>
      </c>
      <c r="AE14" s="19">
        <v>1566</v>
      </c>
      <c r="AF14" s="19"/>
      <c r="AG14" s="19"/>
      <c r="AH14" s="19"/>
      <c r="AI14" s="19"/>
      <c r="AJ14" s="27">
        <f>100/60</f>
        <v>1.6666666666666667</v>
      </c>
      <c r="AK14" s="27"/>
      <c r="AL14" s="27"/>
      <c r="AT14" s="1" t="s">
        <v>308</v>
      </c>
      <c r="AX14" s="1" t="s">
        <v>1090</v>
      </c>
      <c r="AY14" s="13" t="s">
        <v>307</v>
      </c>
      <c r="AZ14" s="13" t="s">
        <v>307</v>
      </c>
      <c r="BA14" s="13">
        <v>49</v>
      </c>
      <c r="BB14" s="13">
        <v>49</v>
      </c>
      <c r="BC14" s="13" t="s">
        <v>307</v>
      </c>
      <c r="BE14" s="13"/>
      <c r="BF14" s="13">
        <v>49</v>
      </c>
      <c r="BG14" s="13">
        <v>49</v>
      </c>
      <c r="BH14" s="13"/>
      <c r="BI14" s="13"/>
      <c r="BJ14" s="13">
        <v>111</v>
      </c>
      <c r="BN14" s="1">
        <v>50</v>
      </c>
      <c r="BP14" s="1">
        <v>49</v>
      </c>
    </row>
    <row r="15" spans="1:68" x14ac:dyDescent="0.25">
      <c r="A15" s="1" t="s">
        <v>81</v>
      </c>
      <c r="B15" s="1" t="s">
        <v>126</v>
      </c>
      <c r="C15" s="1">
        <v>2020</v>
      </c>
      <c r="D15" s="1">
        <v>0</v>
      </c>
      <c r="E15" s="1">
        <v>1</v>
      </c>
      <c r="F15" s="1">
        <v>0</v>
      </c>
      <c r="G15" s="1">
        <v>13200</v>
      </c>
      <c r="H15" s="11"/>
      <c r="I15" s="11">
        <f>Tabelle589711[[#This Row],[Stromverbrauch in TWh]]*10^6/Tabelle589711[[#This Row],[jährliche Produktion kt]]</f>
        <v>492.42424242424244</v>
      </c>
      <c r="J15" s="11"/>
      <c r="K15" s="1">
        <v>6.5</v>
      </c>
      <c r="L15" s="19">
        <v>741</v>
      </c>
      <c r="M15" s="19"/>
      <c r="N15" s="19"/>
      <c r="O15" s="19"/>
      <c r="P15" s="19"/>
      <c r="Q15" s="19">
        <v>741</v>
      </c>
      <c r="R15" s="19"/>
      <c r="S15" s="19"/>
      <c r="T15" s="19"/>
      <c r="U15" s="19"/>
      <c r="V15" s="19"/>
      <c r="W15" s="19"/>
      <c r="X15" s="19"/>
      <c r="Y15" s="19"/>
      <c r="Z15" s="20"/>
      <c r="AA15" s="42">
        <v>4151</v>
      </c>
      <c r="AB15" s="9">
        <f>Tabelle589711[[#This Row],[Vollbenutzungsstunden h/a]]/8760</f>
        <v>0.47385844748858447</v>
      </c>
      <c r="AC15" s="9"/>
      <c r="AD15" s="20">
        <f>IF(Tabelle589711[[#This Row],[installierte Leistung MW]]&lt;&gt;"",Tabelle589711[[#This Row],[Durchschnittsauslastung]]*Tabelle589711[[#This Row],[installierte Leistung MW]],"")</f>
        <v>742.06232876712329</v>
      </c>
      <c r="AE15" s="19">
        <v>1566</v>
      </c>
      <c r="AF15" s="19"/>
      <c r="AG15" s="19"/>
      <c r="AH15" s="19"/>
      <c r="AI15" s="19"/>
      <c r="AJ15" s="27">
        <f>100/60</f>
        <v>1.6666666666666667</v>
      </c>
      <c r="AK15" s="27"/>
      <c r="AL15" s="27"/>
      <c r="AT15" s="1" t="s">
        <v>308</v>
      </c>
      <c r="AX15" s="1" t="s">
        <v>1090</v>
      </c>
      <c r="AY15" s="13" t="s">
        <v>307</v>
      </c>
      <c r="AZ15" s="13" t="s">
        <v>307</v>
      </c>
      <c r="BA15" s="13">
        <v>49</v>
      </c>
      <c r="BB15" s="13">
        <v>49</v>
      </c>
      <c r="BC15" s="13" t="s">
        <v>307</v>
      </c>
      <c r="BE15" s="13"/>
      <c r="BF15" s="13">
        <v>49</v>
      </c>
      <c r="BG15" s="13">
        <v>49</v>
      </c>
      <c r="BH15" s="13"/>
      <c r="BI15" s="13"/>
      <c r="BJ15" s="13">
        <v>111</v>
      </c>
      <c r="BN15" s="1">
        <v>50</v>
      </c>
      <c r="BP15" s="1">
        <v>49</v>
      </c>
    </row>
    <row r="16" spans="1:68" x14ac:dyDescent="0.25">
      <c r="A16" s="1" t="s">
        <v>81</v>
      </c>
      <c r="B16" s="1" t="s">
        <v>126</v>
      </c>
      <c r="C16" s="1">
        <v>2030</v>
      </c>
      <c r="D16" s="1">
        <v>0</v>
      </c>
      <c r="E16" s="1">
        <v>1</v>
      </c>
      <c r="F16" s="1">
        <v>0</v>
      </c>
      <c r="G16" s="1">
        <v>13200</v>
      </c>
      <c r="H16" s="11"/>
      <c r="I16" s="11">
        <f>Tabelle589711[[#This Row],[Stromverbrauch in TWh]]*10^6/Tabelle589711[[#This Row],[jährliche Produktion kt]]</f>
        <v>492.42424242424244</v>
      </c>
      <c r="J16" s="11"/>
      <c r="K16" s="1">
        <v>6.5</v>
      </c>
      <c r="L16" s="19">
        <v>741</v>
      </c>
      <c r="M16" s="19"/>
      <c r="N16" s="19"/>
      <c r="O16" s="19"/>
      <c r="P16" s="19"/>
      <c r="Q16" s="19">
        <v>741</v>
      </c>
      <c r="R16" s="19"/>
      <c r="S16" s="19"/>
      <c r="T16" s="19"/>
      <c r="U16" s="19"/>
      <c r="V16" s="19"/>
      <c r="W16" s="19"/>
      <c r="X16" s="19"/>
      <c r="Y16" s="19"/>
      <c r="Z16" s="20"/>
      <c r="AA16" s="42">
        <v>4151</v>
      </c>
      <c r="AB16" s="9">
        <f>Tabelle589711[[#This Row],[Vollbenutzungsstunden h/a]]/8760</f>
        <v>0.47385844748858447</v>
      </c>
      <c r="AC16" s="9"/>
      <c r="AD16" s="20">
        <f>IF(Tabelle589711[[#This Row],[installierte Leistung MW]]&lt;&gt;"",Tabelle589711[[#This Row],[Durchschnittsauslastung]]*Tabelle589711[[#This Row],[installierte Leistung MW]],"")</f>
        <v>742.06232876712329</v>
      </c>
      <c r="AE16" s="19">
        <v>1566</v>
      </c>
      <c r="AF16" s="19"/>
      <c r="AG16" s="19"/>
      <c r="AH16" s="19"/>
      <c r="AI16" s="19"/>
      <c r="AJ16" s="27">
        <f>100/60</f>
        <v>1.6666666666666667</v>
      </c>
      <c r="AK16" s="27"/>
      <c r="AL16" s="27"/>
      <c r="AT16" s="1" t="s">
        <v>308</v>
      </c>
      <c r="AX16" s="1" t="s">
        <v>1090</v>
      </c>
      <c r="AY16" s="13" t="s">
        <v>307</v>
      </c>
      <c r="AZ16" s="13" t="s">
        <v>307</v>
      </c>
      <c r="BA16" s="13">
        <v>49</v>
      </c>
      <c r="BB16" s="13">
        <v>49</v>
      </c>
      <c r="BC16" s="13" t="s">
        <v>307</v>
      </c>
      <c r="BE16" s="13"/>
      <c r="BF16" s="13">
        <v>49</v>
      </c>
      <c r="BG16" s="13">
        <v>49</v>
      </c>
      <c r="BH16" s="13"/>
      <c r="BI16" s="13"/>
      <c r="BJ16" s="13">
        <v>111</v>
      </c>
      <c r="BN16" s="1">
        <v>50</v>
      </c>
      <c r="BP16" s="1">
        <v>49</v>
      </c>
    </row>
    <row r="17" spans="1:68" x14ac:dyDescent="0.25">
      <c r="A17" s="1" t="s">
        <v>938</v>
      </c>
      <c r="B17" s="1" t="s">
        <v>126</v>
      </c>
      <c r="C17" s="1">
        <v>2010</v>
      </c>
      <c r="D17" s="1">
        <v>1</v>
      </c>
      <c r="E17" s="1">
        <v>0</v>
      </c>
      <c r="F17" s="1">
        <v>0</v>
      </c>
      <c r="G17" s="1">
        <v>29900</v>
      </c>
      <c r="H17" s="11"/>
      <c r="I17" s="11">
        <f>Tabelle589711[[#This Row],[Stromverbrauch in TWh]]*10^6/Tabelle589711[[#This Row],[jährliche Produktion kt]]</f>
        <v>123.74581939799332</v>
      </c>
      <c r="J17" s="11"/>
      <c r="K17" s="1">
        <v>3.7</v>
      </c>
      <c r="L17" s="19"/>
      <c r="M17" s="19">
        <v>313</v>
      </c>
      <c r="N17" s="19"/>
      <c r="O17" s="19"/>
      <c r="P17" s="19">
        <v>313</v>
      </c>
      <c r="Q17" s="19"/>
      <c r="R17" s="19"/>
      <c r="S17" s="19">
        <v>313</v>
      </c>
      <c r="T17" s="19"/>
      <c r="U17" s="19"/>
      <c r="V17" s="19"/>
      <c r="W17" s="19">
        <v>500</v>
      </c>
      <c r="X17" s="19"/>
      <c r="Y17" s="19"/>
      <c r="Z17" s="20"/>
      <c r="AA17" s="42">
        <f>Tabelle589711[[#This Row],[Durchschnittsauslastung]]*8760</f>
        <v>6482.4</v>
      </c>
      <c r="AB17" s="9">
        <v>0.74</v>
      </c>
      <c r="AC17" s="9"/>
      <c r="AD17" s="20" t="str">
        <f>IF(Tabelle589711[[#This Row],[installierte Leistung MW]]&lt;&gt;"",Tabelle589711[[#This Row],[Durchschnittsauslastung]]*Tabelle589711[[#This Row],[installierte Leistung MW]],"")</f>
        <v/>
      </c>
      <c r="AE17" s="19"/>
      <c r="AF17" s="19"/>
      <c r="AG17" s="19"/>
      <c r="AH17" s="19">
        <v>0.25</v>
      </c>
      <c r="AI17" s="19">
        <v>0.5</v>
      </c>
      <c r="AJ17" s="27">
        <v>0.25</v>
      </c>
      <c r="AK17" s="27"/>
      <c r="AL17" s="27"/>
      <c r="AM17" s="1">
        <v>1</v>
      </c>
      <c r="AN17" s="1">
        <v>2</v>
      </c>
      <c r="AT17" s="1" t="s">
        <v>1093</v>
      </c>
      <c r="AU17" s="1">
        <f>2*7</f>
        <v>14</v>
      </c>
      <c r="AV17" s="1">
        <f>Tabelle589711[[#This Row],[max. Abrufhäufigkeit pro Woche]]*52</f>
        <v>728</v>
      </c>
      <c r="AX17" s="1" t="s">
        <v>1094</v>
      </c>
      <c r="AY17" s="13" t="s">
        <v>312</v>
      </c>
      <c r="AZ17" s="13" t="s">
        <v>312</v>
      </c>
      <c r="BA17" s="13">
        <v>53</v>
      </c>
      <c r="BB17" s="13">
        <v>53</v>
      </c>
      <c r="BC17" s="13" t="s">
        <v>312</v>
      </c>
      <c r="BD17" s="1">
        <v>57</v>
      </c>
      <c r="BE17" s="13"/>
      <c r="BF17" s="13"/>
      <c r="BG17" s="13"/>
      <c r="BH17" s="13"/>
      <c r="BI17" s="13"/>
      <c r="BJ17" s="13">
        <v>111</v>
      </c>
      <c r="BK17" s="1">
        <v>58</v>
      </c>
      <c r="BN17" s="1">
        <v>57</v>
      </c>
      <c r="BO17" s="1">
        <v>57</v>
      </c>
      <c r="BP17" s="1">
        <v>57</v>
      </c>
    </row>
    <row r="18" spans="1:68" x14ac:dyDescent="0.25">
      <c r="A18" s="1" t="s">
        <v>938</v>
      </c>
      <c r="B18" s="1" t="s">
        <v>126</v>
      </c>
      <c r="C18" s="1">
        <v>2020</v>
      </c>
      <c r="D18" s="1">
        <v>1</v>
      </c>
      <c r="E18" s="1">
        <v>0</v>
      </c>
      <c r="F18" s="1">
        <v>0</v>
      </c>
      <c r="G18" s="1">
        <v>29900</v>
      </c>
      <c r="H18" s="11"/>
      <c r="I18" s="11">
        <f>Tabelle589711[[#This Row],[Stromverbrauch in TWh]]*10^6/Tabelle589711[[#This Row],[jährliche Produktion kt]]</f>
        <v>123.74581939799332</v>
      </c>
      <c r="J18" s="11"/>
      <c r="K18" s="1">
        <v>3.7</v>
      </c>
      <c r="L18" s="19"/>
      <c r="M18" s="19">
        <v>313</v>
      </c>
      <c r="N18" s="19"/>
      <c r="O18" s="19"/>
      <c r="P18" s="19">
        <v>313</v>
      </c>
      <c r="Q18" s="19"/>
      <c r="R18" s="19"/>
      <c r="S18" s="19">
        <v>313</v>
      </c>
      <c r="T18" s="19"/>
      <c r="U18" s="19"/>
      <c r="V18" s="19"/>
      <c r="W18" s="19">
        <v>500</v>
      </c>
      <c r="X18" s="19"/>
      <c r="Y18" s="19"/>
      <c r="Z18" s="20"/>
      <c r="AA18" s="42">
        <f>Tabelle589711[[#This Row],[Durchschnittsauslastung]]*8760</f>
        <v>6482.4</v>
      </c>
      <c r="AB18" s="9">
        <v>0.74</v>
      </c>
      <c r="AC18" s="9"/>
      <c r="AD18" s="20" t="str">
        <f>IF(Tabelle589711[[#This Row],[installierte Leistung MW]]&lt;&gt;"",Tabelle589711[[#This Row],[Durchschnittsauslastung]]*Tabelle589711[[#This Row],[installierte Leistung MW]],"")</f>
        <v/>
      </c>
      <c r="AE18" s="19"/>
      <c r="AF18" s="19"/>
      <c r="AG18" s="19"/>
      <c r="AH18" s="19">
        <v>0.25</v>
      </c>
      <c r="AI18" s="19">
        <v>0.5</v>
      </c>
      <c r="AJ18" s="27">
        <v>0.25</v>
      </c>
      <c r="AK18" s="27"/>
      <c r="AL18" s="27"/>
      <c r="AM18" s="1">
        <v>1</v>
      </c>
      <c r="AN18" s="1">
        <v>2</v>
      </c>
      <c r="AT18" s="1" t="s">
        <v>1093</v>
      </c>
      <c r="AU18" s="1">
        <f>2*7</f>
        <v>14</v>
      </c>
      <c r="AX18" s="1" t="s">
        <v>1094</v>
      </c>
      <c r="AY18" s="13" t="s">
        <v>312</v>
      </c>
      <c r="AZ18" s="13" t="s">
        <v>312</v>
      </c>
      <c r="BA18" s="13">
        <v>53</v>
      </c>
      <c r="BB18" s="13">
        <v>53</v>
      </c>
      <c r="BC18" s="13" t="s">
        <v>312</v>
      </c>
      <c r="BD18" s="1">
        <v>57</v>
      </c>
      <c r="BE18" s="13"/>
      <c r="BF18" s="13"/>
      <c r="BG18" s="13"/>
      <c r="BH18" s="13"/>
      <c r="BI18" s="13"/>
      <c r="BJ18" s="13">
        <v>111</v>
      </c>
      <c r="BK18" s="1">
        <v>58</v>
      </c>
      <c r="BN18" s="1">
        <v>57</v>
      </c>
      <c r="BO18" s="1">
        <v>57</v>
      </c>
      <c r="BP18" s="1">
        <v>57</v>
      </c>
    </row>
    <row r="19" spans="1:68" x14ac:dyDescent="0.25">
      <c r="A19" s="1" t="s">
        <v>938</v>
      </c>
      <c r="B19" s="1" t="s">
        <v>126</v>
      </c>
      <c r="C19" s="1">
        <v>2030</v>
      </c>
      <c r="D19" s="1">
        <v>1</v>
      </c>
      <c r="E19" s="1">
        <v>0</v>
      </c>
      <c r="F19" s="1">
        <v>0</v>
      </c>
      <c r="G19" s="1">
        <v>29900</v>
      </c>
      <c r="H19" s="11"/>
      <c r="I19" s="11">
        <f>Tabelle589711[[#This Row],[Stromverbrauch in TWh]]*10^6/Tabelle589711[[#This Row],[jährliche Produktion kt]]</f>
        <v>123.74581939799332</v>
      </c>
      <c r="J19" s="11"/>
      <c r="K19" s="1">
        <v>3.7</v>
      </c>
      <c r="L19" s="19"/>
      <c r="M19" s="19">
        <v>313</v>
      </c>
      <c r="N19" s="19"/>
      <c r="O19" s="19"/>
      <c r="P19" s="19">
        <v>313</v>
      </c>
      <c r="Q19" s="19"/>
      <c r="R19" s="19"/>
      <c r="S19" s="19">
        <v>313</v>
      </c>
      <c r="T19" s="19"/>
      <c r="U19" s="19"/>
      <c r="V19" s="19"/>
      <c r="W19" s="19">
        <v>500</v>
      </c>
      <c r="X19" s="19"/>
      <c r="Y19" s="19"/>
      <c r="Z19" s="20"/>
      <c r="AA19" s="42">
        <f>Tabelle589711[[#This Row],[Durchschnittsauslastung]]*8760</f>
        <v>6482.4</v>
      </c>
      <c r="AB19" s="9">
        <v>0.74</v>
      </c>
      <c r="AC19" s="9"/>
      <c r="AD19" s="20" t="str">
        <f>IF(Tabelle589711[[#This Row],[installierte Leistung MW]]&lt;&gt;"",Tabelle589711[[#This Row],[Durchschnittsauslastung]]*Tabelle589711[[#This Row],[installierte Leistung MW]],"")</f>
        <v/>
      </c>
      <c r="AE19" s="19"/>
      <c r="AF19" s="19"/>
      <c r="AG19" s="19"/>
      <c r="AH19" s="19">
        <v>0.25</v>
      </c>
      <c r="AI19" s="19">
        <v>0.5</v>
      </c>
      <c r="AJ19" s="27">
        <v>0.25</v>
      </c>
      <c r="AK19" s="27"/>
      <c r="AL19" s="27"/>
      <c r="AM19" s="1">
        <v>1</v>
      </c>
      <c r="AN19" s="1">
        <v>2</v>
      </c>
      <c r="AT19" s="1" t="s">
        <v>1093</v>
      </c>
      <c r="AU19" s="1">
        <f>2*7</f>
        <v>14</v>
      </c>
      <c r="AX19" s="1" t="s">
        <v>1094</v>
      </c>
      <c r="AY19" s="13" t="s">
        <v>312</v>
      </c>
      <c r="AZ19" s="13" t="s">
        <v>312</v>
      </c>
      <c r="BA19" s="13">
        <v>53</v>
      </c>
      <c r="BB19" s="13">
        <v>53</v>
      </c>
      <c r="BC19" s="13" t="s">
        <v>312</v>
      </c>
      <c r="BD19" s="1">
        <v>57</v>
      </c>
      <c r="BE19" s="13"/>
      <c r="BF19" s="13"/>
      <c r="BG19" s="13"/>
      <c r="BH19" s="13"/>
      <c r="BI19" s="13"/>
      <c r="BJ19" s="13">
        <v>111</v>
      </c>
      <c r="BK19" s="1">
        <v>58</v>
      </c>
      <c r="BN19" s="1">
        <v>57</v>
      </c>
      <c r="BO19" s="1">
        <v>57</v>
      </c>
      <c r="BP19" s="1">
        <v>57</v>
      </c>
    </row>
    <row r="20" spans="1:68" x14ac:dyDescent="0.25">
      <c r="A20" s="1" t="s">
        <v>309</v>
      </c>
      <c r="B20" s="1" t="s">
        <v>126</v>
      </c>
      <c r="C20" s="1">
        <v>2010</v>
      </c>
      <c r="D20" s="1">
        <v>0</v>
      </c>
      <c r="E20" s="1">
        <v>0</v>
      </c>
      <c r="F20" s="1">
        <v>1</v>
      </c>
      <c r="H20" s="11"/>
      <c r="I20" s="11"/>
      <c r="J20" s="11"/>
      <c r="K20" s="1">
        <v>1.1000000000000001</v>
      </c>
      <c r="L20" s="19"/>
      <c r="N20" s="19"/>
      <c r="O20" s="19"/>
      <c r="P20" s="19">
        <f>Tabelle589711[[#This Row],[Stromverbrauch in TWh]]*10^6/Tabelle589711[[#This Row],[Potenzial neg. Lastverschiebung MW]]</f>
        <v>5500</v>
      </c>
      <c r="Q20" s="19"/>
      <c r="R20" s="19"/>
      <c r="S20" s="19">
        <v>200</v>
      </c>
      <c r="T20" s="19"/>
      <c r="U20" s="19"/>
      <c r="V20" s="19"/>
      <c r="W20" s="19"/>
      <c r="X20" s="19"/>
      <c r="Y20" s="19"/>
      <c r="Z20" s="20"/>
      <c r="AA20" s="42"/>
      <c r="AB20" s="9"/>
      <c r="AC20" s="9"/>
      <c r="AD20" s="20" t="str">
        <f>IF(Tabelle589711[[#This Row],[installierte Leistung MW]]&lt;&gt;"",Tabelle589711[[#This Row],[Durchschnittsauslastung]]*Tabelle589711[[#This Row],[installierte Leistung MW]],"")</f>
        <v/>
      </c>
      <c r="AE20" s="19"/>
      <c r="AF20" s="19"/>
      <c r="AG20" s="19"/>
      <c r="AH20" s="19"/>
      <c r="AI20" s="28"/>
      <c r="AJ20" s="28">
        <f t="shared" ref="AJ20:AJ51" si="2">0.1/60</f>
        <v>1.6666666666666668E-3</v>
      </c>
      <c r="AK20" s="28"/>
      <c r="AL20" s="28"/>
      <c r="AQ20" s="1">
        <v>6</v>
      </c>
      <c r="AX20" s="1" t="s">
        <v>311</v>
      </c>
      <c r="AY20" s="13">
        <v>113</v>
      </c>
      <c r="AZ20" s="13">
        <v>113</v>
      </c>
      <c r="BA20" s="13"/>
      <c r="BB20" s="13">
        <v>52</v>
      </c>
      <c r="BC20" s="13">
        <v>113</v>
      </c>
      <c r="BD20" s="1">
        <v>52</v>
      </c>
      <c r="BE20" s="13"/>
      <c r="BF20" s="13"/>
      <c r="BG20" s="13"/>
      <c r="BH20" s="13"/>
      <c r="BI20" s="13"/>
      <c r="BJ20" s="13">
        <v>111</v>
      </c>
      <c r="BK20" s="1">
        <v>52</v>
      </c>
    </row>
    <row r="21" spans="1:68" x14ac:dyDescent="0.25">
      <c r="A21" s="1" t="s">
        <v>309</v>
      </c>
      <c r="B21" s="1" t="s">
        <v>126</v>
      </c>
      <c r="C21" s="1">
        <v>2020</v>
      </c>
      <c r="D21" s="1">
        <v>0</v>
      </c>
      <c r="E21" s="1">
        <v>0</v>
      </c>
      <c r="F21" s="1">
        <v>1</v>
      </c>
      <c r="H21" s="11"/>
      <c r="I21" s="11"/>
      <c r="J21" s="11"/>
      <c r="K21" s="1">
        <v>1.1000000000000001</v>
      </c>
      <c r="L21" s="19"/>
      <c r="N21" s="19"/>
      <c r="O21" s="19"/>
      <c r="P21" s="19">
        <f>Tabelle589711[[#This Row],[Stromverbrauch in TWh]]*10^6/Tabelle589711[[#This Row],[Potenzial neg. Lastverschiebung MW]]</f>
        <v>5500</v>
      </c>
      <c r="Q21" s="19"/>
      <c r="R21" s="19"/>
      <c r="S21" s="19">
        <v>200</v>
      </c>
      <c r="T21" s="19"/>
      <c r="U21" s="19"/>
      <c r="V21" s="19"/>
      <c r="W21" s="19"/>
      <c r="X21" s="19"/>
      <c r="Y21" s="19"/>
      <c r="Z21" s="20"/>
      <c r="AA21" s="42"/>
      <c r="AB21" s="9"/>
      <c r="AC21" s="9"/>
      <c r="AD21" s="20" t="str">
        <f>IF(Tabelle589711[[#This Row],[installierte Leistung MW]]&lt;&gt;"",Tabelle589711[[#This Row],[Durchschnittsauslastung]]*Tabelle589711[[#This Row],[installierte Leistung MW]],"")</f>
        <v/>
      </c>
      <c r="AE21" s="19"/>
      <c r="AF21" s="19"/>
      <c r="AG21" s="19"/>
      <c r="AH21" s="19"/>
      <c r="AI21" s="28"/>
      <c r="AJ21" s="28">
        <f t="shared" si="2"/>
        <v>1.6666666666666668E-3</v>
      </c>
      <c r="AK21" s="28"/>
      <c r="AL21" s="28"/>
      <c r="AQ21" s="1">
        <v>6</v>
      </c>
      <c r="AX21" s="1" t="s">
        <v>311</v>
      </c>
      <c r="AY21" s="13">
        <v>113</v>
      </c>
      <c r="AZ21" s="13">
        <v>113</v>
      </c>
      <c r="BA21" s="13"/>
      <c r="BB21" s="13">
        <v>52</v>
      </c>
      <c r="BC21" s="13">
        <v>113</v>
      </c>
      <c r="BD21" s="1">
        <v>52</v>
      </c>
      <c r="BE21" s="13"/>
      <c r="BF21" s="13"/>
      <c r="BG21" s="13"/>
      <c r="BH21" s="13"/>
      <c r="BI21" s="13"/>
      <c r="BJ21" s="13">
        <v>111</v>
      </c>
      <c r="BK21" s="1">
        <v>52</v>
      </c>
    </row>
    <row r="22" spans="1:68" x14ac:dyDescent="0.25">
      <c r="A22" s="1" t="s">
        <v>309</v>
      </c>
      <c r="B22" s="1" t="s">
        <v>126</v>
      </c>
      <c r="C22" s="1">
        <v>2030</v>
      </c>
      <c r="D22" s="1">
        <v>0</v>
      </c>
      <c r="E22" s="1">
        <v>0</v>
      </c>
      <c r="F22" s="1">
        <v>1</v>
      </c>
      <c r="H22" s="11"/>
      <c r="I22" s="11"/>
      <c r="J22" s="11"/>
      <c r="K22" s="1">
        <v>1.1000000000000001</v>
      </c>
      <c r="L22" s="19"/>
      <c r="N22" s="19"/>
      <c r="O22" s="19"/>
      <c r="P22" s="19">
        <f>Tabelle589711[[#This Row],[Stromverbrauch in TWh]]*10^6/Tabelle589711[[#This Row],[Potenzial neg. Lastverschiebung MW]]</f>
        <v>5500</v>
      </c>
      <c r="Q22" s="19"/>
      <c r="R22" s="19"/>
      <c r="S22" s="19">
        <v>200</v>
      </c>
      <c r="T22" s="19"/>
      <c r="U22" s="19"/>
      <c r="V22" s="19"/>
      <c r="W22" s="19"/>
      <c r="X22" s="19"/>
      <c r="Y22" s="19"/>
      <c r="Z22" s="20"/>
      <c r="AA22" s="42"/>
      <c r="AB22" s="9"/>
      <c r="AC22" s="9"/>
      <c r="AD22" s="20" t="str">
        <f>IF(Tabelle589711[[#This Row],[installierte Leistung MW]]&lt;&gt;"",Tabelle589711[[#This Row],[Durchschnittsauslastung]]*Tabelle589711[[#This Row],[installierte Leistung MW]],"")</f>
        <v/>
      </c>
      <c r="AE22" s="19"/>
      <c r="AF22" s="19"/>
      <c r="AG22" s="19"/>
      <c r="AH22" s="19"/>
      <c r="AI22" s="28"/>
      <c r="AJ22" s="28">
        <f t="shared" si="2"/>
        <v>1.6666666666666668E-3</v>
      </c>
      <c r="AK22" s="28"/>
      <c r="AL22" s="28"/>
      <c r="AQ22" s="1">
        <v>6</v>
      </c>
      <c r="AX22" s="1" t="s">
        <v>311</v>
      </c>
      <c r="AY22" s="13">
        <v>113</v>
      </c>
      <c r="AZ22" s="13">
        <v>113</v>
      </c>
      <c r="BA22" s="13"/>
      <c r="BB22" s="13">
        <v>52</v>
      </c>
      <c r="BC22" s="13">
        <v>113</v>
      </c>
      <c r="BD22" s="1">
        <v>52</v>
      </c>
      <c r="BE22" s="13"/>
      <c r="BF22" s="13"/>
      <c r="BG22" s="13"/>
      <c r="BH22" s="13"/>
      <c r="BI22" s="13"/>
      <c r="BJ22" s="13">
        <v>111</v>
      </c>
      <c r="BK22" s="1">
        <v>52</v>
      </c>
    </row>
    <row r="23" spans="1:68" x14ac:dyDescent="0.25">
      <c r="A23" s="1" t="s">
        <v>132</v>
      </c>
      <c r="B23" s="1" t="s">
        <v>139</v>
      </c>
      <c r="C23" s="1">
        <v>2010</v>
      </c>
      <c r="D23" s="1">
        <v>1</v>
      </c>
      <c r="E23" s="1">
        <v>0</v>
      </c>
      <c r="F23" s="1">
        <v>0</v>
      </c>
      <c r="H23" s="11"/>
      <c r="I23" s="11"/>
      <c r="J23" s="11"/>
      <c r="L23" s="19"/>
      <c r="N23" s="11">
        <v>820</v>
      </c>
      <c r="O23" s="11">
        <v>820</v>
      </c>
      <c r="P23" s="19"/>
      <c r="Q23" s="19"/>
      <c r="R23" s="19"/>
      <c r="S23" s="19"/>
      <c r="T23" s="19"/>
      <c r="U23" s="11">
        <v>820</v>
      </c>
      <c r="V23" s="11">
        <v>820</v>
      </c>
      <c r="W23" s="19"/>
      <c r="X23" s="19"/>
      <c r="Y23" s="19"/>
      <c r="Z23" s="20"/>
      <c r="AA23" s="42"/>
      <c r="AB23" s="9"/>
      <c r="AC23" s="9"/>
      <c r="AD23" s="20" t="str">
        <f>IF(Tabelle589711[[#This Row],[installierte Leistung MW]]&lt;&gt;"",Tabelle589711[[#This Row],[Durchschnittsauslastung]]*Tabelle589711[[#This Row],[installierte Leistung MW]],"")</f>
        <v/>
      </c>
      <c r="AE23" s="19"/>
      <c r="AF23" s="19"/>
      <c r="AG23" s="19"/>
      <c r="AH23" s="19">
        <f t="shared" ref="AH23:AH54" si="3">0.01/60</f>
        <v>1.6666666666666666E-4</v>
      </c>
      <c r="AI23" s="19"/>
      <c r="AJ23" s="28">
        <f t="shared" si="2"/>
        <v>1.6666666666666668E-3</v>
      </c>
      <c r="AK23" s="28"/>
      <c r="AL23" s="28"/>
      <c r="BC23" s="13" t="s">
        <v>298</v>
      </c>
      <c r="BD23" s="13" t="s">
        <v>298</v>
      </c>
      <c r="BE23" s="13"/>
      <c r="BF23" s="13"/>
      <c r="BG23" s="13"/>
      <c r="BH23" s="13"/>
      <c r="BI23" s="13"/>
      <c r="BJ23" s="13"/>
    </row>
    <row r="24" spans="1:68" x14ac:dyDescent="0.25">
      <c r="A24" s="1" t="s">
        <v>132</v>
      </c>
      <c r="B24" s="1" t="s">
        <v>139</v>
      </c>
      <c r="C24" s="1">
        <v>2020</v>
      </c>
      <c r="D24" s="1">
        <v>1</v>
      </c>
      <c r="E24" s="1">
        <v>0</v>
      </c>
      <c r="F24" s="1">
        <v>0</v>
      </c>
      <c r="H24" s="11"/>
      <c r="I24" s="11"/>
      <c r="J24" s="11"/>
      <c r="L24" s="19"/>
      <c r="N24" s="11">
        <v>900</v>
      </c>
      <c r="O24" s="11">
        <v>900</v>
      </c>
      <c r="P24" s="19"/>
      <c r="Q24" s="19"/>
      <c r="R24" s="19"/>
      <c r="S24" s="19"/>
      <c r="T24" s="19"/>
      <c r="U24" s="11">
        <v>900</v>
      </c>
      <c r="V24" s="11">
        <v>900</v>
      </c>
      <c r="W24" s="19"/>
      <c r="X24" s="19"/>
      <c r="Y24" s="19"/>
      <c r="Z24" s="20"/>
      <c r="AA24" s="42"/>
      <c r="AB24" s="9"/>
      <c r="AC24" s="9"/>
      <c r="AD24" s="20" t="str">
        <f>IF(Tabelle589711[[#This Row],[installierte Leistung MW]]&lt;&gt;"",Tabelle589711[[#This Row],[Durchschnittsauslastung]]*Tabelle589711[[#This Row],[installierte Leistung MW]],"")</f>
        <v/>
      </c>
      <c r="AE24" s="19"/>
      <c r="AF24" s="19"/>
      <c r="AG24" s="19"/>
      <c r="AH24" s="19">
        <f t="shared" si="3"/>
        <v>1.6666666666666666E-4</v>
      </c>
      <c r="AI24" s="19"/>
      <c r="AJ24" s="28">
        <f t="shared" si="2"/>
        <v>1.6666666666666668E-3</v>
      </c>
      <c r="AK24" s="28"/>
      <c r="AL24" s="28"/>
      <c r="BC24" s="13" t="s">
        <v>298</v>
      </c>
      <c r="BD24" s="13" t="s">
        <v>298</v>
      </c>
      <c r="BE24" s="13"/>
      <c r="BF24" s="13"/>
      <c r="BG24" s="13"/>
      <c r="BH24" s="13"/>
      <c r="BI24" s="13"/>
      <c r="BJ24" s="13"/>
    </row>
    <row r="25" spans="1:68" x14ac:dyDescent="0.25">
      <c r="A25" s="1" t="s">
        <v>132</v>
      </c>
      <c r="B25" s="1" t="s">
        <v>139</v>
      </c>
      <c r="C25" s="1">
        <v>2030</v>
      </c>
      <c r="D25" s="1">
        <v>1</v>
      </c>
      <c r="E25" s="1">
        <v>0</v>
      </c>
      <c r="F25" s="1">
        <v>0</v>
      </c>
      <c r="H25" s="11"/>
      <c r="I25" s="11"/>
      <c r="J25" s="11"/>
      <c r="L25" s="19"/>
      <c r="N25" s="11">
        <v>950</v>
      </c>
      <c r="O25" s="11">
        <v>950</v>
      </c>
      <c r="P25" s="19"/>
      <c r="Q25" s="19"/>
      <c r="R25" s="19"/>
      <c r="S25" s="19"/>
      <c r="T25" s="19"/>
      <c r="U25" s="11">
        <v>950</v>
      </c>
      <c r="V25" s="11">
        <v>950</v>
      </c>
      <c r="W25" s="19"/>
      <c r="X25" s="19"/>
      <c r="Y25" s="19"/>
      <c r="Z25" s="20"/>
      <c r="AA25" s="42"/>
      <c r="AB25" s="9"/>
      <c r="AC25" s="9"/>
      <c r="AD25" s="20" t="str">
        <f>IF(Tabelle589711[[#This Row],[installierte Leistung MW]]&lt;&gt;"",Tabelle589711[[#This Row],[Durchschnittsauslastung]]*Tabelle589711[[#This Row],[installierte Leistung MW]],"")</f>
        <v/>
      </c>
      <c r="AE25" s="19"/>
      <c r="AF25" s="19"/>
      <c r="AG25" s="19"/>
      <c r="AH25" s="19">
        <f t="shared" si="3"/>
        <v>1.6666666666666666E-4</v>
      </c>
      <c r="AI25" s="19"/>
      <c r="AJ25" s="28">
        <f t="shared" si="2"/>
        <v>1.6666666666666668E-3</v>
      </c>
      <c r="AK25" s="28"/>
      <c r="AL25" s="28"/>
      <c r="BC25" s="13" t="s">
        <v>298</v>
      </c>
      <c r="BD25" s="13" t="s">
        <v>298</v>
      </c>
      <c r="BE25" s="13"/>
      <c r="BF25" s="13"/>
      <c r="BG25" s="13"/>
      <c r="BH25" s="13"/>
      <c r="BI25" s="13"/>
      <c r="BJ25" s="13"/>
    </row>
    <row r="26" spans="1:68" x14ac:dyDescent="0.25">
      <c r="A26" s="1" t="s">
        <v>283</v>
      </c>
      <c r="B26" s="1" t="s">
        <v>139</v>
      </c>
      <c r="C26" s="1">
        <v>2010</v>
      </c>
      <c r="D26" s="1">
        <v>1</v>
      </c>
      <c r="E26" s="1">
        <v>0</v>
      </c>
      <c r="F26" s="1">
        <v>0</v>
      </c>
      <c r="H26" s="11"/>
      <c r="I26" s="11"/>
      <c r="J26" s="11"/>
      <c r="L26" s="19"/>
      <c r="N26" s="11">
        <v>1020</v>
      </c>
      <c r="O26" s="11">
        <v>1020</v>
      </c>
      <c r="P26" s="19"/>
      <c r="Q26" s="19"/>
      <c r="R26" s="19"/>
      <c r="S26" s="19"/>
      <c r="T26" s="19"/>
      <c r="U26" s="11">
        <v>1020</v>
      </c>
      <c r="V26" s="11">
        <v>1020</v>
      </c>
      <c r="W26" s="19"/>
      <c r="X26" s="19"/>
      <c r="Y26" s="19"/>
      <c r="Z26" s="20"/>
      <c r="AA26" s="42"/>
      <c r="AB26" s="9"/>
      <c r="AC26" s="9"/>
      <c r="AD26" s="20" t="str">
        <f>IF(Tabelle589711[[#This Row],[installierte Leistung MW]]&lt;&gt;"",Tabelle589711[[#This Row],[Durchschnittsauslastung]]*Tabelle589711[[#This Row],[installierte Leistung MW]],"")</f>
        <v/>
      </c>
      <c r="AE26" s="19"/>
      <c r="AF26" s="19"/>
      <c r="AG26" s="19"/>
      <c r="AH26" s="19">
        <f t="shared" si="3"/>
        <v>1.6666666666666666E-4</v>
      </c>
      <c r="AI26" s="19"/>
      <c r="AJ26" s="28">
        <f t="shared" si="2"/>
        <v>1.6666666666666668E-3</v>
      </c>
      <c r="AK26" s="28"/>
      <c r="AL26" s="28"/>
      <c r="AN26" s="1">
        <v>2.25</v>
      </c>
      <c r="AP26" s="1">
        <v>2.25</v>
      </c>
      <c r="AR26" s="1">
        <v>24</v>
      </c>
      <c r="AT26" s="1" t="s">
        <v>315</v>
      </c>
      <c r="AV26" s="1">
        <v>198</v>
      </c>
      <c r="BC26" s="13" t="s">
        <v>298</v>
      </c>
      <c r="BD26" s="13" t="s">
        <v>298</v>
      </c>
      <c r="BE26" s="13"/>
      <c r="BF26" s="13"/>
      <c r="BG26" s="13"/>
      <c r="BH26" s="13"/>
      <c r="BI26" s="13"/>
      <c r="BJ26" s="13"/>
      <c r="BK26" s="1">
        <v>62</v>
      </c>
      <c r="BN26" s="1">
        <v>62</v>
      </c>
    </row>
    <row r="27" spans="1:68" x14ac:dyDescent="0.25">
      <c r="A27" s="1" t="s">
        <v>283</v>
      </c>
      <c r="B27" s="1" t="s">
        <v>139</v>
      </c>
      <c r="C27" s="1">
        <v>2020</v>
      </c>
      <c r="D27" s="1">
        <v>1</v>
      </c>
      <c r="E27" s="1">
        <v>0</v>
      </c>
      <c r="F27" s="1">
        <v>0</v>
      </c>
      <c r="H27" s="11"/>
      <c r="I27" s="11"/>
      <c r="J27" s="11"/>
      <c r="L27" s="19"/>
      <c r="N27" s="11">
        <v>980</v>
      </c>
      <c r="O27" s="11">
        <v>980</v>
      </c>
      <c r="P27" s="19"/>
      <c r="Q27" s="19"/>
      <c r="R27" s="19"/>
      <c r="S27" s="19"/>
      <c r="T27" s="19"/>
      <c r="U27" s="11">
        <v>980</v>
      </c>
      <c r="V27" s="11">
        <v>980</v>
      </c>
      <c r="W27" s="19"/>
      <c r="X27" s="19"/>
      <c r="Y27" s="19"/>
      <c r="Z27" s="20"/>
      <c r="AA27" s="42"/>
      <c r="AB27" s="9"/>
      <c r="AC27" s="9"/>
      <c r="AD27" s="20" t="str">
        <f>IF(Tabelle589711[[#This Row],[installierte Leistung MW]]&lt;&gt;"",Tabelle589711[[#This Row],[Durchschnittsauslastung]]*Tabelle589711[[#This Row],[installierte Leistung MW]],"")</f>
        <v/>
      </c>
      <c r="AE27" s="19"/>
      <c r="AF27" s="19"/>
      <c r="AG27" s="19"/>
      <c r="AH27" s="19">
        <f t="shared" si="3"/>
        <v>1.6666666666666666E-4</v>
      </c>
      <c r="AI27" s="19"/>
      <c r="AJ27" s="28">
        <f t="shared" si="2"/>
        <v>1.6666666666666668E-3</v>
      </c>
      <c r="AK27" s="28"/>
      <c r="AL27" s="28"/>
      <c r="AN27" s="1">
        <v>2.25</v>
      </c>
      <c r="AP27" s="1">
        <v>2.25</v>
      </c>
      <c r="AR27" s="1">
        <v>24</v>
      </c>
      <c r="AT27" s="1" t="s">
        <v>315</v>
      </c>
      <c r="AV27" s="1">
        <v>198</v>
      </c>
      <c r="BC27" s="13" t="s">
        <v>298</v>
      </c>
      <c r="BD27" s="13" t="s">
        <v>298</v>
      </c>
      <c r="BE27" s="13"/>
      <c r="BF27" s="13"/>
      <c r="BG27" s="13"/>
      <c r="BH27" s="13"/>
      <c r="BI27" s="13"/>
      <c r="BJ27" s="13"/>
    </row>
    <row r="28" spans="1:68" x14ac:dyDescent="0.25">
      <c r="A28" s="1" t="s">
        <v>283</v>
      </c>
      <c r="B28" s="1" t="s">
        <v>139</v>
      </c>
      <c r="C28" s="1">
        <v>2030</v>
      </c>
      <c r="D28" s="1">
        <v>1</v>
      </c>
      <c r="E28" s="1">
        <v>0</v>
      </c>
      <c r="F28" s="1">
        <v>0</v>
      </c>
      <c r="H28" s="11"/>
      <c r="I28" s="11"/>
      <c r="J28" s="11"/>
      <c r="L28" s="19"/>
      <c r="N28" s="11">
        <v>980</v>
      </c>
      <c r="O28" s="11">
        <v>980</v>
      </c>
      <c r="P28" s="19"/>
      <c r="Q28" s="19"/>
      <c r="R28" s="19"/>
      <c r="S28" s="19"/>
      <c r="T28" s="19"/>
      <c r="U28" s="11">
        <v>980</v>
      </c>
      <c r="V28" s="11">
        <v>980</v>
      </c>
      <c r="W28" s="19"/>
      <c r="X28" s="19"/>
      <c r="Y28" s="19"/>
      <c r="Z28" s="20"/>
      <c r="AA28" s="42"/>
      <c r="AB28" s="9"/>
      <c r="AC28" s="9"/>
      <c r="AD28" s="20" t="str">
        <f>IF(Tabelle589711[[#This Row],[installierte Leistung MW]]&lt;&gt;"",Tabelle589711[[#This Row],[Durchschnittsauslastung]]*Tabelle589711[[#This Row],[installierte Leistung MW]],"")</f>
        <v/>
      </c>
      <c r="AE28" s="19"/>
      <c r="AF28" s="19"/>
      <c r="AG28" s="19"/>
      <c r="AH28" s="19">
        <f t="shared" si="3"/>
        <v>1.6666666666666666E-4</v>
      </c>
      <c r="AI28" s="19"/>
      <c r="AJ28" s="28">
        <f t="shared" si="2"/>
        <v>1.6666666666666668E-3</v>
      </c>
      <c r="AK28" s="28"/>
      <c r="AL28" s="28"/>
      <c r="AN28" s="1">
        <v>2.25</v>
      </c>
      <c r="AP28" s="1">
        <v>2.25</v>
      </c>
      <c r="AR28" s="1">
        <v>24</v>
      </c>
      <c r="AT28" s="1" t="s">
        <v>315</v>
      </c>
      <c r="AV28" s="1">
        <v>198</v>
      </c>
      <c r="BC28" s="13" t="s">
        <v>298</v>
      </c>
      <c r="BD28" s="13" t="s">
        <v>298</v>
      </c>
      <c r="BE28" s="13"/>
      <c r="BF28" s="13"/>
      <c r="BG28" s="13"/>
      <c r="BH28" s="13"/>
      <c r="BI28" s="13"/>
      <c r="BJ28" s="13"/>
    </row>
    <row r="29" spans="1:68" x14ac:dyDescent="0.25">
      <c r="A29" s="1" t="s">
        <v>130</v>
      </c>
      <c r="B29" s="1" t="s">
        <v>139</v>
      </c>
      <c r="C29" s="1">
        <v>2010</v>
      </c>
      <c r="D29" s="1">
        <v>1</v>
      </c>
      <c r="E29" s="1">
        <v>0</v>
      </c>
      <c r="F29" s="1">
        <v>0</v>
      </c>
      <c r="H29" s="11"/>
      <c r="I29" s="11"/>
      <c r="J29" s="11"/>
      <c r="L29" s="19"/>
      <c r="N29" s="11">
        <v>1440</v>
      </c>
      <c r="O29" s="11">
        <v>1440</v>
      </c>
      <c r="P29" s="19"/>
      <c r="Q29" s="19"/>
      <c r="R29" s="19"/>
      <c r="S29" s="19"/>
      <c r="T29" s="19"/>
      <c r="U29" s="11">
        <v>1440</v>
      </c>
      <c r="V29" s="11">
        <v>1440</v>
      </c>
      <c r="W29" s="19"/>
      <c r="X29" s="19"/>
      <c r="Y29" s="19"/>
      <c r="Z29" s="20"/>
      <c r="AA29" s="42"/>
      <c r="AB29" s="9"/>
      <c r="AC29" s="9"/>
      <c r="AD29" s="20" t="str">
        <f>IF(Tabelle589711[[#This Row],[installierte Leistung MW]]&lt;&gt;"",Tabelle589711[[#This Row],[Durchschnittsauslastung]]*Tabelle589711[[#This Row],[installierte Leistung MW]],"")</f>
        <v/>
      </c>
      <c r="AE29" s="19"/>
      <c r="AF29" s="19"/>
      <c r="AG29" s="19"/>
      <c r="AH29" s="19">
        <f t="shared" si="3"/>
        <v>1.6666666666666666E-4</v>
      </c>
      <c r="AI29" s="19"/>
      <c r="AJ29" s="28">
        <f t="shared" si="2"/>
        <v>1.6666666666666668E-3</v>
      </c>
      <c r="AK29" s="28"/>
      <c r="AL29" s="28"/>
      <c r="AN29" s="1">
        <v>1.75</v>
      </c>
      <c r="AP29" s="1">
        <v>1.75</v>
      </c>
      <c r="AV29" s="1">
        <v>116</v>
      </c>
      <c r="BC29" s="13" t="s">
        <v>298</v>
      </c>
      <c r="BD29" s="13" t="s">
        <v>298</v>
      </c>
      <c r="BE29" s="13"/>
      <c r="BF29" s="13"/>
      <c r="BG29" s="13"/>
      <c r="BH29" s="13"/>
      <c r="BI29" s="13"/>
      <c r="BJ29" s="13"/>
      <c r="BK29" s="1">
        <v>63</v>
      </c>
      <c r="BO29" s="1">
        <v>62</v>
      </c>
    </row>
    <row r="30" spans="1:68" x14ac:dyDescent="0.25">
      <c r="A30" s="1" t="s">
        <v>130</v>
      </c>
      <c r="B30" s="1" t="s">
        <v>139</v>
      </c>
      <c r="C30" s="1">
        <v>2020</v>
      </c>
      <c r="D30" s="1">
        <v>1</v>
      </c>
      <c r="E30" s="1">
        <v>0</v>
      </c>
      <c r="F30" s="1">
        <v>0</v>
      </c>
      <c r="H30" s="11"/>
      <c r="I30" s="11"/>
      <c r="J30" s="11"/>
      <c r="L30" s="19"/>
      <c r="N30" s="11">
        <v>1600</v>
      </c>
      <c r="O30" s="11">
        <v>1600</v>
      </c>
      <c r="P30" s="19"/>
      <c r="Q30" s="19"/>
      <c r="R30" s="19"/>
      <c r="S30" s="19"/>
      <c r="T30" s="19"/>
      <c r="U30" s="11">
        <v>1600</v>
      </c>
      <c r="V30" s="11">
        <v>1600</v>
      </c>
      <c r="W30" s="19"/>
      <c r="X30" s="19"/>
      <c r="Y30" s="19"/>
      <c r="Z30" s="20"/>
      <c r="AA30" s="42"/>
      <c r="AB30" s="9"/>
      <c r="AC30" s="9"/>
      <c r="AD30" s="20" t="str">
        <f>IF(Tabelle589711[[#This Row],[installierte Leistung MW]]&lt;&gt;"",Tabelle589711[[#This Row],[Durchschnittsauslastung]]*Tabelle589711[[#This Row],[installierte Leistung MW]],"")</f>
        <v/>
      </c>
      <c r="AE30" s="19"/>
      <c r="AF30" s="19"/>
      <c r="AG30" s="19"/>
      <c r="AH30" s="19">
        <f t="shared" si="3"/>
        <v>1.6666666666666666E-4</v>
      </c>
      <c r="AI30" s="19"/>
      <c r="AJ30" s="28">
        <f t="shared" si="2"/>
        <v>1.6666666666666668E-3</v>
      </c>
      <c r="AK30" s="28"/>
      <c r="AL30" s="28"/>
      <c r="AN30" s="1">
        <v>1.75</v>
      </c>
      <c r="AP30" s="1">
        <v>1.75</v>
      </c>
      <c r="AV30" s="1">
        <v>116</v>
      </c>
      <c r="BC30" s="13" t="s">
        <v>298</v>
      </c>
      <c r="BD30" s="13" t="s">
        <v>298</v>
      </c>
      <c r="BE30" s="13"/>
      <c r="BF30" s="13"/>
      <c r="BG30" s="13"/>
      <c r="BH30" s="13"/>
      <c r="BI30" s="13"/>
      <c r="BJ30" s="13"/>
    </row>
    <row r="31" spans="1:68" x14ac:dyDescent="0.25">
      <c r="A31" s="1" t="s">
        <v>130</v>
      </c>
      <c r="B31" s="1" t="s">
        <v>139</v>
      </c>
      <c r="C31" s="1">
        <v>2030</v>
      </c>
      <c r="D31" s="1">
        <v>1</v>
      </c>
      <c r="E31" s="1">
        <v>0</v>
      </c>
      <c r="F31" s="1">
        <v>0</v>
      </c>
      <c r="H31" s="11"/>
      <c r="I31" s="11"/>
      <c r="J31" s="11"/>
      <c r="L31" s="19"/>
      <c r="N31" s="11">
        <v>1600</v>
      </c>
      <c r="O31" s="11">
        <v>1600</v>
      </c>
      <c r="P31" s="19"/>
      <c r="Q31" s="19"/>
      <c r="R31" s="19"/>
      <c r="S31" s="19"/>
      <c r="T31" s="19"/>
      <c r="U31" s="11">
        <v>1600</v>
      </c>
      <c r="V31" s="11">
        <v>1600</v>
      </c>
      <c r="W31" s="19"/>
      <c r="X31" s="19"/>
      <c r="Y31" s="19"/>
      <c r="Z31" s="20"/>
      <c r="AA31" s="42"/>
      <c r="AB31" s="9"/>
      <c r="AC31" s="9"/>
      <c r="AD31" s="20" t="str">
        <f>IF(Tabelle589711[[#This Row],[installierte Leistung MW]]&lt;&gt;"",Tabelle589711[[#This Row],[Durchschnittsauslastung]]*Tabelle589711[[#This Row],[installierte Leistung MW]],"")</f>
        <v/>
      </c>
      <c r="AE31" s="19"/>
      <c r="AF31" s="19"/>
      <c r="AG31" s="19"/>
      <c r="AH31" s="19">
        <f t="shared" si="3"/>
        <v>1.6666666666666666E-4</v>
      </c>
      <c r="AI31" s="19"/>
      <c r="AJ31" s="28">
        <f t="shared" si="2"/>
        <v>1.6666666666666668E-3</v>
      </c>
      <c r="AK31" s="28"/>
      <c r="AL31" s="28"/>
      <c r="AN31" s="1">
        <v>1.75</v>
      </c>
      <c r="AP31" s="1">
        <v>1.75</v>
      </c>
      <c r="AV31" s="1">
        <v>116</v>
      </c>
      <c r="BC31" s="13" t="s">
        <v>298</v>
      </c>
      <c r="BD31" s="13" t="s">
        <v>298</v>
      </c>
      <c r="BE31" s="13"/>
      <c r="BF31" s="13"/>
      <c r="BG31" s="13"/>
      <c r="BH31" s="13"/>
      <c r="BI31" s="13"/>
      <c r="BJ31" s="13"/>
    </row>
    <row r="32" spans="1:68" x14ac:dyDescent="0.25">
      <c r="A32" s="1" t="s">
        <v>129</v>
      </c>
      <c r="B32" s="1" t="s">
        <v>139</v>
      </c>
      <c r="C32" s="1">
        <v>2010</v>
      </c>
      <c r="D32" s="1">
        <v>1</v>
      </c>
      <c r="E32" s="1">
        <v>0</v>
      </c>
      <c r="F32" s="1">
        <v>0</v>
      </c>
      <c r="H32" s="11"/>
      <c r="I32" s="11"/>
      <c r="J32" s="11"/>
      <c r="L32" s="19"/>
      <c r="N32" s="11">
        <v>900</v>
      </c>
      <c r="O32" s="11">
        <v>900</v>
      </c>
      <c r="P32" s="19"/>
      <c r="Q32" s="19"/>
      <c r="R32" s="19"/>
      <c r="S32" s="19"/>
      <c r="T32" s="19"/>
      <c r="U32" s="11">
        <v>900</v>
      </c>
      <c r="V32" s="11">
        <v>900</v>
      </c>
      <c r="W32" s="19"/>
      <c r="X32" s="19"/>
      <c r="Y32" s="19"/>
      <c r="Z32" s="20"/>
      <c r="AA32" s="42"/>
      <c r="AB32" s="9"/>
      <c r="AC32" s="9"/>
      <c r="AD32" s="20" t="str">
        <f>IF(Tabelle589711[[#This Row],[installierte Leistung MW]]&lt;&gt;"",Tabelle589711[[#This Row],[Durchschnittsauslastung]]*Tabelle589711[[#This Row],[installierte Leistung MW]],"")</f>
        <v/>
      </c>
      <c r="AE32" s="19"/>
      <c r="AF32" s="19"/>
      <c r="AG32" s="19"/>
      <c r="AH32" s="19">
        <f t="shared" si="3"/>
        <v>1.6666666666666666E-4</v>
      </c>
      <c r="AI32" s="19"/>
      <c r="AJ32" s="28">
        <f t="shared" si="2"/>
        <v>1.6666666666666668E-3</v>
      </c>
      <c r="AK32" s="28"/>
      <c r="AL32" s="28"/>
      <c r="AN32" s="1">
        <v>2</v>
      </c>
      <c r="AP32" s="1">
        <v>2</v>
      </c>
      <c r="AT32" s="1" t="s">
        <v>313</v>
      </c>
      <c r="BC32" s="13" t="s">
        <v>298</v>
      </c>
      <c r="BD32" s="13" t="s">
        <v>298</v>
      </c>
      <c r="BE32" s="13"/>
      <c r="BF32" s="13"/>
      <c r="BG32" s="13"/>
      <c r="BH32" s="13"/>
      <c r="BI32" s="13"/>
      <c r="BJ32" s="13"/>
      <c r="BK32" s="1">
        <v>61</v>
      </c>
      <c r="BN32" s="1" t="s">
        <v>314</v>
      </c>
    </row>
    <row r="33" spans="1:68" x14ac:dyDescent="0.25">
      <c r="A33" s="1" t="s">
        <v>129</v>
      </c>
      <c r="B33" s="1" t="s">
        <v>139</v>
      </c>
      <c r="C33" s="1">
        <v>2020</v>
      </c>
      <c r="D33" s="1">
        <v>1</v>
      </c>
      <c r="E33" s="1">
        <v>0</v>
      </c>
      <c r="F33" s="1">
        <v>0</v>
      </c>
      <c r="H33" s="11"/>
      <c r="I33" s="11"/>
      <c r="J33" s="11"/>
      <c r="L33" s="19"/>
      <c r="N33" s="11">
        <v>1000</v>
      </c>
      <c r="O33" s="11">
        <v>1000</v>
      </c>
      <c r="P33" s="19"/>
      <c r="Q33" s="19"/>
      <c r="R33" s="19"/>
      <c r="S33" s="19"/>
      <c r="T33" s="19"/>
      <c r="U33" s="11">
        <v>1000</v>
      </c>
      <c r="V33" s="11">
        <v>1000</v>
      </c>
      <c r="W33" s="19"/>
      <c r="X33" s="19"/>
      <c r="Y33" s="19"/>
      <c r="Z33" s="20"/>
      <c r="AA33" s="42"/>
      <c r="AB33" s="9"/>
      <c r="AC33" s="9"/>
      <c r="AD33" s="20" t="str">
        <f>IF(Tabelle589711[[#This Row],[installierte Leistung MW]]&lt;&gt;"",Tabelle589711[[#This Row],[Durchschnittsauslastung]]*Tabelle589711[[#This Row],[installierte Leistung MW]],"")</f>
        <v/>
      </c>
      <c r="AE33" s="19"/>
      <c r="AF33" s="19"/>
      <c r="AG33" s="19"/>
      <c r="AH33" s="19">
        <f t="shared" si="3"/>
        <v>1.6666666666666666E-4</v>
      </c>
      <c r="AI33" s="19"/>
      <c r="AJ33" s="28">
        <f t="shared" si="2"/>
        <v>1.6666666666666668E-3</v>
      </c>
      <c r="AK33" s="28"/>
      <c r="AL33" s="28"/>
      <c r="AN33" s="1">
        <v>2</v>
      </c>
      <c r="AP33" s="1">
        <v>2</v>
      </c>
      <c r="AT33" s="1" t="s">
        <v>313</v>
      </c>
      <c r="BC33" s="13" t="s">
        <v>298</v>
      </c>
      <c r="BD33" s="13" t="s">
        <v>298</v>
      </c>
      <c r="BE33" s="13"/>
      <c r="BF33" s="13"/>
      <c r="BG33" s="13"/>
      <c r="BH33" s="13"/>
      <c r="BI33" s="13"/>
      <c r="BJ33" s="13"/>
    </row>
    <row r="34" spans="1:68" x14ac:dyDescent="0.25">
      <c r="A34" s="1" t="s">
        <v>129</v>
      </c>
      <c r="B34" s="1" t="s">
        <v>139</v>
      </c>
      <c r="C34" s="1">
        <v>2030</v>
      </c>
      <c r="D34" s="1">
        <v>1</v>
      </c>
      <c r="E34" s="1">
        <v>0</v>
      </c>
      <c r="F34" s="1">
        <v>0</v>
      </c>
      <c r="H34" s="11"/>
      <c r="I34" s="11"/>
      <c r="J34" s="11"/>
      <c r="L34" s="19"/>
      <c r="N34" s="11">
        <v>1000</v>
      </c>
      <c r="O34" s="11">
        <v>1000</v>
      </c>
      <c r="P34" s="19"/>
      <c r="Q34" s="19"/>
      <c r="R34" s="19"/>
      <c r="S34" s="19"/>
      <c r="T34" s="19"/>
      <c r="U34" s="11">
        <v>1000</v>
      </c>
      <c r="V34" s="11">
        <v>1000</v>
      </c>
      <c r="W34" s="19"/>
      <c r="X34" s="19"/>
      <c r="Y34" s="19"/>
      <c r="Z34" s="20"/>
      <c r="AA34" s="42"/>
      <c r="AB34" s="9"/>
      <c r="AC34" s="9"/>
      <c r="AD34" s="20" t="str">
        <f>IF(Tabelle589711[[#This Row],[installierte Leistung MW]]&lt;&gt;"",Tabelle589711[[#This Row],[Durchschnittsauslastung]]*Tabelle589711[[#This Row],[installierte Leistung MW]],"")</f>
        <v/>
      </c>
      <c r="AE34" s="19"/>
      <c r="AF34" s="19"/>
      <c r="AG34" s="19"/>
      <c r="AH34" s="19">
        <f t="shared" si="3"/>
        <v>1.6666666666666666E-4</v>
      </c>
      <c r="AI34" s="19"/>
      <c r="AJ34" s="28">
        <f t="shared" si="2"/>
        <v>1.6666666666666668E-3</v>
      </c>
      <c r="AK34" s="28"/>
      <c r="AL34" s="28"/>
      <c r="AN34" s="1">
        <v>2</v>
      </c>
      <c r="AP34" s="1">
        <v>2</v>
      </c>
      <c r="AT34" s="1" t="s">
        <v>313</v>
      </c>
      <c r="BC34" s="13" t="s">
        <v>298</v>
      </c>
      <c r="BD34" s="13" t="s">
        <v>298</v>
      </c>
      <c r="BE34" s="13"/>
      <c r="BF34" s="13"/>
      <c r="BG34" s="13"/>
      <c r="BH34" s="13"/>
      <c r="BI34" s="13"/>
      <c r="BJ34" s="13"/>
    </row>
    <row r="35" spans="1:68" x14ac:dyDescent="0.25">
      <c r="A35" s="1" t="s">
        <v>362</v>
      </c>
      <c r="B35" s="1" t="s">
        <v>139</v>
      </c>
      <c r="C35" s="1">
        <v>2010</v>
      </c>
      <c r="D35" s="1">
        <v>1</v>
      </c>
      <c r="E35" s="1">
        <v>0</v>
      </c>
      <c r="F35" s="1">
        <v>0</v>
      </c>
      <c r="H35" s="11"/>
      <c r="I35" s="11"/>
      <c r="J35" s="11"/>
      <c r="L35" s="19"/>
      <c r="N35" s="11">
        <v>2620</v>
      </c>
      <c r="O35" s="11">
        <v>0</v>
      </c>
      <c r="P35" s="19"/>
      <c r="Q35" s="19"/>
      <c r="R35" s="19"/>
      <c r="S35" s="19"/>
      <c r="T35" s="19"/>
      <c r="U35" s="11">
        <v>2620</v>
      </c>
      <c r="V35" s="11">
        <v>0</v>
      </c>
      <c r="W35" s="19"/>
      <c r="X35" s="19"/>
      <c r="Y35" s="19"/>
      <c r="Z35" s="20"/>
      <c r="AA35" s="42">
        <f>Tabelle589711[[#This Row],[Durchschnittsauslastung]]*8760</f>
        <v>450</v>
      </c>
      <c r="AB35" s="9">
        <f>450/8760</f>
        <v>5.1369863013698627E-2</v>
      </c>
      <c r="AC35" s="9"/>
      <c r="AD35" s="20" t="str">
        <f>IF(Tabelle589711[[#This Row],[installierte Leistung MW]]&lt;&gt;"",Tabelle589711[[#This Row],[Durchschnittsauslastung]]*Tabelle589711[[#This Row],[installierte Leistung MW]],"")</f>
        <v/>
      </c>
      <c r="AE35" s="19"/>
      <c r="AF35" s="19"/>
      <c r="AG35" s="19"/>
      <c r="AH35" s="19">
        <f t="shared" si="3"/>
        <v>1.6666666666666666E-4</v>
      </c>
      <c r="AI35" s="19"/>
      <c r="AJ35" s="28">
        <f t="shared" si="2"/>
        <v>1.6666666666666668E-3</v>
      </c>
      <c r="AK35" s="28"/>
      <c r="AL35" s="28"/>
      <c r="BC35" s="13" t="s">
        <v>298</v>
      </c>
      <c r="BD35" s="13" t="s">
        <v>298</v>
      </c>
      <c r="BE35" s="13"/>
      <c r="BF35" s="13"/>
      <c r="BG35" s="13"/>
      <c r="BH35" s="13"/>
      <c r="BI35" s="13"/>
      <c r="BJ35" s="13"/>
    </row>
    <row r="36" spans="1:68" x14ac:dyDescent="0.25">
      <c r="A36" s="1" t="s">
        <v>362</v>
      </c>
      <c r="B36" s="1" t="s">
        <v>139</v>
      </c>
      <c r="C36" s="1">
        <v>2020</v>
      </c>
      <c r="D36" s="1">
        <v>1</v>
      </c>
      <c r="E36" s="1">
        <v>0</v>
      </c>
      <c r="F36" s="1">
        <v>0</v>
      </c>
      <c r="H36" s="11"/>
      <c r="I36" s="11"/>
      <c r="J36" s="11"/>
      <c r="L36" s="19"/>
      <c r="N36" s="11">
        <v>7800</v>
      </c>
      <c r="O36" s="11">
        <v>0</v>
      </c>
      <c r="P36" s="19"/>
      <c r="Q36" s="19"/>
      <c r="R36" s="19"/>
      <c r="S36" s="19"/>
      <c r="T36" s="19"/>
      <c r="U36" s="11">
        <v>7800</v>
      </c>
      <c r="V36" s="11">
        <v>0</v>
      </c>
      <c r="W36" s="19"/>
      <c r="X36" s="19"/>
      <c r="Y36" s="19"/>
      <c r="Z36" s="20"/>
      <c r="AA36" s="42">
        <f>Tabelle589711[[#This Row],[Durchschnittsauslastung]]*8760</f>
        <v>450</v>
      </c>
      <c r="AB36" s="9">
        <f>450/8760</f>
        <v>5.1369863013698627E-2</v>
      </c>
      <c r="AC36" s="9"/>
      <c r="AD36" s="20" t="str">
        <f>IF(Tabelle589711[[#This Row],[installierte Leistung MW]]&lt;&gt;"",Tabelle589711[[#This Row],[Durchschnittsauslastung]]*Tabelle589711[[#This Row],[installierte Leistung MW]],"")</f>
        <v/>
      </c>
      <c r="AE36" s="19"/>
      <c r="AF36" s="19"/>
      <c r="AG36" s="19"/>
      <c r="AH36" s="19">
        <f t="shared" si="3"/>
        <v>1.6666666666666666E-4</v>
      </c>
      <c r="AI36" s="19"/>
      <c r="AJ36" s="28">
        <f t="shared" si="2"/>
        <v>1.6666666666666668E-3</v>
      </c>
      <c r="AK36" s="28"/>
      <c r="AL36" s="28"/>
      <c r="BC36" s="13" t="s">
        <v>298</v>
      </c>
      <c r="BD36" s="13" t="s">
        <v>298</v>
      </c>
      <c r="BE36" s="13"/>
      <c r="BF36" s="13"/>
      <c r="BG36" s="13"/>
      <c r="BH36" s="13"/>
      <c r="BI36" s="13"/>
      <c r="BJ36" s="13"/>
    </row>
    <row r="37" spans="1:68" x14ac:dyDescent="0.25">
      <c r="A37" s="1" t="s">
        <v>362</v>
      </c>
      <c r="B37" s="1" t="s">
        <v>139</v>
      </c>
      <c r="C37" s="1">
        <v>2030</v>
      </c>
      <c r="D37" s="1">
        <v>1</v>
      </c>
      <c r="E37" s="1">
        <v>0</v>
      </c>
      <c r="F37" s="1">
        <v>0</v>
      </c>
      <c r="H37" s="11"/>
      <c r="I37" s="11"/>
      <c r="J37" s="11"/>
      <c r="L37" s="19"/>
      <c r="N37" s="11">
        <v>11420</v>
      </c>
      <c r="O37" s="11">
        <v>0</v>
      </c>
      <c r="P37" s="19"/>
      <c r="Q37" s="19"/>
      <c r="R37" s="19"/>
      <c r="S37" s="19"/>
      <c r="T37" s="19"/>
      <c r="U37" s="11">
        <v>11420</v>
      </c>
      <c r="V37" s="11">
        <v>0</v>
      </c>
      <c r="W37" s="19"/>
      <c r="X37" s="19"/>
      <c r="Y37" s="19"/>
      <c r="Z37" s="20"/>
      <c r="AA37" s="42">
        <f>Tabelle589711[[#This Row],[Durchschnittsauslastung]]*8760</f>
        <v>450</v>
      </c>
      <c r="AB37" s="9">
        <f>450/8760</f>
        <v>5.1369863013698627E-2</v>
      </c>
      <c r="AC37" s="9"/>
      <c r="AD37" s="20" t="str">
        <f>IF(Tabelle589711[[#This Row],[installierte Leistung MW]]&lt;&gt;"",Tabelle589711[[#This Row],[Durchschnittsauslastung]]*Tabelle589711[[#This Row],[installierte Leistung MW]],"")</f>
        <v/>
      </c>
      <c r="AE37" s="19"/>
      <c r="AF37" s="19"/>
      <c r="AG37" s="19"/>
      <c r="AH37" s="19">
        <f t="shared" si="3"/>
        <v>1.6666666666666666E-4</v>
      </c>
      <c r="AI37" s="19"/>
      <c r="AJ37" s="28">
        <f t="shared" si="2"/>
        <v>1.6666666666666668E-3</v>
      </c>
      <c r="AK37" s="28"/>
      <c r="AL37" s="28"/>
      <c r="BC37" s="13" t="s">
        <v>298</v>
      </c>
      <c r="BD37" s="13" t="s">
        <v>298</v>
      </c>
      <c r="BE37" s="13"/>
      <c r="BF37" s="13"/>
      <c r="BG37" s="13"/>
      <c r="BH37" s="13"/>
      <c r="BI37" s="13"/>
      <c r="BJ37" s="13"/>
    </row>
    <row r="38" spans="1:68" x14ac:dyDescent="0.25">
      <c r="A38" s="1" t="s">
        <v>134</v>
      </c>
      <c r="B38" s="1" t="s">
        <v>139</v>
      </c>
      <c r="C38" s="1">
        <v>2010</v>
      </c>
      <c r="D38" s="1">
        <v>1</v>
      </c>
      <c r="E38" s="1">
        <v>0</v>
      </c>
      <c r="F38" s="1">
        <v>0</v>
      </c>
      <c r="H38" s="11"/>
      <c r="I38" s="11"/>
      <c r="J38" s="11"/>
      <c r="L38" s="19"/>
      <c r="N38" s="11">
        <v>0</v>
      </c>
      <c r="O38" s="11">
        <v>380</v>
      </c>
      <c r="P38" s="19"/>
      <c r="Q38" s="19"/>
      <c r="R38" s="19"/>
      <c r="S38" s="19"/>
      <c r="T38" s="19"/>
      <c r="U38" s="11">
        <v>0</v>
      </c>
      <c r="V38" s="11">
        <v>380</v>
      </c>
      <c r="W38" s="19"/>
      <c r="X38" s="19"/>
      <c r="Y38" s="19"/>
      <c r="Z38" s="20"/>
      <c r="AA38" s="42">
        <f>Tabelle589711[[#This Row],[Durchschnittsauslastung]]*8760</f>
        <v>1950</v>
      </c>
      <c r="AB38" s="9">
        <f>1950/8760</f>
        <v>0.2226027397260274</v>
      </c>
      <c r="AC38" s="9"/>
      <c r="AD38" s="20">
        <f>IF(Tabelle589711[[#This Row],[installierte Leistung MW]]&lt;&gt;"",Tabelle589711[[#This Row],[Durchschnittsauslastung]]*Tabelle589711[[#This Row],[installierte Leistung MW]],"")</f>
        <v>342.8082191780822</v>
      </c>
      <c r="AE38" s="19">
        <v>1540</v>
      </c>
      <c r="AF38" s="19"/>
      <c r="AG38" s="19"/>
      <c r="AH38" s="19">
        <f t="shared" si="3"/>
        <v>1.6666666666666666E-4</v>
      </c>
      <c r="AI38" s="19"/>
      <c r="AJ38" s="28">
        <f t="shared" si="2"/>
        <v>1.6666666666666668E-3</v>
      </c>
      <c r="AK38" s="28"/>
      <c r="AL38" s="28"/>
      <c r="AT38" s="1" t="s">
        <v>316</v>
      </c>
      <c r="BC38" s="13" t="s">
        <v>298</v>
      </c>
      <c r="BD38" s="13" t="s">
        <v>298</v>
      </c>
      <c r="BE38" s="13"/>
      <c r="BF38" s="13"/>
      <c r="BG38" s="13">
        <v>73</v>
      </c>
      <c r="BH38" s="13"/>
      <c r="BI38" s="13">
        <v>73</v>
      </c>
      <c r="BJ38" s="13"/>
    </row>
    <row r="39" spans="1:68" x14ac:dyDescent="0.25">
      <c r="A39" s="1" t="s">
        <v>134</v>
      </c>
      <c r="B39" s="1" t="s">
        <v>139</v>
      </c>
      <c r="C39" s="1">
        <v>2020</v>
      </c>
      <c r="D39" s="1">
        <v>1</v>
      </c>
      <c r="E39" s="1">
        <v>0</v>
      </c>
      <c r="F39" s="1">
        <v>0</v>
      </c>
      <c r="H39" s="11"/>
      <c r="I39" s="11"/>
      <c r="J39" s="11"/>
      <c r="L39" s="19"/>
      <c r="N39" s="11">
        <v>0</v>
      </c>
      <c r="O39" s="11">
        <v>5950</v>
      </c>
      <c r="P39" s="19"/>
      <c r="Q39" s="19"/>
      <c r="R39" s="19"/>
      <c r="S39" s="19"/>
      <c r="T39" s="19"/>
      <c r="U39" s="11">
        <v>0</v>
      </c>
      <c r="V39" s="11">
        <v>5950</v>
      </c>
      <c r="W39" s="19"/>
      <c r="X39" s="19"/>
      <c r="Y39" s="19"/>
      <c r="Z39" s="20"/>
      <c r="AA39" s="42">
        <f>Tabelle589711[[#This Row],[Durchschnittsauslastung]]*8760</f>
        <v>1900</v>
      </c>
      <c r="AB39" s="9">
        <f>1900/8760</f>
        <v>0.21689497716894976</v>
      </c>
      <c r="AC39" s="9"/>
      <c r="AD39" s="20" t="str">
        <f>IF(Tabelle589711[[#This Row],[installierte Leistung MW]]&lt;&gt;"",Tabelle589711[[#This Row],[Durchschnittsauslastung]]*Tabelle589711[[#This Row],[installierte Leistung MW]],"")</f>
        <v/>
      </c>
      <c r="AE39" s="19"/>
      <c r="AF39" s="19">
        <v>3630</v>
      </c>
      <c r="AG39" s="19">
        <v>4580</v>
      </c>
      <c r="AH39" s="19">
        <f t="shared" si="3"/>
        <v>1.6666666666666666E-4</v>
      </c>
      <c r="AI39" s="19"/>
      <c r="AJ39" s="28">
        <f t="shared" si="2"/>
        <v>1.6666666666666668E-3</v>
      </c>
      <c r="AK39" s="28"/>
      <c r="AL39" s="28"/>
      <c r="AT39" s="1" t="s">
        <v>316</v>
      </c>
      <c r="BC39" s="13" t="s">
        <v>298</v>
      </c>
      <c r="BD39" s="13" t="s">
        <v>298</v>
      </c>
      <c r="BE39" s="13"/>
      <c r="BF39" s="13"/>
      <c r="BG39" s="13">
        <v>73</v>
      </c>
      <c r="BH39" s="13"/>
      <c r="BI39" s="13"/>
      <c r="BJ39" s="13"/>
    </row>
    <row r="40" spans="1:68" x14ac:dyDescent="0.25">
      <c r="A40" s="1" t="s">
        <v>134</v>
      </c>
      <c r="B40" s="1" t="s">
        <v>139</v>
      </c>
      <c r="C40" s="1">
        <v>2030</v>
      </c>
      <c r="D40" s="1">
        <v>1</v>
      </c>
      <c r="E40" s="1">
        <v>0</v>
      </c>
      <c r="F40" s="1">
        <v>0</v>
      </c>
      <c r="H40" s="11"/>
      <c r="I40" s="11"/>
      <c r="J40" s="11"/>
      <c r="L40" s="19"/>
      <c r="N40" s="11">
        <v>0</v>
      </c>
      <c r="O40" s="11">
        <v>8200</v>
      </c>
      <c r="P40" s="19"/>
      <c r="Q40" s="19"/>
      <c r="R40" s="19"/>
      <c r="S40" s="19"/>
      <c r="T40" s="19"/>
      <c r="U40" s="11">
        <v>0</v>
      </c>
      <c r="V40" s="11">
        <v>8200</v>
      </c>
      <c r="W40" s="19"/>
      <c r="X40" s="19"/>
      <c r="Y40" s="19"/>
      <c r="Z40" s="20"/>
      <c r="AA40" s="42">
        <f>Tabelle589711[[#This Row],[Durchschnittsauslastung]]*8760</f>
        <v>1850</v>
      </c>
      <c r="AB40" s="9">
        <f>1850/8760</f>
        <v>0.21118721461187215</v>
      </c>
      <c r="AC40" s="9"/>
      <c r="AD40" s="20" t="str">
        <f>IF(Tabelle589711[[#This Row],[installierte Leistung MW]]&lt;&gt;"",Tabelle589711[[#This Row],[Durchschnittsauslastung]]*Tabelle589711[[#This Row],[installierte Leistung MW]],"")</f>
        <v/>
      </c>
      <c r="AE40" s="19"/>
      <c r="AF40" s="19">
        <v>5100</v>
      </c>
      <c r="AG40" s="19">
        <v>9100</v>
      </c>
      <c r="AH40" s="19">
        <f t="shared" si="3"/>
        <v>1.6666666666666666E-4</v>
      </c>
      <c r="AI40" s="19"/>
      <c r="AJ40" s="28">
        <f t="shared" si="2"/>
        <v>1.6666666666666668E-3</v>
      </c>
      <c r="AK40" s="28"/>
      <c r="AL40" s="28"/>
      <c r="AT40" s="1" t="s">
        <v>316</v>
      </c>
      <c r="BC40" s="13" t="s">
        <v>298</v>
      </c>
      <c r="BD40" s="13" t="s">
        <v>298</v>
      </c>
      <c r="BE40" s="13"/>
      <c r="BF40" s="13"/>
      <c r="BG40" s="13">
        <v>73</v>
      </c>
      <c r="BH40" s="13"/>
      <c r="BI40" s="13"/>
      <c r="BJ40" s="13"/>
    </row>
    <row r="41" spans="1:68" x14ac:dyDescent="0.25">
      <c r="A41" s="1" t="s">
        <v>138</v>
      </c>
      <c r="B41" s="1" t="s">
        <v>139</v>
      </c>
      <c r="C41" s="1">
        <v>2010</v>
      </c>
      <c r="D41" s="1">
        <v>1</v>
      </c>
      <c r="E41" s="1">
        <v>0</v>
      </c>
      <c r="F41" s="1">
        <v>0</v>
      </c>
      <c r="H41" s="11"/>
      <c r="I41" s="11"/>
      <c r="J41" s="11"/>
      <c r="L41" s="19"/>
      <c r="N41" s="11">
        <v>0</v>
      </c>
      <c r="O41" s="11">
        <v>2430</v>
      </c>
      <c r="P41" s="19"/>
      <c r="Q41" s="19"/>
      <c r="R41" s="19"/>
      <c r="S41" s="19"/>
      <c r="T41" s="19"/>
      <c r="U41" s="11">
        <v>0</v>
      </c>
      <c r="V41" s="11">
        <v>2430</v>
      </c>
      <c r="W41" s="19"/>
      <c r="X41" s="19"/>
      <c r="Y41" s="19"/>
      <c r="Z41" s="20"/>
      <c r="AA41" s="42"/>
      <c r="AB41" s="9"/>
      <c r="AC41" s="9"/>
      <c r="AD41" s="20" t="str">
        <f>IF(Tabelle589711[[#This Row],[installierte Leistung MW]]&lt;&gt;"",Tabelle589711[[#This Row],[Durchschnittsauslastung]]*Tabelle589711[[#This Row],[installierte Leistung MW]],"")</f>
        <v/>
      </c>
      <c r="AE41" s="19"/>
      <c r="AF41" s="19"/>
      <c r="AG41" s="19"/>
      <c r="AH41" s="19">
        <f t="shared" si="3"/>
        <v>1.6666666666666666E-4</v>
      </c>
      <c r="AI41" s="19"/>
      <c r="AJ41" s="28">
        <f t="shared" si="2"/>
        <v>1.6666666666666668E-3</v>
      </c>
      <c r="AK41" s="28"/>
      <c r="AL41" s="28"/>
      <c r="AR41" s="1">
        <v>24</v>
      </c>
      <c r="BC41" s="13" t="s">
        <v>298</v>
      </c>
      <c r="BD41" s="13" t="s">
        <v>298</v>
      </c>
      <c r="BE41" s="13"/>
      <c r="BF41" s="13"/>
      <c r="BG41" s="13"/>
      <c r="BH41" s="13"/>
      <c r="BI41" s="13"/>
      <c r="BJ41" s="13"/>
      <c r="BK41" s="1">
        <v>71</v>
      </c>
    </row>
    <row r="42" spans="1:68" x14ac:dyDescent="0.25">
      <c r="A42" s="1" t="s">
        <v>138</v>
      </c>
      <c r="B42" s="1" t="s">
        <v>139</v>
      </c>
      <c r="C42" s="1">
        <v>2020</v>
      </c>
      <c r="D42" s="1">
        <v>1</v>
      </c>
      <c r="E42" s="1">
        <v>0</v>
      </c>
      <c r="F42" s="1">
        <v>0</v>
      </c>
      <c r="H42" s="11"/>
      <c r="I42" s="11"/>
      <c r="J42" s="11"/>
      <c r="L42" s="19"/>
      <c r="N42" s="11">
        <v>0</v>
      </c>
      <c r="O42" s="11">
        <v>1200</v>
      </c>
      <c r="P42" s="19"/>
      <c r="Q42" s="19"/>
      <c r="R42" s="19"/>
      <c r="S42" s="19"/>
      <c r="T42" s="19"/>
      <c r="U42" s="11">
        <v>0</v>
      </c>
      <c r="V42" s="11">
        <v>1200</v>
      </c>
      <c r="W42" s="19"/>
      <c r="X42" s="19"/>
      <c r="Y42" s="19"/>
      <c r="Z42" s="20"/>
      <c r="AA42" s="42"/>
      <c r="AB42" s="9"/>
      <c r="AC42" s="9"/>
      <c r="AD42" s="20" t="str">
        <f>IF(Tabelle589711[[#This Row],[installierte Leistung MW]]&lt;&gt;"",Tabelle589711[[#This Row],[Durchschnittsauslastung]]*Tabelle589711[[#This Row],[installierte Leistung MW]],"")</f>
        <v/>
      </c>
      <c r="AE42" s="19"/>
      <c r="AF42" s="19"/>
      <c r="AG42" s="19"/>
      <c r="AH42" s="19">
        <f t="shared" si="3"/>
        <v>1.6666666666666666E-4</v>
      </c>
      <c r="AI42" s="19"/>
      <c r="AJ42" s="28">
        <f t="shared" si="2"/>
        <v>1.6666666666666668E-3</v>
      </c>
      <c r="AK42" s="28"/>
      <c r="AL42" s="28"/>
      <c r="AR42" s="1">
        <v>24</v>
      </c>
      <c r="BC42" s="13" t="s">
        <v>298</v>
      </c>
      <c r="BD42" s="13" t="s">
        <v>298</v>
      </c>
      <c r="BE42" s="13"/>
      <c r="BF42" s="13"/>
      <c r="BG42" s="13"/>
      <c r="BH42" s="13"/>
      <c r="BI42" s="13"/>
      <c r="BJ42" s="13"/>
    </row>
    <row r="43" spans="1:68" x14ac:dyDescent="0.25">
      <c r="A43" s="1" t="s">
        <v>138</v>
      </c>
      <c r="B43" s="1" t="s">
        <v>139</v>
      </c>
      <c r="C43" s="1">
        <v>2030</v>
      </c>
      <c r="D43" s="1">
        <v>1</v>
      </c>
      <c r="E43" s="1">
        <v>0</v>
      </c>
      <c r="F43" s="1">
        <v>0</v>
      </c>
      <c r="H43" s="11"/>
      <c r="I43" s="11"/>
      <c r="J43" s="11"/>
      <c r="L43" s="19"/>
      <c r="N43" s="11">
        <v>0</v>
      </c>
      <c r="O43" s="11">
        <v>0</v>
      </c>
      <c r="P43" s="19"/>
      <c r="Q43" s="19"/>
      <c r="R43" s="19"/>
      <c r="S43" s="19"/>
      <c r="T43" s="19"/>
      <c r="U43" s="11">
        <v>0</v>
      </c>
      <c r="V43" s="11">
        <v>0</v>
      </c>
      <c r="W43" s="19"/>
      <c r="X43" s="19"/>
      <c r="Y43" s="19"/>
      <c r="Z43" s="20"/>
      <c r="AA43" s="42"/>
      <c r="AB43" s="9"/>
      <c r="AC43" s="9"/>
      <c r="AD43" s="20" t="str">
        <f>IF(Tabelle589711[[#This Row],[installierte Leistung MW]]&lt;&gt;"",Tabelle589711[[#This Row],[Durchschnittsauslastung]]*Tabelle589711[[#This Row],[installierte Leistung MW]],"")</f>
        <v/>
      </c>
      <c r="AE43" s="19"/>
      <c r="AF43" s="19"/>
      <c r="AG43" s="19"/>
      <c r="AH43" s="19">
        <f t="shared" si="3"/>
        <v>1.6666666666666666E-4</v>
      </c>
      <c r="AI43" s="19"/>
      <c r="AJ43" s="28">
        <f t="shared" si="2"/>
        <v>1.6666666666666668E-3</v>
      </c>
      <c r="AK43" s="28"/>
      <c r="AL43" s="28"/>
      <c r="AR43" s="1">
        <v>24</v>
      </c>
      <c r="BC43" s="13" t="s">
        <v>298</v>
      </c>
      <c r="BD43" s="13" t="s">
        <v>298</v>
      </c>
      <c r="BE43" s="13"/>
      <c r="BF43" s="13"/>
      <c r="BG43" s="13"/>
      <c r="BH43" s="13"/>
      <c r="BI43" s="13"/>
      <c r="BJ43" s="13"/>
    </row>
    <row r="44" spans="1:68" x14ac:dyDescent="0.25">
      <c r="A44" s="1" t="s">
        <v>284</v>
      </c>
      <c r="B44" s="1" t="s">
        <v>139</v>
      </c>
      <c r="C44" s="1">
        <v>2010</v>
      </c>
      <c r="D44" s="1">
        <v>1</v>
      </c>
      <c r="E44" s="1">
        <v>0</v>
      </c>
      <c r="F44" s="1">
        <v>0</v>
      </c>
      <c r="H44" s="11"/>
      <c r="I44" s="11"/>
      <c r="J44" s="11"/>
      <c r="L44" s="19"/>
      <c r="N44" s="11">
        <v>980</v>
      </c>
      <c r="O44" s="11">
        <v>980</v>
      </c>
      <c r="P44" s="19"/>
      <c r="Q44" s="19"/>
      <c r="R44" s="19"/>
      <c r="S44" s="19"/>
      <c r="T44" s="19"/>
      <c r="U44" s="11">
        <v>980</v>
      </c>
      <c r="V44" s="11">
        <v>980</v>
      </c>
      <c r="W44" s="19"/>
      <c r="X44" s="19"/>
      <c r="Y44" s="19"/>
      <c r="Z44" s="20"/>
      <c r="AA44" s="42"/>
      <c r="AB44" s="9"/>
      <c r="AC44" s="9"/>
      <c r="AD44" s="20" t="str">
        <f>IF(Tabelle589711[[#This Row],[installierte Leistung MW]]&lt;&gt;"",Tabelle589711[[#This Row],[Durchschnittsauslastung]]*Tabelle589711[[#This Row],[installierte Leistung MW]],"")</f>
        <v/>
      </c>
      <c r="AE44" s="19"/>
      <c r="AF44" s="19"/>
      <c r="AG44" s="19"/>
      <c r="AH44" s="19">
        <f t="shared" si="3"/>
        <v>1.6666666666666666E-4</v>
      </c>
      <c r="AI44" s="19"/>
      <c r="AJ44" s="28">
        <f t="shared" si="2"/>
        <v>1.6666666666666668E-3</v>
      </c>
      <c r="AK44" s="28"/>
      <c r="AL44" s="28"/>
      <c r="BC44" s="13" t="s">
        <v>298</v>
      </c>
      <c r="BD44" s="13" t="s">
        <v>298</v>
      </c>
      <c r="BE44" s="13"/>
      <c r="BF44" s="13"/>
      <c r="BG44" s="13"/>
      <c r="BH44" s="13"/>
      <c r="BI44" s="13"/>
      <c r="BJ44" s="13"/>
    </row>
    <row r="45" spans="1:68" x14ac:dyDescent="0.25">
      <c r="A45" s="1" t="s">
        <v>284</v>
      </c>
      <c r="B45" s="1" t="s">
        <v>139</v>
      </c>
      <c r="C45" s="1">
        <v>2020</v>
      </c>
      <c r="D45" s="1">
        <v>1</v>
      </c>
      <c r="E45" s="1">
        <v>0</v>
      </c>
      <c r="F45" s="1">
        <v>0</v>
      </c>
      <c r="H45" s="11"/>
      <c r="I45" s="11"/>
      <c r="J45" s="11"/>
      <c r="L45" s="19"/>
      <c r="N45" s="11">
        <v>980</v>
      </c>
      <c r="O45" s="11">
        <v>980</v>
      </c>
      <c r="P45" s="19"/>
      <c r="Q45" s="19"/>
      <c r="R45" s="19"/>
      <c r="S45" s="19"/>
      <c r="T45" s="19"/>
      <c r="U45" s="11">
        <v>980</v>
      </c>
      <c r="V45" s="11">
        <v>980</v>
      </c>
      <c r="W45" s="19"/>
      <c r="X45" s="19"/>
      <c r="Y45" s="19"/>
      <c r="Z45" s="20"/>
      <c r="AA45" s="42"/>
      <c r="AB45" s="9"/>
      <c r="AC45" s="9"/>
      <c r="AD45" s="20" t="str">
        <f>IF(Tabelle589711[[#This Row],[installierte Leistung MW]]&lt;&gt;"",Tabelle589711[[#This Row],[Durchschnittsauslastung]]*Tabelle589711[[#This Row],[installierte Leistung MW]],"")</f>
        <v/>
      </c>
      <c r="AE45" s="19"/>
      <c r="AF45" s="19"/>
      <c r="AG45" s="19"/>
      <c r="AH45" s="19">
        <f t="shared" si="3"/>
        <v>1.6666666666666666E-4</v>
      </c>
      <c r="AI45" s="19"/>
      <c r="AJ45" s="28">
        <f t="shared" si="2"/>
        <v>1.6666666666666668E-3</v>
      </c>
      <c r="AK45" s="28"/>
      <c r="AL45" s="28"/>
      <c r="BC45" s="13" t="s">
        <v>298</v>
      </c>
      <c r="BD45" s="13" t="s">
        <v>298</v>
      </c>
      <c r="BE45" s="13"/>
      <c r="BF45" s="13"/>
      <c r="BG45" s="13"/>
      <c r="BH45" s="13"/>
      <c r="BI45" s="13"/>
      <c r="BJ45" s="13"/>
    </row>
    <row r="46" spans="1:68" x14ac:dyDescent="0.25">
      <c r="A46" s="1" t="s">
        <v>284</v>
      </c>
      <c r="B46" s="1" t="s">
        <v>139</v>
      </c>
      <c r="C46" s="1">
        <v>2030</v>
      </c>
      <c r="D46" s="1">
        <v>1</v>
      </c>
      <c r="E46" s="1">
        <v>0</v>
      </c>
      <c r="F46" s="1">
        <v>0</v>
      </c>
      <c r="H46" s="11"/>
      <c r="I46" s="11"/>
      <c r="J46" s="11"/>
      <c r="L46" s="19"/>
      <c r="N46" s="11">
        <v>1000</v>
      </c>
      <c r="O46" s="11">
        <v>1000</v>
      </c>
      <c r="P46" s="19"/>
      <c r="Q46" s="19"/>
      <c r="R46" s="19"/>
      <c r="S46" s="19"/>
      <c r="T46" s="19"/>
      <c r="U46" s="11">
        <v>1000</v>
      </c>
      <c r="V46" s="11">
        <v>1000</v>
      </c>
      <c r="W46" s="19"/>
      <c r="X46" s="19"/>
      <c r="Y46" s="19"/>
      <c r="Z46" s="20"/>
      <c r="AA46" s="42"/>
      <c r="AB46" s="9"/>
      <c r="AC46" s="9"/>
      <c r="AD46" s="20" t="str">
        <f>IF(Tabelle589711[[#This Row],[installierte Leistung MW]]&lt;&gt;"",Tabelle589711[[#This Row],[Durchschnittsauslastung]]*Tabelle589711[[#This Row],[installierte Leistung MW]],"")</f>
        <v/>
      </c>
      <c r="AE46" s="19"/>
      <c r="AF46" s="19"/>
      <c r="AG46" s="19"/>
      <c r="AH46" s="19">
        <f t="shared" si="3"/>
        <v>1.6666666666666666E-4</v>
      </c>
      <c r="AI46" s="19"/>
      <c r="AJ46" s="28">
        <f t="shared" si="2"/>
        <v>1.6666666666666668E-3</v>
      </c>
      <c r="AK46" s="28"/>
      <c r="AL46" s="28"/>
      <c r="BC46" s="13" t="s">
        <v>298</v>
      </c>
      <c r="BD46" s="13" t="s">
        <v>298</v>
      </c>
      <c r="BE46" s="13"/>
      <c r="BF46" s="13"/>
      <c r="BG46" s="13"/>
      <c r="BH46" s="13"/>
      <c r="BI46" s="13"/>
      <c r="BJ46" s="13"/>
    </row>
    <row r="47" spans="1:68" x14ac:dyDescent="0.25">
      <c r="A47" s="1" t="s">
        <v>135</v>
      </c>
      <c r="B47" s="1" t="s">
        <v>139</v>
      </c>
      <c r="C47" s="1">
        <v>2010</v>
      </c>
      <c r="D47" s="1">
        <v>1</v>
      </c>
      <c r="E47" s="1">
        <v>0</v>
      </c>
      <c r="F47" s="1">
        <v>0</v>
      </c>
      <c r="H47" s="11"/>
      <c r="I47" s="11"/>
      <c r="J47" s="11"/>
      <c r="L47" s="19"/>
      <c r="N47" s="11">
        <v>3020</v>
      </c>
      <c r="O47" s="11">
        <v>4520</v>
      </c>
      <c r="P47" s="19"/>
      <c r="Q47" s="19"/>
      <c r="R47" s="19"/>
      <c r="S47" s="19"/>
      <c r="T47" s="19"/>
      <c r="U47" s="11">
        <v>3020</v>
      </c>
      <c r="V47" s="11">
        <v>4520</v>
      </c>
      <c r="W47" s="19"/>
      <c r="X47" s="19"/>
      <c r="Y47" s="19"/>
      <c r="Z47" s="20"/>
      <c r="AA47" s="42"/>
      <c r="AB47" s="9"/>
      <c r="AC47" s="9"/>
      <c r="AD47" s="20" t="str">
        <f>IF(Tabelle589711[[#This Row],[installierte Leistung MW]]&lt;&gt;"",Tabelle589711[[#This Row],[Durchschnittsauslastung]]*Tabelle589711[[#This Row],[installierte Leistung MW]],"")</f>
        <v/>
      </c>
      <c r="AE47" s="19"/>
      <c r="AF47" s="19"/>
      <c r="AG47" s="19"/>
      <c r="AH47" s="19">
        <f t="shared" si="3"/>
        <v>1.6666666666666666E-4</v>
      </c>
      <c r="AI47" s="19"/>
      <c r="AJ47" s="28">
        <f t="shared" si="2"/>
        <v>1.6666666666666668E-3</v>
      </c>
      <c r="AK47" s="28"/>
      <c r="AL47" s="28"/>
      <c r="AR47" s="1">
        <v>24</v>
      </c>
      <c r="AX47" s="1" t="s">
        <v>1095</v>
      </c>
      <c r="BC47" s="13" t="s">
        <v>298</v>
      </c>
      <c r="BD47" s="13" t="s">
        <v>298</v>
      </c>
      <c r="BE47" s="13"/>
      <c r="BF47" s="13"/>
      <c r="BG47" s="13"/>
      <c r="BH47" s="13"/>
      <c r="BI47" s="13"/>
      <c r="BJ47" s="13"/>
      <c r="BL47" s="1">
        <v>69</v>
      </c>
      <c r="BP47" s="1">
        <v>68</v>
      </c>
    </row>
    <row r="48" spans="1:68" x14ac:dyDescent="0.25">
      <c r="A48" s="1" t="s">
        <v>135</v>
      </c>
      <c r="B48" s="1" t="s">
        <v>139</v>
      </c>
      <c r="C48" s="1">
        <v>2020</v>
      </c>
      <c r="D48" s="1">
        <v>1</v>
      </c>
      <c r="E48" s="1">
        <v>0</v>
      </c>
      <c r="F48" s="1">
        <v>0</v>
      </c>
      <c r="H48" s="11"/>
      <c r="I48" s="11"/>
      <c r="J48" s="11"/>
      <c r="L48" s="19"/>
      <c r="N48" s="11">
        <v>3000</v>
      </c>
      <c r="O48" s="11">
        <v>4420</v>
      </c>
      <c r="P48" s="19"/>
      <c r="Q48" s="19"/>
      <c r="R48" s="19"/>
      <c r="S48" s="19"/>
      <c r="T48" s="19"/>
      <c r="U48" s="11">
        <v>3000</v>
      </c>
      <c r="V48" s="11">
        <v>4420</v>
      </c>
      <c r="W48" s="19"/>
      <c r="X48" s="19"/>
      <c r="Y48" s="19"/>
      <c r="Z48" s="20"/>
      <c r="AA48" s="42"/>
      <c r="AB48" s="9"/>
      <c r="AC48" s="9"/>
      <c r="AD48" s="20" t="str">
        <f>IF(Tabelle589711[[#This Row],[installierte Leistung MW]]&lt;&gt;"",Tabelle589711[[#This Row],[Durchschnittsauslastung]]*Tabelle589711[[#This Row],[installierte Leistung MW]],"")</f>
        <v/>
      </c>
      <c r="AE48" s="19"/>
      <c r="AF48" s="19"/>
      <c r="AG48" s="19"/>
      <c r="AH48" s="19">
        <f t="shared" si="3"/>
        <v>1.6666666666666666E-4</v>
      </c>
      <c r="AI48" s="19"/>
      <c r="AJ48" s="28">
        <f t="shared" si="2"/>
        <v>1.6666666666666668E-3</v>
      </c>
      <c r="AK48" s="28"/>
      <c r="AL48" s="28"/>
      <c r="AR48" s="1">
        <v>24</v>
      </c>
      <c r="AX48" s="1" t="s">
        <v>1095</v>
      </c>
      <c r="BC48" s="13" t="s">
        <v>298</v>
      </c>
      <c r="BD48" s="13" t="s">
        <v>298</v>
      </c>
      <c r="BE48" s="13"/>
      <c r="BF48" s="13"/>
      <c r="BG48" s="13"/>
      <c r="BH48" s="13"/>
      <c r="BI48" s="13"/>
      <c r="BJ48" s="13"/>
      <c r="BL48" s="1">
        <v>69</v>
      </c>
      <c r="BP48" s="1">
        <v>68</v>
      </c>
    </row>
    <row r="49" spans="1:68" x14ac:dyDescent="0.25">
      <c r="A49" s="1" t="s">
        <v>135</v>
      </c>
      <c r="B49" s="1" t="s">
        <v>139</v>
      </c>
      <c r="C49" s="1">
        <v>2030</v>
      </c>
      <c r="D49" s="1">
        <v>1</v>
      </c>
      <c r="E49" s="1">
        <v>0</v>
      </c>
      <c r="F49" s="1">
        <v>0</v>
      </c>
      <c r="H49" s="11"/>
      <c r="I49" s="11"/>
      <c r="J49" s="11"/>
      <c r="L49" s="19"/>
      <c r="N49" s="11">
        <v>2980</v>
      </c>
      <c r="O49" s="11">
        <v>4420</v>
      </c>
      <c r="P49" s="19"/>
      <c r="Q49" s="19"/>
      <c r="R49" s="19"/>
      <c r="S49" s="19"/>
      <c r="T49" s="19"/>
      <c r="U49" s="11">
        <v>2980</v>
      </c>
      <c r="V49" s="11">
        <v>4420</v>
      </c>
      <c r="W49" s="19"/>
      <c r="X49" s="19"/>
      <c r="Y49" s="19"/>
      <c r="Z49" s="20"/>
      <c r="AA49" s="42"/>
      <c r="AB49" s="9"/>
      <c r="AC49" s="9"/>
      <c r="AD49" s="20" t="str">
        <f>IF(Tabelle589711[[#This Row],[installierte Leistung MW]]&lt;&gt;"",Tabelle589711[[#This Row],[Durchschnittsauslastung]]*Tabelle589711[[#This Row],[installierte Leistung MW]],"")</f>
        <v/>
      </c>
      <c r="AE49" s="19"/>
      <c r="AF49" s="19"/>
      <c r="AG49" s="19"/>
      <c r="AH49" s="19">
        <f t="shared" si="3"/>
        <v>1.6666666666666666E-4</v>
      </c>
      <c r="AI49" s="19"/>
      <c r="AJ49" s="28">
        <f t="shared" si="2"/>
        <v>1.6666666666666668E-3</v>
      </c>
      <c r="AK49" s="28"/>
      <c r="AL49" s="28"/>
      <c r="AR49" s="1">
        <v>24</v>
      </c>
      <c r="AX49" s="1" t="s">
        <v>1095</v>
      </c>
      <c r="BC49" s="13" t="s">
        <v>298</v>
      </c>
      <c r="BD49" s="13" t="s">
        <v>298</v>
      </c>
      <c r="BE49" s="13"/>
      <c r="BF49" s="13"/>
      <c r="BG49" s="13"/>
      <c r="BH49" s="13"/>
      <c r="BI49" s="13"/>
      <c r="BJ49" s="13"/>
      <c r="BL49" s="1">
        <v>69</v>
      </c>
      <c r="BP49" s="1">
        <v>68</v>
      </c>
    </row>
    <row r="50" spans="1:68" x14ac:dyDescent="0.25">
      <c r="A50" s="1" t="s">
        <v>133</v>
      </c>
      <c r="B50" s="1" t="s">
        <v>139</v>
      </c>
      <c r="C50" s="1">
        <v>2010</v>
      </c>
      <c r="D50" s="1">
        <v>1</v>
      </c>
      <c r="E50" s="1">
        <v>0</v>
      </c>
      <c r="F50" s="1">
        <v>0</v>
      </c>
      <c r="H50" s="11"/>
      <c r="I50" s="11"/>
      <c r="J50" s="11"/>
      <c r="L50" s="19"/>
      <c r="N50" s="11">
        <v>420</v>
      </c>
      <c r="O50" s="11">
        <v>420</v>
      </c>
      <c r="P50" s="19"/>
      <c r="Q50" s="19"/>
      <c r="R50" s="19"/>
      <c r="S50" s="19"/>
      <c r="T50" s="19"/>
      <c r="U50" s="11">
        <v>420</v>
      </c>
      <c r="V50" s="11">
        <v>420</v>
      </c>
      <c r="W50" s="19"/>
      <c r="X50" s="19"/>
      <c r="Y50" s="19"/>
      <c r="Z50" s="20"/>
      <c r="AA50" s="42"/>
      <c r="AB50" s="9"/>
      <c r="AC50" s="9"/>
      <c r="AD50" s="20" t="str">
        <f>IF(Tabelle589711[[#This Row],[installierte Leistung MW]]&lt;&gt;"",Tabelle589711[[#This Row],[Durchschnittsauslastung]]*Tabelle589711[[#This Row],[installierte Leistung MW]],"")</f>
        <v/>
      </c>
      <c r="AE50" s="19"/>
      <c r="AF50" s="19"/>
      <c r="AG50" s="19"/>
      <c r="AH50" s="19">
        <f t="shared" si="3"/>
        <v>1.6666666666666666E-4</v>
      </c>
      <c r="AI50" s="19"/>
      <c r="AJ50" s="28">
        <f t="shared" si="2"/>
        <v>1.6666666666666668E-3</v>
      </c>
      <c r="AK50" s="28"/>
      <c r="AL50" s="28"/>
      <c r="BC50" s="13" t="s">
        <v>298</v>
      </c>
      <c r="BD50" s="13" t="s">
        <v>298</v>
      </c>
      <c r="BE50" s="13"/>
      <c r="BF50" s="13"/>
      <c r="BG50" s="13"/>
      <c r="BH50" s="13"/>
      <c r="BI50" s="13"/>
      <c r="BJ50" s="13"/>
    </row>
    <row r="51" spans="1:68" x14ac:dyDescent="0.25">
      <c r="A51" s="1" t="s">
        <v>133</v>
      </c>
      <c r="B51" s="1" t="s">
        <v>139</v>
      </c>
      <c r="C51" s="1">
        <v>2020</v>
      </c>
      <c r="D51" s="1">
        <v>1</v>
      </c>
      <c r="E51" s="1">
        <v>0</v>
      </c>
      <c r="F51" s="1">
        <v>0</v>
      </c>
      <c r="H51" s="11"/>
      <c r="I51" s="11"/>
      <c r="J51" s="11"/>
      <c r="L51" s="19"/>
      <c r="N51" s="11">
        <v>390</v>
      </c>
      <c r="O51" s="11">
        <v>390</v>
      </c>
      <c r="P51" s="19"/>
      <c r="Q51" s="19"/>
      <c r="R51" s="19"/>
      <c r="S51" s="19"/>
      <c r="T51" s="19"/>
      <c r="U51" s="11">
        <v>390</v>
      </c>
      <c r="V51" s="11">
        <v>390</v>
      </c>
      <c r="W51" s="19"/>
      <c r="X51" s="19"/>
      <c r="Y51" s="19"/>
      <c r="Z51" s="20"/>
      <c r="AA51" s="42"/>
      <c r="AB51" s="9"/>
      <c r="AC51" s="9"/>
      <c r="AD51" s="20" t="str">
        <f>IF(Tabelle589711[[#This Row],[installierte Leistung MW]]&lt;&gt;"",Tabelle589711[[#This Row],[Durchschnittsauslastung]]*Tabelle589711[[#This Row],[installierte Leistung MW]],"")</f>
        <v/>
      </c>
      <c r="AE51" s="19"/>
      <c r="AF51" s="19"/>
      <c r="AG51" s="19"/>
      <c r="AH51" s="19">
        <f t="shared" si="3"/>
        <v>1.6666666666666666E-4</v>
      </c>
      <c r="AI51" s="19"/>
      <c r="AJ51" s="28">
        <f t="shared" si="2"/>
        <v>1.6666666666666668E-3</v>
      </c>
      <c r="AK51" s="28"/>
      <c r="AL51" s="28"/>
      <c r="BC51" s="13" t="s">
        <v>298</v>
      </c>
      <c r="BD51" s="13" t="s">
        <v>298</v>
      </c>
      <c r="BE51" s="13"/>
      <c r="BF51" s="13"/>
      <c r="BG51" s="13"/>
      <c r="BH51" s="13"/>
      <c r="BI51" s="13"/>
      <c r="BJ51" s="13"/>
    </row>
    <row r="52" spans="1:68" x14ac:dyDescent="0.25">
      <c r="A52" s="1" t="s">
        <v>133</v>
      </c>
      <c r="B52" s="1" t="s">
        <v>139</v>
      </c>
      <c r="C52" s="1">
        <v>2030</v>
      </c>
      <c r="D52" s="1">
        <v>1</v>
      </c>
      <c r="E52" s="1">
        <v>0</v>
      </c>
      <c r="F52" s="1">
        <v>0</v>
      </c>
      <c r="H52" s="11"/>
      <c r="I52" s="11"/>
      <c r="J52" s="11"/>
      <c r="L52" s="19"/>
      <c r="N52" s="11">
        <v>330</v>
      </c>
      <c r="O52" s="11">
        <v>330</v>
      </c>
      <c r="P52" s="19"/>
      <c r="Q52" s="19"/>
      <c r="R52" s="19"/>
      <c r="S52" s="19"/>
      <c r="T52" s="19"/>
      <c r="U52" s="11">
        <v>330</v>
      </c>
      <c r="V52" s="11">
        <v>330</v>
      </c>
      <c r="W52" s="19"/>
      <c r="X52" s="19"/>
      <c r="Y52" s="19"/>
      <c r="Z52" s="20"/>
      <c r="AA52" s="42"/>
      <c r="AB52" s="9"/>
      <c r="AC52" s="9"/>
      <c r="AD52" s="20" t="str">
        <f>IF(Tabelle589711[[#This Row],[installierte Leistung MW]]&lt;&gt;"",Tabelle589711[[#This Row],[Durchschnittsauslastung]]*Tabelle589711[[#This Row],[installierte Leistung MW]],"")</f>
        <v/>
      </c>
      <c r="AE52" s="19"/>
      <c r="AF52" s="19"/>
      <c r="AG52" s="19"/>
      <c r="AH52" s="19">
        <f t="shared" si="3"/>
        <v>1.6666666666666666E-4</v>
      </c>
      <c r="AI52" s="19"/>
      <c r="AJ52" s="28">
        <f t="shared" ref="AJ52:AJ79" si="4">0.1/60</f>
        <v>1.6666666666666668E-3</v>
      </c>
      <c r="AK52" s="28"/>
      <c r="AL52" s="28"/>
      <c r="BC52" s="13" t="s">
        <v>298</v>
      </c>
      <c r="BD52" s="13" t="s">
        <v>298</v>
      </c>
      <c r="BE52" s="13"/>
      <c r="BF52" s="13"/>
      <c r="BG52" s="13"/>
      <c r="BH52" s="13"/>
      <c r="BI52" s="13"/>
      <c r="BJ52" s="13"/>
    </row>
    <row r="53" spans="1:68" x14ac:dyDescent="0.25">
      <c r="A53" s="1" t="s">
        <v>289</v>
      </c>
      <c r="B53" s="1" t="s">
        <v>127</v>
      </c>
      <c r="C53" s="1">
        <v>2010</v>
      </c>
      <c r="D53" s="1">
        <v>1</v>
      </c>
      <c r="E53" s="1">
        <v>0</v>
      </c>
      <c r="F53" s="1">
        <v>0</v>
      </c>
      <c r="H53" s="11"/>
      <c r="I53" s="11"/>
      <c r="J53" s="11"/>
      <c r="L53" s="19"/>
      <c r="N53" s="11">
        <v>1790</v>
      </c>
      <c r="O53" s="11">
        <v>1800</v>
      </c>
      <c r="P53" s="19"/>
      <c r="Q53" s="19"/>
      <c r="R53" s="19"/>
      <c r="S53" s="19"/>
      <c r="T53" s="19"/>
      <c r="U53" s="11">
        <v>1790</v>
      </c>
      <c r="V53" s="11">
        <v>1800</v>
      </c>
      <c r="W53" s="19"/>
      <c r="X53" s="19"/>
      <c r="Y53" s="19"/>
      <c r="Z53" s="20"/>
      <c r="AA53" s="42"/>
      <c r="AB53" s="9"/>
      <c r="AC53" s="9"/>
      <c r="AD53" s="20" t="str">
        <f>IF(Tabelle589711[[#This Row],[installierte Leistung MW]]&lt;&gt;"",Tabelle589711[[#This Row],[Durchschnittsauslastung]]*Tabelle589711[[#This Row],[installierte Leistung MW]],"")</f>
        <v/>
      </c>
      <c r="AE53" s="19"/>
      <c r="AF53" s="19"/>
      <c r="AG53" s="19"/>
      <c r="AH53" s="19">
        <f t="shared" si="3"/>
        <v>1.6666666666666666E-4</v>
      </c>
      <c r="AI53" s="19"/>
      <c r="AJ53" s="28">
        <f t="shared" si="4"/>
        <v>1.6666666666666668E-3</v>
      </c>
      <c r="AK53" s="28"/>
      <c r="AL53" s="28"/>
      <c r="BC53" s="13">
        <v>99</v>
      </c>
      <c r="BD53" s="1">
        <v>99</v>
      </c>
      <c r="BE53" s="13"/>
      <c r="BF53" s="13"/>
      <c r="BG53" s="13"/>
      <c r="BH53" s="13"/>
      <c r="BI53" s="13"/>
      <c r="BJ53" s="13"/>
    </row>
    <row r="54" spans="1:68" x14ac:dyDescent="0.25">
      <c r="A54" s="1" t="s">
        <v>289</v>
      </c>
      <c r="B54" s="1" t="s">
        <v>127</v>
      </c>
      <c r="C54" s="1">
        <v>2020</v>
      </c>
      <c r="D54" s="1">
        <v>1</v>
      </c>
      <c r="E54" s="1">
        <v>0</v>
      </c>
      <c r="F54" s="1">
        <v>0</v>
      </c>
      <c r="H54" s="11"/>
      <c r="I54" s="11"/>
      <c r="J54" s="11"/>
      <c r="L54" s="19"/>
      <c r="N54" s="11">
        <v>1920</v>
      </c>
      <c r="O54" s="11">
        <v>3180</v>
      </c>
      <c r="P54" s="19"/>
      <c r="Q54" s="19"/>
      <c r="R54" s="19"/>
      <c r="S54" s="19"/>
      <c r="T54" s="19"/>
      <c r="U54" s="11">
        <v>1920</v>
      </c>
      <c r="V54" s="11">
        <v>3180</v>
      </c>
      <c r="W54" s="19"/>
      <c r="X54" s="19"/>
      <c r="Y54" s="19"/>
      <c r="Z54" s="20"/>
      <c r="AA54" s="42"/>
      <c r="AB54" s="9"/>
      <c r="AC54" s="9"/>
      <c r="AD54" s="20" t="str">
        <f>IF(Tabelle589711[[#This Row],[installierte Leistung MW]]&lt;&gt;"",Tabelle589711[[#This Row],[Durchschnittsauslastung]]*Tabelle589711[[#This Row],[installierte Leistung MW]],"")</f>
        <v/>
      </c>
      <c r="AE54" s="19"/>
      <c r="AF54" s="19"/>
      <c r="AG54" s="19"/>
      <c r="AH54" s="19">
        <f t="shared" si="3"/>
        <v>1.6666666666666666E-4</v>
      </c>
      <c r="AI54" s="19"/>
      <c r="AJ54" s="28">
        <f t="shared" si="4"/>
        <v>1.6666666666666668E-3</v>
      </c>
      <c r="AK54" s="28"/>
      <c r="AL54" s="28"/>
      <c r="BC54" s="13">
        <v>99</v>
      </c>
      <c r="BD54" s="1">
        <v>99</v>
      </c>
      <c r="BE54" s="13"/>
      <c r="BF54" s="13"/>
      <c r="BG54" s="13"/>
      <c r="BH54" s="13"/>
      <c r="BI54" s="13"/>
      <c r="BJ54" s="13"/>
    </row>
    <row r="55" spans="1:68" x14ac:dyDescent="0.25">
      <c r="A55" s="1" t="s">
        <v>289</v>
      </c>
      <c r="B55" s="1" t="s">
        <v>127</v>
      </c>
      <c r="C55" s="1">
        <v>2030</v>
      </c>
      <c r="D55" s="1">
        <v>1</v>
      </c>
      <c r="E55" s="1">
        <v>0</v>
      </c>
      <c r="F55" s="1">
        <v>0</v>
      </c>
      <c r="H55" s="11"/>
      <c r="I55" s="11"/>
      <c r="J55" s="11"/>
      <c r="L55" s="19"/>
      <c r="N55" s="11">
        <v>1720</v>
      </c>
      <c r="O55" s="11">
        <v>2930</v>
      </c>
      <c r="P55" s="19"/>
      <c r="Q55" s="19"/>
      <c r="R55" s="19"/>
      <c r="S55" s="19"/>
      <c r="T55" s="19"/>
      <c r="U55" s="11">
        <v>1720</v>
      </c>
      <c r="V55" s="11">
        <v>2930</v>
      </c>
      <c r="W55" s="19"/>
      <c r="X55" s="19"/>
      <c r="Y55" s="19"/>
      <c r="Z55" s="20"/>
      <c r="AA55" s="42"/>
      <c r="AB55" s="9"/>
      <c r="AC55" s="9"/>
      <c r="AD55" s="20" t="str">
        <f>IF(Tabelle589711[[#This Row],[installierte Leistung MW]]&lt;&gt;"",Tabelle589711[[#This Row],[Durchschnittsauslastung]]*Tabelle589711[[#This Row],[installierte Leistung MW]],"")</f>
        <v/>
      </c>
      <c r="AE55" s="19"/>
      <c r="AF55" s="19"/>
      <c r="AG55" s="19"/>
      <c r="AH55" s="19">
        <f t="shared" ref="AH55:AH79" si="5">0.01/60</f>
        <v>1.6666666666666666E-4</v>
      </c>
      <c r="AI55" s="19"/>
      <c r="AJ55" s="28">
        <f t="shared" si="4"/>
        <v>1.6666666666666668E-3</v>
      </c>
      <c r="AK55" s="28"/>
      <c r="AL55" s="28"/>
      <c r="BC55" s="13">
        <v>99</v>
      </c>
      <c r="BD55" s="1">
        <v>99</v>
      </c>
      <c r="BE55" s="13"/>
      <c r="BF55" s="13"/>
      <c r="BG55" s="13"/>
      <c r="BH55" s="13"/>
      <c r="BI55" s="13"/>
      <c r="BJ55" s="13"/>
    </row>
    <row r="56" spans="1:68" x14ac:dyDescent="0.25">
      <c r="A56" s="1" t="s">
        <v>290</v>
      </c>
      <c r="B56" s="1" t="s">
        <v>127</v>
      </c>
      <c r="C56" s="1">
        <v>2010</v>
      </c>
      <c r="D56" s="1">
        <v>1</v>
      </c>
      <c r="E56" s="1">
        <v>0</v>
      </c>
      <c r="F56" s="1">
        <v>0</v>
      </c>
      <c r="H56" s="11"/>
      <c r="I56" s="11"/>
      <c r="J56" s="11"/>
      <c r="L56" s="19"/>
      <c r="N56" s="11">
        <v>800</v>
      </c>
      <c r="O56" s="11">
        <v>2220</v>
      </c>
      <c r="P56" s="19"/>
      <c r="Q56" s="19"/>
      <c r="R56" s="19"/>
      <c r="S56" s="19"/>
      <c r="T56" s="19"/>
      <c r="U56" s="11">
        <v>800</v>
      </c>
      <c r="V56" s="11">
        <v>2220</v>
      </c>
      <c r="W56" s="19"/>
      <c r="X56" s="19"/>
      <c r="Y56" s="19"/>
      <c r="Z56" s="20"/>
      <c r="AA56" s="42"/>
      <c r="AB56" s="9"/>
      <c r="AC56" s="9"/>
      <c r="AD56" s="20" t="str">
        <f>IF(Tabelle589711[[#This Row],[installierte Leistung MW]]&lt;&gt;"",Tabelle589711[[#This Row],[Durchschnittsauslastung]]*Tabelle589711[[#This Row],[installierte Leistung MW]],"")</f>
        <v/>
      </c>
      <c r="AE56" s="19"/>
      <c r="AF56" s="19"/>
      <c r="AG56" s="19"/>
      <c r="AH56" s="19">
        <f t="shared" si="5"/>
        <v>1.6666666666666666E-4</v>
      </c>
      <c r="AI56" s="19"/>
      <c r="AJ56" s="28">
        <f t="shared" si="4"/>
        <v>1.6666666666666668E-3</v>
      </c>
      <c r="AK56" s="28"/>
      <c r="AL56" s="28"/>
      <c r="BC56" s="13">
        <v>99</v>
      </c>
      <c r="BD56" s="1">
        <v>99</v>
      </c>
      <c r="BE56" s="13"/>
      <c r="BF56" s="13"/>
      <c r="BG56" s="13"/>
      <c r="BH56" s="13"/>
      <c r="BI56" s="13"/>
      <c r="BJ56" s="13"/>
    </row>
    <row r="57" spans="1:68" x14ac:dyDescent="0.25">
      <c r="A57" s="1" t="s">
        <v>290</v>
      </c>
      <c r="B57" s="1" t="s">
        <v>127</v>
      </c>
      <c r="C57" s="1">
        <v>2020</v>
      </c>
      <c r="D57" s="1">
        <v>1</v>
      </c>
      <c r="E57" s="1">
        <v>0</v>
      </c>
      <c r="F57" s="1">
        <v>0</v>
      </c>
      <c r="H57" s="11"/>
      <c r="I57" s="11"/>
      <c r="J57" s="11"/>
      <c r="L57" s="19"/>
      <c r="N57" s="11">
        <v>870</v>
      </c>
      <c r="O57" s="11">
        <v>2990</v>
      </c>
      <c r="P57" s="19"/>
      <c r="Q57" s="19"/>
      <c r="R57" s="19"/>
      <c r="S57" s="19"/>
      <c r="T57" s="19"/>
      <c r="U57" s="11">
        <v>870</v>
      </c>
      <c r="V57" s="11">
        <v>2990</v>
      </c>
      <c r="W57" s="19"/>
      <c r="X57" s="19"/>
      <c r="Y57" s="19"/>
      <c r="Z57" s="20"/>
      <c r="AA57" s="42"/>
      <c r="AB57" s="9"/>
      <c r="AC57" s="9"/>
      <c r="AD57" s="20" t="str">
        <f>IF(Tabelle589711[[#This Row],[installierte Leistung MW]]&lt;&gt;"",Tabelle589711[[#This Row],[Durchschnittsauslastung]]*Tabelle589711[[#This Row],[installierte Leistung MW]],"")</f>
        <v/>
      </c>
      <c r="AE57" s="19"/>
      <c r="AF57" s="19"/>
      <c r="AG57" s="19"/>
      <c r="AH57" s="19">
        <f t="shared" si="5"/>
        <v>1.6666666666666666E-4</v>
      </c>
      <c r="AI57" s="19"/>
      <c r="AJ57" s="28">
        <f t="shared" si="4"/>
        <v>1.6666666666666668E-3</v>
      </c>
      <c r="AK57" s="28"/>
      <c r="AL57" s="28"/>
      <c r="BC57" s="13">
        <v>99</v>
      </c>
      <c r="BD57" s="1">
        <v>99</v>
      </c>
      <c r="BE57" s="13"/>
      <c r="BF57" s="13"/>
      <c r="BG57" s="13"/>
      <c r="BH57" s="13"/>
      <c r="BI57" s="13"/>
      <c r="BJ57" s="13"/>
    </row>
    <row r="58" spans="1:68" x14ac:dyDescent="0.25">
      <c r="A58" s="1" t="s">
        <v>290</v>
      </c>
      <c r="B58" s="1" t="s">
        <v>127</v>
      </c>
      <c r="C58" s="1">
        <v>2030</v>
      </c>
      <c r="D58" s="1">
        <v>1</v>
      </c>
      <c r="E58" s="1">
        <v>0</v>
      </c>
      <c r="F58" s="1">
        <v>0</v>
      </c>
      <c r="H58" s="11"/>
      <c r="I58" s="11"/>
      <c r="J58" s="11"/>
      <c r="L58" s="19"/>
      <c r="N58" s="11">
        <v>790</v>
      </c>
      <c r="O58" s="11">
        <v>2880</v>
      </c>
      <c r="P58" s="19"/>
      <c r="Q58" s="19"/>
      <c r="R58" s="19"/>
      <c r="S58" s="19"/>
      <c r="T58" s="19"/>
      <c r="U58" s="11">
        <v>790</v>
      </c>
      <c r="V58" s="11">
        <v>2880</v>
      </c>
      <c r="W58" s="19"/>
      <c r="X58" s="19"/>
      <c r="Y58" s="19"/>
      <c r="Z58" s="20"/>
      <c r="AA58" s="42"/>
      <c r="AB58" s="9"/>
      <c r="AC58" s="9"/>
      <c r="AD58" s="20" t="str">
        <f>IF(Tabelle589711[[#This Row],[installierte Leistung MW]]&lt;&gt;"",Tabelle589711[[#This Row],[Durchschnittsauslastung]]*Tabelle589711[[#This Row],[installierte Leistung MW]],"")</f>
        <v/>
      </c>
      <c r="AE58" s="19"/>
      <c r="AF58" s="19"/>
      <c r="AG58" s="19"/>
      <c r="AH58" s="19">
        <f t="shared" si="5"/>
        <v>1.6666666666666666E-4</v>
      </c>
      <c r="AI58" s="19"/>
      <c r="AJ58" s="28">
        <f t="shared" si="4"/>
        <v>1.6666666666666668E-3</v>
      </c>
      <c r="AK58" s="28"/>
      <c r="AL58" s="28"/>
      <c r="BC58" s="13">
        <v>99</v>
      </c>
      <c r="BD58" s="1">
        <v>99</v>
      </c>
      <c r="BE58" s="13"/>
      <c r="BF58" s="13"/>
      <c r="BG58" s="13"/>
      <c r="BH58" s="13"/>
      <c r="BI58" s="13"/>
      <c r="BJ58" s="13"/>
    </row>
    <row r="59" spans="1:68" x14ac:dyDescent="0.25">
      <c r="A59" s="1" t="s">
        <v>291</v>
      </c>
      <c r="B59" s="1" t="s">
        <v>127</v>
      </c>
      <c r="C59" s="1">
        <v>2010</v>
      </c>
      <c r="D59" s="1">
        <v>1</v>
      </c>
      <c r="E59" s="1">
        <v>0</v>
      </c>
      <c r="F59" s="1">
        <v>0</v>
      </c>
      <c r="H59" s="11"/>
      <c r="I59" s="11"/>
      <c r="J59" s="11"/>
      <c r="L59" s="19"/>
      <c r="N59" s="11">
        <v>2380</v>
      </c>
      <c r="O59" s="11">
        <v>2380</v>
      </c>
      <c r="P59" s="19"/>
      <c r="Q59" s="19"/>
      <c r="R59" s="19"/>
      <c r="S59" s="19"/>
      <c r="T59" s="19"/>
      <c r="U59" s="11">
        <v>2380</v>
      </c>
      <c r="V59" s="11">
        <v>2380</v>
      </c>
      <c r="W59" s="19"/>
      <c r="X59" s="19"/>
      <c r="Y59" s="19"/>
      <c r="Z59" s="20"/>
      <c r="AA59" s="42"/>
      <c r="AB59" s="9"/>
      <c r="AC59" s="9"/>
      <c r="AD59" s="20" t="str">
        <f>IF(Tabelle589711[[#This Row],[installierte Leistung MW]]&lt;&gt;"",Tabelle589711[[#This Row],[Durchschnittsauslastung]]*Tabelle589711[[#This Row],[installierte Leistung MW]],"")</f>
        <v/>
      </c>
      <c r="AE59" s="19"/>
      <c r="AF59" s="19"/>
      <c r="AG59" s="19"/>
      <c r="AH59" s="19">
        <f t="shared" si="5"/>
        <v>1.6666666666666666E-4</v>
      </c>
      <c r="AI59" s="19"/>
      <c r="AJ59" s="28">
        <f t="shared" si="4"/>
        <v>1.6666666666666668E-3</v>
      </c>
      <c r="AK59" s="28"/>
      <c r="AL59" s="28"/>
      <c r="BC59" s="13">
        <v>99</v>
      </c>
      <c r="BD59" s="1">
        <v>99</v>
      </c>
      <c r="BE59" s="13"/>
      <c r="BF59" s="13"/>
      <c r="BG59" s="13"/>
      <c r="BH59" s="13"/>
      <c r="BI59" s="13"/>
      <c r="BJ59" s="13"/>
    </row>
    <row r="60" spans="1:68" x14ac:dyDescent="0.25">
      <c r="A60" s="1" t="s">
        <v>291</v>
      </c>
      <c r="B60" s="1" t="s">
        <v>127</v>
      </c>
      <c r="C60" s="1">
        <v>2020</v>
      </c>
      <c r="D60" s="1">
        <v>1</v>
      </c>
      <c r="E60" s="1">
        <v>0</v>
      </c>
      <c r="F60" s="1">
        <v>0</v>
      </c>
      <c r="H60" s="11"/>
      <c r="I60" s="11"/>
      <c r="J60" s="11"/>
      <c r="L60" s="19"/>
      <c r="N60" s="11">
        <v>2450</v>
      </c>
      <c r="O60" s="11">
        <v>3200</v>
      </c>
      <c r="P60" s="19"/>
      <c r="Q60" s="19"/>
      <c r="R60" s="19"/>
      <c r="S60" s="19"/>
      <c r="T60" s="19"/>
      <c r="U60" s="11">
        <v>2450</v>
      </c>
      <c r="V60" s="11">
        <v>3200</v>
      </c>
      <c r="W60" s="19"/>
      <c r="X60" s="19"/>
      <c r="Y60" s="19"/>
      <c r="Z60" s="20"/>
      <c r="AA60" s="42"/>
      <c r="AB60" s="9"/>
      <c r="AC60" s="9"/>
      <c r="AD60" s="20" t="str">
        <f>IF(Tabelle589711[[#This Row],[installierte Leistung MW]]&lt;&gt;"",Tabelle589711[[#This Row],[Durchschnittsauslastung]]*Tabelle589711[[#This Row],[installierte Leistung MW]],"")</f>
        <v/>
      </c>
      <c r="AE60" s="19"/>
      <c r="AF60" s="19"/>
      <c r="AG60" s="19"/>
      <c r="AH60" s="19">
        <f t="shared" si="5"/>
        <v>1.6666666666666666E-4</v>
      </c>
      <c r="AI60" s="19"/>
      <c r="AJ60" s="28">
        <f t="shared" si="4"/>
        <v>1.6666666666666668E-3</v>
      </c>
      <c r="AK60" s="28"/>
      <c r="AL60" s="28"/>
      <c r="BC60" s="13">
        <v>99</v>
      </c>
      <c r="BD60" s="1">
        <v>99</v>
      </c>
      <c r="BE60" s="13"/>
      <c r="BF60" s="13"/>
      <c r="BG60" s="13"/>
      <c r="BH60" s="13"/>
      <c r="BI60" s="13"/>
      <c r="BJ60" s="13"/>
    </row>
    <row r="61" spans="1:68" x14ac:dyDescent="0.25">
      <c r="A61" s="1" t="s">
        <v>291</v>
      </c>
      <c r="B61" s="1" t="s">
        <v>127</v>
      </c>
      <c r="C61" s="1">
        <v>2030</v>
      </c>
      <c r="D61" s="1">
        <v>1</v>
      </c>
      <c r="E61" s="1">
        <v>0</v>
      </c>
      <c r="F61" s="1">
        <v>0</v>
      </c>
      <c r="H61" s="11"/>
      <c r="I61" s="11"/>
      <c r="J61" s="11"/>
      <c r="L61" s="19"/>
      <c r="N61" s="11">
        <v>2180</v>
      </c>
      <c r="O61" s="11">
        <v>2900</v>
      </c>
      <c r="P61" s="19"/>
      <c r="Q61" s="19"/>
      <c r="R61" s="19"/>
      <c r="S61" s="19"/>
      <c r="T61" s="19"/>
      <c r="U61" s="11">
        <v>2180</v>
      </c>
      <c r="V61" s="11">
        <v>2900</v>
      </c>
      <c r="W61" s="19"/>
      <c r="X61" s="19"/>
      <c r="Y61" s="19"/>
      <c r="Z61" s="20"/>
      <c r="AA61" s="42"/>
      <c r="AB61" s="9"/>
      <c r="AC61" s="9"/>
      <c r="AD61" s="20" t="str">
        <f>IF(Tabelle589711[[#This Row],[installierte Leistung MW]]&lt;&gt;"",Tabelle589711[[#This Row],[Durchschnittsauslastung]]*Tabelle589711[[#This Row],[installierte Leistung MW]],"")</f>
        <v/>
      </c>
      <c r="AE61" s="19"/>
      <c r="AF61" s="19"/>
      <c r="AG61" s="19"/>
      <c r="AH61" s="19">
        <f t="shared" si="5"/>
        <v>1.6666666666666666E-4</v>
      </c>
      <c r="AI61" s="19"/>
      <c r="AJ61" s="28">
        <f t="shared" si="4"/>
        <v>1.6666666666666668E-3</v>
      </c>
      <c r="AK61" s="28"/>
      <c r="AL61" s="28"/>
      <c r="BC61" s="13">
        <v>99</v>
      </c>
      <c r="BD61" s="1">
        <v>99</v>
      </c>
      <c r="BE61" s="13"/>
      <c r="BF61" s="13"/>
      <c r="BG61" s="13"/>
      <c r="BH61" s="13"/>
      <c r="BI61" s="13"/>
      <c r="BJ61" s="13"/>
    </row>
    <row r="62" spans="1:68" x14ac:dyDescent="0.25">
      <c r="A62" s="1" t="s">
        <v>292</v>
      </c>
      <c r="B62" s="1" t="s">
        <v>127</v>
      </c>
      <c r="C62" s="1">
        <v>2010</v>
      </c>
      <c r="D62" s="1">
        <v>1</v>
      </c>
      <c r="E62" s="1">
        <v>0</v>
      </c>
      <c r="F62" s="1">
        <v>0</v>
      </c>
      <c r="H62" s="11"/>
      <c r="I62" s="11"/>
      <c r="J62" s="11"/>
      <c r="L62" s="19"/>
      <c r="N62" s="11">
        <v>620</v>
      </c>
      <c r="O62" s="11">
        <v>620</v>
      </c>
      <c r="P62" s="19"/>
      <c r="Q62" s="19"/>
      <c r="R62" s="19"/>
      <c r="S62" s="19"/>
      <c r="T62" s="19"/>
      <c r="U62" s="11">
        <v>620</v>
      </c>
      <c r="V62" s="11">
        <v>620</v>
      </c>
      <c r="W62" s="19"/>
      <c r="X62" s="19"/>
      <c r="Y62" s="19"/>
      <c r="Z62" s="20"/>
      <c r="AA62" s="42"/>
      <c r="AB62" s="9"/>
      <c r="AC62" s="9"/>
      <c r="AD62" s="20" t="str">
        <f>IF(Tabelle589711[[#This Row],[installierte Leistung MW]]&lt;&gt;"",Tabelle589711[[#This Row],[Durchschnittsauslastung]]*Tabelle589711[[#This Row],[installierte Leistung MW]],"")</f>
        <v/>
      </c>
      <c r="AE62" s="19"/>
      <c r="AF62" s="19"/>
      <c r="AG62" s="19"/>
      <c r="AH62" s="19">
        <f t="shared" si="5"/>
        <v>1.6666666666666666E-4</v>
      </c>
      <c r="AI62" s="19"/>
      <c r="AJ62" s="28">
        <f t="shared" si="4"/>
        <v>1.6666666666666668E-3</v>
      </c>
      <c r="AK62" s="28"/>
      <c r="AL62" s="28"/>
      <c r="BC62" s="13">
        <v>99</v>
      </c>
      <c r="BD62" s="1">
        <v>99</v>
      </c>
      <c r="BE62" s="13"/>
      <c r="BF62" s="13"/>
      <c r="BG62" s="13"/>
      <c r="BH62" s="13"/>
      <c r="BI62" s="13"/>
      <c r="BJ62" s="13"/>
    </row>
    <row r="63" spans="1:68" x14ac:dyDescent="0.25">
      <c r="A63" s="1" t="s">
        <v>292</v>
      </c>
      <c r="B63" s="1" t="s">
        <v>127</v>
      </c>
      <c r="C63" s="1">
        <v>2020</v>
      </c>
      <c r="D63" s="1">
        <v>1</v>
      </c>
      <c r="E63" s="1">
        <v>0</v>
      </c>
      <c r="F63" s="1">
        <v>0</v>
      </c>
      <c r="H63" s="11"/>
      <c r="I63" s="11"/>
      <c r="J63" s="11"/>
      <c r="L63" s="19"/>
      <c r="N63" s="11">
        <v>700</v>
      </c>
      <c r="O63" s="11">
        <v>720</v>
      </c>
      <c r="P63" s="19"/>
      <c r="Q63" s="19"/>
      <c r="R63" s="19"/>
      <c r="S63" s="19"/>
      <c r="T63" s="19"/>
      <c r="U63" s="11">
        <v>700</v>
      </c>
      <c r="V63" s="11">
        <v>720</v>
      </c>
      <c r="W63" s="19"/>
      <c r="X63" s="19"/>
      <c r="Y63" s="19"/>
      <c r="Z63" s="20"/>
      <c r="AA63" s="42"/>
      <c r="AB63" s="9"/>
      <c r="AC63" s="9"/>
      <c r="AD63" s="20" t="str">
        <f>IF(Tabelle589711[[#This Row],[installierte Leistung MW]]&lt;&gt;"",Tabelle589711[[#This Row],[Durchschnittsauslastung]]*Tabelle589711[[#This Row],[installierte Leistung MW]],"")</f>
        <v/>
      </c>
      <c r="AE63" s="19"/>
      <c r="AF63" s="19"/>
      <c r="AG63" s="19"/>
      <c r="AH63" s="19">
        <f t="shared" si="5"/>
        <v>1.6666666666666666E-4</v>
      </c>
      <c r="AI63" s="19"/>
      <c r="AJ63" s="28">
        <f t="shared" si="4"/>
        <v>1.6666666666666668E-3</v>
      </c>
      <c r="AK63" s="28"/>
      <c r="AL63" s="28"/>
      <c r="BC63" s="13">
        <v>99</v>
      </c>
      <c r="BD63" s="1">
        <v>99</v>
      </c>
      <c r="BE63" s="13"/>
      <c r="BF63" s="13"/>
      <c r="BG63" s="13"/>
      <c r="BH63" s="13"/>
      <c r="BI63" s="13"/>
      <c r="BJ63" s="13"/>
    </row>
    <row r="64" spans="1:68" x14ac:dyDescent="0.25">
      <c r="A64" s="1" t="s">
        <v>292</v>
      </c>
      <c r="B64" s="1" t="s">
        <v>127</v>
      </c>
      <c r="C64" s="1">
        <v>2030</v>
      </c>
      <c r="D64" s="1">
        <v>1</v>
      </c>
      <c r="E64" s="1">
        <v>0</v>
      </c>
      <c r="F64" s="1">
        <v>0</v>
      </c>
      <c r="H64" s="11"/>
      <c r="I64" s="11"/>
      <c r="J64" s="11"/>
      <c r="L64" s="19"/>
      <c r="N64" s="11">
        <v>620</v>
      </c>
      <c r="O64" s="11">
        <v>670</v>
      </c>
      <c r="P64" s="19"/>
      <c r="Q64" s="19"/>
      <c r="R64" s="19"/>
      <c r="S64" s="19"/>
      <c r="T64" s="19"/>
      <c r="U64" s="11">
        <v>620</v>
      </c>
      <c r="V64" s="11">
        <v>670</v>
      </c>
      <c r="W64" s="19"/>
      <c r="X64" s="19"/>
      <c r="Y64" s="19"/>
      <c r="Z64" s="20"/>
      <c r="AA64" s="42"/>
      <c r="AB64" s="9"/>
      <c r="AC64" s="9"/>
      <c r="AD64" s="20" t="str">
        <f>IF(Tabelle589711[[#This Row],[installierte Leistung MW]]&lt;&gt;"",Tabelle589711[[#This Row],[Durchschnittsauslastung]]*Tabelle589711[[#This Row],[installierte Leistung MW]],"")</f>
        <v/>
      </c>
      <c r="AE64" s="19"/>
      <c r="AF64" s="19"/>
      <c r="AG64" s="19"/>
      <c r="AH64" s="19">
        <f t="shared" si="5"/>
        <v>1.6666666666666666E-4</v>
      </c>
      <c r="AI64" s="19"/>
      <c r="AJ64" s="28">
        <f t="shared" si="4"/>
        <v>1.6666666666666668E-3</v>
      </c>
      <c r="AK64" s="28"/>
      <c r="AL64" s="28"/>
      <c r="BC64" s="13">
        <v>99</v>
      </c>
      <c r="BD64" s="1">
        <v>99</v>
      </c>
      <c r="BE64" s="13"/>
      <c r="BF64" s="13"/>
      <c r="BG64" s="13"/>
      <c r="BH64" s="13"/>
      <c r="BI64" s="13"/>
      <c r="BJ64" s="13"/>
    </row>
    <row r="65" spans="1:62" x14ac:dyDescent="0.25">
      <c r="A65" s="1" t="s">
        <v>293</v>
      </c>
      <c r="B65" s="1" t="s">
        <v>127</v>
      </c>
      <c r="C65" s="1">
        <v>2010</v>
      </c>
      <c r="D65" s="1">
        <v>1</v>
      </c>
      <c r="E65" s="1">
        <v>0</v>
      </c>
      <c r="F65" s="1">
        <v>0</v>
      </c>
      <c r="H65" s="11"/>
      <c r="I65" s="11"/>
      <c r="J65" s="11"/>
      <c r="L65" s="19"/>
      <c r="N65" s="11">
        <v>80</v>
      </c>
      <c r="O65" s="11">
        <v>80</v>
      </c>
      <c r="P65" s="19"/>
      <c r="Q65" s="19"/>
      <c r="R65" s="19"/>
      <c r="S65" s="19"/>
      <c r="T65" s="19"/>
      <c r="U65" s="11">
        <v>80</v>
      </c>
      <c r="V65" s="11">
        <v>80</v>
      </c>
      <c r="W65" s="19"/>
      <c r="X65" s="19"/>
      <c r="Y65" s="19"/>
      <c r="Z65" s="20"/>
      <c r="AA65" s="42"/>
      <c r="AB65" s="9"/>
      <c r="AC65" s="9"/>
      <c r="AD65" s="20" t="str">
        <f>IF(Tabelle589711[[#This Row],[installierte Leistung MW]]&lt;&gt;"",Tabelle589711[[#This Row],[Durchschnittsauslastung]]*Tabelle589711[[#This Row],[installierte Leistung MW]],"")</f>
        <v/>
      </c>
      <c r="AE65" s="19"/>
      <c r="AF65" s="19"/>
      <c r="AG65" s="19"/>
      <c r="AH65" s="19">
        <f t="shared" si="5"/>
        <v>1.6666666666666666E-4</v>
      </c>
      <c r="AI65" s="19"/>
      <c r="AJ65" s="28">
        <f t="shared" si="4"/>
        <v>1.6666666666666668E-3</v>
      </c>
      <c r="AK65" s="28"/>
      <c r="AL65" s="28"/>
      <c r="BC65" s="13">
        <v>99</v>
      </c>
      <c r="BD65" s="1">
        <v>99</v>
      </c>
      <c r="BE65" s="13"/>
      <c r="BF65" s="13"/>
      <c r="BG65" s="13"/>
      <c r="BH65" s="13"/>
      <c r="BI65" s="13"/>
      <c r="BJ65" s="13"/>
    </row>
    <row r="66" spans="1:62" x14ac:dyDescent="0.25">
      <c r="A66" s="1" t="s">
        <v>293</v>
      </c>
      <c r="B66" s="1" t="s">
        <v>127</v>
      </c>
      <c r="C66" s="1">
        <v>2020</v>
      </c>
      <c r="D66" s="1">
        <v>1</v>
      </c>
      <c r="E66" s="1">
        <v>0</v>
      </c>
      <c r="F66" s="1">
        <v>0</v>
      </c>
      <c r="H66" s="11"/>
      <c r="I66" s="11"/>
      <c r="J66" s="11"/>
      <c r="L66" s="19"/>
      <c r="N66" s="11">
        <v>130</v>
      </c>
      <c r="O66" s="11">
        <v>110</v>
      </c>
      <c r="P66" s="19"/>
      <c r="Q66" s="19"/>
      <c r="R66" s="19"/>
      <c r="S66" s="19"/>
      <c r="T66" s="19"/>
      <c r="U66" s="11">
        <v>130</v>
      </c>
      <c r="V66" s="11">
        <v>110</v>
      </c>
      <c r="W66" s="19"/>
      <c r="X66" s="19"/>
      <c r="Y66" s="19"/>
      <c r="Z66" s="20"/>
      <c r="AA66" s="42"/>
      <c r="AB66" s="9"/>
      <c r="AC66" s="9"/>
      <c r="AD66" s="20" t="str">
        <f>IF(Tabelle589711[[#This Row],[installierte Leistung MW]]&lt;&gt;"",Tabelle589711[[#This Row],[Durchschnittsauslastung]]*Tabelle589711[[#This Row],[installierte Leistung MW]],"")</f>
        <v/>
      </c>
      <c r="AE66" s="19"/>
      <c r="AF66" s="19"/>
      <c r="AG66" s="19"/>
      <c r="AH66" s="19">
        <f t="shared" si="5"/>
        <v>1.6666666666666666E-4</v>
      </c>
      <c r="AI66" s="19"/>
      <c r="AJ66" s="28">
        <f t="shared" si="4"/>
        <v>1.6666666666666668E-3</v>
      </c>
      <c r="AK66" s="28"/>
      <c r="AL66" s="28"/>
      <c r="BC66" s="13">
        <v>99</v>
      </c>
      <c r="BD66" s="1">
        <v>99</v>
      </c>
      <c r="BE66" s="13"/>
      <c r="BF66" s="13"/>
      <c r="BG66" s="13"/>
      <c r="BH66" s="13"/>
      <c r="BI66" s="13"/>
      <c r="BJ66" s="13"/>
    </row>
    <row r="67" spans="1:62" x14ac:dyDescent="0.25">
      <c r="A67" s="1" t="s">
        <v>293</v>
      </c>
      <c r="B67" s="1" t="s">
        <v>127</v>
      </c>
      <c r="C67" s="1">
        <v>2030</v>
      </c>
      <c r="D67" s="1">
        <v>1</v>
      </c>
      <c r="E67" s="1">
        <v>0</v>
      </c>
      <c r="F67" s="1">
        <v>0</v>
      </c>
      <c r="H67" s="11"/>
      <c r="I67" s="11"/>
      <c r="J67" s="11"/>
      <c r="L67" s="19"/>
      <c r="N67" s="11">
        <v>160</v>
      </c>
      <c r="O67" s="11">
        <v>100</v>
      </c>
      <c r="P67" s="19"/>
      <c r="Q67" s="19"/>
      <c r="R67" s="19"/>
      <c r="S67" s="19"/>
      <c r="T67" s="19"/>
      <c r="U67" s="11">
        <v>160</v>
      </c>
      <c r="V67" s="11">
        <v>100</v>
      </c>
      <c r="W67" s="19"/>
      <c r="X67" s="19"/>
      <c r="Y67" s="19"/>
      <c r="Z67" s="20"/>
      <c r="AA67" s="42"/>
      <c r="AB67" s="9"/>
      <c r="AC67" s="9"/>
      <c r="AD67" s="20" t="str">
        <f>IF(Tabelle589711[[#This Row],[installierte Leistung MW]]&lt;&gt;"",Tabelle589711[[#This Row],[Durchschnittsauslastung]]*Tabelle589711[[#This Row],[installierte Leistung MW]],"")</f>
        <v/>
      </c>
      <c r="AE67" s="19"/>
      <c r="AF67" s="19"/>
      <c r="AG67" s="19"/>
      <c r="AH67" s="19">
        <f t="shared" si="5"/>
        <v>1.6666666666666666E-4</v>
      </c>
      <c r="AI67" s="19"/>
      <c r="AJ67" s="28">
        <f t="shared" si="4"/>
        <v>1.6666666666666668E-3</v>
      </c>
      <c r="AK67" s="28"/>
      <c r="AL67" s="28"/>
      <c r="BC67" s="13">
        <v>99</v>
      </c>
      <c r="BD67" s="1">
        <v>99</v>
      </c>
      <c r="BE67" s="13"/>
      <c r="BF67" s="13"/>
      <c r="BG67" s="13"/>
      <c r="BH67" s="13"/>
      <c r="BI67" s="13"/>
      <c r="BJ67" s="13"/>
    </row>
    <row r="68" spans="1:62" x14ac:dyDescent="0.25">
      <c r="A68" s="1" t="s">
        <v>294</v>
      </c>
      <c r="B68" s="1" t="s">
        <v>127</v>
      </c>
      <c r="C68" s="1">
        <v>2010</v>
      </c>
      <c r="D68" s="1">
        <v>1</v>
      </c>
      <c r="E68" s="1">
        <v>0</v>
      </c>
      <c r="F68" s="1">
        <v>0</v>
      </c>
      <c r="H68" s="11"/>
      <c r="I68" s="11"/>
      <c r="J68" s="11"/>
      <c r="L68" s="19"/>
      <c r="N68" s="11">
        <v>600</v>
      </c>
      <c r="O68" s="11">
        <v>600</v>
      </c>
      <c r="P68" s="19"/>
      <c r="Q68" s="19"/>
      <c r="R68" s="19"/>
      <c r="S68" s="19"/>
      <c r="T68" s="19"/>
      <c r="U68" s="11">
        <v>600</v>
      </c>
      <c r="V68" s="11">
        <v>600</v>
      </c>
      <c r="W68" s="19"/>
      <c r="X68" s="19"/>
      <c r="Y68" s="19"/>
      <c r="Z68" s="20"/>
      <c r="AA68" s="42"/>
      <c r="AB68" s="9"/>
      <c r="AC68" s="9"/>
      <c r="AD68" s="20" t="str">
        <f>IF(Tabelle589711[[#This Row],[installierte Leistung MW]]&lt;&gt;"",Tabelle589711[[#This Row],[Durchschnittsauslastung]]*Tabelle589711[[#This Row],[installierte Leistung MW]],"")</f>
        <v/>
      </c>
      <c r="AE68" s="19"/>
      <c r="AF68" s="19"/>
      <c r="AG68" s="19"/>
      <c r="AH68" s="19">
        <f t="shared" si="5"/>
        <v>1.6666666666666666E-4</v>
      </c>
      <c r="AI68" s="19"/>
      <c r="AJ68" s="28">
        <f t="shared" si="4"/>
        <v>1.6666666666666668E-3</v>
      </c>
      <c r="AK68" s="28"/>
      <c r="AL68" s="28"/>
      <c r="BC68" s="13">
        <v>99</v>
      </c>
      <c r="BD68" s="1">
        <v>99</v>
      </c>
      <c r="BE68" s="13"/>
      <c r="BF68" s="13"/>
      <c r="BG68" s="13"/>
      <c r="BH68" s="13"/>
      <c r="BI68" s="13"/>
      <c r="BJ68" s="13"/>
    </row>
    <row r="69" spans="1:62" x14ac:dyDescent="0.25">
      <c r="A69" s="1" t="s">
        <v>294</v>
      </c>
      <c r="B69" s="1" t="s">
        <v>127</v>
      </c>
      <c r="C69" s="1">
        <v>2020</v>
      </c>
      <c r="D69" s="1">
        <v>1</v>
      </c>
      <c r="E69" s="1">
        <v>0</v>
      </c>
      <c r="F69" s="1">
        <v>0</v>
      </c>
      <c r="H69" s="11"/>
      <c r="I69" s="11"/>
      <c r="J69" s="11"/>
      <c r="L69" s="19"/>
      <c r="N69" s="11">
        <v>700</v>
      </c>
      <c r="O69" s="11">
        <v>700</v>
      </c>
      <c r="P69" s="19"/>
      <c r="Q69" s="19"/>
      <c r="R69" s="19"/>
      <c r="S69" s="19"/>
      <c r="T69" s="19"/>
      <c r="U69" s="11">
        <v>700</v>
      </c>
      <c r="V69" s="11">
        <v>700</v>
      </c>
      <c r="W69" s="19"/>
      <c r="X69" s="19"/>
      <c r="Y69" s="19"/>
      <c r="Z69" s="20"/>
      <c r="AA69" s="42"/>
      <c r="AB69" s="9"/>
      <c r="AC69" s="9"/>
      <c r="AD69" s="20" t="str">
        <f>IF(Tabelle589711[[#This Row],[installierte Leistung MW]]&lt;&gt;"",Tabelle589711[[#This Row],[Durchschnittsauslastung]]*Tabelle589711[[#This Row],[installierte Leistung MW]],"")</f>
        <v/>
      </c>
      <c r="AE69" s="19"/>
      <c r="AF69" s="19"/>
      <c r="AG69" s="19"/>
      <c r="AH69" s="19">
        <f t="shared" si="5"/>
        <v>1.6666666666666666E-4</v>
      </c>
      <c r="AI69" s="19"/>
      <c r="AJ69" s="28">
        <f t="shared" si="4"/>
        <v>1.6666666666666668E-3</v>
      </c>
      <c r="AK69" s="28"/>
      <c r="AL69" s="28"/>
      <c r="BC69" s="13">
        <v>99</v>
      </c>
      <c r="BD69" s="1">
        <v>99</v>
      </c>
      <c r="BE69" s="13"/>
      <c r="BF69" s="13"/>
      <c r="BG69" s="13"/>
      <c r="BH69" s="13"/>
      <c r="BI69" s="13"/>
      <c r="BJ69" s="13"/>
    </row>
    <row r="70" spans="1:62" x14ac:dyDescent="0.25">
      <c r="A70" s="1" t="s">
        <v>294</v>
      </c>
      <c r="B70" s="1" t="s">
        <v>127</v>
      </c>
      <c r="C70" s="1">
        <v>2030</v>
      </c>
      <c r="D70" s="1">
        <v>1</v>
      </c>
      <c r="E70" s="1">
        <v>0</v>
      </c>
      <c r="F70" s="1">
        <v>0</v>
      </c>
      <c r="H70" s="11"/>
      <c r="I70" s="11"/>
      <c r="J70" s="11"/>
      <c r="L70" s="19"/>
      <c r="N70" s="11">
        <v>610</v>
      </c>
      <c r="O70" s="11">
        <v>610</v>
      </c>
      <c r="P70" s="19"/>
      <c r="Q70" s="19"/>
      <c r="R70" s="19"/>
      <c r="S70" s="19"/>
      <c r="T70" s="19"/>
      <c r="U70" s="11">
        <v>610</v>
      </c>
      <c r="V70" s="11">
        <v>610</v>
      </c>
      <c r="W70" s="19"/>
      <c r="X70" s="19"/>
      <c r="Y70" s="19"/>
      <c r="Z70" s="20"/>
      <c r="AA70" s="42"/>
      <c r="AB70" s="9"/>
      <c r="AC70" s="9"/>
      <c r="AD70" s="20" t="str">
        <f>IF(Tabelle589711[[#This Row],[installierte Leistung MW]]&lt;&gt;"",Tabelle589711[[#This Row],[Durchschnittsauslastung]]*Tabelle589711[[#This Row],[installierte Leistung MW]],"")</f>
        <v/>
      </c>
      <c r="AE70" s="19"/>
      <c r="AF70" s="19"/>
      <c r="AG70" s="19"/>
      <c r="AH70" s="19">
        <f t="shared" si="5"/>
        <v>1.6666666666666666E-4</v>
      </c>
      <c r="AI70" s="19"/>
      <c r="AJ70" s="28">
        <f t="shared" si="4"/>
        <v>1.6666666666666668E-3</v>
      </c>
      <c r="AK70" s="28"/>
      <c r="AL70" s="28"/>
      <c r="BC70" s="13">
        <v>99</v>
      </c>
      <c r="BD70" s="1">
        <v>99</v>
      </c>
      <c r="BE70" s="13"/>
      <c r="BF70" s="13"/>
      <c r="BG70" s="13"/>
      <c r="BH70" s="13"/>
      <c r="BI70" s="13"/>
      <c r="BJ70" s="13"/>
    </row>
    <row r="71" spans="1:62" x14ac:dyDescent="0.25">
      <c r="A71" s="1" t="s">
        <v>295</v>
      </c>
      <c r="B71" s="1" t="s">
        <v>127</v>
      </c>
      <c r="C71" s="1">
        <v>2010</v>
      </c>
      <c r="D71" s="1">
        <v>1</v>
      </c>
      <c r="E71" s="1">
        <v>0</v>
      </c>
      <c r="F71" s="1">
        <v>0</v>
      </c>
      <c r="H71" s="11"/>
      <c r="I71" s="11"/>
      <c r="J71" s="11"/>
      <c r="L71" s="19"/>
      <c r="N71" s="11">
        <v>130</v>
      </c>
      <c r="O71" s="11">
        <v>140</v>
      </c>
      <c r="P71" s="19"/>
      <c r="Q71" s="19"/>
      <c r="R71" s="19"/>
      <c r="S71" s="19"/>
      <c r="T71" s="19"/>
      <c r="U71" s="11">
        <v>130</v>
      </c>
      <c r="V71" s="11">
        <v>140</v>
      </c>
      <c r="W71" s="19"/>
      <c r="X71" s="19"/>
      <c r="Y71" s="19"/>
      <c r="Z71" s="20"/>
      <c r="AA71" s="42"/>
      <c r="AB71" s="9"/>
      <c r="AC71" s="9"/>
      <c r="AD71" s="20" t="str">
        <f>IF(Tabelle589711[[#This Row],[installierte Leistung MW]]&lt;&gt;"",Tabelle589711[[#This Row],[Durchschnittsauslastung]]*Tabelle589711[[#This Row],[installierte Leistung MW]],"")</f>
        <v/>
      </c>
      <c r="AE71" s="19"/>
      <c r="AF71" s="19"/>
      <c r="AG71" s="19"/>
      <c r="AH71" s="19">
        <f t="shared" si="5"/>
        <v>1.6666666666666666E-4</v>
      </c>
      <c r="AI71" s="19"/>
      <c r="AJ71" s="28">
        <f t="shared" si="4"/>
        <v>1.6666666666666668E-3</v>
      </c>
      <c r="AK71" s="28"/>
      <c r="AL71" s="28"/>
      <c r="BC71" s="13">
        <v>99</v>
      </c>
      <c r="BD71" s="1">
        <v>99</v>
      </c>
      <c r="BE71" s="13"/>
      <c r="BF71" s="13"/>
      <c r="BG71" s="13"/>
      <c r="BH71" s="13"/>
      <c r="BI71" s="13"/>
      <c r="BJ71" s="13"/>
    </row>
    <row r="72" spans="1:62" x14ac:dyDescent="0.25">
      <c r="A72" s="1" t="s">
        <v>295</v>
      </c>
      <c r="B72" s="1" t="s">
        <v>127</v>
      </c>
      <c r="C72" s="1">
        <v>2020</v>
      </c>
      <c r="D72" s="1">
        <v>1</v>
      </c>
      <c r="E72" s="1">
        <v>0</v>
      </c>
      <c r="F72" s="1">
        <v>0</v>
      </c>
      <c r="H72" s="11"/>
      <c r="I72" s="11"/>
      <c r="J72" s="11"/>
      <c r="L72" s="19"/>
      <c r="N72" s="11">
        <v>220</v>
      </c>
      <c r="O72" s="11">
        <v>210</v>
      </c>
      <c r="P72" s="19"/>
      <c r="Q72" s="19"/>
      <c r="R72" s="19"/>
      <c r="S72" s="19"/>
      <c r="T72" s="19"/>
      <c r="U72" s="11">
        <v>220</v>
      </c>
      <c r="V72" s="11">
        <v>210</v>
      </c>
      <c r="W72" s="19"/>
      <c r="X72" s="19"/>
      <c r="Y72" s="19"/>
      <c r="Z72" s="20"/>
      <c r="AA72" s="42"/>
      <c r="AB72" s="9"/>
      <c r="AC72" s="9"/>
      <c r="AD72" s="20" t="str">
        <f>IF(Tabelle589711[[#This Row],[installierte Leistung MW]]&lt;&gt;"",Tabelle589711[[#This Row],[Durchschnittsauslastung]]*Tabelle589711[[#This Row],[installierte Leistung MW]],"")</f>
        <v/>
      </c>
      <c r="AE72" s="19"/>
      <c r="AF72" s="19"/>
      <c r="AG72" s="19"/>
      <c r="AH72" s="19">
        <f t="shared" si="5"/>
        <v>1.6666666666666666E-4</v>
      </c>
      <c r="AI72" s="19"/>
      <c r="AJ72" s="28">
        <f t="shared" si="4"/>
        <v>1.6666666666666668E-3</v>
      </c>
      <c r="AK72" s="28"/>
      <c r="AL72" s="28"/>
      <c r="BC72" s="13">
        <v>99</v>
      </c>
      <c r="BD72" s="1">
        <v>99</v>
      </c>
      <c r="BE72" s="13"/>
      <c r="BF72" s="13"/>
      <c r="BG72" s="13"/>
      <c r="BH72" s="13"/>
      <c r="BI72" s="13"/>
      <c r="BJ72" s="13"/>
    </row>
    <row r="73" spans="1:62" x14ac:dyDescent="0.25">
      <c r="A73" s="1" t="s">
        <v>295</v>
      </c>
      <c r="B73" s="1" t="s">
        <v>127</v>
      </c>
      <c r="C73" s="1">
        <v>2030</v>
      </c>
      <c r="D73" s="1">
        <v>1</v>
      </c>
      <c r="E73" s="1">
        <v>0</v>
      </c>
      <c r="F73" s="1">
        <v>0</v>
      </c>
      <c r="H73" s="11"/>
      <c r="I73" s="11"/>
      <c r="J73" s="11"/>
      <c r="L73" s="19"/>
      <c r="N73" s="11">
        <v>220</v>
      </c>
      <c r="O73" s="11">
        <v>200</v>
      </c>
      <c r="P73" s="19"/>
      <c r="Q73" s="19"/>
      <c r="R73" s="19"/>
      <c r="S73" s="19"/>
      <c r="T73" s="19"/>
      <c r="U73" s="11">
        <v>220</v>
      </c>
      <c r="V73" s="11">
        <v>200</v>
      </c>
      <c r="W73" s="19"/>
      <c r="X73" s="19"/>
      <c r="Y73" s="19"/>
      <c r="Z73" s="20"/>
      <c r="AA73" s="42"/>
      <c r="AB73" s="9"/>
      <c r="AC73" s="9"/>
      <c r="AD73" s="20" t="str">
        <f>IF(Tabelle589711[[#This Row],[installierte Leistung MW]]&lt;&gt;"",Tabelle589711[[#This Row],[Durchschnittsauslastung]]*Tabelle589711[[#This Row],[installierte Leistung MW]],"")</f>
        <v/>
      </c>
      <c r="AE73" s="19"/>
      <c r="AF73" s="19"/>
      <c r="AG73" s="19"/>
      <c r="AH73" s="19">
        <f t="shared" si="5"/>
        <v>1.6666666666666666E-4</v>
      </c>
      <c r="AI73" s="19"/>
      <c r="AJ73" s="28">
        <f t="shared" si="4"/>
        <v>1.6666666666666668E-3</v>
      </c>
      <c r="AK73" s="28"/>
      <c r="AL73" s="28"/>
      <c r="BC73" s="13">
        <v>99</v>
      </c>
      <c r="BD73" s="1">
        <v>99</v>
      </c>
      <c r="BE73" s="13"/>
      <c r="BF73" s="13"/>
      <c r="BG73" s="13"/>
      <c r="BH73" s="13"/>
      <c r="BI73" s="13"/>
      <c r="BJ73" s="13"/>
    </row>
    <row r="74" spans="1:62" x14ac:dyDescent="0.25">
      <c r="A74" s="1" t="s">
        <v>296</v>
      </c>
      <c r="B74" s="1" t="s">
        <v>127</v>
      </c>
      <c r="C74" s="1">
        <v>2010</v>
      </c>
      <c r="D74" s="1">
        <v>1</v>
      </c>
      <c r="E74" s="1">
        <v>0</v>
      </c>
      <c r="F74" s="1">
        <v>0</v>
      </c>
      <c r="H74" s="11"/>
      <c r="I74" s="11"/>
      <c r="J74" s="11"/>
      <c r="L74" s="19"/>
      <c r="N74" s="11">
        <v>520</v>
      </c>
      <c r="O74" s="11">
        <v>900</v>
      </c>
      <c r="P74" s="19"/>
      <c r="Q74" s="19"/>
      <c r="R74" s="19"/>
      <c r="S74" s="19"/>
      <c r="T74" s="19"/>
      <c r="U74" s="11">
        <v>520</v>
      </c>
      <c r="V74" s="11">
        <v>900</v>
      </c>
      <c r="W74" s="19"/>
      <c r="X74" s="19"/>
      <c r="Y74" s="19"/>
      <c r="Z74" s="20"/>
      <c r="AA74" s="42"/>
      <c r="AB74" s="9"/>
      <c r="AC74" s="9"/>
      <c r="AD74" s="20" t="str">
        <f>IF(Tabelle589711[[#This Row],[installierte Leistung MW]]&lt;&gt;"",Tabelle589711[[#This Row],[Durchschnittsauslastung]]*Tabelle589711[[#This Row],[installierte Leistung MW]],"")</f>
        <v/>
      </c>
      <c r="AE74" s="19"/>
      <c r="AF74" s="19"/>
      <c r="AG74" s="19"/>
      <c r="AH74" s="19">
        <f t="shared" si="5"/>
        <v>1.6666666666666666E-4</v>
      </c>
      <c r="AI74" s="19"/>
      <c r="AJ74" s="28">
        <f t="shared" si="4"/>
        <v>1.6666666666666668E-3</v>
      </c>
      <c r="AK74" s="28"/>
      <c r="AL74" s="28"/>
      <c r="BC74" s="13">
        <v>99</v>
      </c>
      <c r="BD74" s="1">
        <v>99</v>
      </c>
      <c r="BE74" s="13"/>
      <c r="BF74" s="13"/>
      <c r="BG74" s="13"/>
      <c r="BH74" s="13"/>
      <c r="BI74" s="13"/>
      <c r="BJ74" s="13"/>
    </row>
    <row r="75" spans="1:62" x14ac:dyDescent="0.25">
      <c r="A75" s="1" t="s">
        <v>296</v>
      </c>
      <c r="B75" s="1" t="s">
        <v>127</v>
      </c>
      <c r="C75" s="1">
        <v>2020</v>
      </c>
      <c r="D75" s="1">
        <v>1</v>
      </c>
      <c r="E75" s="1">
        <v>0</v>
      </c>
      <c r="F75" s="1">
        <v>0</v>
      </c>
      <c r="H75" s="11"/>
      <c r="I75" s="11"/>
      <c r="J75" s="11"/>
      <c r="L75" s="19"/>
      <c r="N75" s="11">
        <v>600</v>
      </c>
      <c r="O75" s="11">
        <v>1120</v>
      </c>
      <c r="P75" s="19"/>
      <c r="Q75" s="19"/>
      <c r="R75" s="19"/>
      <c r="S75" s="19"/>
      <c r="T75" s="19"/>
      <c r="U75" s="11">
        <v>600</v>
      </c>
      <c r="V75" s="11">
        <v>1120</v>
      </c>
      <c r="W75" s="19"/>
      <c r="X75" s="19"/>
      <c r="Y75" s="19"/>
      <c r="Z75" s="20"/>
      <c r="AA75" s="42"/>
      <c r="AB75" s="9"/>
      <c r="AC75" s="9"/>
      <c r="AD75" s="20" t="str">
        <f>IF(Tabelle589711[[#This Row],[installierte Leistung MW]]&lt;&gt;"",Tabelle589711[[#This Row],[Durchschnittsauslastung]]*Tabelle589711[[#This Row],[installierte Leistung MW]],"")</f>
        <v/>
      </c>
      <c r="AE75" s="19"/>
      <c r="AF75" s="19"/>
      <c r="AG75" s="19"/>
      <c r="AH75" s="19">
        <f t="shared" si="5"/>
        <v>1.6666666666666666E-4</v>
      </c>
      <c r="AI75" s="19"/>
      <c r="AJ75" s="28">
        <f t="shared" si="4"/>
        <v>1.6666666666666668E-3</v>
      </c>
      <c r="AK75" s="28"/>
      <c r="AL75" s="28"/>
      <c r="BC75" s="13">
        <v>99</v>
      </c>
      <c r="BD75" s="1">
        <v>99</v>
      </c>
      <c r="BE75" s="13"/>
      <c r="BF75" s="13"/>
      <c r="BG75" s="13"/>
      <c r="BH75" s="13"/>
      <c r="BI75" s="13"/>
      <c r="BJ75" s="13"/>
    </row>
    <row r="76" spans="1:62" x14ac:dyDescent="0.25">
      <c r="A76" s="1" t="s">
        <v>296</v>
      </c>
      <c r="B76" s="1" t="s">
        <v>127</v>
      </c>
      <c r="C76" s="1">
        <v>2030</v>
      </c>
      <c r="D76" s="1">
        <v>1</v>
      </c>
      <c r="E76" s="1">
        <v>0</v>
      </c>
      <c r="F76" s="1">
        <v>0</v>
      </c>
      <c r="H76" s="11"/>
      <c r="I76" s="11"/>
      <c r="J76" s="11"/>
      <c r="L76" s="19"/>
      <c r="N76" s="11">
        <v>570</v>
      </c>
      <c r="O76" s="11">
        <v>1030</v>
      </c>
      <c r="P76" s="19"/>
      <c r="Q76" s="19"/>
      <c r="R76" s="19"/>
      <c r="S76" s="19"/>
      <c r="T76" s="19"/>
      <c r="U76" s="11">
        <v>570</v>
      </c>
      <c r="V76" s="11">
        <v>1030</v>
      </c>
      <c r="W76" s="19"/>
      <c r="X76" s="19"/>
      <c r="Y76" s="19"/>
      <c r="Z76" s="20"/>
      <c r="AA76" s="42"/>
      <c r="AB76" s="9"/>
      <c r="AC76" s="9"/>
      <c r="AD76" s="20" t="str">
        <f>IF(Tabelle589711[[#This Row],[installierte Leistung MW]]&lt;&gt;"",Tabelle589711[[#This Row],[Durchschnittsauslastung]]*Tabelle589711[[#This Row],[installierte Leistung MW]],"")</f>
        <v/>
      </c>
      <c r="AE76" s="19"/>
      <c r="AF76" s="19"/>
      <c r="AG76" s="19"/>
      <c r="AH76" s="19">
        <f t="shared" si="5"/>
        <v>1.6666666666666666E-4</v>
      </c>
      <c r="AI76" s="19"/>
      <c r="AJ76" s="28">
        <f t="shared" si="4"/>
        <v>1.6666666666666668E-3</v>
      </c>
      <c r="AK76" s="28"/>
      <c r="AL76" s="28"/>
      <c r="BC76" s="13">
        <v>99</v>
      </c>
      <c r="BD76" s="1">
        <v>99</v>
      </c>
      <c r="BE76" s="13"/>
      <c r="BF76" s="13"/>
      <c r="BG76" s="13"/>
      <c r="BH76" s="13"/>
      <c r="BI76" s="13"/>
      <c r="BJ76" s="13"/>
    </row>
    <row r="77" spans="1:62" x14ac:dyDescent="0.25">
      <c r="A77" s="1" t="s">
        <v>297</v>
      </c>
      <c r="B77" s="1" t="s">
        <v>127</v>
      </c>
      <c r="C77" s="1">
        <v>2010</v>
      </c>
      <c r="D77" s="1">
        <v>1</v>
      </c>
      <c r="E77" s="1">
        <v>0</v>
      </c>
      <c r="F77" s="1">
        <v>0</v>
      </c>
      <c r="H77" s="11"/>
      <c r="I77" s="11"/>
      <c r="J77" s="11"/>
      <c r="L77" s="19"/>
      <c r="N77" s="11">
        <v>300</v>
      </c>
      <c r="O77" s="11">
        <v>730</v>
      </c>
      <c r="P77" s="19"/>
      <c r="Q77" s="19"/>
      <c r="R77" s="19"/>
      <c r="S77" s="19"/>
      <c r="T77" s="19"/>
      <c r="U77" s="11">
        <v>300</v>
      </c>
      <c r="V77" s="11">
        <v>730</v>
      </c>
      <c r="W77" s="19"/>
      <c r="X77" s="19"/>
      <c r="Y77" s="19"/>
      <c r="Z77" s="20"/>
      <c r="AA77" s="42"/>
      <c r="AB77" s="9"/>
      <c r="AC77" s="9"/>
      <c r="AD77" s="20" t="str">
        <f>IF(Tabelle589711[[#This Row],[installierte Leistung MW]]&lt;&gt;"",Tabelle589711[[#This Row],[Durchschnittsauslastung]]*Tabelle589711[[#This Row],[installierte Leistung MW]],"")</f>
        <v/>
      </c>
      <c r="AE77" s="19"/>
      <c r="AF77" s="19"/>
      <c r="AG77" s="19"/>
      <c r="AH77" s="19">
        <f t="shared" si="5"/>
        <v>1.6666666666666666E-4</v>
      </c>
      <c r="AI77" s="19"/>
      <c r="AJ77" s="28">
        <f t="shared" si="4"/>
        <v>1.6666666666666668E-3</v>
      </c>
      <c r="AK77" s="28"/>
      <c r="AL77" s="28"/>
      <c r="BC77" s="13">
        <v>99</v>
      </c>
      <c r="BD77" s="1">
        <v>99</v>
      </c>
      <c r="BE77" s="13"/>
      <c r="BF77" s="13"/>
      <c r="BG77" s="13"/>
      <c r="BH77" s="13"/>
      <c r="BI77" s="13"/>
      <c r="BJ77" s="13"/>
    </row>
    <row r="78" spans="1:62" x14ac:dyDescent="0.25">
      <c r="A78" s="1" t="s">
        <v>297</v>
      </c>
      <c r="B78" s="1" t="s">
        <v>127</v>
      </c>
      <c r="C78" s="1">
        <v>2020</v>
      </c>
      <c r="D78" s="1">
        <v>1</v>
      </c>
      <c r="E78" s="1">
        <v>0</v>
      </c>
      <c r="F78" s="1">
        <v>0</v>
      </c>
      <c r="H78" s="11"/>
      <c r="I78" s="11"/>
      <c r="J78" s="11"/>
      <c r="L78" s="19"/>
      <c r="N78" s="11">
        <v>410</v>
      </c>
      <c r="O78" s="11">
        <v>1180</v>
      </c>
      <c r="P78" s="19"/>
      <c r="Q78" s="19"/>
      <c r="R78" s="19"/>
      <c r="S78" s="19"/>
      <c r="T78" s="19"/>
      <c r="U78" s="11">
        <v>410</v>
      </c>
      <c r="V78" s="11">
        <v>1180</v>
      </c>
      <c r="W78" s="19"/>
      <c r="X78" s="19"/>
      <c r="Y78" s="19"/>
      <c r="Z78" s="20"/>
      <c r="AA78" s="42"/>
      <c r="AB78" s="9"/>
      <c r="AC78" s="9"/>
      <c r="AD78" s="20" t="str">
        <f>IF(Tabelle589711[[#This Row],[installierte Leistung MW]]&lt;&gt;"",Tabelle589711[[#This Row],[Durchschnittsauslastung]]*Tabelle589711[[#This Row],[installierte Leistung MW]],"")</f>
        <v/>
      </c>
      <c r="AE78" s="19"/>
      <c r="AF78" s="19"/>
      <c r="AG78" s="19"/>
      <c r="AH78" s="19">
        <f t="shared" si="5"/>
        <v>1.6666666666666666E-4</v>
      </c>
      <c r="AI78" s="19"/>
      <c r="AJ78" s="28">
        <f t="shared" si="4"/>
        <v>1.6666666666666668E-3</v>
      </c>
      <c r="AK78" s="28"/>
      <c r="AL78" s="28"/>
      <c r="BC78" s="13">
        <v>99</v>
      </c>
      <c r="BD78" s="1">
        <v>99</v>
      </c>
      <c r="BE78" s="13"/>
      <c r="BF78" s="13"/>
      <c r="BG78" s="13"/>
      <c r="BH78" s="13"/>
      <c r="BI78" s="13"/>
      <c r="BJ78" s="13"/>
    </row>
    <row r="79" spans="1:62" x14ac:dyDescent="0.25">
      <c r="A79" s="1" t="s">
        <v>297</v>
      </c>
      <c r="B79" s="1" t="s">
        <v>127</v>
      </c>
      <c r="C79" s="1">
        <v>2030</v>
      </c>
      <c r="D79" s="1">
        <v>1</v>
      </c>
      <c r="E79" s="1">
        <v>0</v>
      </c>
      <c r="F79" s="1">
        <v>0</v>
      </c>
      <c r="H79" s="11"/>
      <c r="I79" s="11"/>
      <c r="J79" s="11"/>
      <c r="L79" s="19"/>
      <c r="N79" s="11">
        <v>400</v>
      </c>
      <c r="O79" s="11">
        <v>1100</v>
      </c>
      <c r="P79" s="19"/>
      <c r="Q79" s="19"/>
      <c r="R79" s="19"/>
      <c r="S79" s="19"/>
      <c r="T79" s="19"/>
      <c r="U79" s="11">
        <v>400</v>
      </c>
      <c r="V79" s="11">
        <v>1100</v>
      </c>
      <c r="W79" s="19"/>
      <c r="X79" s="19"/>
      <c r="Y79" s="19"/>
      <c r="Z79" s="20"/>
      <c r="AA79" s="42"/>
      <c r="AB79" s="9"/>
      <c r="AC79" s="9"/>
      <c r="AD79" s="20" t="str">
        <f>IF(Tabelle589711[[#This Row],[installierte Leistung MW]]&lt;&gt;"",Tabelle589711[[#This Row],[Durchschnittsauslastung]]*Tabelle589711[[#This Row],[installierte Leistung MW]],"")</f>
        <v/>
      </c>
      <c r="AE79" s="19"/>
      <c r="AF79" s="19"/>
      <c r="AG79" s="19"/>
      <c r="AH79" s="19">
        <f t="shared" si="5"/>
        <v>1.6666666666666666E-4</v>
      </c>
      <c r="AI79" s="19"/>
      <c r="AJ79" s="28">
        <f t="shared" si="4"/>
        <v>1.6666666666666668E-3</v>
      </c>
      <c r="AK79" s="28"/>
      <c r="AL79" s="28"/>
      <c r="BC79" s="13">
        <v>99</v>
      </c>
      <c r="BD79" s="1">
        <v>99</v>
      </c>
      <c r="BE79" s="13"/>
      <c r="BF79" s="13"/>
      <c r="BG79" s="13"/>
      <c r="BH79" s="13"/>
      <c r="BI79" s="13"/>
      <c r="BJ79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Dropdown!$C$2:$C$4</xm:f>
          </x14:formula1>
          <xm:sqref>B2:B79</xm:sqref>
        </x14:dataValidation>
        <x14:dataValidation type="list" allowBlank="1" showInputMessage="1" showErrorMessage="1" xr:uid="{00000000-0002-0000-0600-000001000000}">
          <x14:formula1>
            <xm:f>Dropdown!$A$2:$A$54</xm:f>
          </x14:formula1>
          <xm:sqref>A2:A79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71D8-5D17-4585-988A-E6A298C699A0}">
  <sheetPr codeName="Tabelle10"/>
  <dimension ref="A1:Y1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4" sqref="G14"/>
    </sheetView>
  </sheetViews>
  <sheetFormatPr baseColWidth="10" defaultRowHeight="14.5" x14ac:dyDescent="0.35"/>
  <cols>
    <col min="1" max="1" width="24.1796875" bestFit="1" customWidth="1"/>
    <col min="7" max="7" width="26.7265625" bestFit="1" customWidth="1"/>
    <col min="8" max="8" width="26" bestFit="1" customWidth="1"/>
    <col min="19" max="19" width="22.26953125" bestFit="1" customWidth="1"/>
  </cols>
  <sheetData>
    <row r="1" spans="1:25" s="1" customFormat="1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865</v>
      </c>
      <c r="H1" s="2" t="s">
        <v>866</v>
      </c>
      <c r="I1" s="2" t="s">
        <v>863</v>
      </c>
      <c r="J1" s="2" t="s">
        <v>864</v>
      </c>
      <c r="K1" s="2" t="s">
        <v>48</v>
      </c>
      <c r="L1" s="2" t="s">
        <v>861</v>
      </c>
      <c r="M1" s="2" t="s">
        <v>862</v>
      </c>
      <c r="N1" s="2" t="s">
        <v>154</v>
      </c>
      <c r="O1" s="2" t="s">
        <v>859</v>
      </c>
      <c r="P1" s="2" t="s">
        <v>860</v>
      </c>
      <c r="Q1" s="2" t="s">
        <v>54</v>
      </c>
      <c r="R1" s="2" t="s">
        <v>1256</v>
      </c>
      <c r="S1" s="2" t="s">
        <v>20</v>
      </c>
      <c r="T1" s="2" t="s">
        <v>867</v>
      </c>
      <c r="U1" s="2" t="s">
        <v>1</v>
      </c>
      <c r="V1" s="2" t="s">
        <v>2</v>
      </c>
      <c r="W1" s="2" t="s">
        <v>1123</v>
      </c>
      <c r="X1" s="2" t="s">
        <v>57</v>
      </c>
      <c r="Y1" s="2" t="s">
        <v>855</v>
      </c>
    </row>
    <row r="2" spans="1:25" s="1" customFormat="1" ht="12.5" x14ac:dyDescent="0.25">
      <c r="A2" s="1" t="s">
        <v>51</v>
      </c>
      <c r="B2" s="1" t="s">
        <v>126</v>
      </c>
      <c r="C2" s="1">
        <v>2015</v>
      </c>
      <c r="D2" s="1">
        <v>1</v>
      </c>
      <c r="E2" s="1">
        <v>0</v>
      </c>
      <c r="F2" s="1">
        <v>0</v>
      </c>
      <c r="I2" s="19"/>
      <c r="J2" s="19"/>
      <c r="K2" s="19"/>
      <c r="L2" s="19"/>
      <c r="M2" s="19"/>
      <c r="N2" s="19"/>
      <c r="O2" s="9">
        <v>0.12</v>
      </c>
      <c r="P2" s="9">
        <v>0.25</v>
      </c>
      <c r="Q2" s="19">
        <v>1150</v>
      </c>
      <c r="R2" s="19">
        <f>0.34*Umrechnungsfaktoren!$B$15/Umrechnungsfaktoren!$B$7</f>
        <v>0.37866952789699571</v>
      </c>
      <c r="U2" s="13"/>
      <c r="W2" s="13">
        <v>59</v>
      </c>
      <c r="X2" s="1">
        <v>60</v>
      </c>
      <c r="Y2" s="1">
        <v>60</v>
      </c>
    </row>
    <row r="3" spans="1:25" x14ac:dyDescent="0.35">
      <c r="A3" s="55" t="s">
        <v>277</v>
      </c>
      <c r="B3" s="55" t="s">
        <v>126</v>
      </c>
      <c r="C3" s="55">
        <v>2015</v>
      </c>
      <c r="D3" s="1">
        <v>1</v>
      </c>
      <c r="E3" s="1">
        <v>0</v>
      </c>
      <c r="F3" s="1">
        <v>0</v>
      </c>
      <c r="G3" s="55"/>
      <c r="H3" s="55"/>
      <c r="I3" s="56"/>
      <c r="J3" s="56"/>
      <c r="K3" s="56"/>
      <c r="L3" s="56"/>
      <c r="M3" s="56"/>
      <c r="N3" s="56"/>
      <c r="O3" s="58">
        <v>0.15</v>
      </c>
      <c r="P3" s="58">
        <v>0.63</v>
      </c>
      <c r="Q3" s="56">
        <v>80</v>
      </c>
      <c r="R3" s="56">
        <f>2.43*Umrechnungsfaktoren!$B$15/Umrechnungsfaktoren!$B$7</f>
        <v>2.7063733905579404</v>
      </c>
      <c r="S3" s="55"/>
      <c r="T3" s="55"/>
      <c r="U3" s="62"/>
      <c r="V3" s="55"/>
      <c r="W3" s="62">
        <v>59</v>
      </c>
      <c r="X3" s="55">
        <v>60</v>
      </c>
      <c r="Y3" s="55">
        <v>60</v>
      </c>
    </row>
    <row r="4" spans="1:25" x14ac:dyDescent="0.35">
      <c r="A4" s="55" t="s">
        <v>81</v>
      </c>
      <c r="B4" s="55" t="s">
        <v>126</v>
      </c>
      <c r="C4" s="55">
        <v>2015</v>
      </c>
      <c r="D4" s="1">
        <v>1</v>
      </c>
      <c r="E4" s="1">
        <v>0</v>
      </c>
      <c r="F4" s="1">
        <v>0</v>
      </c>
      <c r="G4" s="55"/>
      <c r="H4" s="55"/>
      <c r="I4" s="56"/>
      <c r="J4" s="56"/>
      <c r="K4" s="56"/>
      <c r="L4" s="56"/>
      <c r="M4" s="56"/>
      <c r="N4" s="56"/>
      <c r="O4" s="58">
        <v>0.05</v>
      </c>
      <c r="P4" s="58">
        <v>0.46</v>
      </c>
      <c r="Q4" s="56">
        <v>2120</v>
      </c>
      <c r="R4" s="56">
        <f>0.87*Umrechnungsfaktoren!$B$15/Umrechnungsfaktoren!$B$7</f>
        <v>0.96894849785407711</v>
      </c>
      <c r="S4" s="55"/>
      <c r="T4" s="55"/>
      <c r="U4" s="62"/>
      <c r="V4" s="55"/>
      <c r="W4" s="62">
        <v>59</v>
      </c>
      <c r="X4" s="55">
        <v>60</v>
      </c>
      <c r="Y4" s="55">
        <v>60</v>
      </c>
    </row>
    <row r="5" spans="1:25" x14ac:dyDescent="0.35">
      <c r="A5" s="55" t="s">
        <v>27</v>
      </c>
      <c r="B5" s="55" t="s">
        <v>126</v>
      </c>
      <c r="C5" s="55">
        <v>2015</v>
      </c>
      <c r="D5" s="1">
        <v>1</v>
      </c>
      <c r="E5" s="1">
        <v>0</v>
      </c>
      <c r="F5" s="1">
        <v>0</v>
      </c>
      <c r="G5" s="55"/>
      <c r="H5" s="55"/>
      <c r="I5" s="56"/>
      <c r="J5" s="56"/>
      <c r="K5" s="56"/>
      <c r="L5" s="56"/>
      <c r="M5" s="56"/>
      <c r="N5" s="56"/>
      <c r="O5" s="58">
        <v>0.14000000000000001</v>
      </c>
      <c r="P5" s="58">
        <v>0.49</v>
      </c>
      <c r="Q5" s="56">
        <v>1190</v>
      </c>
      <c r="R5" s="56">
        <f>1.39*Umrechnungsfaktoren!$B$15/Umrechnungsfaktoren!$B$7</f>
        <v>1.5480901287553646</v>
      </c>
      <c r="S5" s="55"/>
      <c r="T5" s="55"/>
      <c r="U5" s="62"/>
      <c r="V5" s="55"/>
      <c r="W5" s="62">
        <v>59</v>
      </c>
      <c r="X5" s="55">
        <v>60</v>
      </c>
      <c r="Y5" s="55">
        <v>60</v>
      </c>
    </row>
    <row r="6" spans="1:25" x14ac:dyDescent="0.35">
      <c r="A6" s="55" t="s">
        <v>74</v>
      </c>
      <c r="B6" s="55" t="s">
        <v>126</v>
      </c>
      <c r="C6" s="55">
        <v>2015</v>
      </c>
      <c r="D6" s="1">
        <v>1</v>
      </c>
      <c r="E6" s="1">
        <v>0</v>
      </c>
      <c r="F6" s="1">
        <v>0</v>
      </c>
      <c r="G6" s="55"/>
      <c r="H6" s="55"/>
      <c r="I6" s="56"/>
      <c r="J6" s="56"/>
      <c r="K6" s="56"/>
      <c r="L6" s="56"/>
      <c r="M6" s="56"/>
      <c r="N6" s="56"/>
      <c r="O6" s="58">
        <v>0.28000000000000003</v>
      </c>
      <c r="P6" s="58">
        <v>0.72</v>
      </c>
      <c r="Q6" s="56">
        <v>140</v>
      </c>
      <c r="R6" s="56">
        <f>6.95*Umrechnungsfaktoren!$B$15/Umrechnungsfaktoren!$B$7</f>
        <v>7.7404506437768239</v>
      </c>
      <c r="S6" s="55"/>
      <c r="T6" s="55"/>
      <c r="U6" s="62"/>
      <c r="V6" s="55"/>
      <c r="W6" s="62">
        <v>59</v>
      </c>
      <c r="X6" s="55">
        <v>60</v>
      </c>
      <c r="Y6" s="55">
        <v>60</v>
      </c>
    </row>
    <row r="7" spans="1:25" x14ac:dyDescent="0.35">
      <c r="A7" s="55" t="s">
        <v>809</v>
      </c>
      <c r="B7" s="55" t="s">
        <v>127</v>
      </c>
      <c r="C7" s="55">
        <v>2015</v>
      </c>
      <c r="D7" s="1">
        <v>1</v>
      </c>
      <c r="E7" s="1">
        <v>0</v>
      </c>
      <c r="F7" s="1">
        <v>0</v>
      </c>
      <c r="G7" s="55"/>
      <c r="H7" s="55"/>
      <c r="I7" s="56">
        <v>17000</v>
      </c>
      <c r="J7" s="56">
        <v>3000</v>
      </c>
      <c r="K7" s="56"/>
      <c r="L7" s="56">
        <v>17000</v>
      </c>
      <c r="M7" s="56">
        <v>3000</v>
      </c>
      <c r="N7" s="56"/>
      <c r="O7" s="58"/>
      <c r="P7" s="58"/>
      <c r="Q7" s="56"/>
      <c r="R7" s="56"/>
      <c r="S7" s="1" t="s">
        <v>1165</v>
      </c>
      <c r="T7" s="55"/>
      <c r="U7" s="62">
        <v>65</v>
      </c>
      <c r="V7" s="55">
        <v>65</v>
      </c>
      <c r="W7" s="62"/>
      <c r="X7" s="55"/>
      <c r="Y7" s="55"/>
    </row>
    <row r="8" spans="1:25" x14ac:dyDescent="0.35">
      <c r="A8" s="55" t="s">
        <v>134</v>
      </c>
      <c r="B8" s="55" t="s">
        <v>127</v>
      </c>
      <c r="C8" s="55">
        <v>2015</v>
      </c>
      <c r="D8" s="55">
        <v>1</v>
      </c>
      <c r="E8" s="55">
        <v>0</v>
      </c>
      <c r="F8" s="1">
        <v>0</v>
      </c>
      <c r="G8" s="55"/>
      <c r="H8" s="55"/>
      <c r="I8" s="56">
        <v>3000</v>
      </c>
      <c r="J8" s="56">
        <v>1000</v>
      </c>
      <c r="K8" s="56"/>
      <c r="L8" s="56">
        <v>3000</v>
      </c>
      <c r="M8" s="56">
        <v>1000</v>
      </c>
      <c r="N8" s="56"/>
      <c r="O8" s="58"/>
      <c r="P8" s="58"/>
      <c r="Q8" s="56"/>
      <c r="R8" s="56"/>
      <c r="S8" s="1" t="s">
        <v>1165</v>
      </c>
      <c r="T8" s="55"/>
      <c r="U8" s="62">
        <v>65</v>
      </c>
      <c r="V8" s="55">
        <v>65</v>
      </c>
      <c r="W8" s="62"/>
      <c r="X8" s="55"/>
      <c r="Y8" s="55"/>
    </row>
    <row r="9" spans="1:25" x14ac:dyDescent="0.35">
      <c r="A9" s="55" t="s">
        <v>132</v>
      </c>
      <c r="B9" s="55" t="s">
        <v>139</v>
      </c>
      <c r="C9" s="55">
        <v>2015</v>
      </c>
      <c r="D9" s="55">
        <v>1</v>
      </c>
      <c r="E9" s="55">
        <v>0</v>
      </c>
      <c r="F9" s="1">
        <v>0</v>
      </c>
      <c r="G9" s="55">
        <v>9.3000000000000007</v>
      </c>
      <c r="H9" s="55">
        <v>22.6</v>
      </c>
      <c r="I9" s="56">
        <v>500</v>
      </c>
      <c r="J9" s="56">
        <v>500</v>
      </c>
      <c r="K9" s="56">
        <v>1300</v>
      </c>
      <c r="L9" s="56">
        <v>500</v>
      </c>
      <c r="M9" s="56">
        <v>500</v>
      </c>
      <c r="N9" s="56">
        <v>1300</v>
      </c>
      <c r="O9" s="58"/>
      <c r="P9" s="58"/>
      <c r="Q9" s="56"/>
      <c r="R9" s="56"/>
      <c r="S9" s="55"/>
      <c r="T9" s="55">
        <v>69</v>
      </c>
      <c r="U9" s="62">
        <v>74</v>
      </c>
      <c r="V9" s="55">
        <v>74</v>
      </c>
      <c r="W9" s="62"/>
      <c r="X9" s="55"/>
      <c r="Y9" s="55"/>
    </row>
    <row r="10" spans="1:25" x14ac:dyDescent="0.35">
      <c r="A10" s="55" t="s">
        <v>284</v>
      </c>
      <c r="B10" s="55" t="s">
        <v>139</v>
      </c>
      <c r="C10" s="55">
        <v>2015</v>
      </c>
      <c r="D10" s="55">
        <v>1</v>
      </c>
      <c r="E10" s="55">
        <v>0</v>
      </c>
      <c r="F10" s="1">
        <v>0</v>
      </c>
      <c r="G10" s="55">
        <v>5.5</v>
      </c>
      <c r="H10" s="55">
        <v>9.5</v>
      </c>
      <c r="I10" s="56">
        <v>500</v>
      </c>
      <c r="J10" s="56">
        <v>500</v>
      </c>
      <c r="K10" s="56">
        <v>1000</v>
      </c>
      <c r="L10" s="56">
        <v>500</v>
      </c>
      <c r="M10" s="56">
        <v>500</v>
      </c>
      <c r="N10" s="56">
        <v>1000</v>
      </c>
      <c r="O10" s="58"/>
      <c r="P10" s="58"/>
      <c r="Q10" s="56"/>
      <c r="R10" s="56"/>
      <c r="S10" s="55"/>
      <c r="T10" s="55">
        <v>77</v>
      </c>
      <c r="U10" s="62">
        <v>76</v>
      </c>
      <c r="V10" s="55">
        <v>76</v>
      </c>
      <c r="W10" s="62"/>
      <c r="X10" s="55"/>
      <c r="Y10" s="55"/>
    </row>
    <row r="11" spans="1:25" x14ac:dyDescent="0.35">
      <c r="A11" s="55" t="s">
        <v>133</v>
      </c>
      <c r="B11" s="55" t="s">
        <v>139</v>
      </c>
      <c r="C11" s="55">
        <v>2015</v>
      </c>
      <c r="D11" s="55">
        <v>1</v>
      </c>
      <c r="E11" s="55">
        <v>0</v>
      </c>
      <c r="F11" s="1">
        <v>0</v>
      </c>
      <c r="G11" s="55"/>
      <c r="H11" s="55"/>
      <c r="I11" s="56">
        <v>300</v>
      </c>
      <c r="J11" s="56">
        <v>300</v>
      </c>
      <c r="K11" s="56">
        <v>700</v>
      </c>
      <c r="L11" s="56">
        <v>300</v>
      </c>
      <c r="M11" s="56">
        <v>300</v>
      </c>
      <c r="N11" s="56">
        <v>700</v>
      </c>
      <c r="O11" s="58"/>
      <c r="P11" s="58"/>
      <c r="Q11" s="56"/>
      <c r="R11" s="56"/>
      <c r="S11" s="55"/>
      <c r="T11" s="55"/>
      <c r="U11" s="62">
        <v>77</v>
      </c>
      <c r="V11" s="55">
        <v>77</v>
      </c>
      <c r="W11" s="62"/>
      <c r="X11" s="55"/>
      <c r="Y11" s="55"/>
    </row>
    <row r="12" spans="1:25" x14ac:dyDescent="0.35">
      <c r="A12" s="55" t="s">
        <v>135</v>
      </c>
      <c r="B12" s="55" t="s">
        <v>139</v>
      </c>
      <c r="C12" s="55">
        <v>2015</v>
      </c>
      <c r="D12" s="55">
        <v>1</v>
      </c>
      <c r="E12" s="55">
        <v>0</v>
      </c>
      <c r="F12" s="1">
        <v>0</v>
      </c>
      <c r="G12" s="55">
        <v>18</v>
      </c>
      <c r="H12" s="55">
        <v>20</v>
      </c>
      <c r="I12" s="56"/>
      <c r="J12" s="56"/>
      <c r="K12" s="56">
        <v>12400</v>
      </c>
      <c r="L12" s="56"/>
      <c r="M12" s="56"/>
      <c r="N12" s="56">
        <v>12400</v>
      </c>
      <c r="O12" s="58"/>
      <c r="P12" s="58"/>
      <c r="Q12" s="56"/>
      <c r="R12" s="56"/>
      <c r="S12" s="55"/>
      <c r="T12" s="55">
        <v>78</v>
      </c>
      <c r="U12" s="62">
        <v>81</v>
      </c>
      <c r="V12" s="55">
        <v>81</v>
      </c>
      <c r="W12" s="62"/>
      <c r="X12" s="55"/>
      <c r="Y12" s="55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4BDAAA-8319-4B38-BCEA-0A751F917396}">
          <x14:formula1>
            <xm:f>Dropdown!$C$2:$C$4</xm:f>
          </x14:formula1>
          <xm:sqref>B2:B12</xm:sqref>
        </x14:dataValidation>
        <x14:dataValidation type="list" allowBlank="1" showInputMessage="1" showErrorMessage="1" xr:uid="{B6E0C733-6D4A-442B-AF1D-C930EB8F2F6C}">
          <x14:formula1>
            <xm:f>Dropdown!$A$2:$A$92</xm:f>
          </x14:formula1>
          <xm:sqref>A2:A12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94ED-FC7A-4B65-A713-0FE956B7E3B2}">
  <dimension ref="A1:AM31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32" sqref="O32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8" width="17.7265625" style="1" customWidth="1"/>
    <col min="9" max="9" width="44" style="1" bestFit="1" customWidth="1"/>
    <col min="10" max="11" width="44" style="1" customWidth="1"/>
    <col min="12" max="12" width="55.7265625" style="1" customWidth="1"/>
    <col min="13" max="13" width="24.54296875" style="1" customWidth="1"/>
    <col min="14" max="14" width="33.81640625" style="1" bestFit="1" customWidth="1"/>
    <col min="15" max="15" width="33.81640625" style="1" customWidth="1"/>
    <col min="16" max="20" width="24.453125" style="1" customWidth="1"/>
    <col min="21" max="21" width="25.81640625" style="1" bestFit="1" customWidth="1"/>
    <col min="22" max="22" width="24" style="1" bestFit="1" customWidth="1"/>
    <col min="23" max="25" width="38.26953125" style="1" customWidth="1"/>
    <col min="26" max="26" width="56.7265625" style="1" bestFit="1" customWidth="1"/>
    <col min="27" max="29" width="35.54296875" style="1" customWidth="1"/>
    <col min="30" max="30" width="31.7265625" style="1" bestFit="1" customWidth="1"/>
    <col min="31" max="31" width="31.54296875" style="1" bestFit="1" customWidth="1"/>
    <col min="32" max="35" width="31.54296875" style="1" customWidth="1"/>
    <col min="36" max="36" width="37.453125" style="1" bestFit="1" customWidth="1"/>
    <col min="37" max="37" width="34" style="1" bestFit="1" customWidth="1"/>
    <col min="38" max="38" width="34.453125" style="1" bestFit="1" customWidth="1"/>
    <col min="39" max="39" width="31" style="1" bestFit="1" customWidth="1"/>
    <col min="40" max="16384" width="11.453125" style="1"/>
  </cols>
  <sheetData>
    <row r="1" spans="1:39" ht="14.5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833</v>
      </c>
      <c r="H1" s="2" t="s">
        <v>1226</v>
      </c>
      <c r="I1" s="2" t="s">
        <v>279</v>
      </c>
      <c r="J1" s="122" t="s">
        <v>47</v>
      </c>
      <c r="K1" s="122" t="s">
        <v>48</v>
      </c>
      <c r="L1" s="2" t="s">
        <v>281</v>
      </c>
      <c r="M1" s="122" t="s">
        <v>153</v>
      </c>
      <c r="N1" s="122" t="s">
        <v>154</v>
      </c>
      <c r="O1" s="122" t="s">
        <v>55</v>
      </c>
      <c r="P1" s="2" t="s">
        <v>53</v>
      </c>
      <c r="Q1" s="2" t="s">
        <v>54</v>
      </c>
      <c r="R1" s="2" t="s">
        <v>52</v>
      </c>
      <c r="S1" s="2" t="s">
        <v>120</v>
      </c>
      <c r="T1" s="2" t="s">
        <v>555</v>
      </c>
      <c r="U1" s="2" t="s">
        <v>3</v>
      </c>
      <c r="V1" s="2" t="s">
        <v>14</v>
      </c>
      <c r="W1" s="2" t="s">
        <v>1246</v>
      </c>
      <c r="X1" s="2" t="s">
        <v>1247</v>
      </c>
      <c r="Y1" s="2" t="s">
        <v>1250</v>
      </c>
      <c r="Z1" s="2" t="s">
        <v>20</v>
      </c>
      <c r="AA1" s="2" t="s">
        <v>161</v>
      </c>
      <c r="AB1" s="2" t="s">
        <v>162</v>
      </c>
      <c r="AC1" s="2" t="s">
        <v>867</v>
      </c>
      <c r="AD1" s="2" t="s">
        <v>1</v>
      </c>
      <c r="AE1" s="2" t="s">
        <v>2</v>
      </c>
      <c r="AF1" s="2" t="s">
        <v>56</v>
      </c>
      <c r="AG1" s="2" t="s">
        <v>57</v>
      </c>
      <c r="AH1" s="2" t="s">
        <v>1229</v>
      </c>
      <c r="AI1" s="2" t="s">
        <v>1123</v>
      </c>
      <c r="AJ1" s="2" t="s">
        <v>58</v>
      </c>
      <c r="AK1" s="2" t="s">
        <v>6</v>
      </c>
      <c r="AL1" s="2" t="s">
        <v>16</v>
      </c>
      <c r="AM1" s="2" t="s">
        <v>21</v>
      </c>
    </row>
    <row r="2" spans="1:39" x14ac:dyDescent="0.25">
      <c r="A2" s="6" t="s">
        <v>129</v>
      </c>
      <c r="B2" s="1" t="s">
        <v>139</v>
      </c>
      <c r="C2" s="1">
        <v>2018</v>
      </c>
      <c r="D2" s="1">
        <v>1</v>
      </c>
      <c r="E2" s="1">
        <v>0</v>
      </c>
      <c r="F2" s="1">
        <v>0</v>
      </c>
      <c r="G2" s="1">
        <v>11.61</v>
      </c>
      <c r="H2" s="3">
        <v>4.3379337400000004</v>
      </c>
      <c r="I2" s="19">
        <v>371.405265981735</v>
      </c>
      <c r="J2" s="19">
        <v>43.139999999999901</v>
      </c>
      <c r="K2" s="19">
        <v>788.42999999999904</v>
      </c>
      <c r="L2" s="19">
        <v>742.799090182648</v>
      </c>
      <c r="M2" s="19">
        <v>325.70999999999901</v>
      </c>
      <c r="N2" s="19">
        <v>1071.08</v>
      </c>
      <c r="O2" s="19">
        <f>1238.24/Tabelle58971145[[#This Row],[Maximalauslastung]]</f>
        <v>49529.599999999999</v>
      </c>
      <c r="P2" s="19">
        <v>167.009999999999</v>
      </c>
      <c r="Q2" s="19">
        <v>912.18999999999903</v>
      </c>
      <c r="R2" s="9">
        <v>0</v>
      </c>
      <c r="S2" s="9">
        <v>2.5000000000000001E-2</v>
      </c>
      <c r="T2" s="9">
        <v>0.4</v>
      </c>
      <c r="U2" s="1">
        <v>6</v>
      </c>
      <c r="W2" s="1">
        <v>220</v>
      </c>
      <c r="X2" s="1">
        <v>50</v>
      </c>
      <c r="Y2" s="1">
        <v>42</v>
      </c>
      <c r="Z2" s="1" t="s">
        <v>1227</v>
      </c>
      <c r="AA2" s="13">
        <v>100001</v>
      </c>
      <c r="AB2" s="13">
        <v>100001</v>
      </c>
      <c r="AC2" s="13">
        <v>100005</v>
      </c>
      <c r="AD2" s="13" t="s">
        <v>1228</v>
      </c>
      <c r="AE2" s="13" t="s">
        <v>1228</v>
      </c>
      <c r="AF2" s="13" t="s">
        <v>1228</v>
      </c>
      <c r="AG2" s="13" t="s">
        <v>1228</v>
      </c>
      <c r="AH2" s="13">
        <v>100008</v>
      </c>
      <c r="AI2" s="13">
        <v>100008</v>
      </c>
      <c r="AJ2" s="13" t="s">
        <v>1228</v>
      </c>
      <c r="AK2" s="13">
        <v>100008</v>
      </c>
    </row>
    <row r="3" spans="1:39" x14ac:dyDescent="0.25">
      <c r="A3" s="79" t="s">
        <v>389</v>
      </c>
      <c r="B3" s="1" t="s">
        <v>139</v>
      </c>
      <c r="C3" s="1">
        <v>2018</v>
      </c>
      <c r="D3" s="1">
        <v>1</v>
      </c>
      <c r="E3" s="1">
        <v>0</v>
      </c>
      <c r="F3" s="1">
        <v>0</v>
      </c>
      <c r="G3" s="1">
        <v>21.930000000000003</v>
      </c>
      <c r="H3" s="3">
        <v>8.1938359399999996</v>
      </c>
      <c r="I3" s="112">
        <v>935.36939954337902</v>
      </c>
      <c r="J3" s="112">
        <v>315.29999999999899</v>
      </c>
      <c r="K3" s="112">
        <v>1723.02</v>
      </c>
      <c r="L3" s="113">
        <v>1899.08207762557</v>
      </c>
      <c r="M3" s="113">
        <v>1111.45</v>
      </c>
      <c r="N3" s="113">
        <v>2519.08</v>
      </c>
      <c r="O3" s="113">
        <v>2834.68</v>
      </c>
      <c r="P3" s="113">
        <v>315.29999999999899</v>
      </c>
      <c r="Q3" s="113">
        <v>1723.02</v>
      </c>
      <c r="R3" s="120">
        <v>0</v>
      </c>
      <c r="S3" s="120">
        <v>1</v>
      </c>
      <c r="T3" s="120">
        <v>0.4</v>
      </c>
      <c r="U3" s="65">
        <v>2</v>
      </c>
      <c r="V3" s="112"/>
      <c r="W3" s="65">
        <v>220</v>
      </c>
      <c r="X3" s="65">
        <v>50</v>
      </c>
      <c r="Y3" s="65">
        <v>42</v>
      </c>
      <c r="Z3" s="1" t="s">
        <v>1227</v>
      </c>
      <c r="AA3" s="13">
        <v>100001</v>
      </c>
      <c r="AB3" s="13">
        <v>100001</v>
      </c>
      <c r="AC3" s="13">
        <v>100005</v>
      </c>
      <c r="AD3" s="13" t="s">
        <v>1228</v>
      </c>
      <c r="AE3" s="13" t="s">
        <v>1228</v>
      </c>
      <c r="AF3" s="13" t="s">
        <v>1228</v>
      </c>
      <c r="AG3" s="13" t="s">
        <v>1228</v>
      </c>
      <c r="AH3" s="13">
        <v>100008</v>
      </c>
      <c r="AI3" s="13">
        <v>100008</v>
      </c>
      <c r="AJ3" s="13" t="s">
        <v>1228</v>
      </c>
      <c r="AK3" s="13">
        <v>100008</v>
      </c>
      <c r="AL3" s="112"/>
      <c r="AM3" s="112"/>
    </row>
    <row r="4" spans="1:39" x14ac:dyDescent="0.25">
      <c r="A4" s="102" t="s">
        <v>542</v>
      </c>
      <c r="B4" s="112" t="s">
        <v>127</v>
      </c>
      <c r="C4" s="112">
        <v>2018</v>
      </c>
      <c r="D4" s="1">
        <v>1</v>
      </c>
      <c r="E4" s="1">
        <v>0</v>
      </c>
      <c r="F4" s="1">
        <v>0</v>
      </c>
      <c r="G4" s="1">
        <f>17.64+11.76+2.94</f>
        <v>32.339999999999996</v>
      </c>
      <c r="H4" s="3">
        <v>16.16386769</v>
      </c>
      <c r="I4" s="112">
        <v>1845.1903755707699</v>
      </c>
      <c r="J4" s="112">
        <v>1300.27999999999</v>
      </c>
      <c r="K4" s="112">
        <v>2486.8699999999899</v>
      </c>
      <c r="L4" s="113">
        <v>908.83339041095803</v>
      </c>
      <c r="M4" s="113">
        <v>267.07</v>
      </c>
      <c r="N4" s="113">
        <v>1453.85</v>
      </c>
      <c r="O4" s="113">
        <v>2754.21</v>
      </c>
      <c r="P4" s="113">
        <v>1300.27999999999</v>
      </c>
      <c r="Q4" s="113">
        <v>2486.8699999999899</v>
      </c>
      <c r="R4" s="120">
        <v>0</v>
      </c>
      <c r="S4" s="120">
        <v>1</v>
      </c>
      <c r="T4" s="120">
        <v>0.5</v>
      </c>
      <c r="U4" s="65">
        <v>1</v>
      </c>
      <c r="V4" s="112"/>
      <c r="W4" s="65">
        <v>10</v>
      </c>
      <c r="X4" s="65">
        <v>5</v>
      </c>
      <c r="Y4" s="65">
        <v>0.3</v>
      </c>
      <c r="Z4" s="1" t="s">
        <v>1227</v>
      </c>
      <c r="AA4" s="13">
        <v>100001</v>
      </c>
      <c r="AB4" s="13">
        <v>100001</v>
      </c>
      <c r="AC4" s="13">
        <v>100005</v>
      </c>
      <c r="AD4" s="13" t="s">
        <v>1228</v>
      </c>
      <c r="AE4" s="13" t="s">
        <v>1228</v>
      </c>
      <c r="AF4" s="13" t="s">
        <v>1228</v>
      </c>
      <c r="AG4" s="13" t="s">
        <v>1228</v>
      </c>
      <c r="AH4" s="13">
        <v>100008</v>
      </c>
      <c r="AI4" s="13">
        <v>100008</v>
      </c>
      <c r="AJ4" s="13" t="s">
        <v>1228</v>
      </c>
      <c r="AK4" s="13">
        <v>100008</v>
      </c>
      <c r="AL4" s="112"/>
      <c r="AM4" s="112"/>
    </row>
    <row r="5" spans="1:39" x14ac:dyDescent="0.25">
      <c r="A5" s="102" t="s">
        <v>39</v>
      </c>
      <c r="B5" s="112" t="s">
        <v>126</v>
      </c>
      <c r="C5" s="112">
        <v>2018</v>
      </c>
      <c r="D5" s="1">
        <v>1</v>
      </c>
      <c r="E5" s="1">
        <v>0</v>
      </c>
      <c r="F5" s="1">
        <v>0</v>
      </c>
      <c r="H5" s="3">
        <v>1.02054</v>
      </c>
      <c r="I5" s="112">
        <v>62.279999999999902</v>
      </c>
      <c r="J5" s="112">
        <v>62.279999999999902</v>
      </c>
      <c r="K5" s="112">
        <v>62.279999999999902</v>
      </c>
      <c r="L5" s="113">
        <v>12.1899999999999</v>
      </c>
      <c r="M5" s="113">
        <v>12.1899999999999</v>
      </c>
      <c r="N5" s="113">
        <v>12.1899999999999</v>
      </c>
      <c r="O5" s="113">
        <f>128.69/Tabelle58971145[[#This Row],[Maximalauslastung]]</f>
        <v>135.46315789473684</v>
      </c>
      <c r="P5" s="113">
        <v>116.5</v>
      </c>
      <c r="Q5" s="113">
        <v>116.5</v>
      </c>
      <c r="R5" s="120">
        <v>0.4</v>
      </c>
      <c r="S5" s="120">
        <v>0.95</v>
      </c>
      <c r="T5" s="120">
        <v>0.3</v>
      </c>
      <c r="U5" s="65">
        <v>4</v>
      </c>
      <c r="V5" s="112"/>
      <c r="W5" s="65">
        <v>0.2</v>
      </c>
      <c r="X5" s="65">
        <v>150</v>
      </c>
      <c r="Y5" s="65">
        <v>0.1</v>
      </c>
      <c r="Z5" s="1" t="s">
        <v>1227</v>
      </c>
      <c r="AA5" s="13">
        <v>100001</v>
      </c>
      <c r="AB5" s="13">
        <v>100001</v>
      </c>
      <c r="AC5" s="13"/>
      <c r="AD5" s="13" t="s">
        <v>1228</v>
      </c>
      <c r="AE5" s="13" t="s">
        <v>1228</v>
      </c>
      <c r="AF5" s="13" t="s">
        <v>1228</v>
      </c>
      <c r="AG5" s="13" t="s">
        <v>1228</v>
      </c>
      <c r="AH5" s="13">
        <v>100008</v>
      </c>
      <c r="AI5" s="13">
        <v>100008</v>
      </c>
      <c r="AJ5" s="13" t="s">
        <v>1228</v>
      </c>
      <c r="AK5" s="13">
        <v>100008</v>
      </c>
      <c r="AL5" s="112"/>
      <c r="AM5" s="112"/>
    </row>
    <row r="6" spans="1:39" x14ac:dyDescent="0.25">
      <c r="A6" s="102" t="s">
        <v>938</v>
      </c>
      <c r="B6" s="112" t="s">
        <v>126</v>
      </c>
      <c r="C6" s="112">
        <v>2018</v>
      </c>
      <c r="D6" s="1">
        <v>1</v>
      </c>
      <c r="E6" s="1">
        <v>0</v>
      </c>
      <c r="F6" s="1">
        <v>0</v>
      </c>
      <c r="H6" s="3">
        <v>1.1291330499999901</v>
      </c>
      <c r="I6" s="112">
        <v>128.89646689497701</v>
      </c>
      <c r="J6" s="112">
        <v>49.66</v>
      </c>
      <c r="K6" s="112">
        <v>146.909999999999</v>
      </c>
      <c r="L6" s="113">
        <v>59.479317351598098</v>
      </c>
      <c r="M6" s="113">
        <v>41.46</v>
      </c>
      <c r="N6" s="113">
        <v>138.73999999999899</v>
      </c>
      <c r="O6" s="113">
        <f>188.42/Tabelle58971145[[#This Row],[Maximalauslastung]]</f>
        <v>198.33684210526314</v>
      </c>
      <c r="P6" s="113">
        <v>49.66</v>
      </c>
      <c r="Q6" s="113">
        <v>146.909999999999</v>
      </c>
      <c r="R6" s="120">
        <v>0</v>
      </c>
      <c r="S6" s="120">
        <v>0.95</v>
      </c>
      <c r="T6" s="120">
        <v>0.61</v>
      </c>
      <c r="U6" s="65">
        <v>4</v>
      </c>
      <c r="V6" s="112"/>
      <c r="W6" s="65">
        <v>1.5</v>
      </c>
      <c r="X6" s="65">
        <v>200</v>
      </c>
      <c r="Y6" s="65">
        <v>19.100000000000001</v>
      </c>
      <c r="Z6" s="1" t="s">
        <v>1227</v>
      </c>
      <c r="AA6" s="13">
        <v>100001</v>
      </c>
      <c r="AB6" s="13">
        <v>100001</v>
      </c>
      <c r="AC6" s="13"/>
      <c r="AD6" s="13" t="s">
        <v>1228</v>
      </c>
      <c r="AE6" s="13" t="s">
        <v>1228</v>
      </c>
      <c r="AF6" s="13" t="s">
        <v>1228</v>
      </c>
      <c r="AG6" s="13" t="s">
        <v>1228</v>
      </c>
      <c r="AH6" s="13">
        <v>100008</v>
      </c>
      <c r="AI6" s="13">
        <v>100008</v>
      </c>
      <c r="AJ6" s="13" t="s">
        <v>1228</v>
      </c>
      <c r="AK6" s="13">
        <v>100008</v>
      </c>
      <c r="AL6" s="112"/>
      <c r="AM6" s="112"/>
    </row>
    <row r="7" spans="1:39" ht="14.5" x14ac:dyDescent="0.35">
      <c r="A7" s="102" t="s">
        <v>74</v>
      </c>
      <c r="B7" s="112" t="s">
        <v>126</v>
      </c>
      <c r="C7" s="112">
        <v>2018</v>
      </c>
      <c r="D7" s="1">
        <v>1</v>
      </c>
      <c r="E7" s="1">
        <v>0</v>
      </c>
      <c r="F7" s="1">
        <v>0</v>
      </c>
      <c r="H7" s="121">
        <v>0.6421079999999989</v>
      </c>
      <c r="I7" s="112">
        <v>73.299999999999898</v>
      </c>
      <c r="J7" s="112">
        <v>73.3</v>
      </c>
      <c r="K7" s="112">
        <v>73.3</v>
      </c>
      <c r="L7" s="113">
        <v>10.5999999999999</v>
      </c>
      <c r="M7" s="113">
        <v>10.6</v>
      </c>
      <c r="N7" s="113">
        <v>10.6</v>
      </c>
      <c r="O7" s="113">
        <f>83.9/Tabelle58971145[[#This Row],[Maximalauslastung]]</f>
        <v>88.31578947368422</v>
      </c>
      <c r="P7" s="113">
        <v>73.3</v>
      </c>
      <c r="Q7" s="113">
        <v>73.3</v>
      </c>
      <c r="R7" s="120">
        <v>0</v>
      </c>
      <c r="S7" s="120">
        <v>0.95</v>
      </c>
      <c r="T7" s="120">
        <v>0.7</v>
      </c>
      <c r="U7" s="65">
        <v>2</v>
      </c>
      <c r="V7" s="112"/>
      <c r="W7" s="65">
        <v>2.2999999999999998</v>
      </c>
      <c r="X7" s="65">
        <v>250</v>
      </c>
      <c r="Y7" s="65">
        <v>2</v>
      </c>
      <c r="Z7" s="1" t="s">
        <v>1227</v>
      </c>
      <c r="AA7" s="13">
        <v>100001</v>
      </c>
      <c r="AB7" s="13">
        <v>100001</v>
      </c>
      <c r="AC7" s="13"/>
      <c r="AD7" s="13" t="s">
        <v>1228</v>
      </c>
      <c r="AE7" s="13" t="s">
        <v>1228</v>
      </c>
      <c r="AF7" s="13" t="s">
        <v>1228</v>
      </c>
      <c r="AG7" s="13" t="s">
        <v>1228</v>
      </c>
      <c r="AH7" s="13">
        <v>100008</v>
      </c>
      <c r="AI7" s="13">
        <v>100008</v>
      </c>
      <c r="AJ7" s="13" t="s">
        <v>1228</v>
      </c>
      <c r="AK7" s="13">
        <v>100008</v>
      </c>
      <c r="AL7" s="112"/>
      <c r="AM7" s="112"/>
    </row>
    <row r="8" spans="1:39" x14ac:dyDescent="0.25">
      <c r="A8" s="102" t="s">
        <v>78</v>
      </c>
      <c r="B8" s="112" t="s">
        <v>126</v>
      </c>
      <c r="C8" s="112">
        <v>2018</v>
      </c>
      <c r="D8" s="1">
        <v>1</v>
      </c>
      <c r="E8" s="1">
        <v>0</v>
      </c>
      <c r="F8" s="1">
        <v>0</v>
      </c>
      <c r="H8" s="3">
        <v>0.93048719999999996</v>
      </c>
      <c r="I8" s="112">
        <v>106.22</v>
      </c>
      <c r="J8" s="112">
        <v>106.219999999999</v>
      </c>
      <c r="K8" s="112">
        <v>106.219999999999</v>
      </c>
      <c r="L8" s="113">
        <v>11.12</v>
      </c>
      <c r="M8" s="113">
        <v>11.12</v>
      </c>
      <c r="N8" s="113">
        <v>11.12</v>
      </c>
      <c r="O8" s="113">
        <f>117.339999999999/Tabelle58971145[[#This Row],[Maximalauslastung]]</f>
        <v>123.51578947368316</v>
      </c>
      <c r="P8" s="113">
        <v>106.219999999999</v>
      </c>
      <c r="Q8" s="113">
        <v>106.219999999999</v>
      </c>
      <c r="R8" s="120">
        <v>0</v>
      </c>
      <c r="S8" s="120">
        <v>0.95</v>
      </c>
      <c r="T8" s="120">
        <v>0.15</v>
      </c>
      <c r="U8" s="65">
        <v>3</v>
      </c>
      <c r="V8" s="112"/>
      <c r="W8" s="65">
        <v>2.2999999999999998</v>
      </c>
      <c r="X8" s="65">
        <v>200</v>
      </c>
      <c r="Y8" s="65">
        <v>2</v>
      </c>
      <c r="Z8" s="1" t="s">
        <v>1227</v>
      </c>
      <c r="AA8" s="13">
        <v>100001</v>
      </c>
      <c r="AB8" s="13">
        <v>100001</v>
      </c>
      <c r="AC8" s="13"/>
      <c r="AD8" s="13" t="s">
        <v>1228</v>
      </c>
      <c r="AE8" s="13" t="s">
        <v>1228</v>
      </c>
      <c r="AF8" s="13" t="s">
        <v>1228</v>
      </c>
      <c r="AG8" s="13" t="s">
        <v>1228</v>
      </c>
      <c r="AH8" s="13">
        <v>100008</v>
      </c>
      <c r="AI8" s="13">
        <v>100008</v>
      </c>
      <c r="AJ8" s="13" t="s">
        <v>1228</v>
      </c>
      <c r="AK8" s="13">
        <v>100008</v>
      </c>
      <c r="AL8" s="112"/>
      <c r="AM8" s="112"/>
    </row>
    <row r="9" spans="1:39" x14ac:dyDescent="0.25">
      <c r="A9" s="112" t="s">
        <v>77</v>
      </c>
      <c r="B9" s="112" t="s">
        <v>126</v>
      </c>
      <c r="C9" s="112">
        <v>2018</v>
      </c>
      <c r="D9" s="1">
        <v>1</v>
      </c>
      <c r="E9" s="1">
        <v>0</v>
      </c>
      <c r="F9" s="1">
        <v>0</v>
      </c>
      <c r="H9" s="3">
        <v>2.5571315999999999</v>
      </c>
      <c r="I9" s="112">
        <v>291.91000000000003</v>
      </c>
      <c r="J9" s="112">
        <v>291.91000000000003</v>
      </c>
      <c r="K9" s="112">
        <v>291.91000000000003</v>
      </c>
      <c r="L9" s="113">
        <v>34.35</v>
      </c>
      <c r="M9" s="113">
        <v>34.349999999999902</v>
      </c>
      <c r="N9" s="113">
        <v>34.349999999999902</v>
      </c>
      <c r="O9" s="113">
        <f>326.26/Tabelle58971145[[#This Row],[Maximalauslastung]]</f>
        <v>343.43157894736845</v>
      </c>
      <c r="P9" s="113">
        <v>291.91000000000003</v>
      </c>
      <c r="Q9" s="113">
        <v>291.91000000000003</v>
      </c>
      <c r="R9" s="120">
        <v>0</v>
      </c>
      <c r="S9" s="120">
        <v>0.95</v>
      </c>
      <c r="T9" s="120">
        <v>0.7</v>
      </c>
      <c r="U9" s="65">
        <v>3</v>
      </c>
      <c r="V9" s="112"/>
      <c r="W9" s="65">
        <v>2.2999999999999998</v>
      </c>
      <c r="X9" s="65">
        <v>100</v>
      </c>
      <c r="Y9" s="65">
        <v>2</v>
      </c>
      <c r="Z9" s="1" t="s">
        <v>1227</v>
      </c>
      <c r="AA9" s="13">
        <v>100001</v>
      </c>
      <c r="AB9" s="13">
        <v>100001</v>
      </c>
      <c r="AC9" s="13"/>
      <c r="AD9" s="13" t="s">
        <v>1228</v>
      </c>
      <c r="AE9" s="13" t="s">
        <v>1228</v>
      </c>
      <c r="AF9" s="13" t="s">
        <v>1228</v>
      </c>
      <c r="AG9" s="13" t="s">
        <v>1228</v>
      </c>
      <c r="AH9" s="13">
        <v>100008</v>
      </c>
      <c r="AI9" s="13">
        <v>100008</v>
      </c>
      <c r="AJ9" s="13" t="s">
        <v>1228</v>
      </c>
      <c r="AK9" s="13">
        <v>100008</v>
      </c>
      <c r="AL9" s="112"/>
      <c r="AM9" s="112"/>
    </row>
    <row r="10" spans="1:39" x14ac:dyDescent="0.25">
      <c r="A10" s="112" t="s">
        <v>206</v>
      </c>
      <c r="B10" s="112" t="s">
        <v>126</v>
      </c>
      <c r="C10" s="112">
        <v>2018</v>
      </c>
      <c r="D10" s="1">
        <v>1</v>
      </c>
      <c r="E10" s="1">
        <v>0</v>
      </c>
      <c r="F10" s="1">
        <v>0</v>
      </c>
      <c r="G10" s="1">
        <v>5.258</v>
      </c>
      <c r="H10" s="3">
        <v>3.3071379100000002</v>
      </c>
      <c r="I10" s="112">
        <v>100.2985913242</v>
      </c>
      <c r="J10" s="112">
        <v>0</v>
      </c>
      <c r="K10" s="112">
        <v>270.41000000000003</v>
      </c>
      <c r="L10" s="113">
        <v>132.094599315068</v>
      </c>
      <c r="M10" s="113">
        <v>0</v>
      </c>
      <c r="N10" s="113">
        <v>283.50999999999902</v>
      </c>
      <c r="O10" s="113">
        <f>552.14/Tabelle58971145[[#This Row],[Maximalauslastung]]</f>
        <v>613.48888888888882</v>
      </c>
      <c r="P10" s="113">
        <v>223.53</v>
      </c>
      <c r="Q10" s="113">
        <v>552.14</v>
      </c>
      <c r="R10" s="120">
        <v>0.5</v>
      </c>
      <c r="S10" s="120">
        <v>0.9</v>
      </c>
      <c r="T10" s="120">
        <v>0.63</v>
      </c>
      <c r="U10" s="65">
        <v>2</v>
      </c>
      <c r="V10" s="112"/>
      <c r="W10" s="65">
        <v>5</v>
      </c>
      <c r="X10" s="65">
        <v>20</v>
      </c>
      <c r="Y10" s="65">
        <v>0.15</v>
      </c>
      <c r="Z10" s="1" t="s">
        <v>1227</v>
      </c>
      <c r="AA10" s="13">
        <v>100001</v>
      </c>
      <c r="AB10" s="13">
        <v>100001</v>
      </c>
      <c r="AC10" s="13">
        <v>100005</v>
      </c>
      <c r="AD10" s="13" t="s">
        <v>1228</v>
      </c>
      <c r="AE10" s="13" t="s">
        <v>1228</v>
      </c>
      <c r="AF10" s="13" t="s">
        <v>1228</v>
      </c>
      <c r="AG10" s="13" t="s">
        <v>1228</v>
      </c>
      <c r="AH10" s="13">
        <v>100008</v>
      </c>
      <c r="AI10" s="13">
        <v>100008</v>
      </c>
      <c r="AJ10" s="13" t="s">
        <v>1228</v>
      </c>
      <c r="AK10" s="13">
        <v>100008</v>
      </c>
      <c r="AL10" s="112"/>
      <c r="AM10" s="112"/>
    </row>
    <row r="11" spans="1:39" x14ac:dyDescent="0.25">
      <c r="A11" s="112" t="s">
        <v>208</v>
      </c>
      <c r="B11" s="112" t="s">
        <v>126</v>
      </c>
      <c r="C11" s="112">
        <v>2018</v>
      </c>
      <c r="D11" s="1">
        <v>1</v>
      </c>
      <c r="E11" s="1">
        <v>0</v>
      </c>
      <c r="F11" s="1">
        <v>0</v>
      </c>
      <c r="G11" s="1">
        <v>4.0630000000000006</v>
      </c>
      <c r="H11" s="3">
        <v>2.05083791999999</v>
      </c>
      <c r="I11" s="112">
        <v>89.475041095890305</v>
      </c>
      <c r="J11" s="112">
        <v>0</v>
      </c>
      <c r="K11" s="112">
        <v>122.24999999999901</v>
      </c>
      <c r="L11" s="113">
        <v>58.426141552511403</v>
      </c>
      <c r="M11" s="113">
        <v>23.98</v>
      </c>
      <c r="N11" s="113">
        <v>158.26999999999899</v>
      </c>
      <c r="O11" s="113">
        <v>292.64</v>
      </c>
      <c r="P11" s="113">
        <v>134.19999999999899</v>
      </c>
      <c r="Q11" s="113">
        <v>268.56</v>
      </c>
      <c r="R11" s="120">
        <v>0.5</v>
      </c>
      <c r="S11" s="120">
        <v>1</v>
      </c>
      <c r="T11" s="120">
        <v>0.5</v>
      </c>
      <c r="U11" s="65">
        <v>1</v>
      </c>
      <c r="V11" s="112"/>
      <c r="W11" s="65">
        <v>10</v>
      </c>
      <c r="X11" s="65">
        <v>5</v>
      </c>
      <c r="Y11" s="65">
        <v>0.3</v>
      </c>
      <c r="Z11" s="1" t="s">
        <v>1227</v>
      </c>
      <c r="AA11" s="13">
        <v>100001</v>
      </c>
      <c r="AB11" s="13">
        <v>100001</v>
      </c>
      <c r="AC11" s="13">
        <v>100005</v>
      </c>
      <c r="AD11" s="13" t="s">
        <v>1228</v>
      </c>
      <c r="AE11" s="13" t="s">
        <v>1228</v>
      </c>
      <c r="AF11" s="13" t="s">
        <v>1228</v>
      </c>
      <c r="AG11" s="13" t="s">
        <v>1228</v>
      </c>
      <c r="AH11" s="13">
        <v>100008</v>
      </c>
      <c r="AI11" s="13">
        <v>100008</v>
      </c>
      <c r="AJ11" s="13" t="s">
        <v>1228</v>
      </c>
      <c r="AK11" s="13">
        <v>100008</v>
      </c>
      <c r="AL11" s="112"/>
      <c r="AM11" s="112"/>
    </row>
    <row r="12" spans="1:39" x14ac:dyDescent="0.25">
      <c r="A12" s="112" t="s">
        <v>207</v>
      </c>
      <c r="B12" s="112" t="s">
        <v>126</v>
      </c>
      <c r="C12" s="112">
        <v>2018</v>
      </c>
      <c r="D12" s="1">
        <v>1</v>
      </c>
      <c r="E12" s="1">
        <v>0</v>
      </c>
      <c r="F12" s="1">
        <v>0</v>
      </c>
      <c r="H12" s="3">
        <v>15.4330958299999</v>
      </c>
      <c r="I12" s="112">
        <v>1331.9056826484</v>
      </c>
      <c r="J12" s="112">
        <v>622.17999999999995</v>
      </c>
      <c r="K12" s="112">
        <v>1994.96999999999</v>
      </c>
      <c r="L12" s="113">
        <v>386.20071689497701</v>
      </c>
      <c r="M12" s="113">
        <v>15.549999999999899</v>
      </c>
      <c r="N12" s="113">
        <v>1082.02</v>
      </c>
      <c r="O12" s="113">
        <f>2450.93/Tabelle58971145[[#This Row],[Maximalauslastung]]</f>
        <v>2579.9263157894738</v>
      </c>
      <c r="P12" s="113">
        <v>1010.04999999999</v>
      </c>
      <c r="Q12" s="113">
        <v>2435.38</v>
      </c>
      <c r="R12" s="120">
        <v>0</v>
      </c>
      <c r="S12" s="120">
        <v>0.95</v>
      </c>
      <c r="T12" s="120">
        <v>0.5</v>
      </c>
      <c r="U12" s="65">
        <v>3</v>
      </c>
      <c r="V12" s="112"/>
      <c r="W12" s="65">
        <v>3.5</v>
      </c>
      <c r="X12" s="65">
        <v>100</v>
      </c>
      <c r="Y12" s="65">
        <v>3.6</v>
      </c>
      <c r="Z12" s="1" t="s">
        <v>1227</v>
      </c>
      <c r="AA12" s="13">
        <v>100001</v>
      </c>
      <c r="AB12" s="13">
        <v>100001</v>
      </c>
      <c r="AC12" s="13"/>
      <c r="AD12" s="13" t="s">
        <v>1228</v>
      </c>
      <c r="AE12" s="13" t="s">
        <v>1228</v>
      </c>
      <c r="AF12" s="13" t="s">
        <v>1228</v>
      </c>
      <c r="AG12" s="13" t="s">
        <v>1228</v>
      </c>
      <c r="AH12" s="13">
        <v>100008</v>
      </c>
      <c r="AI12" s="13">
        <v>100008</v>
      </c>
      <c r="AJ12" s="13" t="s">
        <v>1228</v>
      </c>
      <c r="AK12" s="13">
        <v>100008</v>
      </c>
      <c r="AL12" s="112"/>
      <c r="AM12" s="112"/>
    </row>
    <row r="13" spans="1:39" x14ac:dyDescent="0.25">
      <c r="A13" s="112" t="s">
        <v>134</v>
      </c>
      <c r="B13" s="112" t="s">
        <v>139</v>
      </c>
      <c r="C13" s="112">
        <v>2018</v>
      </c>
      <c r="D13" s="1">
        <v>1</v>
      </c>
      <c r="E13" s="1">
        <v>0</v>
      </c>
      <c r="F13" s="1">
        <v>0</v>
      </c>
      <c r="H13" s="3">
        <v>0.62534457999999993</v>
      </c>
      <c r="I13" s="112">
        <v>71.386367579908594</v>
      </c>
      <c r="J13" s="112">
        <v>0</v>
      </c>
      <c r="K13" s="112">
        <v>939.229999999999</v>
      </c>
      <c r="L13" s="113">
        <v>178.71892808219101</v>
      </c>
      <c r="M13" s="113">
        <v>0</v>
      </c>
      <c r="N13" s="113">
        <v>243.509999999999</v>
      </c>
      <c r="O13" s="113">
        <f>939.229999999999/Tabelle58971145[[#This Row],[Maximalauslastung]]</f>
        <v>1252.3066666666653</v>
      </c>
      <c r="P13" s="113">
        <v>0</v>
      </c>
      <c r="Q13" s="113">
        <v>939.229999999999</v>
      </c>
      <c r="R13" s="120">
        <v>0</v>
      </c>
      <c r="S13" s="120">
        <v>0.75</v>
      </c>
      <c r="T13" s="120">
        <v>0.4</v>
      </c>
      <c r="U13" s="65">
        <v>3</v>
      </c>
      <c r="V13" s="112"/>
      <c r="W13" s="65">
        <v>62</v>
      </c>
      <c r="X13" s="65">
        <v>10</v>
      </c>
      <c r="Y13" s="65">
        <v>12</v>
      </c>
      <c r="Z13" s="1" t="s">
        <v>1227</v>
      </c>
      <c r="AA13" s="13">
        <v>100001</v>
      </c>
      <c r="AB13" s="13">
        <v>100001</v>
      </c>
      <c r="AC13" s="13"/>
      <c r="AD13" s="13" t="s">
        <v>1228</v>
      </c>
      <c r="AE13" s="13" t="s">
        <v>1228</v>
      </c>
      <c r="AF13" s="13" t="s">
        <v>1228</v>
      </c>
      <c r="AG13" s="13" t="s">
        <v>1228</v>
      </c>
      <c r="AH13" s="13">
        <v>100008</v>
      </c>
      <c r="AI13" s="13">
        <v>100008</v>
      </c>
      <c r="AJ13" s="13" t="s">
        <v>1228</v>
      </c>
      <c r="AK13" s="13">
        <v>100008</v>
      </c>
      <c r="AL13" s="112"/>
      <c r="AM13" s="112"/>
    </row>
    <row r="14" spans="1:39" x14ac:dyDescent="0.25">
      <c r="A14" s="112" t="s">
        <v>138</v>
      </c>
      <c r="B14" s="112" t="s">
        <v>139</v>
      </c>
      <c r="C14" s="112">
        <v>2018</v>
      </c>
      <c r="D14" s="1">
        <v>1</v>
      </c>
      <c r="E14" s="1">
        <v>0</v>
      </c>
      <c r="F14" s="1">
        <v>0</v>
      </c>
      <c r="H14" s="3">
        <v>5.8058190999999999</v>
      </c>
      <c r="I14" s="112">
        <v>662.76473744292196</v>
      </c>
      <c r="J14" s="112">
        <v>0</v>
      </c>
      <c r="K14" s="112">
        <v>5987.44</v>
      </c>
      <c r="L14" s="113">
        <v>1637.30306392694</v>
      </c>
      <c r="M14" s="113">
        <v>0</v>
      </c>
      <c r="N14" s="113">
        <v>2259.4899999999998</v>
      </c>
      <c r="O14" s="113">
        <f>5987.44/Tabelle58971145[[#This Row],[Maximalauslastung]]</f>
        <v>7983.2533333333331</v>
      </c>
      <c r="P14" s="113">
        <v>0</v>
      </c>
      <c r="Q14" s="113">
        <v>5987.44</v>
      </c>
      <c r="R14" s="120">
        <v>0</v>
      </c>
      <c r="S14" s="120">
        <v>0.75</v>
      </c>
      <c r="T14" s="120">
        <v>0.4</v>
      </c>
      <c r="U14" s="65">
        <v>12</v>
      </c>
      <c r="V14" s="112"/>
      <c r="W14" s="65">
        <v>39.200000000000003</v>
      </c>
      <c r="X14" s="65">
        <v>10</v>
      </c>
      <c r="Y14" s="65">
        <v>7</v>
      </c>
      <c r="Z14" s="1" t="s">
        <v>1227</v>
      </c>
      <c r="AA14" s="13">
        <v>100001</v>
      </c>
      <c r="AB14" s="13">
        <v>100001</v>
      </c>
      <c r="AC14" s="13"/>
      <c r="AD14" s="13" t="s">
        <v>1228</v>
      </c>
      <c r="AE14" s="13" t="s">
        <v>1228</v>
      </c>
      <c r="AF14" s="13" t="s">
        <v>1228</v>
      </c>
      <c r="AG14" s="13" t="s">
        <v>1228</v>
      </c>
      <c r="AH14" s="13">
        <v>100008</v>
      </c>
      <c r="AI14" s="13">
        <v>100008</v>
      </c>
      <c r="AJ14" s="13" t="s">
        <v>1228</v>
      </c>
      <c r="AK14" s="13">
        <v>100008</v>
      </c>
      <c r="AL14" s="112"/>
      <c r="AM14" s="112"/>
    </row>
    <row r="15" spans="1:39" x14ac:dyDescent="0.25">
      <c r="A15" s="112" t="s">
        <v>135</v>
      </c>
      <c r="B15" s="112" t="s">
        <v>139</v>
      </c>
      <c r="C15" s="112">
        <v>2018</v>
      </c>
      <c r="D15" s="1">
        <v>1</v>
      </c>
      <c r="E15" s="1">
        <v>0</v>
      </c>
      <c r="F15" s="1">
        <v>0</v>
      </c>
      <c r="H15" s="3">
        <v>3.8988038099999898</v>
      </c>
      <c r="I15" s="112">
        <v>445.06892808219101</v>
      </c>
      <c r="J15" s="112">
        <v>0.87</v>
      </c>
      <c r="K15" s="112">
        <v>2622.9399999999901</v>
      </c>
      <c r="L15" s="113">
        <v>2084.2016084474799</v>
      </c>
      <c r="M15" s="113">
        <v>140.409999999999</v>
      </c>
      <c r="N15" s="113">
        <v>2520.56</v>
      </c>
      <c r="O15" s="113">
        <f>2763.34999999999/Tabelle58971145[[#This Row],[Maximalauslastung]]</f>
        <v>16254.99999999994</v>
      </c>
      <c r="P15" s="113">
        <v>0.87</v>
      </c>
      <c r="Q15" s="113">
        <v>2622.9399999999901</v>
      </c>
      <c r="R15" s="120">
        <v>0</v>
      </c>
      <c r="S15" s="120">
        <v>0.17</v>
      </c>
      <c r="T15" s="120">
        <v>0.25</v>
      </c>
      <c r="U15" s="65">
        <v>12</v>
      </c>
      <c r="V15" s="112"/>
      <c r="W15" s="65">
        <v>155</v>
      </c>
      <c r="X15" s="65">
        <v>10</v>
      </c>
      <c r="Y15" s="65">
        <v>29.5</v>
      </c>
      <c r="Z15" s="1" t="s">
        <v>1227</v>
      </c>
      <c r="AA15" s="13">
        <v>100001</v>
      </c>
      <c r="AB15" s="13">
        <v>100001</v>
      </c>
      <c r="AC15" s="13"/>
      <c r="AD15" s="13" t="s">
        <v>1228</v>
      </c>
      <c r="AE15" s="13" t="s">
        <v>1228</v>
      </c>
      <c r="AF15" s="13" t="s">
        <v>1228</v>
      </c>
      <c r="AG15" s="13" t="s">
        <v>1228</v>
      </c>
      <c r="AH15" s="13">
        <v>100008</v>
      </c>
      <c r="AI15" s="13">
        <v>100008</v>
      </c>
      <c r="AJ15" s="13" t="s">
        <v>1228</v>
      </c>
      <c r="AK15" s="13">
        <v>100008</v>
      </c>
      <c r="AL15" s="112"/>
      <c r="AM15" s="112"/>
    </row>
    <row r="16" spans="1:39" x14ac:dyDescent="0.25">
      <c r="A16" s="112" t="s">
        <v>134</v>
      </c>
      <c r="B16" s="112" t="s">
        <v>127</v>
      </c>
      <c r="C16" s="112">
        <v>2018</v>
      </c>
      <c r="D16" s="1">
        <v>1</v>
      </c>
      <c r="E16" s="1">
        <v>0</v>
      </c>
      <c r="F16" s="1">
        <v>0</v>
      </c>
      <c r="G16" s="1">
        <v>0.44800000000000001</v>
      </c>
      <c r="H16" s="3">
        <v>0.12443614999999901</v>
      </c>
      <c r="I16" s="112">
        <v>14.205039954337799</v>
      </c>
      <c r="J16" s="112">
        <v>0.68</v>
      </c>
      <c r="K16" s="112">
        <v>90.88</v>
      </c>
      <c r="L16" s="113">
        <v>34.892816210045602</v>
      </c>
      <c r="M16" s="113">
        <v>0</v>
      </c>
      <c r="N16" s="113">
        <v>47.599999999999902</v>
      </c>
      <c r="O16" s="113">
        <f>90.88/Tabelle58971145[[#This Row],[Maximalauslastung]]</f>
        <v>121.17333333333333</v>
      </c>
      <c r="P16" s="113">
        <v>0.68</v>
      </c>
      <c r="Q16" s="113">
        <v>90.88</v>
      </c>
      <c r="R16" s="120">
        <v>0</v>
      </c>
      <c r="S16" s="120">
        <v>0.75</v>
      </c>
      <c r="T16" s="120">
        <v>0.4</v>
      </c>
      <c r="U16" s="65">
        <v>3</v>
      </c>
      <c r="V16" s="112"/>
      <c r="W16" s="65">
        <v>20</v>
      </c>
      <c r="X16" s="65">
        <v>10</v>
      </c>
      <c r="Y16" s="65">
        <v>0.6</v>
      </c>
      <c r="Z16" s="1" t="s">
        <v>1227</v>
      </c>
      <c r="AA16" s="13">
        <v>100001</v>
      </c>
      <c r="AB16" s="13">
        <v>100001</v>
      </c>
      <c r="AC16" s="13">
        <v>100005</v>
      </c>
      <c r="AD16" s="13" t="s">
        <v>1228</v>
      </c>
      <c r="AE16" s="13" t="s">
        <v>1228</v>
      </c>
      <c r="AF16" s="13" t="s">
        <v>1228</v>
      </c>
      <c r="AG16" s="13" t="s">
        <v>1228</v>
      </c>
      <c r="AH16" s="13">
        <v>100008</v>
      </c>
      <c r="AI16" s="13">
        <v>100008</v>
      </c>
      <c r="AJ16" s="13" t="s">
        <v>1228</v>
      </c>
      <c r="AK16" s="13">
        <v>100008</v>
      </c>
      <c r="AL16" s="112"/>
      <c r="AM16" s="112"/>
    </row>
    <row r="17" spans="1:39" ht="13" x14ac:dyDescent="0.25">
      <c r="A17" s="112" t="s">
        <v>129</v>
      </c>
      <c r="B17" s="112" t="s">
        <v>139</v>
      </c>
      <c r="C17" s="112">
        <v>2030</v>
      </c>
      <c r="D17" s="1">
        <v>1</v>
      </c>
      <c r="E17" s="1">
        <v>0</v>
      </c>
      <c r="F17" s="1">
        <v>0</v>
      </c>
      <c r="H17" s="3">
        <v>2.8196882300000001</v>
      </c>
      <c r="I17" s="112">
        <v>241.41263356164299</v>
      </c>
      <c r="J17" s="112">
        <v>27.9499999999999</v>
      </c>
      <c r="K17" s="112">
        <v>512.51999999999896</v>
      </c>
      <c r="L17" s="113">
        <v>482.80995547945201</v>
      </c>
      <c r="M17" s="113">
        <v>211.729999999999</v>
      </c>
      <c r="N17" s="113">
        <v>696.16</v>
      </c>
      <c r="O17" s="113">
        <f>804.889999999999/Tabelle58971145[[#This Row],[Maximalauslastung]]</f>
        <v>32195.599999999959</v>
      </c>
      <c r="P17" s="113">
        <v>108.599999999999</v>
      </c>
      <c r="Q17" s="113">
        <v>592.82000000000005</v>
      </c>
      <c r="R17" s="9">
        <v>0</v>
      </c>
      <c r="S17" s="9">
        <v>2.5000000000000001E-2</v>
      </c>
      <c r="T17" s="9">
        <v>0.4</v>
      </c>
      <c r="U17" s="1">
        <v>6</v>
      </c>
      <c r="V17" s="112"/>
      <c r="W17" s="65"/>
      <c r="X17" s="123"/>
      <c r="Y17" s="65"/>
      <c r="Z17" s="112"/>
      <c r="AA17" s="13">
        <v>100001</v>
      </c>
      <c r="AB17" s="13">
        <v>100001</v>
      </c>
      <c r="AC17" s="13"/>
      <c r="AD17" s="13" t="s">
        <v>1228</v>
      </c>
      <c r="AE17" s="13" t="s">
        <v>1228</v>
      </c>
      <c r="AF17" s="13" t="s">
        <v>1228</v>
      </c>
      <c r="AG17" s="13" t="s">
        <v>1228</v>
      </c>
      <c r="AH17" s="13">
        <v>100008</v>
      </c>
      <c r="AI17" s="13">
        <v>100008</v>
      </c>
      <c r="AJ17" s="13" t="s">
        <v>1228</v>
      </c>
      <c r="AK17" s="13">
        <v>100008</v>
      </c>
    </row>
    <row r="18" spans="1:39" ht="13" x14ac:dyDescent="0.25">
      <c r="A18" s="102" t="s">
        <v>389</v>
      </c>
      <c r="B18" s="112" t="s">
        <v>139</v>
      </c>
      <c r="C18" s="112">
        <v>2030</v>
      </c>
      <c r="D18" s="1">
        <v>1</v>
      </c>
      <c r="E18" s="1">
        <v>0</v>
      </c>
      <c r="F18" s="1">
        <v>0</v>
      </c>
      <c r="H18" s="3">
        <v>5.7356357999999998</v>
      </c>
      <c r="I18" s="112">
        <v>654.75294520547902</v>
      </c>
      <c r="J18" s="112">
        <v>220.879999999999</v>
      </c>
      <c r="K18" s="112">
        <v>1206.0899999999899</v>
      </c>
      <c r="L18" s="113">
        <v>1329.3503276255699</v>
      </c>
      <c r="M18" s="113">
        <v>777.94999999999902</v>
      </c>
      <c r="N18" s="113">
        <v>1763.3399999999899</v>
      </c>
      <c r="O18" s="113">
        <v>1984.3499999999899</v>
      </c>
      <c r="P18" s="113">
        <v>220.879999999999</v>
      </c>
      <c r="Q18" s="113">
        <v>1206.0899999999899</v>
      </c>
      <c r="R18" s="120">
        <v>0</v>
      </c>
      <c r="S18" s="120">
        <v>1</v>
      </c>
      <c r="T18" s="120">
        <v>0.4</v>
      </c>
      <c r="U18" s="65">
        <v>2</v>
      </c>
      <c r="V18" s="112"/>
      <c r="W18" s="65"/>
      <c r="X18" s="123"/>
      <c r="Y18" s="65"/>
      <c r="Z18" s="112"/>
      <c r="AA18" s="13">
        <v>100001</v>
      </c>
      <c r="AB18" s="13">
        <v>100001</v>
      </c>
      <c r="AC18" s="13"/>
      <c r="AD18" s="13" t="s">
        <v>1228</v>
      </c>
      <c r="AE18" s="13" t="s">
        <v>1228</v>
      </c>
      <c r="AF18" s="13" t="s">
        <v>1228</v>
      </c>
      <c r="AG18" s="13" t="s">
        <v>1228</v>
      </c>
      <c r="AH18" s="13">
        <v>100008</v>
      </c>
      <c r="AI18" s="13">
        <v>100008</v>
      </c>
      <c r="AJ18" s="13" t="s">
        <v>1228</v>
      </c>
      <c r="AK18" s="13">
        <v>100008</v>
      </c>
      <c r="AL18" s="112"/>
      <c r="AM18" s="112"/>
    </row>
    <row r="19" spans="1:39" ht="13" x14ac:dyDescent="0.25">
      <c r="A19" s="102" t="s">
        <v>542</v>
      </c>
      <c r="B19" s="112" t="s">
        <v>127</v>
      </c>
      <c r="C19" s="112">
        <v>2030</v>
      </c>
      <c r="D19" s="1">
        <v>1</v>
      </c>
      <c r="E19" s="1">
        <v>0</v>
      </c>
      <c r="F19" s="1">
        <v>0</v>
      </c>
      <c r="H19" s="3">
        <v>24.245890899999999</v>
      </c>
      <c r="I19" s="112">
        <v>2767.7957648401798</v>
      </c>
      <c r="J19" s="112">
        <v>1950.54</v>
      </c>
      <c r="K19" s="112">
        <v>3730.47</v>
      </c>
      <c r="L19" s="113">
        <v>1363.2402876712299</v>
      </c>
      <c r="M19" s="113">
        <v>400.61999999999898</v>
      </c>
      <c r="N19" s="113">
        <v>2180.42</v>
      </c>
      <c r="O19" s="113">
        <v>4131.25</v>
      </c>
      <c r="P19" s="113">
        <v>1950.54</v>
      </c>
      <c r="Q19" s="113">
        <v>3730.47</v>
      </c>
      <c r="R19" s="120">
        <v>0</v>
      </c>
      <c r="S19" s="120">
        <v>1</v>
      </c>
      <c r="T19" s="120">
        <v>0.5</v>
      </c>
      <c r="U19" s="65">
        <v>1</v>
      </c>
      <c r="V19" s="112"/>
      <c r="W19" s="65"/>
      <c r="X19" s="123"/>
      <c r="Y19" s="65"/>
      <c r="Z19" s="112"/>
      <c r="AA19" s="13">
        <v>100001</v>
      </c>
      <c r="AB19" s="13">
        <v>100001</v>
      </c>
      <c r="AC19" s="13"/>
      <c r="AD19" s="13" t="s">
        <v>1228</v>
      </c>
      <c r="AE19" s="13" t="s">
        <v>1228</v>
      </c>
      <c r="AF19" s="13" t="s">
        <v>1228</v>
      </c>
      <c r="AG19" s="13" t="s">
        <v>1228</v>
      </c>
      <c r="AH19" s="13">
        <v>100008</v>
      </c>
      <c r="AI19" s="13">
        <v>100008</v>
      </c>
      <c r="AJ19" s="13" t="s">
        <v>1228</v>
      </c>
      <c r="AK19" s="13">
        <v>100008</v>
      </c>
      <c r="AL19" s="112"/>
      <c r="AM19" s="112"/>
    </row>
    <row r="20" spans="1:39" ht="13" x14ac:dyDescent="0.25">
      <c r="A20" s="102" t="s">
        <v>39</v>
      </c>
      <c r="B20" s="112" t="s">
        <v>126</v>
      </c>
      <c r="C20" s="112">
        <v>2030</v>
      </c>
      <c r="D20" s="1">
        <v>1</v>
      </c>
      <c r="E20" s="1">
        <v>0</v>
      </c>
      <c r="F20" s="1">
        <v>0</v>
      </c>
      <c r="H20" s="3">
        <v>0.91822319999999902</v>
      </c>
      <c r="I20" s="112">
        <v>56.059999999999903</v>
      </c>
      <c r="J20" s="112">
        <v>56.059999999999903</v>
      </c>
      <c r="K20" s="112">
        <v>56.059999999999903</v>
      </c>
      <c r="L20" s="113">
        <v>10.969999999999899</v>
      </c>
      <c r="M20" s="113">
        <v>10.969999999999899</v>
      </c>
      <c r="N20" s="113">
        <v>10.969999999999899</v>
      </c>
      <c r="O20" s="113">
        <f>115.789999999999/Tabelle58971145[[#This Row],[Maximalauslastung]]</f>
        <v>121.88421052631475</v>
      </c>
      <c r="P20" s="113">
        <v>104.819999999999</v>
      </c>
      <c r="Q20" s="113">
        <v>104.819999999999</v>
      </c>
      <c r="R20" s="120">
        <v>0.4</v>
      </c>
      <c r="S20" s="120">
        <v>0.95</v>
      </c>
      <c r="T20" s="120">
        <v>0.3</v>
      </c>
      <c r="U20" s="65">
        <v>4</v>
      </c>
      <c r="V20" s="112"/>
      <c r="W20" s="65"/>
      <c r="X20" s="123"/>
      <c r="Y20" s="65"/>
      <c r="Z20" s="112"/>
      <c r="AA20" s="13">
        <v>100001</v>
      </c>
      <c r="AB20" s="13">
        <v>100001</v>
      </c>
      <c r="AC20" s="13"/>
      <c r="AD20" s="13" t="s">
        <v>1228</v>
      </c>
      <c r="AE20" s="13" t="s">
        <v>1228</v>
      </c>
      <c r="AF20" s="13" t="s">
        <v>1228</v>
      </c>
      <c r="AG20" s="13" t="s">
        <v>1228</v>
      </c>
      <c r="AH20" s="13">
        <v>100008</v>
      </c>
      <c r="AI20" s="13">
        <v>100008</v>
      </c>
      <c r="AJ20" s="13" t="s">
        <v>1228</v>
      </c>
      <c r="AK20" s="13">
        <v>100008</v>
      </c>
      <c r="AL20" s="112"/>
      <c r="AM20" s="112"/>
    </row>
    <row r="21" spans="1:39" ht="13" x14ac:dyDescent="0.25">
      <c r="A21" s="102" t="s">
        <v>938</v>
      </c>
      <c r="B21" s="112" t="s">
        <v>126</v>
      </c>
      <c r="C21" s="112">
        <v>2030</v>
      </c>
      <c r="D21" s="1">
        <v>1</v>
      </c>
      <c r="E21" s="1">
        <v>0</v>
      </c>
      <c r="F21" s="1">
        <v>0</v>
      </c>
      <c r="H21" s="3">
        <v>1.05026172</v>
      </c>
      <c r="I21" s="112">
        <v>119.892890410958</v>
      </c>
      <c r="J21" s="112">
        <v>46.19</v>
      </c>
      <c r="K21" s="112">
        <v>136.65</v>
      </c>
      <c r="L21" s="113">
        <v>55.313026255707697</v>
      </c>
      <c r="M21" s="113">
        <v>38.56</v>
      </c>
      <c r="N21" s="113">
        <v>129.01</v>
      </c>
      <c r="O21" s="113">
        <f>175.21/Tabelle58971145[[#This Row],[Maximalauslastung]]</f>
        <v>184.43157894736845</v>
      </c>
      <c r="P21" s="113">
        <v>46.19</v>
      </c>
      <c r="Q21" s="113">
        <v>136.65</v>
      </c>
      <c r="R21" s="120">
        <v>0</v>
      </c>
      <c r="S21" s="120">
        <v>0.95</v>
      </c>
      <c r="T21" s="120">
        <v>0.61</v>
      </c>
      <c r="U21" s="65">
        <v>4</v>
      </c>
      <c r="V21" s="112"/>
      <c r="W21" s="65"/>
      <c r="X21" s="123"/>
      <c r="Y21" s="65"/>
      <c r="Z21" s="112"/>
      <c r="AA21" s="13">
        <v>100001</v>
      </c>
      <c r="AB21" s="13">
        <v>100001</v>
      </c>
      <c r="AC21" s="13"/>
      <c r="AD21" s="13" t="s">
        <v>1228</v>
      </c>
      <c r="AE21" s="13" t="s">
        <v>1228</v>
      </c>
      <c r="AF21" s="13" t="s">
        <v>1228</v>
      </c>
      <c r="AG21" s="13" t="s">
        <v>1228</v>
      </c>
      <c r="AH21" s="13">
        <v>100008</v>
      </c>
      <c r="AI21" s="13">
        <v>100008</v>
      </c>
      <c r="AJ21" s="13" t="s">
        <v>1228</v>
      </c>
      <c r="AK21" s="13">
        <v>100008</v>
      </c>
      <c r="AL21" s="112"/>
      <c r="AM21" s="112"/>
    </row>
    <row r="22" spans="1:39" ht="13" x14ac:dyDescent="0.25">
      <c r="A22" s="102" t="s">
        <v>74</v>
      </c>
      <c r="B22" s="112" t="s">
        <v>126</v>
      </c>
      <c r="C22" s="112">
        <v>2030</v>
      </c>
      <c r="D22" s="1">
        <v>1</v>
      </c>
      <c r="E22" s="1">
        <v>0</v>
      </c>
      <c r="F22" s="1">
        <v>0</v>
      </c>
      <c r="H22" s="3">
        <v>0.61644119999999991</v>
      </c>
      <c r="I22" s="112">
        <v>70.37</v>
      </c>
      <c r="J22" s="112">
        <v>70.37</v>
      </c>
      <c r="K22" s="112">
        <v>70.37</v>
      </c>
      <c r="L22" s="113">
        <v>10.18</v>
      </c>
      <c r="M22" s="113">
        <v>10.18</v>
      </c>
      <c r="N22" s="113">
        <v>10.18</v>
      </c>
      <c r="O22" s="113">
        <f>80.55/Tabelle58971145[[#This Row],[Maximalauslastung]]</f>
        <v>84.78947368421052</v>
      </c>
      <c r="P22" s="113">
        <v>70.37</v>
      </c>
      <c r="Q22" s="113">
        <v>70.37</v>
      </c>
      <c r="R22" s="120">
        <v>0</v>
      </c>
      <c r="S22" s="120">
        <v>0.95</v>
      </c>
      <c r="T22" s="120">
        <v>0.7</v>
      </c>
      <c r="U22" s="65">
        <v>2</v>
      </c>
      <c r="V22" s="112"/>
      <c r="W22" s="65"/>
      <c r="X22" s="123"/>
      <c r="Y22" s="65"/>
      <c r="Z22" s="112"/>
      <c r="AA22" s="13">
        <v>100001</v>
      </c>
      <c r="AB22" s="13">
        <v>100001</v>
      </c>
      <c r="AC22" s="13"/>
      <c r="AD22" s="13" t="s">
        <v>1228</v>
      </c>
      <c r="AE22" s="13" t="s">
        <v>1228</v>
      </c>
      <c r="AF22" s="13" t="s">
        <v>1228</v>
      </c>
      <c r="AG22" s="13" t="s">
        <v>1228</v>
      </c>
      <c r="AH22" s="13">
        <v>100008</v>
      </c>
      <c r="AI22" s="13">
        <v>100008</v>
      </c>
      <c r="AJ22" s="13" t="s">
        <v>1228</v>
      </c>
      <c r="AK22" s="13">
        <v>100008</v>
      </c>
      <c r="AL22" s="112"/>
      <c r="AM22" s="112"/>
    </row>
    <row r="23" spans="1:39" ht="13" x14ac:dyDescent="0.25">
      <c r="A23" s="102" t="s">
        <v>78</v>
      </c>
      <c r="B23" s="112" t="s">
        <v>126</v>
      </c>
      <c r="C23" s="112">
        <v>2030</v>
      </c>
      <c r="D23" s="1">
        <v>1</v>
      </c>
      <c r="E23" s="1">
        <v>0</v>
      </c>
      <c r="F23" s="1">
        <v>0</v>
      </c>
      <c r="H23" s="3">
        <v>1.08948119999999</v>
      </c>
      <c r="I23" s="112">
        <v>124.369999999999</v>
      </c>
      <c r="J23" s="112">
        <v>124.369999999999</v>
      </c>
      <c r="K23" s="112">
        <v>124.369999999999</v>
      </c>
      <c r="L23" s="113">
        <v>13.0199999999999</v>
      </c>
      <c r="M23" s="113">
        <v>13.0199999999999</v>
      </c>
      <c r="N23" s="113">
        <v>13.0199999999999</v>
      </c>
      <c r="O23" s="113">
        <f>137.389999999999/Tabelle58971145[[#This Row],[Maximalauslastung]]</f>
        <v>144.6210526315779</v>
      </c>
      <c r="P23" s="113">
        <v>124.369999999999</v>
      </c>
      <c r="Q23" s="113">
        <v>124.369999999999</v>
      </c>
      <c r="R23" s="120">
        <v>0</v>
      </c>
      <c r="S23" s="120">
        <v>0.95</v>
      </c>
      <c r="T23" s="120">
        <v>0.15</v>
      </c>
      <c r="U23" s="65">
        <v>3</v>
      </c>
      <c r="V23" s="112"/>
      <c r="W23" s="65"/>
      <c r="X23" s="123"/>
      <c r="Y23" s="65"/>
      <c r="Z23" s="112"/>
      <c r="AA23" s="13">
        <v>100001</v>
      </c>
      <c r="AB23" s="13">
        <v>100001</v>
      </c>
      <c r="AC23" s="13"/>
      <c r="AD23" s="13" t="s">
        <v>1228</v>
      </c>
      <c r="AE23" s="13" t="s">
        <v>1228</v>
      </c>
      <c r="AF23" s="13" t="s">
        <v>1228</v>
      </c>
      <c r="AG23" s="13" t="s">
        <v>1228</v>
      </c>
      <c r="AH23" s="13">
        <v>100008</v>
      </c>
      <c r="AI23" s="13">
        <v>100008</v>
      </c>
      <c r="AJ23" s="13" t="s">
        <v>1228</v>
      </c>
      <c r="AK23" s="13">
        <v>100008</v>
      </c>
      <c r="AL23" s="112"/>
      <c r="AM23" s="112"/>
    </row>
    <row r="24" spans="1:39" ht="13" x14ac:dyDescent="0.25">
      <c r="A24" s="112" t="s">
        <v>77</v>
      </c>
      <c r="B24" s="112" t="s">
        <v>126</v>
      </c>
      <c r="C24" s="112">
        <v>2030</v>
      </c>
      <c r="D24" s="1">
        <v>1</v>
      </c>
      <c r="E24" s="1">
        <v>0</v>
      </c>
      <c r="F24" s="1">
        <v>0</v>
      </c>
      <c r="H24" s="3">
        <v>3.1962611999999901</v>
      </c>
      <c r="I24" s="112">
        <v>364.86999999999898</v>
      </c>
      <c r="J24" s="112">
        <v>364.86999999999898</v>
      </c>
      <c r="K24" s="112">
        <v>364.86999999999898</v>
      </c>
      <c r="L24" s="113">
        <v>42.919999999999902</v>
      </c>
      <c r="M24" s="113">
        <v>42.919999999999902</v>
      </c>
      <c r="N24" s="113">
        <v>42.919999999999902</v>
      </c>
      <c r="O24" s="113">
        <f>407.789999999999/Tabelle58971145[[#This Row],[Maximalauslastung]]</f>
        <v>429.25263157894631</v>
      </c>
      <c r="P24" s="113">
        <v>364.86999999999898</v>
      </c>
      <c r="Q24" s="113">
        <v>364.86999999999898</v>
      </c>
      <c r="R24" s="120">
        <v>0</v>
      </c>
      <c r="S24" s="120">
        <v>0.95</v>
      </c>
      <c r="T24" s="120">
        <v>0.7</v>
      </c>
      <c r="U24" s="65">
        <v>3</v>
      </c>
      <c r="V24" s="112"/>
      <c r="W24" s="65"/>
      <c r="X24" s="123"/>
      <c r="Y24" s="65"/>
      <c r="Z24" s="112"/>
      <c r="AA24" s="13">
        <v>100001</v>
      </c>
      <c r="AB24" s="13">
        <v>100001</v>
      </c>
      <c r="AC24" s="13"/>
      <c r="AD24" s="13" t="s">
        <v>1228</v>
      </c>
      <c r="AE24" s="13" t="s">
        <v>1228</v>
      </c>
      <c r="AF24" s="13" t="s">
        <v>1228</v>
      </c>
      <c r="AG24" s="13" t="s">
        <v>1228</v>
      </c>
      <c r="AH24" s="13">
        <v>100008</v>
      </c>
      <c r="AI24" s="13">
        <v>100008</v>
      </c>
      <c r="AJ24" s="13" t="s">
        <v>1228</v>
      </c>
      <c r="AK24" s="13">
        <v>100008</v>
      </c>
      <c r="AL24" s="112"/>
      <c r="AM24" s="112"/>
    </row>
    <row r="25" spans="1:39" ht="13" x14ac:dyDescent="0.25">
      <c r="A25" s="112" t="s">
        <v>206</v>
      </c>
      <c r="B25" s="112" t="s">
        <v>126</v>
      </c>
      <c r="C25" s="112">
        <v>2030</v>
      </c>
      <c r="D25" s="1">
        <v>1</v>
      </c>
      <c r="E25" s="1">
        <v>0</v>
      </c>
      <c r="F25" s="1">
        <v>0</v>
      </c>
      <c r="H25" s="3">
        <v>3.3071379100000002</v>
      </c>
      <c r="I25" s="112">
        <v>100.2985913242</v>
      </c>
      <c r="J25" s="112">
        <v>0</v>
      </c>
      <c r="K25" s="112">
        <v>270.41000000000003</v>
      </c>
      <c r="L25" s="113">
        <v>132.094599315068</v>
      </c>
      <c r="M25" s="113">
        <v>0</v>
      </c>
      <c r="N25" s="113">
        <v>283.50999999999902</v>
      </c>
      <c r="O25" s="113">
        <f>552.14/Tabelle58971145[[#This Row],[Maximalauslastung]]</f>
        <v>613.48888888888882</v>
      </c>
      <c r="P25" s="113">
        <v>223.53</v>
      </c>
      <c r="Q25" s="113">
        <v>552.14</v>
      </c>
      <c r="R25" s="120">
        <v>0.5</v>
      </c>
      <c r="S25" s="120">
        <v>0.9</v>
      </c>
      <c r="T25" s="120">
        <v>0.63</v>
      </c>
      <c r="U25" s="65">
        <v>2</v>
      </c>
      <c r="V25" s="112"/>
      <c r="W25" s="65"/>
      <c r="X25" s="123"/>
      <c r="Y25" s="65"/>
      <c r="Z25" s="112"/>
      <c r="AA25" s="13">
        <v>100001</v>
      </c>
      <c r="AB25" s="13">
        <v>100001</v>
      </c>
      <c r="AC25" s="13"/>
      <c r="AD25" s="13" t="s">
        <v>1228</v>
      </c>
      <c r="AE25" s="13" t="s">
        <v>1228</v>
      </c>
      <c r="AF25" s="13" t="s">
        <v>1228</v>
      </c>
      <c r="AG25" s="13" t="s">
        <v>1228</v>
      </c>
      <c r="AH25" s="13">
        <v>100008</v>
      </c>
      <c r="AI25" s="13">
        <v>100008</v>
      </c>
      <c r="AJ25" s="13" t="s">
        <v>1228</v>
      </c>
      <c r="AK25" s="13">
        <v>100008</v>
      </c>
      <c r="AL25" s="112"/>
      <c r="AM25" s="112"/>
    </row>
    <row r="26" spans="1:39" ht="13" x14ac:dyDescent="0.25">
      <c r="A26" s="112" t="s">
        <v>208</v>
      </c>
      <c r="B26" s="112" t="s">
        <v>126</v>
      </c>
      <c r="C26" s="112">
        <v>2030</v>
      </c>
      <c r="D26" s="1">
        <v>1</v>
      </c>
      <c r="E26" s="1">
        <v>0</v>
      </c>
      <c r="F26" s="1">
        <v>0</v>
      </c>
      <c r="H26" s="3">
        <v>2.05083791999999</v>
      </c>
      <c r="I26" s="112">
        <v>89.475041095890305</v>
      </c>
      <c r="J26" s="112">
        <v>0</v>
      </c>
      <c r="K26" s="112">
        <v>122.24999999999901</v>
      </c>
      <c r="L26" s="113">
        <v>58.426141552511403</v>
      </c>
      <c r="M26" s="113">
        <v>23.98</v>
      </c>
      <c r="N26" s="113">
        <v>158.26999999999899</v>
      </c>
      <c r="O26" s="113">
        <v>292.64</v>
      </c>
      <c r="P26" s="113">
        <v>134.19999999999899</v>
      </c>
      <c r="Q26" s="113">
        <v>268.56</v>
      </c>
      <c r="R26" s="120">
        <v>0.5</v>
      </c>
      <c r="S26" s="120">
        <v>1</v>
      </c>
      <c r="T26" s="120">
        <v>0.5</v>
      </c>
      <c r="U26" s="65">
        <v>1</v>
      </c>
      <c r="V26" s="112"/>
      <c r="W26" s="65"/>
      <c r="X26" s="123"/>
      <c r="Y26" s="65"/>
      <c r="Z26" s="112"/>
      <c r="AA26" s="13">
        <v>100001</v>
      </c>
      <c r="AB26" s="13">
        <v>100001</v>
      </c>
      <c r="AC26" s="13"/>
      <c r="AD26" s="13" t="s">
        <v>1228</v>
      </c>
      <c r="AE26" s="13" t="s">
        <v>1228</v>
      </c>
      <c r="AF26" s="13" t="s">
        <v>1228</v>
      </c>
      <c r="AG26" s="13" t="s">
        <v>1228</v>
      </c>
      <c r="AH26" s="13">
        <v>100008</v>
      </c>
      <c r="AI26" s="13">
        <v>100008</v>
      </c>
      <c r="AJ26" s="13" t="s">
        <v>1228</v>
      </c>
      <c r="AK26" s="13">
        <v>100008</v>
      </c>
      <c r="AL26" s="112"/>
      <c r="AM26" s="112"/>
    </row>
    <row r="27" spans="1:39" ht="13" x14ac:dyDescent="0.25">
      <c r="A27" s="112" t="s">
        <v>207</v>
      </c>
      <c r="B27" s="112" t="s">
        <v>126</v>
      </c>
      <c r="C27" s="112">
        <v>2030</v>
      </c>
      <c r="D27" s="1">
        <v>1</v>
      </c>
      <c r="E27" s="1">
        <v>0</v>
      </c>
      <c r="F27" s="1">
        <v>0</v>
      </c>
      <c r="H27" s="3">
        <v>44.75477789</v>
      </c>
      <c r="I27" s="112">
        <v>3862.5412682648298</v>
      </c>
      <c r="J27" s="112">
        <v>1804.38</v>
      </c>
      <c r="K27" s="112">
        <v>5785.2999999999902</v>
      </c>
      <c r="L27" s="113">
        <v>1119.9147499999999</v>
      </c>
      <c r="M27" s="113">
        <v>45.13</v>
      </c>
      <c r="N27" s="113">
        <v>3137.73</v>
      </c>
      <c r="O27" s="113">
        <f>7107.65/Tabelle58971145[[#This Row],[Maximalauslastung]]</f>
        <v>7481.7368421052633</v>
      </c>
      <c r="P27" s="113">
        <v>2929.17</v>
      </c>
      <c r="Q27" s="113">
        <v>7062.52</v>
      </c>
      <c r="R27" s="120">
        <v>0</v>
      </c>
      <c r="S27" s="120">
        <v>0.95</v>
      </c>
      <c r="T27" s="120">
        <v>0.5</v>
      </c>
      <c r="U27" s="65">
        <v>3</v>
      </c>
      <c r="V27" s="112"/>
      <c r="W27" s="65"/>
      <c r="X27" s="123"/>
      <c r="Y27" s="65"/>
      <c r="Z27" s="112"/>
      <c r="AA27" s="13">
        <v>100001</v>
      </c>
      <c r="AB27" s="13">
        <v>100001</v>
      </c>
      <c r="AC27" s="13"/>
      <c r="AD27" s="13" t="s">
        <v>1228</v>
      </c>
      <c r="AE27" s="13" t="s">
        <v>1228</v>
      </c>
      <c r="AF27" s="13" t="s">
        <v>1228</v>
      </c>
      <c r="AG27" s="13" t="s">
        <v>1228</v>
      </c>
      <c r="AH27" s="13">
        <v>100008</v>
      </c>
      <c r="AI27" s="13">
        <v>100008</v>
      </c>
      <c r="AJ27" s="13" t="s">
        <v>1228</v>
      </c>
      <c r="AK27" s="13">
        <v>100008</v>
      </c>
      <c r="AL27" s="112"/>
      <c r="AM27" s="112"/>
    </row>
    <row r="28" spans="1:39" ht="13" x14ac:dyDescent="0.25">
      <c r="A28" s="112" t="s">
        <v>134</v>
      </c>
      <c r="B28" s="112" t="s">
        <v>139</v>
      </c>
      <c r="C28" s="112">
        <v>2030</v>
      </c>
      <c r="D28" s="1">
        <v>1</v>
      </c>
      <c r="E28" s="1">
        <v>0</v>
      </c>
      <c r="F28" s="1">
        <v>0</v>
      </c>
      <c r="H28" s="3">
        <v>1.8140578999999999</v>
      </c>
      <c r="I28" s="112">
        <v>207.08423515981701</v>
      </c>
      <c r="J28" s="112">
        <v>0</v>
      </c>
      <c r="K28" s="112">
        <v>2723.8699999999899</v>
      </c>
      <c r="L28" s="113">
        <v>518.27298744292204</v>
      </c>
      <c r="M28" s="113">
        <v>0</v>
      </c>
      <c r="N28" s="113">
        <v>706.10999999999899</v>
      </c>
      <c r="O28" s="113">
        <f>2723.86999999999/Tabelle58971145[[#This Row],[Maximalauslastung]]</f>
        <v>3631.8266666666532</v>
      </c>
      <c r="P28" s="113">
        <v>0</v>
      </c>
      <c r="Q28" s="113">
        <v>2723.8699999999899</v>
      </c>
      <c r="R28" s="120">
        <v>0</v>
      </c>
      <c r="S28" s="120">
        <v>0.75</v>
      </c>
      <c r="T28" s="120">
        <v>0.4</v>
      </c>
      <c r="U28" s="65">
        <v>3</v>
      </c>
      <c r="V28" s="112"/>
      <c r="W28" s="65"/>
      <c r="X28" s="123"/>
      <c r="Y28" s="65"/>
      <c r="Z28" s="112"/>
      <c r="AA28" s="13">
        <v>100001</v>
      </c>
      <c r="AB28" s="13">
        <v>100001</v>
      </c>
      <c r="AC28" s="13"/>
      <c r="AD28" s="13" t="s">
        <v>1228</v>
      </c>
      <c r="AE28" s="13" t="s">
        <v>1228</v>
      </c>
      <c r="AF28" s="13" t="s">
        <v>1228</v>
      </c>
      <c r="AG28" s="13" t="s">
        <v>1228</v>
      </c>
      <c r="AH28" s="13">
        <v>100008</v>
      </c>
      <c r="AI28" s="13">
        <v>100008</v>
      </c>
      <c r="AJ28" s="13" t="s">
        <v>1228</v>
      </c>
      <c r="AK28" s="13">
        <v>100008</v>
      </c>
      <c r="AL28" s="112"/>
      <c r="AM28" s="112"/>
    </row>
    <row r="29" spans="1:39" ht="13" x14ac:dyDescent="0.25">
      <c r="A29" s="112" t="s">
        <v>138</v>
      </c>
      <c r="B29" s="112" t="s">
        <v>139</v>
      </c>
      <c r="C29" s="112">
        <v>2030</v>
      </c>
      <c r="D29" s="1">
        <v>1</v>
      </c>
      <c r="E29" s="1">
        <v>0</v>
      </c>
      <c r="F29" s="1">
        <v>0</v>
      </c>
      <c r="H29" s="3">
        <v>5.8058190999999999</v>
      </c>
      <c r="I29" s="112">
        <v>662.76473744292196</v>
      </c>
      <c r="J29" s="112">
        <v>0</v>
      </c>
      <c r="K29" s="112">
        <v>5987.44</v>
      </c>
      <c r="L29" s="113">
        <v>1637.30306392694</v>
      </c>
      <c r="M29" s="113">
        <v>0</v>
      </c>
      <c r="N29" s="113">
        <v>2259.4899999999998</v>
      </c>
      <c r="O29" s="113">
        <f>5987.44/Tabelle58971145[[#This Row],[Maximalauslastung]]</f>
        <v>7983.2533333333331</v>
      </c>
      <c r="P29" s="113">
        <v>0</v>
      </c>
      <c r="Q29" s="113">
        <v>5987.44</v>
      </c>
      <c r="R29" s="120">
        <v>0</v>
      </c>
      <c r="S29" s="120">
        <v>0.75</v>
      </c>
      <c r="T29" s="120">
        <v>0.4</v>
      </c>
      <c r="U29" s="65">
        <v>12</v>
      </c>
      <c r="V29" s="112"/>
      <c r="W29" s="65"/>
      <c r="X29" s="123"/>
      <c r="Y29" s="65"/>
      <c r="Z29" s="112"/>
      <c r="AA29" s="13">
        <v>100001</v>
      </c>
      <c r="AB29" s="13">
        <v>100001</v>
      </c>
      <c r="AC29" s="13"/>
      <c r="AD29" s="13" t="s">
        <v>1228</v>
      </c>
      <c r="AE29" s="13" t="s">
        <v>1228</v>
      </c>
      <c r="AF29" s="13" t="s">
        <v>1228</v>
      </c>
      <c r="AG29" s="13" t="s">
        <v>1228</v>
      </c>
      <c r="AH29" s="13">
        <v>100008</v>
      </c>
      <c r="AI29" s="13">
        <v>100008</v>
      </c>
      <c r="AJ29" s="13" t="s">
        <v>1228</v>
      </c>
      <c r="AK29" s="13">
        <v>100008</v>
      </c>
      <c r="AL29" s="112"/>
      <c r="AM29" s="112"/>
    </row>
    <row r="30" spans="1:39" ht="13" x14ac:dyDescent="0.25">
      <c r="A30" s="112" t="s">
        <v>135</v>
      </c>
      <c r="B30" s="112" t="s">
        <v>139</v>
      </c>
      <c r="C30" s="112">
        <v>2030</v>
      </c>
      <c r="D30" s="1">
        <v>1</v>
      </c>
      <c r="E30" s="1">
        <v>0</v>
      </c>
      <c r="F30" s="1">
        <v>0</v>
      </c>
      <c r="H30" s="3">
        <v>3.8988038099999898</v>
      </c>
      <c r="I30" s="112">
        <v>445.06892808219101</v>
      </c>
      <c r="J30" s="112">
        <v>0.87</v>
      </c>
      <c r="K30" s="112">
        <v>2622.9399999999901</v>
      </c>
      <c r="L30" s="113">
        <v>2084.2016084474799</v>
      </c>
      <c r="M30" s="113">
        <v>140.409999999999</v>
      </c>
      <c r="N30" s="113">
        <v>2520.56</v>
      </c>
      <c r="O30" s="113">
        <f>2763.34999999999/Tabelle58971145[[#This Row],[Maximalauslastung]]</f>
        <v>16254.99999999994</v>
      </c>
      <c r="P30" s="113">
        <v>0.87</v>
      </c>
      <c r="Q30" s="113">
        <v>2622.9399999999901</v>
      </c>
      <c r="R30" s="120">
        <v>0</v>
      </c>
      <c r="S30" s="120">
        <v>0.17</v>
      </c>
      <c r="T30" s="120">
        <v>0.25</v>
      </c>
      <c r="U30" s="65">
        <v>12</v>
      </c>
      <c r="V30" s="112"/>
      <c r="W30" s="65"/>
      <c r="X30" s="123"/>
      <c r="Y30" s="65"/>
      <c r="Z30" s="112"/>
      <c r="AA30" s="13">
        <v>100001</v>
      </c>
      <c r="AB30" s="13">
        <v>100001</v>
      </c>
      <c r="AC30" s="13"/>
      <c r="AD30" s="13" t="s">
        <v>1228</v>
      </c>
      <c r="AE30" s="13" t="s">
        <v>1228</v>
      </c>
      <c r="AF30" s="13" t="s">
        <v>1228</v>
      </c>
      <c r="AG30" s="13" t="s">
        <v>1228</v>
      </c>
      <c r="AH30" s="13">
        <v>100008</v>
      </c>
      <c r="AI30" s="13">
        <v>100008</v>
      </c>
      <c r="AJ30" s="13" t="s">
        <v>1228</v>
      </c>
      <c r="AK30" s="13">
        <v>100008</v>
      </c>
      <c r="AL30" s="112"/>
      <c r="AM30" s="112"/>
    </row>
    <row r="31" spans="1:39" ht="13" x14ac:dyDescent="0.25">
      <c r="A31" s="112" t="s">
        <v>134</v>
      </c>
      <c r="B31" s="112" t="s">
        <v>127</v>
      </c>
      <c r="C31" s="112">
        <v>2030</v>
      </c>
      <c r="D31" s="1">
        <v>1</v>
      </c>
      <c r="E31" s="1">
        <v>0</v>
      </c>
      <c r="F31" s="1">
        <v>0</v>
      </c>
      <c r="H31" s="3">
        <v>0.364711439999999</v>
      </c>
      <c r="I31" s="112">
        <v>41.633726027397202</v>
      </c>
      <c r="J31" s="112">
        <v>3.18999999999998</v>
      </c>
      <c r="K31" s="112">
        <v>263.7</v>
      </c>
      <c r="L31" s="113">
        <v>101.200771689497</v>
      </c>
      <c r="M31" s="113">
        <v>0</v>
      </c>
      <c r="N31" s="113">
        <v>138.439999999999</v>
      </c>
      <c r="O31" s="113">
        <f>263.7/Tabelle58971145[[#This Row],[Maximalauslastung]]</f>
        <v>351.59999999999997</v>
      </c>
      <c r="P31" s="113">
        <v>3.18999999999998</v>
      </c>
      <c r="Q31" s="113">
        <v>263.7</v>
      </c>
      <c r="R31" s="120">
        <v>0</v>
      </c>
      <c r="S31" s="120">
        <v>0.75</v>
      </c>
      <c r="T31" s="120">
        <v>0.4</v>
      </c>
      <c r="U31" s="65">
        <v>3</v>
      </c>
      <c r="V31" s="112"/>
      <c r="W31" s="65"/>
      <c r="X31" s="123"/>
      <c r="Y31" s="65"/>
      <c r="Z31" s="112"/>
      <c r="AA31" s="13">
        <v>100001</v>
      </c>
      <c r="AB31" s="13">
        <v>100001</v>
      </c>
      <c r="AC31" s="13"/>
      <c r="AD31" s="13" t="s">
        <v>1228</v>
      </c>
      <c r="AE31" s="13" t="s">
        <v>1228</v>
      </c>
      <c r="AF31" s="13" t="s">
        <v>1228</v>
      </c>
      <c r="AG31" s="13" t="s">
        <v>1228</v>
      </c>
      <c r="AH31" s="13">
        <v>100008</v>
      </c>
      <c r="AI31" s="13">
        <v>100008</v>
      </c>
      <c r="AJ31" s="13" t="s">
        <v>1228</v>
      </c>
      <c r="AK31" s="13">
        <v>100008</v>
      </c>
      <c r="AL31" s="112"/>
      <c r="AM31" s="112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5F56041-8284-46C6-986F-4E76D5F5B62A}">
          <x14:formula1>
            <xm:f>Dropdown!$A$2:$A$100</xm:f>
          </x14:formula1>
          <xm:sqref>A2:A31</xm:sqref>
        </x14:dataValidation>
        <x14:dataValidation type="list" allowBlank="1" showInputMessage="1" showErrorMessage="1" xr:uid="{66BFBF90-3E87-40C8-84A4-EAC21F1E0FE4}">
          <x14:formula1>
            <xm:f>Dropdown!$C$2:$C$4</xm:f>
          </x14:formula1>
          <xm:sqref>B2:B31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E211-2155-4F53-9C44-7236168E976A}">
  <sheetPr codeName="Tabelle11"/>
  <dimension ref="A1:AF7"/>
  <sheetViews>
    <sheetView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Q1" sqref="Q1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29.26953125" style="1" bestFit="1" customWidth="1"/>
    <col min="8" max="8" width="24.453125" style="1" bestFit="1" customWidth="1"/>
    <col min="9" max="10" width="24.453125" style="1" customWidth="1"/>
    <col min="11" max="11" width="37.7265625" style="1" bestFit="1" customWidth="1"/>
    <col min="12" max="12" width="24.7265625" style="1" customWidth="1"/>
    <col min="13" max="13" width="27.453125" style="1" bestFit="1" customWidth="1"/>
    <col min="14" max="14" width="25.81640625" style="1" bestFit="1" customWidth="1"/>
    <col min="15" max="15" width="38.26953125" style="1" bestFit="1" customWidth="1"/>
    <col min="16" max="19" width="38.26953125" style="1" customWidth="1"/>
    <col min="20" max="20" width="25.7265625" style="1" bestFit="1" customWidth="1"/>
    <col min="21" max="21" width="35.54296875" style="1" customWidth="1"/>
    <col min="22" max="22" width="31.7265625" style="1" bestFit="1" customWidth="1"/>
    <col min="23" max="23" width="31.54296875" style="1" bestFit="1" customWidth="1"/>
    <col min="24" max="26" width="31.54296875" style="1" customWidth="1"/>
    <col min="27" max="27" width="35.7265625" style="1" bestFit="1" customWidth="1"/>
    <col min="28" max="28" width="34" style="1" bestFit="1" customWidth="1"/>
    <col min="29" max="29" width="38.1796875" style="1" bestFit="1" customWidth="1"/>
    <col min="30" max="30" width="22.81640625" style="1" bestFit="1" customWidth="1"/>
    <col min="31" max="31" width="22.81640625" style="1" customWidth="1"/>
    <col min="32" max="32" width="28.26953125" style="1" bestFit="1" customWidth="1"/>
    <col min="33" max="16384" width="11.453125" style="1"/>
  </cols>
  <sheetData>
    <row r="1" spans="1:32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48</v>
      </c>
      <c r="H1" s="2" t="s">
        <v>154</v>
      </c>
      <c r="I1" s="2" t="s">
        <v>232</v>
      </c>
      <c r="J1" s="2" t="s">
        <v>854</v>
      </c>
      <c r="K1" s="2" t="s">
        <v>113</v>
      </c>
      <c r="L1" s="2" t="s">
        <v>54</v>
      </c>
      <c r="M1" s="2" t="s">
        <v>9</v>
      </c>
      <c r="N1" s="2" t="s">
        <v>3</v>
      </c>
      <c r="O1" s="2" t="s">
        <v>4</v>
      </c>
      <c r="P1" s="2" t="s">
        <v>1251</v>
      </c>
      <c r="Q1" s="2" t="s">
        <v>1252</v>
      </c>
      <c r="R1" s="2" t="s">
        <v>852</v>
      </c>
      <c r="S1" s="2" t="s">
        <v>853</v>
      </c>
      <c r="T1" s="2" t="s">
        <v>1250</v>
      </c>
      <c r="U1" s="2" t="s">
        <v>161</v>
      </c>
      <c r="V1" s="2" t="s">
        <v>1</v>
      </c>
      <c r="W1" s="2" t="s">
        <v>2</v>
      </c>
      <c r="X1" s="2" t="s">
        <v>233</v>
      </c>
      <c r="Y1" s="2" t="s">
        <v>114</v>
      </c>
      <c r="Z1" s="2" t="s">
        <v>57</v>
      </c>
      <c r="AA1" s="2" t="s">
        <v>95</v>
      </c>
      <c r="AB1" s="2" t="s">
        <v>6</v>
      </c>
      <c r="AC1" s="2" t="s">
        <v>7</v>
      </c>
      <c r="AD1" s="2" t="s">
        <v>17</v>
      </c>
      <c r="AE1" s="2" t="s">
        <v>855</v>
      </c>
      <c r="AF1" s="2" t="s">
        <v>19</v>
      </c>
    </row>
    <row r="2" spans="1:32" x14ac:dyDescent="0.25">
      <c r="A2" s="1" t="s">
        <v>135</v>
      </c>
      <c r="B2" s="1" t="s">
        <v>139</v>
      </c>
      <c r="C2" s="1">
        <v>2023</v>
      </c>
      <c r="D2" s="1">
        <v>1</v>
      </c>
      <c r="E2" s="1">
        <v>0</v>
      </c>
      <c r="F2" s="1">
        <v>0</v>
      </c>
      <c r="G2" s="19">
        <v>1000</v>
      </c>
      <c r="H2" s="19">
        <v>1000</v>
      </c>
      <c r="I2" s="9">
        <f>Tabelle5897111728[[#This Row],[Vollbenutzungsstunden h/a]]/8760</f>
        <v>0.22831050228310501</v>
      </c>
      <c r="J2" s="20">
        <v>2000</v>
      </c>
      <c r="K2" s="20">
        <v>140</v>
      </c>
      <c r="L2" s="19">
        <v>10000</v>
      </c>
      <c r="M2" s="1">
        <f t="shared" ref="M2:M7" si="0">60/3600</f>
        <v>1.6666666666666666E-2</v>
      </c>
      <c r="N2" s="1">
        <v>12</v>
      </c>
      <c r="O2" s="1">
        <f>7</f>
        <v>7</v>
      </c>
      <c r="P2" s="19">
        <f>0</f>
        <v>0</v>
      </c>
      <c r="Q2" s="19">
        <f>100*Umrechnungsfaktoren!$B$15/Umrechnungsfaktoren!$B$12</f>
        <v>103.80000000000001</v>
      </c>
      <c r="R2" s="19">
        <f>10*Umrechnungsfaktoren!$B$15/Umrechnungsfaktoren!$B$12</f>
        <v>10.38</v>
      </c>
      <c r="S2" s="19">
        <f>30*Umrechnungsfaktoren!$B$15/Umrechnungsfaktoren!$B$12</f>
        <v>31.14</v>
      </c>
      <c r="T2" s="8"/>
      <c r="U2" s="1">
        <v>11</v>
      </c>
      <c r="V2" s="13">
        <v>12</v>
      </c>
      <c r="W2" s="1">
        <v>12</v>
      </c>
      <c r="X2" s="13">
        <v>12</v>
      </c>
      <c r="Y2" s="13">
        <v>12</v>
      </c>
      <c r="Z2" s="1">
        <v>12</v>
      </c>
      <c r="AA2" s="13">
        <v>11</v>
      </c>
      <c r="AB2" s="1">
        <v>11</v>
      </c>
      <c r="AC2" s="1">
        <v>12</v>
      </c>
      <c r="AD2" s="1">
        <v>12</v>
      </c>
      <c r="AE2" s="1">
        <v>12</v>
      </c>
    </row>
    <row r="3" spans="1:32" x14ac:dyDescent="0.25">
      <c r="A3" s="1" t="s">
        <v>135</v>
      </c>
      <c r="B3" s="55" t="s">
        <v>139</v>
      </c>
      <c r="C3" s="55">
        <v>2050</v>
      </c>
      <c r="D3" s="55">
        <v>1</v>
      </c>
      <c r="E3" s="55">
        <v>0</v>
      </c>
      <c r="F3" s="1">
        <v>0</v>
      </c>
      <c r="G3" s="56">
        <v>1000</v>
      </c>
      <c r="H3" s="56">
        <v>1000</v>
      </c>
      <c r="I3" s="58">
        <f>Tabelle5897111728[[#This Row],[Vollbenutzungsstunden h/a]]/8760</f>
        <v>0.22831050228310501</v>
      </c>
      <c r="J3" s="57">
        <v>2000</v>
      </c>
      <c r="K3" s="57">
        <v>200</v>
      </c>
      <c r="L3" s="56">
        <v>10000</v>
      </c>
      <c r="M3" s="60">
        <f t="shared" si="0"/>
        <v>1.6666666666666666E-2</v>
      </c>
      <c r="N3" s="55">
        <v>12</v>
      </c>
      <c r="O3" s="60">
        <f>7</f>
        <v>7</v>
      </c>
      <c r="P3" s="61">
        <f>0</f>
        <v>0</v>
      </c>
      <c r="Q3" s="61">
        <f>100*Umrechnungsfaktoren!$B$15/Umrechnungsfaktoren!$B$12</f>
        <v>103.80000000000001</v>
      </c>
      <c r="R3" s="56">
        <f>10*Umrechnungsfaktoren!$B$15/Umrechnungsfaktoren!$B$12</f>
        <v>10.38</v>
      </c>
      <c r="S3" s="19">
        <f>15*Umrechnungsfaktoren!$B$15/Umrechnungsfaktoren!$B$12</f>
        <v>15.57</v>
      </c>
      <c r="T3" s="60"/>
      <c r="U3" s="55">
        <v>11</v>
      </c>
      <c r="V3" s="62">
        <v>12</v>
      </c>
      <c r="W3" s="55">
        <v>12</v>
      </c>
      <c r="X3" s="62">
        <v>12</v>
      </c>
      <c r="Y3" s="62">
        <v>12</v>
      </c>
      <c r="Z3" s="55">
        <v>12</v>
      </c>
      <c r="AA3" s="62">
        <v>11</v>
      </c>
      <c r="AB3" s="55">
        <v>11</v>
      </c>
      <c r="AC3" s="55">
        <v>12</v>
      </c>
      <c r="AD3" s="55">
        <v>12</v>
      </c>
      <c r="AE3" s="55">
        <v>12</v>
      </c>
      <c r="AF3" s="55"/>
    </row>
    <row r="4" spans="1:32" x14ac:dyDescent="0.25">
      <c r="A4" s="55" t="s">
        <v>851</v>
      </c>
      <c r="B4" s="55" t="s">
        <v>139</v>
      </c>
      <c r="C4" s="1">
        <v>2023</v>
      </c>
      <c r="D4" s="55">
        <v>1</v>
      </c>
      <c r="E4" s="55">
        <v>0</v>
      </c>
      <c r="F4" s="1">
        <v>0</v>
      </c>
      <c r="G4" s="56">
        <f>5*10^6*0.002</f>
        <v>10000</v>
      </c>
      <c r="H4" s="56">
        <f>5*10^6*0.002</f>
        <v>10000</v>
      </c>
      <c r="I4" s="58">
        <f>Tabelle5897111728[[#This Row],[Vollbenutzungsstunden h/a]]/8760</f>
        <v>0.22831050228310501</v>
      </c>
      <c r="J4" s="57">
        <v>2000</v>
      </c>
      <c r="K4" s="57">
        <f>150000*0.002</f>
        <v>300</v>
      </c>
      <c r="L4" s="56">
        <f>20*10^6*0.002</f>
        <v>40000</v>
      </c>
      <c r="M4" s="60">
        <f t="shared" si="0"/>
        <v>1.6666666666666666E-2</v>
      </c>
      <c r="N4" s="1">
        <v>48</v>
      </c>
      <c r="O4" s="60">
        <v>7</v>
      </c>
      <c r="P4" s="61">
        <v>0</v>
      </c>
      <c r="Q4" s="61">
        <v>0</v>
      </c>
      <c r="R4" s="19">
        <f>10*Umrechnungsfaktoren!$B$15/Umrechnungsfaktoren!$B$12</f>
        <v>10.38</v>
      </c>
      <c r="S4" s="19">
        <f>30*Umrechnungsfaktoren!$B$15/Umrechnungsfaktoren!$B$12</f>
        <v>31.14</v>
      </c>
      <c r="T4" s="60"/>
      <c r="U4" s="55">
        <v>15</v>
      </c>
      <c r="V4" s="62">
        <v>16</v>
      </c>
      <c r="W4" s="62">
        <v>16</v>
      </c>
      <c r="X4" s="62">
        <v>16</v>
      </c>
      <c r="Y4" s="62">
        <v>16</v>
      </c>
      <c r="Z4" s="62">
        <v>16</v>
      </c>
      <c r="AA4" s="62">
        <v>16</v>
      </c>
      <c r="AB4" s="55">
        <v>16</v>
      </c>
      <c r="AC4" s="55">
        <v>16</v>
      </c>
      <c r="AD4" s="55">
        <v>15</v>
      </c>
      <c r="AE4" s="55">
        <v>15</v>
      </c>
      <c r="AF4" s="55"/>
    </row>
    <row r="5" spans="1:32" x14ac:dyDescent="0.25">
      <c r="A5" s="55" t="s">
        <v>851</v>
      </c>
      <c r="B5" s="55" t="s">
        <v>139</v>
      </c>
      <c r="C5" s="55">
        <v>2050</v>
      </c>
      <c r="D5" s="55">
        <v>1</v>
      </c>
      <c r="E5" s="55">
        <v>0</v>
      </c>
      <c r="F5" s="1">
        <v>0</v>
      </c>
      <c r="G5" s="56">
        <f>5*10^6*0.002</f>
        <v>10000</v>
      </c>
      <c r="H5" s="56">
        <f>5*10^6*0.002</f>
        <v>10000</v>
      </c>
      <c r="I5" s="58">
        <f>Tabelle5897111728[[#This Row],[Vollbenutzungsstunden h/a]]/8760</f>
        <v>0.22831050228310501</v>
      </c>
      <c r="J5" s="57">
        <v>2000</v>
      </c>
      <c r="K5" s="57">
        <f>400000*0.002</f>
        <v>800</v>
      </c>
      <c r="L5" s="56">
        <f>20*10^6*0.002</f>
        <v>40000</v>
      </c>
      <c r="M5" s="60">
        <f t="shared" si="0"/>
        <v>1.6666666666666666E-2</v>
      </c>
      <c r="N5" s="1">
        <v>48</v>
      </c>
      <c r="O5" s="60">
        <v>7</v>
      </c>
      <c r="P5" s="61">
        <v>0</v>
      </c>
      <c r="Q5" s="61">
        <v>0</v>
      </c>
      <c r="R5" s="56">
        <f>10*Umrechnungsfaktoren!$B$15/Umrechnungsfaktoren!$B$12</f>
        <v>10.38</v>
      </c>
      <c r="S5" s="19">
        <f>15*Umrechnungsfaktoren!$B$15/Umrechnungsfaktoren!$B$12</f>
        <v>15.57</v>
      </c>
      <c r="T5" s="60"/>
      <c r="U5" s="55">
        <v>15</v>
      </c>
      <c r="V5" s="62">
        <v>16</v>
      </c>
      <c r="W5" s="62">
        <v>16</v>
      </c>
      <c r="X5" s="62">
        <v>16</v>
      </c>
      <c r="Y5" s="62">
        <v>16</v>
      </c>
      <c r="Z5" s="62">
        <v>16</v>
      </c>
      <c r="AA5" s="62">
        <v>16</v>
      </c>
      <c r="AB5" s="55">
        <v>16</v>
      </c>
      <c r="AC5" s="55">
        <v>16</v>
      </c>
      <c r="AD5" s="55">
        <v>15</v>
      </c>
      <c r="AE5" s="55">
        <v>15</v>
      </c>
      <c r="AF5" s="55"/>
    </row>
    <row r="6" spans="1:32" x14ac:dyDescent="0.25">
      <c r="A6" s="55" t="s">
        <v>850</v>
      </c>
      <c r="B6" s="55" t="s">
        <v>126</v>
      </c>
      <c r="C6" s="1">
        <v>2023</v>
      </c>
      <c r="D6" s="55">
        <v>1</v>
      </c>
      <c r="E6" s="55">
        <v>0</v>
      </c>
      <c r="F6" s="1">
        <v>0</v>
      </c>
      <c r="G6" s="56">
        <f>4300+4700</f>
        <v>9000</v>
      </c>
      <c r="H6" s="56">
        <f>4300+4700</f>
        <v>9000</v>
      </c>
      <c r="I6" s="58"/>
      <c r="J6" s="57"/>
      <c r="K6" s="57"/>
      <c r="L6" s="56">
        <f>39000+9400</f>
        <v>48400</v>
      </c>
      <c r="M6" s="60">
        <f t="shared" si="0"/>
        <v>1.6666666666666666E-2</v>
      </c>
      <c r="N6" s="1">
        <v>48</v>
      </c>
      <c r="O6" s="60"/>
      <c r="P6" s="19">
        <f>40*Umrechnungsfaktoren!$B$15/Umrechnungsfaktoren!$B$12</f>
        <v>41.52</v>
      </c>
      <c r="Q6" s="61">
        <f>100*Umrechnungsfaktoren!$B$15/Umrechnungsfaktoren!$B$12</f>
        <v>103.80000000000001</v>
      </c>
      <c r="R6" s="19"/>
      <c r="S6" s="19"/>
      <c r="T6" s="60">
        <f>10*Umrechnungsfaktoren!$B$15/Umrechnungsfaktoren!$B$12</f>
        <v>10.38</v>
      </c>
      <c r="U6" s="55">
        <v>26</v>
      </c>
      <c r="V6" s="62">
        <v>28</v>
      </c>
      <c r="W6" s="62">
        <v>28</v>
      </c>
      <c r="X6" s="62"/>
      <c r="Y6" s="62"/>
      <c r="Z6" s="55">
        <v>28</v>
      </c>
      <c r="AA6" s="62">
        <v>27</v>
      </c>
      <c r="AB6" s="62">
        <v>27</v>
      </c>
      <c r="AC6" s="62">
        <v>28</v>
      </c>
      <c r="AD6" s="55">
        <v>27</v>
      </c>
      <c r="AE6" s="55"/>
      <c r="AF6" s="55">
        <v>27</v>
      </c>
    </row>
    <row r="7" spans="1:32" x14ac:dyDescent="0.25">
      <c r="A7" s="55" t="s">
        <v>850</v>
      </c>
      <c r="B7" s="55" t="s">
        <v>126</v>
      </c>
      <c r="C7" s="55">
        <v>2050</v>
      </c>
      <c r="D7" s="55">
        <v>1</v>
      </c>
      <c r="E7" s="55">
        <v>0</v>
      </c>
      <c r="F7" s="1">
        <v>0</v>
      </c>
      <c r="G7" s="56">
        <f>4300+4700</f>
        <v>9000</v>
      </c>
      <c r="H7" s="56">
        <f>4300+4700</f>
        <v>9000</v>
      </c>
      <c r="I7" s="58"/>
      <c r="J7" s="57"/>
      <c r="K7" s="57"/>
      <c r="L7" s="56">
        <f>39000+9400</f>
        <v>48400</v>
      </c>
      <c r="M7" s="60">
        <f t="shared" si="0"/>
        <v>1.6666666666666666E-2</v>
      </c>
      <c r="N7" s="1">
        <v>48</v>
      </c>
      <c r="O7" s="60"/>
      <c r="P7" s="19">
        <f>40*Umrechnungsfaktoren!$B$15/Umrechnungsfaktoren!$B$12</f>
        <v>41.52</v>
      </c>
      <c r="Q7" s="61">
        <f>100*Umrechnungsfaktoren!$B$15/Umrechnungsfaktoren!$B$12</f>
        <v>103.80000000000001</v>
      </c>
      <c r="R7" s="56"/>
      <c r="S7" s="19"/>
      <c r="T7" s="60">
        <f>10*Umrechnungsfaktoren!$B$15/Umrechnungsfaktoren!$B$12</f>
        <v>10.38</v>
      </c>
      <c r="U7" s="55">
        <v>26</v>
      </c>
      <c r="V7" s="62">
        <v>28</v>
      </c>
      <c r="W7" s="62">
        <v>28</v>
      </c>
      <c r="X7" s="62"/>
      <c r="Y7" s="62"/>
      <c r="Z7" s="55">
        <v>28</v>
      </c>
      <c r="AA7" s="62">
        <v>27</v>
      </c>
      <c r="AB7" s="62">
        <v>27</v>
      </c>
      <c r="AC7" s="62">
        <v>28</v>
      </c>
      <c r="AD7" s="55">
        <v>27</v>
      </c>
      <c r="AE7" s="55"/>
      <c r="AF7" s="55">
        <v>27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63DC42-9D98-41EE-B64E-10F0959A491F}">
          <x14:formula1>
            <xm:f>Dropdown!$C$2:$C$4</xm:f>
          </x14:formula1>
          <xm:sqref>B2:B7</xm:sqref>
        </x14:dataValidation>
        <x14:dataValidation type="list" allowBlank="1" showInputMessage="1" showErrorMessage="1" xr:uid="{01F6541C-7AAC-4149-AC41-EC7E523E5556}">
          <x14:formula1>
            <xm:f>Dropdown!$A$2:$A$92</xm:f>
          </x14:formula1>
          <xm:sqref>A2:A7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BAB2-B2A8-4AAF-B888-9D880A524BDF}">
  <dimension ref="A1:AW49"/>
  <sheetViews>
    <sheetView zoomScale="70" zoomScaleNormal="70" workbookViewId="0">
      <pane xSplit="6" ySplit="1" topLeftCell="M2" activePane="bottomRight" state="frozen"/>
      <selection pane="topRight" activeCell="G1" sqref="G1"/>
      <selection pane="bottomLeft" activeCell="A2" sqref="A2"/>
      <selection pane="bottomRight" activeCell="R1" sqref="R1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10" width="32.54296875" style="1" customWidth="1"/>
    <col min="11" max="22" width="24.453125" style="1" customWidth="1"/>
    <col min="23" max="23" width="20.7265625" style="1" customWidth="1"/>
    <col min="24" max="24" width="25.81640625" style="1" bestFit="1" customWidth="1"/>
    <col min="25" max="25" width="29.7265625" style="1" bestFit="1" customWidth="1"/>
    <col min="26" max="31" width="38.26953125" style="1" customWidth="1"/>
    <col min="32" max="38" width="35.54296875" style="1" customWidth="1"/>
    <col min="39" max="39" width="31.54296875" style="1" customWidth="1"/>
    <col min="40" max="40" width="37.453125" style="1" bestFit="1" customWidth="1"/>
    <col min="41" max="41" width="28.81640625" style="1" bestFit="1" customWidth="1"/>
    <col min="42" max="42" width="34" style="1" bestFit="1" customWidth="1"/>
    <col min="43" max="43" width="37.81640625" style="1" bestFit="1" customWidth="1"/>
    <col min="44" max="44" width="38.1796875" style="1" bestFit="1" customWidth="1"/>
    <col min="45" max="47" width="28.26953125" style="1" customWidth="1"/>
    <col min="48" max="48" width="31" style="1" bestFit="1" customWidth="1"/>
    <col min="49" max="49" width="28.81640625" style="1" bestFit="1" customWidth="1"/>
    <col min="50" max="16384" width="11.453125" style="1"/>
  </cols>
  <sheetData>
    <row r="1" spans="1:49" ht="14.5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833</v>
      </c>
      <c r="H1" s="2" t="s">
        <v>55</v>
      </c>
      <c r="I1" s="2" t="s">
        <v>912</v>
      </c>
      <c r="J1" s="2" t="s">
        <v>854</v>
      </c>
      <c r="K1" s="2" t="s">
        <v>84</v>
      </c>
      <c r="L1" s="2" t="s">
        <v>1240</v>
      </c>
      <c r="M1" s="2" t="s">
        <v>47</v>
      </c>
      <c r="N1" s="2" t="s">
        <v>146</v>
      </c>
      <c r="O1" s="2" t="s">
        <v>48</v>
      </c>
      <c r="P1" s="2" t="s">
        <v>153</v>
      </c>
      <c r="Q1" s="2" t="s">
        <v>155</v>
      </c>
      <c r="R1" s="2" t="s">
        <v>154</v>
      </c>
      <c r="S1" s="2" t="s">
        <v>1134</v>
      </c>
      <c r="T1" s="2" t="s">
        <v>1132</v>
      </c>
      <c r="U1" s="2" t="s">
        <v>541</v>
      </c>
      <c r="V1" s="2" t="s">
        <v>1241</v>
      </c>
      <c r="W1" s="2" t="s">
        <v>1131</v>
      </c>
      <c r="X1" s="2" t="s">
        <v>3</v>
      </c>
      <c r="Y1" s="2" t="s">
        <v>10</v>
      </c>
      <c r="Z1" s="2" t="s">
        <v>96</v>
      </c>
      <c r="AA1" s="122" t="s">
        <v>1257</v>
      </c>
      <c r="AB1" s="2" t="s">
        <v>1258</v>
      </c>
      <c r="AC1" s="2" t="s">
        <v>1259</v>
      </c>
      <c r="AD1" s="2" t="s">
        <v>1246</v>
      </c>
      <c r="AE1" s="122" t="s">
        <v>1250</v>
      </c>
      <c r="AF1" s="2" t="s">
        <v>20</v>
      </c>
      <c r="AG1" s="2" t="s">
        <v>161</v>
      </c>
      <c r="AH1" s="2" t="s">
        <v>162</v>
      </c>
      <c r="AI1" s="2" t="s">
        <v>867</v>
      </c>
      <c r="AJ1" s="2" t="s">
        <v>886</v>
      </c>
      <c r="AK1" s="2" t="s">
        <v>1</v>
      </c>
      <c r="AL1" s="2" t="s">
        <v>2</v>
      </c>
      <c r="AM1" s="2" t="s">
        <v>1123</v>
      </c>
      <c r="AN1" s="2" t="s">
        <v>58</v>
      </c>
      <c r="AO1" s="2" t="s">
        <v>5</v>
      </c>
      <c r="AP1" s="2" t="s">
        <v>6</v>
      </c>
      <c r="AQ1" s="2" t="s">
        <v>15</v>
      </c>
      <c r="AR1" s="2" t="s">
        <v>7</v>
      </c>
      <c r="AS1" s="2" t="s">
        <v>17</v>
      </c>
      <c r="AT1" s="2" t="s">
        <v>18</v>
      </c>
      <c r="AU1" s="2" t="s">
        <v>19</v>
      </c>
      <c r="AV1" s="2" t="s">
        <v>21</v>
      </c>
      <c r="AW1" s="2" t="s">
        <v>49</v>
      </c>
    </row>
    <row r="2" spans="1:49" x14ac:dyDescent="0.25">
      <c r="A2" s="6" t="s">
        <v>74</v>
      </c>
      <c r="B2" s="1" t="s">
        <v>126</v>
      </c>
      <c r="C2" s="6">
        <v>2019</v>
      </c>
      <c r="D2" s="6">
        <v>1</v>
      </c>
      <c r="E2" s="6">
        <v>1</v>
      </c>
      <c r="F2" s="6">
        <v>0</v>
      </c>
      <c r="G2" s="6">
        <v>2.5</v>
      </c>
      <c r="H2" s="6">
        <v>336</v>
      </c>
      <c r="I2" s="6">
        <v>900</v>
      </c>
      <c r="J2" s="6"/>
      <c r="K2" s="16">
        <v>0.2</v>
      </c>
      <c r="L2" s="16">
        <v>0.51</v>
      </c>
      <c r="M2" s="16"/>
      <c r="N2" s="79">
        <v>23</v>
      </c>
      <c r="O2" s="134"/>
      <c r="P2" s="134"/>
      <c r="Q2" s="134">
        <v>23</v>
      </c>
      <c r="R2" s="79"/>
      <c r="S2" s="79"/>
      <c r="T2" s="79"/>
      <c r="U2" s="79"/>
      <c r="V2" s="16">
        <v>0.73</v>
      </c>
      <c r="W2" s="133">
        <v>5</v>
      </c>
      <c r="X2" s="6">
        <v>5</v>
      </c>
      <c r="Y2" s="6">
        <v>3</v>
      </c>
      <c r="Z2" s="6">
        <v>1095</v>
      </c>
      <c r="AA2" s="128">
        <f>200/Umrechnungsfaktoren!$B$16/Umrechnungsfaktoren!$B$17</f>
        <v>200.9496676163343</v>
      </c>
      <c r="AB2" s="128">
        <f>461/Umrechnungsfaktoren!$B$16/Umrechnungsfaktoren!$B$17</f>
        <v>463.18898385565052</v>
      </c>
      <c r="AC2" s="128">
        <f>1470/Umrechnungsfaktoren!$B$16/Umrechnungsfaktoren!$B$17</f>
        <v>1476.980056980057</v>
      </c>
      <c r="AD2" s="3">
        <f>2.3/Umrechnungsfaktoren!$B$16/Umrechnungsfaktoren!$B$17</f>
        <v>2.310921177587844</v>
      </c>
      <c r="AE2" s="128">
        <f>2/Umrechnungsfaktoren!$B$16/Umrechnungsfaktoren!$B$17</f>
        <v>2.009496676163343</v>
      </c>
      <c r="AF2" s="6"/>
      <c r="AG2" s="79">
        <v>17</v>
      </c>
      <c r="AH2" s="79">
        <v>17</v>
      </c>
      <c r="AI2" s="79">
        <v>17</v>
      </c>
      <c r="AJ2" s="79"/>
      <c r="AK2" s="79"/>
      <c r="AL2" s="79"/>
      <c r="AM2" s="79">
        <v>17</v>
      </c>
      <c r="AN2" s="79">
        <v>17</v>
      </c>
      <c r="AO2" s="79">
        <v>17</v>
      </c>
      <c r="AP2" s="79">
        <v>17</v>
      </c>
      <c r="AQ2" s="79">
        <v>17</v>
      </c>
      <c r="AR2" s="79">
        <v>17</v>
      </c>
      <c r="AS2" s="79">
        <v>17</v>
      </c>
      <c r="AT2" s="79">
        <v>17</v>
      </c>
      <c r="AU2" s="79">
        <v>17</v>
      </c>
      <c r="AV2" s="79"/>
      <c r="AW2" s="79"/>
    </row>
    <row r="3" spans="1:49" x14ac:dyDescent="0.25">
      <c r="A3" s="1" t="s">
        <v>78</v>
      </c>
      <c r="B3" s="1" t="s">
        <v>126</v>
      </c>
      <c r="C3" s="1">
        <v>2019</v>
      </c>
      <c r="D3" s="1">
        <v>1</v>
      </c>
      <c r="E3" s="1">
        <v>1</v>
      </c>
      <c r="F3" s="1">
        <v>0</v>
      </c>
      <c r="G3" s="79">
        <v>12.1</v>
      </c>
      <c r="H3" s="79">
        <v>1400</v>
      </c>
      <c r="I3" s="79">
        <v>22800</v>
      </c>
      <c r="J3" s="79"/>
      <c r="K3" s="129">
        <v>0.1</v>
      </c>
      <c r="L3" s="64"/>
      <c r="M3" s="64"/>
      <c r="N3" s="79">
        <v>51</v>
      </c>
      <c r="O3" s="134"/>
      <c r="P3" s="134"/>
      <c r="Q3" s="134">
        <v>51</v>
      </c>
      <c r="R3" s="79"/>
      <c r="S3" s="79"/>
      <c r="T3" s="79"/>
      <c r="U3" s="79"/>
      <c r="V3" s="64">
        <v>0.9</v>
      </c>
      <c r="W3" s="133"/>
      <c r="X3" s="1">
        <v>2</v>
      </c>
      <c r="Y3" s="1">
        <v>12</v>
      </c>
      <c r="Z3" s="1">
        <v>146</v>
      </c>
      <c r="AA3" s="3">
        <f>200/Umrechnungsfaktoren!$B$16/Umrechnungsfaktoren!$B$17</f>
        <v>200.9496676163343</v>
      </c>
      <c r="AB3" s="3"/>
      <c r="AC3" s="3">
        <f>710/Umrechnungsfaktoren!$B$16/Umrechnungsfaktoren!$B$17</f>
        <v>713.37132003798672</v>
      </c>
      <c r="AD3" s="3">
        <f>2.3/Umrechnungsfaktoren!$B$16/Umrechnungsfaktoren!$B$17</f>
        <v>2.310921177587844</v>
      </c>
      <c r="AE3" s="3">
        <f>2/Umrechnungsfaktoren!$B$16/Umrechnungsfaktoren!$B$17</f>
        <v>2.009496676163343</v>
      </c>
      <c r="AG3" s="79">
        <v>18</v>
      </c>
      <c r="AH3" s="79">
        <v>18</v>
      </c>
      <c r="AI3" s="79">
        <v>18</v>
      </c>
      <c r="AJ3" s="79"/>
      <c r="AK3" s="79"/>
      <c r="AL3" s="79"/>
      <c r="AM3" s="79">
        <v>18</v>
      </c>
      <c r="AN3" s="79">
        <v>18</v>
      </c>
      <c r="AO3" s="79">
        <v>18</v>
      </c>
      <c r="AP3" s="79">
        <v>18</v>
      </c>
      <c r="AQ3" s="79">
        <v>18</v>
      </c>
      <c r="AR3" s="79">
        <v>18</v>
      </c>
      <c r="AS3" s="79">
        <v>18</v>
      </c>
      <c r="AT3" s="79">
        <v>18</v>
      </c>
      <c r="AU3" s="79">
        <v>18</v>
      </c>
      <c r="AV3" s="79"/>
      <c r="AW3" s="79"/>
    </row>
    <row r="4" spans="1:49" x14ac:dyDescent="0.25">
      <c r="A4" s="1" t="s">
        <v>27</v>
      </c>
      <c r="B4" s="1" t="s">
        <v>126</v>
      </c>
      <c r="C4" s="1">
        <v>2019</v>
      </c>
      <c r="D4" s="1">
        <v>1</v>
      </c>
      <c r="E4" s="1">
        <v>1</v>
      </c>
      <c r="F4" s="1">
        <v>0</v>
      </c>
      <c r="G4" s="79">
        <v>11.1</v>
      </c>
      <c r="H4" s="79">
        <v>338</v>
      </c>
      <c r="I4" s="79">
        <v>3900</v>
      </c>
      <c r="J4" s="79"/>
      <c r="K4" s="129">
        <v>0.06</v>
      </c>
      <c r="L4" s="64">
        <v>0.01</v>
      </c>
      <c r="M4" s="64"/>
      <c r="N4" s="79">
        <v>11</v>
      </c>
      <c r="O4" s="134"/>
      <c r="P4" s="134"/>
      <c r="Q4" s="134">
        <v>11</v>
      </c>
      <c r="R4" s="79"/>
      <c r="S4" s="79"/>
      <c r="T4" s="79"/>
      <c r="U4" s="79"/>
      <c r="V4" s="64">
        <v>0.86</v>
      </c>
      <c r="W4" s="133">
        <v>8</v>
      </c>
      <c r="X4" s="1">
        <f>1/4</f>
        <v>0.25</v>
      </c>
      <c r="Y4" s="1">
        <v>23</v>
      </c>
      <c r="Z4" s="1">
        <v>365</v>
      </c>
      <c r="AA4" s="3">
        <f>150/Umrechnungsfaktoren!$B$16/Umrechnungsfaktoren!$B$17</f>
        <v>150.71225071225072</v>
      </c>
      <c r="AB4" s="3">
        <f>256/Umrechnungsfaktoren!$B$16/Umrechnungsfaktoren!$B$17</f>
        <v>257.21557454890791</v>
      </c>
      <c r="AC4" s="3">
        <f>1060/Umrechnungsfaktoren!$B$16/Umrechnungsfaktoren!$B$17</f>
        <v>1065.0332383665718</v>
      </c>
      <c r="AD4" s="3">
        <f>2/Umrechnungsfaktoren!$B$16/Umrechnungsfaktoren!$B$17</f>
        <v>2.009496676163343</v>
      </c>
      <c r="AE4" s="3">
        <f>1/Umrechnungsfaktoren!$B$16/Umrechnungsfaktoren!$B$17</f>
        <v>1.0047483380816715</v>
      </c>
      <c r="AG4" s="79">
        <v>19</v>
      </c>
      <c r="AH4" s="79">
        <v>19</v>
      </c>
      <c r="AI4" s="79">
        <v>19</v>
      </c>
      <c r="AJ4" s="79"/>
      <c r="AK4" s="79"/>
      <c r="AL4" s="79"/>
      <c r="AM4" s="79">
        <v>19</v>
      </c>
      <c r="AN4" s="79">
        <v>19</v>
      </c>
      <c r="AO4" s="79">
        <v>19</v>
      </c>
      <c r="AP4" s="79">
        <v>19</v>
      </c>
      <c r="AQ4" s="79">
        <v>19</v>
      </c>
      <c r="AR4" s="79">
        <v>19</v>
      </c>
      <c r="AS4" s="79">
        <v>19</v>
      </c>
      <c r="AT4" s="79">
        <v>19</v>
      </c>
      <c r="AU4" s="79">
        <v>19</v>
      </c>
      <c r="AV4" s="79"/>
      <c r="AW4" s="79"/>
    </row>
    <row r="5" spans="1:49" x14ac:dyDescent="0.25">
      <c r="A5" s="1" t="s">
        <v>189</v>
      </c>
      <c r="B5" s="1" t="s">
        <v>126</v>
      </c>
      <c r="C5" s="1">
        <v>2019</v>
      </c>
      <c r="D5" s="1">
        <v>0</v>
      </c>
      <c r="E5" s="1">
        <v>1</v>
      </c>
      <c r="F5" s="1">
        <v>0</v>
      </c>
      <c r="G5" s="79">
        <v>2</v>
      </c>
      <c r="H5" s="79">
        <v>75</v>
      </c>
      <c r="I5" s="79">
        <v>4000</v>
      </c>
      <c r="J5" s="79"/>
      <c r="K5" s="129"/>
      <c r="L5" s="64">
        <v>0.33</v>
      </c>
      <c r="M5" s="64"/>
      <c r="N5" s="79"/>
      <c r="O5" s="134"/>
      <c r="P5" s="134"/>
      <c r="Q5" s="134"/>
      <c r="R5" s="79"/>
      <c r="S5" s="79"/>
      <c r="T5" s="79"/>
      <c r="U5" s="79"/>
      <c r="V5" s="64">
        <v>0.81</v>
      </c>
      <c r="W5" s="133">
        <f>8/60</f>
        <v>0.13333333333333333</v>
      </c>
      <c r="Y5" s="1">
        <v>15</v>
      </c>
      <c r="Z5" s="1">
        <v>562</v>
      </c>
      <c r="AA5" s="3"/>
      <c r="AB5" s="3">
        <f>820/Umrechnungsfaktoren!$B$16/Umrechnungsfaktoren!$B$17</f>
        <v>823.89363722697055</v>
      </c>
      <c r="AC5" s="3">
        <f>1110/Umrechnungsfaktoren!$B$16/Umrechnungsfaktoren!$B$17</f>
        <v>1115.2706552706554</v>
      </c>
      <c r="AD5" s="3">
        <f>1.5/Umrechnungsfaktoren!$B$16/Umrechnungsfaktoren!$B$17</f>
        <v>1.5071225071225072</v>
      </c>
      <c r="AE5" s="3">
        <f>19.1/Umrechnungsfaktoren!$B$16/Umrechnungsfaktoren!$B$17</f>
        <v>19.190693257359925</v>
      </c>
      <c r="AG5" s="79">
        <v>20</v>
      </c>
      <c r="AH5" s="79">
        <v>20</v>
      </c>
      <c r="AI5" s="79">
        <v>20</v>
      </c>
      <c r="AJ5" s="79"/>
      <c r="AK5" s="79"/>
      <c r="AL5" s="79"/>
      <c r="AM5" s="79">
        <v>20</v>
      </c>
      <c r="AN5" s="79">
        <v>20</v>
      </c>
      <c r="AO5" s="79">
        <v>20</v>
      </c>
      <c r="AP5" s="79">
        <v>20</v>
      </c>
      <c r="AQ5" s="79">
        <v>20</v>
      </c>
      <c r="AR5" s="79">
        <v>20</v>
      </c>
      <c r="AS5" s="79">
        <v>20</v>
      </c>
      <c r="AT5" s="79">
        <v>20</v>
      </c>
      <c r="AU5" s="79">
        <v>20</v>
      </c>
      <c r="AV5" s="79"/>
      <c r="AW5" s="79"/>
    </row>
    <row r="6" spans="1:49" x14ac:dyDescent="0.25">
      <c r="A6" s="1" t="s">
        <v>938</v>
      </c>
      <c r="B6" s="1" t="s">
        <v>126</v>
      </c>
      <c r="C6" s="1">
        <v>2019</v>
      </c>
      <c r="D6" s="1">
        <v>1</v>
      </c>
      <c r="E6" s="1">
        <v>1</v>
      </c>
      <c r="F6" s="1">
        <v>0</v>
      </c>
      <c r="G6" s="79">
        <v>1</v>
      </c>
      <c r="H6" s="79">
        <v>506</v>
      </c>
      <c r="I6" s="79">
        <v>29200</v>
      </c>
      <c r="J6" s="79"/>
      <c r="K6" s="129">
        <v>0.06</v>
      </c>
      <c r="L6" s="64">
        <v>0.28000000000000003</v>
      </c>
      <c r="M6" s="64"/>
      <c r="N6" s="79">
        <v>17</v>
      </c>
      <c r="O6" s="134"/>
      <c r="P6" s="134"/>
      <c r="Q6" s="134">
        <v>17</v>
      </c>
      <c r="R6" s="79"/>
      <c r="S6" s="79"/>
      <c r="T6" s="79"/>
      <c r="U6" s="79"/>
      <c r="V6" s="64">
        <v>0.7</v>
      </c>
      <c r="W6" s="133">
        <v>15</v>
      </c>
      <c r="X6" s="1">
        <v>12</v>
      </c>
      <c r="Y6" s="1">
        <v>48</v>
      </c>
      <c r="Z6" s="1">
        <v>146</v>
      </c>
      <c r="AA6" s="3">
        <f>200/Umrechnungsfaktoren!$B$16/Umrechnungsfaktoren!$B$17</f>
        <v>200.9496676163343</v>
      </c>
      <c r="AB6" s="3">
        <f>487/Umrechnungsfaktoren!$B$16/Umrechnungsfaktoren!$B$17</f>
        <v>489.31244064577402</v>
      </c>
      <c r="AC6" s="3">
        <f>1100/Umrechnungsfaktoren!$B$16/Umrechnungsfaktoren!$B$17</f>
        <v>1105.2231718898386</v>
      </c>
      <c r="AD6" s="3">
        <f>1.5/Umrechnungsfaktoren!$B$16/Umrechnungsfaktoren!$B$17</f>
        <v>1.5071225071225072</v>
      </c>
      <c r="AE6" s="3">
        <f>19.1/Umrechnungsfaktoren!$B$16/Umrechnungsfaktoren!$B$17</f>
        <v>19.190693257359925</v>
      </c>
      <c r="AG6" s="79">
        <v>21</v>
      </c>
      <c r="AH6" s="79">
        <v>21</v>
      </c>
      <c r="AI6" s="79">
        <v>21</v>
      </c>
      <c r="AJ6" s="79"/>
      <c r="AK6" s="79"/>
      <c r="AL6" s="79"/>
      <c r="AM6" s="79">
        <v>21</v>
      </c>
      <c r="AN6" s="79">
        <v>21</v>
      </c>
      <c r="AO6" s="79">
        <v>21</v>
      </c>
      <c r="AP6" s="79">
        <v>21</v>
      </c>
      <c r="AQ6" s="79">
        <v>21</v>
      </c>
      <c r="AR6" s="79">
        <v>21</v>
      </c>
      <c r="AS6" s="79">
        <v>21</v>
      </c>
      <c r="AT6" s="79">
        <v>21</v>
      </c>
      <c r="AU6" s="79">
        <v>21</v>
      </c>
      <c r="AV6" s="79"/>
      <c r="AW6" s="79"/>
    </row>
    <row r="7" spans="1:49" x14ac:dyDescent="0.25">
      <c r="A7" s="1" t="s">
        <v>81</v>
      </c>
      <c r="B7" s="1" t="s">
        <v>126</v>
      </c>
      <c r="C7" s="1">
        <v>2019</v>
      </c>
      <c r="D7" s="1">
        <v>0</v>
      </c>
      <c r="E7" s="1">
        <v>1</v>
      </c>
      <c r="F7" s="1">
        <v>0</v>
      </c>
      <c r="G7" s="79">
        <v>6.6</v>
      </c>
      <c r="H7" s="79">
        <v>2050</v>
      </c>
      <c r="I7" s="79">
        <v>12400</v>
      </c>
      <c r="J7" s="79"/>
      <c r="K7" s="129"/>
      <c r="L7" s="64">
        <v>0.11</v>
      </c>
      <c r="M7" s="64"/>
      <c r="N7" s="79">
        <v>2</v>
      </c>
      <c r="O7" s="134"/>
      <c r="P7" s="134"/>
      <c r="Q7" s="134">
        <v>2</v>
      </c>
      <c r="R7" s="79"/>
      <c r="S7" s="79"/>
      <c r="T7" s="79"/>
      <c r="U7" s="79"/>
      <c r="V7" s="64">
        <v>0.95</v>
      </c>
      <c r="W7" s="133">
        <f>5/60</f>
        <v>8.3333333333333329E-2</v>
      </c>
      <c r="Y7" s="1">
        <v>24</v>
      </c>
      <c r="Z7" s="1">
        <v>270</v>
      </c>
      <c r="AA7" s="3"/>
      <c r="AB7" s="3">
        <f>564/Umrechnungsfaktoren!$B$16/Umrechnungsfaktoren!$B$17</f>
        <v>566.6780626780627</v>
      </c>
      <c r="AC7" s="3">
        <f>620/Umrechnungsfaktoren!$B$16/Umrechnungsfaktoren!$B$17</f>
        <v>622.94396961063626</v>
      </c>
      <c r="AD7" s="3">
        <f>0.6/Umrechnungsfaktoren!$B$16/Umrechnungsfaktoren!$B$17</f>
        <v>0.60284900284900289</v>
      </c>
      <c r="AE7" s="3">
        <f>2.8/Umrechnungsfaktoren!$B$16/Umrechnungsfaktoren!$B$17</f>
        <v>2.8132953466286801</v>
      </c>
      <c r="AG7" s="79">
        <v>22</v>
      </c>
      <c r="AH7" s="79">
        <v>22</v>
      </c>
      <c r="AI7" s="79">
        <v>22</v>
      </c>
      <c r="AJ7" s="79"/>
      <c r="AK7" s="79"/>
      <c r="AL7" s="79"/>
      <c r="AM7" s="79">
        <v>22</v>
      </c>
      <c r="AN7" s="79">
        <v>22</v>
      </c>
      <c r="AO7" s="79">
        <v>22</v>
      </c>
      <c r="AP7" s="79">
        <v>22</v>
      </c>
      <c r="AQ7" s="79">
        <v>22</v>
      </c>
      <c r="AR7" s="79">
        <v>22</v>
      </c>
      <c r="AS7" s="79">
        <v>22</v>
      </c>
      <c r="AT7" s="79">
        <v>22</v>
      </c>
      <c r="AU7" s="79">
        <v>22</v>
      </c>
      <c r="AV7" s="79"/>
      <c r="AW7" s="79"/>
    </row>
    <row r="8" spans="1:49" x14ac:dyDescent="0.25">
      <c r="A8" s="1" t="s">
        <v>51</v>
      </c>
      <c r="B8" s="1" t="s">
        <v>126</v>
      </c>
      <c r="C8" s="1">
        <v>2019</v>
      </c>
      <c r="D8" s="1">
        <v>1</v>
      </c>
      <c r="E8" s="1">
        <v>1</v>
      </c>
      <c r="F8" s="1">
        <v>0</v>
      </c>
      <c r="G8" s="79">
        <v>8.8000000000000007</v>
      </c>
      <c r="H8" s="79">
        <v>1080</v>
      </c>
      <c r="I8" s="79">
        <v>600</v>
      </c>
      <c r="J8" s="79"/>
      <c r="K8" s="129">
        <v>0.02</v>
      </c>
      <c r="L8" s="64"/>
      <c r="M8" s="64"/>
      <c r="N8" s="79"/>
      <c r="O8" s="134"/>
      <c r="P8" s="134"/>
      <c r="Q8" s="134"/>
      <c r="R8" s="79"/>
      <c r="S8" s="79"/>
      <c r="T8" s="79">
        <v>1007</v>
      </c>
      <c r="U8" s="79"/>
      <c r="V8" s="64">
        <v>0.93</v>
      </c>
      <c r="W8" s="133">
        <v>0.02</v>
      </c>
      <c r="X8" s="1">
        <v>48</v>
      </c>
      <c r="Y8" s="1">
        <v>24</v>
      </c>
      <c r="Z8" s="1">
        <v>91</v>
      </c>
      <c r="AA8" s="3">
        <f>115/Umrechnungsfaktoren!$B$16/Umrechnungsfaktoren!$B$17</f>
        <v>115.54605887939222</v>
      </c>
      <c r="AB8" s="3">
        <f>461/Umrechnungsfaktoren!$B$16/Umrechnungsfaktoren!$B$17</f>
        <v>463.18898385565052</v>
      </c>
      <c r="AC8" s="3">
        <f>620/Umrechnungsfaktoren!$B$16/Umrechnungsfaktoren!$B$17</f>
        <v>622.94396961063626</v>
      </c>
      <c r="AD8" s="3">
        <v>0</v>
      </c>
      <c r="AE8" s="3">
        <f>2/Umrechnungsfaktoren!$B$16/Umrechnungsfaktoren!$B$17</f>
        <v>2.009496676163343</v>
      </c>
      <c r="AG8" s="79">
        <v>23</v>
      </c>
      <c r="AH8" s="79">
        <v>23</v>
      </c>
      <c r="AI8" s="79">
        <v>23</v>
      </c>
      <c r="AJ8" s="79"/>
      <c r="AK8" s="79"/>
      <c r="AL8" s="79"/>
      <c r="AM8" s="79">
        <v>23</v>
      </c>
      <c r="AN8" s="79">
        <v>23</v>
      </c>
      <c r="AO8" s="79">
        <v>23</v>
      </c>
      <c r="AP8" s="79">
        <v>23</v>
      </c>
      <c r="AQ8" s="79">
        <v>23</v>
      </c>
      <c r="AR8" s="79">
        <v>23</v>
      </c>
      <c r="AS8" s="79">
        <v>23</v>
      </c>
      <c r="AT8" s="79">
        <v>23</v>
      </c>
      <c r="AU8" s="79">
        <v>23</v>
      </c>
      <c r="AV8" s="79"/>
      <c r="AW8" s="79"/>
    </row>
    <row r="9" spans="1:49" x14ac:dyDescent="0.25">
      <c r="A9" s="1" t="s">
        <v>535</v>
      </c>
      <c r="B9" s="1" t="s">
        <v>127</v>
      </c>
      <c r="C9" s="1">
        <v>2019</v>
      </c>
      <c r="D9" s="1">
        <v>0</v>
      </c>
      <c r="E9" s="1">
        <v>1</v>
      </c>
      <c r="F9" s="1">
        <v>0</v>
      </c>
      <c r="G9" s="79">
        <v>9.3000000000000007</v>
      </c>
      <c r="H9" s="79">
        <v>3100</v>
      </c>
      <c r="I9" s="79"/>
      <c r="J9" s="79">
        <v>3000</v>
      </c>
      <c r="K9" s="129"/>
      <c r="L9" s="64">
        <v>7.0000000000000007E-2</v>
      </c>
      <c r="M9" s="64"/>
      <c r="N9" s="79"/>
      <c r="O9" s="134"/>
      <c r="P9" s="134"/>
      <c r="Q9" s="134"/>
      <c r="R9" s="79"/>
      <c r="S9" s="79"/>
      <c r="T9" s="79">
        <v>13</v>
      </c>
      <c r="U9" s="79"/>
      <c r="V9" s="64">
        <v>0.51</v>
      </c>
      <c r="W9" s="133">
        <v>4</v>
      </c>
      <c r="Y9" s="1">
        <v>4</v>
      </c>
      <c r="Z9" s="1">
        <v>365</v>
      </c>
      <c r="AA9" s="3"/>
      <c r="AB9" s="3"/>
      <c r="AC9" s="3">
        <f>8550/Umrechnungsfaktoren!$B$16/Umrechnungsfaktoren!$B$17</f>
        <v>8590.598290598291</v>
      </c>
      <c r="AD9" s="3">
        <f>6.2/Umrechnungsfaktoren!$B$16/Umrechnungsfaktoren!$B$17</f>
        <v>6.2294396961063629</v>
      </c>
      <c r="AE9" s="3">
        <f>0.45/Umrechnungsfaktoren!$B$16/Umrechnungsfaktoren!$B$17</f>
        <v>0.4521367521367522</v>
      </c>
      <c r="AG9" s="79">
        <v>25</v>
      </c>
      <c r="AH9" s="79">
        <v>25</v>
      </c>
      <c r="AI9" s="79">
        <v>25</v>
      </c>
      <c r="AJ9" s="79">
        <v>25</v>
      </c>
      <c r="AK9" s="79"/>
      <c r="AL9" s="79"/>
      <c r="AM9" s="79">
        <v>25</v>
      </c>
      <c r="AN9" s="79">
        <v>25</v>
      </c>
      <c r="AO9" s="79">
        <v>25</v>
      </c>
      <c r="AP9" s="79">
        <v>25</v>
      </c>
      <c r="AQ9" s="79">
        <v>25</v>
      </c>
      <c r="AR9" s="79">
        <v>25</v>
      </c>
      <c r="AS9" s="79">
        <v>25</v>
      </c>
      <c r="AT9" s="79">
        <v>25</v>
      </c>
      <c r="AU9" s="79">
        <v>25</v>
      </c>
      <c r="AV9" s="79"/>
      <c r="AW9" s="79"/>
    </row>
    <row r="10" spans="1:49" x14ac:dyDescent="0.25">
      <c r="A10" s="130" t="s">
        <v>208</v>
      </c>
      <c r="B10" s="1" t="s">
        <v>127</v>
      </c>
      <c r="C10" s="1">
        <v>2019</v>
      </c>
      <c r="D10" s="1">
        <v>0</v>
      </c>
      <c r="E10" s="1">
        <v>1</v>
      </c>
      <c r="F10" s="1">
        <v>0</v>
      </c>
      <c r="G10" s="130">
        <v>19.7</v>
      </c>
      <c r="H10" s="79">
        <v>3100</v>
      </c>
      <c r="I10" s="79"/>
      <c r="J10" s="79">
        <v>6260</v>
      </c>
      <c r="K10" s="129"/>
      <c r="L10" s="64">
        <v>0.11</v>
      </c>
      <c r="M10" s="64"/>
      <c r="N10" s="79"/>
      <c r="O10" s="134"/>
      <c r="P10" s="134"/>
      <c r="Q10" s="134"/>
      <c r="R10" s="79"/>
      <c r="S10" s="79"/>
      <c r="T10" s="79">
        <v>21</v>
      </c>
      <c r="U10" s="79"/>
      <c r="V10" s="64">
        <v>0.71</v>
      </c>
      <c r="W10" s="133">
        <v>1</v>
      </c>
      <c r="X10" s="130"/>
      <c r="Y10" s="130">
        <v>2</v>
      </c>
      <c r="Z10" s="130">
        <v>780</v>
      </c>
      <c r="AA10" s="3"/>
      <c r="AB10" s="3"/>
      <c r="AC10" s="3">
        <f>5590/Umrechnungsfaktoren!$B$16/Umrechnungsfaktoren!$B$17</f>
        <v>5616.5432098765432</v>
      </c>
      <c r="AD10" s="3">
        <f>10/Umrechnungsfaktoren!$B$16/Umrechnungsfaktoren!$B$17</f>
        <v>10.047483380816715</v>
      </c>
      <c r="AE10" s="3">
        <f>0.3/Umrechnungsfaktoren!$B$16/Umrechnungsfaktoren!$B$17</f>
        <v>0.30142450142450145</v>
      </c>
      <c r="AF10" s="130"/>
      <c r="AG10" s="79">
        <v>25</v>
      </c>
      <c r="AH10" s="79">
        <v>25</v>
      </c>
      <c r="AI10" s="79">
        <v>25</v>
      </c>
      <c r="AJ10" s="79">
        <v>25</v>
      </c>
      <c r="AK10" s="79"/>
      <c r="AL10" s="79"/>
      <c r="AM10" s="79">
        <v>25</v>
      </c>
      <c r="AN10" s="79">
        <v>25</v>
      </c>
      <c r="AO10" s="79">
        <v>25</v>
      </c>
      <c r="AP10" s="79">
        <v>25</v>
      </c>
      <c r="AQ10" s="79">
        <v>25</v>
      </c>
      <c r="AR10" s="79">
        <v>25</v>
      </c>
      <c r="AS10" s="79">
        <v>25</v>
      </c>
      <c r="AT10" s="79">
        <v>25</v>
      </c>
      <c r="AU10" s="79">
        <v>25</v>
      </c>
      <c r="AV10" s="79"/>
      <c r="AW10" s="79"/>
    </row>
    <row r="11" spans="1:49" x14ac:dyDescent="0.25">
      <c r="A11" s="130" t="s">
        <v>209</v>
      </c>
      <c r="B11" s="1" t="s">
        <v>127</v>
      </c>
      <c r="C11" s="1">
        <v>2019</v>
      </c>
      <c r="D11" s="130">
        <v>1</v>
      </c>
      <c r="E11" s="130">
        <v>0</v>
      </c>
      <c r="F11" s="1">
        <v>0</v>
      </c>
      <c r="G11" s="130">
        <v>5</v>
      </c>
      <c r="H11" s="79">
        <v>9900</v>
      </c>
      <c r="I11" s="79"/>
      <c r="J11" s="79">
        <v>500</v>
      </c>
      <c r="K11" s="129">
        <v>0.04</v>
      </c>
      <c r="L11" s="64"/>
      <c r="M11" s="64"/>
      <c r="N11" s="79">
        <v>24</v>
      </c>
      <c r="O11" s="134"/>
      <c r="P11" s="134"/>
      <c r="Q11" s="134">
        <v>24</v>
      </c>
      <c r="R11" s="79"/>
      <c r="S11" s="79"/>
      <c r="T11" s="79"/>
      <c r="U11" s="79"/>
      <c r="V11" s="64">
        <v>0.06</v>
      </c>
      <c r="W11" s="133">
        <v>1</v>
      </c>
      <c r="X11" s="130">
        <v>1</v>
      </c>
      <c r="Y11" s="130">
        <v>4</v>
      </c>
      <c r="Z11" s="130">
        <v>1000</v>
      </c>
      <c r="AA11" s="3">
        <f>20/Umrechnungsfaktoren!$B$16/Umrechnungsfaktoren!$B$17</f>
        <v>20.09496676163343</v>
      </c>
      <c r="AB11" s="3"/>
      <c r="AC11" s="3">
        <f>5590/Umrechnungsfaktoren!$B$16/Umrechnungsfaktoren!$B$17</f>
        <v>5616.5432098765432</v>
      </c>
      <c r="AD11" s="3">
        <f>5/Umrechnungsfaktoren!$B$16/Umrechnungsfaktoren!$B$17</f>
        <v>5.0237416904083574</v>
      </c>
      <c r="AE11" s="3">
        <f>0.15/Umrechnungsfaktoren!$B$16/Umrechnungsfaktoren!$B$17</f>
        <v>0.15071225071225072</v>
      </c>
      <c r="AF11" s="130"/>
      <c r="AG11" s="79">
        <v>25</v>
      </c>
      <c r="AH11" s="79">
        <v>25</v>
      </c>
      <c r="AI11" s="79">
        <v>25</v>
      </c>
      <c r="AJ11" s="79">
        <v>25</v>
      </c>
      <c r="AK11" s="79"/>
      <c r="AL11" s="79"/>
      <c r="AM11" s="79">
        <v>25</v>
      </c>
      <c r="AN11" s="79">
        <v>25</v>
      </c>
      <c r="AO11" s="79">
        <v>25</v>
      </c>
      <c r="AP11" s="79">
        <v>25</v>
      </c>
      <c r="AQ11" s="79">
        <v>25</v>
      </c>
      <c r="AR11" s="79">
        <v>25</v>
      </c>
      <c r="AS11" s="79">
        <v>25</v>
      </c>
      <c r="AT11" s="79">
        <v>25</v>
      </c>
      <c r="AU11" s="79">
        <v>25</v>
      </c>
      <c r="AV11" s="79"/>
      <c r="AW11" s="79"/>
    </row>
    <row r="12" spans="1:49" x14ac:dyDescent="0.25">
      <c r="A12" s="130" t="s">
        <v>206</v>
      </c>
      <c r="B12" s="1" t="s">
        <v>127</v>
      </c>
      <c r="C12" s="1">
        <v>2019</v>
      </c>
      <c r="D12" s="130">
        <v>1</v>
      </c>
      <c r="E12" s="130">
        <v>0</v>
      </c>
      <c r="F12" s="1">
        <v>0</v>
      </c>
      <c r="G12" s="130">
        <v>10.199999999999999</v>
      </c>
      <c r="H12" s="79">
        <v>2800</v>
      </c>
      <c r="I12" s="79"/>
      <c r="J12" s="79">
        <v>3700</v>
      </c>
      <c r="K12" s="129">
        <v>0.04</v>
      </c>
      <c r="L12" s="64"/>
      <c r="M12" s="64"/>
      <c r="N12" s="79">
        <v>7</v>
      </c>
      <c r="O12" s="134"/>
      <c r="P12" s="134"/>
      <c r="Q12" s="134">
        <v>7</v>
      </c>
      <c r="R12" s="79"/>
      <c r="S12" s="79"/>
      <c r="T12" s="79"/>
      <c r="U12" s="79"/>
      <c r="V12" s="64">
        <v>0.42</v>
      </c>
      <c r="W12" s="133">
        <v>1</v>
      </c>
      <c r="X12" s="130">
        <v>1</v>
      </c>
      <c r="Y12" s="130">
        <v>4</v>
      </c>
      <c r="Z12" s="130">
        <v>1000</v>
      </c>
      <c r="AA12" s="3">
        <f>20/Umrechnungsfaktoren!$B$16/Umrechnungsfaktoren!$B$17</f>
        <v>20.09496676163343</v>
      </c>
      <c r="AB12" s="3"/>
      <c r="AC12" s="3">
        <f>5590/Umrechnungsfaktoren!$B$16/Umrechnungsfaktoren!$B$17</f>
        <v>5616.5432098765432</v>
      </c>
      <c r="AD12" s="3">
        <f>5/Umrechnungsfaktoren!$B$16/Umrechnungsfaktoren!$B$17</f>
        <v>5.0237416904083574</v>
      </c>
      <c r="AE12" s="3">
        <f>0.15/Umrechnungsfaktoren!$B$16/Umrechnungsfaktoren!$B$17</f>
        <v>0.15071225071225072</v>
      </c>
      <c r="AF12" s="130"/>
      <c r="AG12" s="79">
        <v>25</v>
      </c>
      <c r="AH12" s="79">
        <v>25</v>
      </c>
      <c r="AI12" s="79">
        <v>25</v>
      </c>
      <c r="AJ12" s="79">
        <v>25</v>
      </c>
      <c r="AK12" s="79"/>
      <c r="AL12" s="79"/>
      <c r="AM12" s="79">
        <v>25</v>
      </c>
      <c r="AN12" s="79">
        <v>25</v>
      </c>
      <c r="AO12" s="79">
        <v>25</v>
      </c>
      <c r="AP12" s="79">
        <v>25</v>
      </c>
      <c r="AQ12" s="79">
        <v>25</v>
      </c>
      <c r="AR12" s="79">
        <v>25</v>
      </c>
      <c r="AS12" s="79">
        <v>25</v>
      </c>
      <c r="AT12" s="79">
        <v>25</v>
      </c>
      <c r="AU12" s="79">
        <v>25</v>
      </c>
      <c r="AV12" s="79"/>
      <c r="AW12" s="79"/>
    </row>
    <row r="13" spans="1:49" x14ac:dyDescent="0.25">
      <c r="A13" s="130" t="s">
        <v>210</v>
      </c>
      <c r="B13" s="1" t="s">
        <v>127</v>
      </c>
      <c r="C13" s="1">
        <v>2019</v>
      </c>
      <c r="D13" s="130">
        <v>1</v>
      </c>
      <c r="E13" s="130">
        <v>0</v>
      </c>
      <c r="F13" s="1">
        <v>0</v>
      </c>
      <c r="G13" s="130">
        <v>1.1000000000000001</v>
      </c>
      <c r="H13" s="79">
        <v>200</v>
      </c>
      <c r="I13" s="79"/>
      <c r="J13" s="79">
        <v>2900</v>
      </c>
      <c r="K13" s="129">
        <v>0.32</v>
      </c>
      <c r="L13" s="64"/>
      <c r="M13" s="64"/>
      <c r="N13" s="79">
        <v>5</v>
      </c>
      <c r="O13" s="134"/>
      <c r="P13" s="134"/>
      <c r="Q13" s="134">
        <v>5</v>
      </c>
      <c r="R13" s="79"/>
      <c r="S13" s="79"/>
      <c r="T13" s="79"/>
      <c r="U13" s="79"/>
      <c r="V13" s="64">
        <v>0.51</v>
      </c>
      <c r="W13" s="133">
        <v>7</v>
      </c>
      <c r="X13" s="130">
        <v>7</v>
      </c>
      <c r="Y13" s="130">
        <v>4</v>
      </c>
      <c r="Z13" s="130">
        <v>180</v>
      </c>
      <c r="AA13" s="3">
        <f>5/Umrechnungsfaktoren!$B$16/Umrechnungsfaktoren!$B$17</f>
        <v>5.0237416904083574</v>
      </c>
      <c r="AB13" s="3"/>
      <c r="AC13" s="3">
        <f>8550/Umrechnungsfaktoren!$B$16/Umrechnungsfaktoren!$B$17</f>
        <v>8590.598290598291</v>
      </c>
      <c r="AD13" s="3">
        <f>10/Umrechnungsfaktoren!$B$16/Umrechnungsfaktoren!$B$17</f>
        <v>10.047483380816715</v>
      </c>
      <c r="AE13" s="3">
        <f>0.3/Umrechnungsfaktoren!$B$16/Umrechnungsfaktoren!$B$17</f>
        <v>0.30142450142450145</v>
      </c>
      <c r="AF13" s="130"/>
      <c r="AG13" s="79">
        <v>25</v>
      </c>
      <c r="AH13" s="79">
        <v>25</v>
      </c>
      <c r="AI13" s="79">
        <v>25</v>
      </c>
      <c r="AJ13" s="79">
        <v>25</v>
      </c>
      <c r="AK13" s="79"/>
      <c r="AL13" s="79"/>
      <c r="AM13" s="79">
        <v>25</v>
      </c>
      <c r="AN13" s="79">
        <v>25</v>
      </c>
      <c r="AO13" s="79">
        <v>25</v>
      </c>
      <c r="AP13" s="79">
        <v>25</v>
      </c>
      <c r="AQ13" s="79">
        <v>25</v>
      </c>
      <c r="AR13" s="79">
        <v>25</v>
      </c>
      <c r="AS13" s="79">
        <v>25</v>
      </c>
      <c r="AT13" s="79">
        <v>25</v>
      </c>
      <c r="AU13" s="79">
        <v>25</v>
      </c>
      <c r="AV13" s="79"/>
      <c r="AW13" s="79"/>
    </row>
    <row r="14" spans="1:49" x14ac:dyDescent="0.25">
      <c r="A14" s="130" t="s">
        <v>1242</v>
      </c>
      <c r="B14" s="1" t="s">
        <v>127</v>
      </c>
      <c r="C14" s="1">
        <v>2019</v>
      </c>
      <c r="D14" s="130">
        <v>1</v>
      </c>
      <c r="E14" s="130">
        <v>1</v>
      </c>
      <c r="F14" s="1">
        <v>0</v>
      </c>
      <c r="G14" s="130">
        <v>14.9</v>
      </c>
      <c r="H14" s="79">
        <v>3800</v>
      </c>
      <c r="I14" s="79"/>
      <c r="J14" s="79">
        <v>3900</v>
      </c>
      <c r="K14" s="129">
        <v>0.35</v>
      </c>
      <c r="L14" s="64"/>
      <c r="M14" s="64"/>
      <c r="N14" s="79"/>
      <c r="O14" s="134"/>
      <c r="P14" s="134"/>
      <c r="Q14" s="134"/>
      <c r="R14" s="79"/>
      <c r="S14" s="79"/>
      <c r="T14" s="79"/>
      <c r="U14" s="79"/>
      <c r="V14" s="64">
        <v>0.45</v>
      </c>
      <c r="W14" s="133">
        <v>5</v>
      </c>
      <c r="X14" s="130">
        <v>5</v>
      </c>
      <c r="Y14" s="130">
        <v>3</v>
      </c>
      <c r="Z14" s="130">
        <v>365</v>
      </c>
      <c r="AA14" s="3">
        <v>0</v>
      </c>
      <c r="AB14" s="3"/>
      <c r="AC14" s="3">
        <f>8550/Umrechnungsfaktoren!$B$16/Umrechnungsfaktoren!$B$17</f>
        <v>8590.598290598291</v>
      </c>
      <c r="AD14" s="3">
        <f>6.2/Umrechnungsfaktoren!$B$16/Umrechnungsfaktoren!$B$17</f>
        <v>6.2294396961063629</v>
      </c>
      <c r="AE14" s="3">
        <f>0.45/Umrechnungsfaktoren!$B$16/Umrechnungsfaktoren!$B$17</f>
        <v>0.4521367521367522</v>
      </c>
      <c r="AF14" s="130"/>
      <c r="AG14" s="79">
        <v>25</v>
      </c>
      <c r="AH14" s="79">
        <v>25</v>
      </c>
      <c r="AI14" s="79">
        <v>25</v>
      </c>
      <c r="AJ14" s="79">
        <v>25</v>
      </c>
      <c r="AK14" s="79"/>
      <c r="AL14" s="79"/>
      <c r="AM14" s="79">
        <v>25</v>
      </c>
      <c r="AN14" s="79">
        <v>25</v>
      </c>
      <c r="AO14" s="79">
        <v>25</v>
      </c>
      <c r="AP14" s="79">
        <v>25</v>
      </c>
      <c r="AQ14" s="79">
        <v>25</v>
      </c>
      <c r="AR14" s="79">
        <v>25</v>
      </c>
      <c r="AS14" s="79">
        <v>25</v>
      </c>
      <c r="AT14" s="79">
        <v>25</v>
      </c>
      <c r="AU14" s="79">
        <v>25</v>
      </c>
      <c r="AV14" s="79"/>
      <c r="AW14" s="79"/>
    </row>
    <row r="15" spans="1:49" x14ac:dyDescent="0.25">
      <c r="A15" s="1" t="s">
        <v>221</v>
      </c>
      <c r="B15" s="1" t="s">
        <v>127</v>
      </c>
      <c r="C15" s="1">
        <v>2019</v>
      </c>
      <c r="D15" s="130">
        <v>1</v>
      </c>
      <c r="E15" s="130">
        <v>1</v>
      </c>
      <c r="F15" s="1">
        <v>0</v>
      </c>
      <c r="G15" s="1">
        <v>4.4000000000000004</v>
      </c>
      <c r="H15" s="79">
        <v>800</v>
      </c>
      <c r="I15" s="79"/>
      <c r="J15" s="79">
        <v>5700</v>
      </c>
      <c r="K15" s="129">
        <v>0.2</v>
      </c>
      <c r="L15" s="64"/>
      <c r="M15" s="64"/>
      <c r="N15" s="79"/>
      <c r="O15" s="134"/>
      <c r="P15" s="134"/>
      <c r="Q15" s="134"/>
      <c r="R15" s="79"/>
      <c r="S15" s="79"/>
      <c r="T15" s="79"/>
      <c r="U15" s="79"/>
      <c r="V15" s="64">
        <v>0.65</v>
      </c>
      <c r="W15" s="133">
        <v>2</v>
      </c>
      <c r="X15" s="1">
        <v>2</v>
      </c>
      <c r="Y15" s="1">
        <v>1</v>
      </c>
      <c r="Z15" s="1">
        <v>1095</v>
      </c>
      <c r="AA15" s="3">
        <v>0</v>
      </c>
      <c r="AB15" s="3"/>
      <c r="AC15" s="3">
        <f>8550/Umrechnungsfaktoren!$B$16/Umrechnungsfaktoren!$B$17</f>
        <v>8590.598290598291</v>
      </c>
      <c r="AD15" s="3">
        <f>6.2/Umrechnungsfaktoren!$B$16/Umrechnungsfaktoren!$B$17</f>
        <v>6.2294396961063629</v>
      </c>
      <c r="AE15" s="3">
        <f>0.45/Umrechnungsfaktoren!$B$16/Umrechnungsfaktoren!$B$17</f>
        <v>0.4521367521367522</v>
      </c>
      <c r="AG15" s="79">
        <v>25</v>
      </c>
      <c r="AH15" s="79">
        <v>25</v>
      </c>
      <c r="AI15" s="79">
        <v>25</v>
      </c>
      <c r="AJ15" s="79">
        <v>25</v>
      </c>
      <c r="AK15" s="79"/>
      <c r="AL15" s="79"/>
      <c r="AM15" s="79">
        <v>25</v>
      </c>
      <c r="AN15" s="79">
        <v>25</v>
      </c>
      <c r="AO15" s="79">
        <v>25</v>
      </c>
      <c r="AP15" s="79">
        <v>25</v>
      </c>
      <c r="AQ15" s="79">
        <v>25</v>
      </c>
      <c r="AR15" s="79">
        <v>25</v>
      </c>
      <c r="AS15" s="79">
        <v>25</v>
      </c>
      <c r="AT15" s="79">
        <v>25</v>
      </c>
      <c r="AU15" s="79">
        <v>25</v>
      </c>
      <c r="AV15" s="79"/>
      <c r="AW15" s="79"/>
    </row>
    <row r="16" spans="1:49" x14ac:dyDescent="0.25">
      <c r="A16" s="1" t="s">
        <v>374</v>
      </c>
      <c r="B16" s="1" t="s">
        <v>127</v>
      </c>
      <c r="C16" s="1">
        <v>2019</v>
      </c>
      <c r="D16" s="130">
        <v>1</v>
      </c>
      <c r="E16" s="130">
        <v>1</v>
      </c>
      <c r="F16" s="1">
        <v>0</v>
      </c>
      <c r="G16" s="1">
        <v>4.5</v>
      </c>
      <c r="H16" s="79">
        <v>1000</v>
      </c>
      <c r="I16" s="79"/>
      <c r="J16" s="79">
        <v>4400</v>
      </c>
      <c r="K16" s="129">
        <v>0.9</v>
      </c>
      <c r="L16" s="64"/>
      <c r="M16" s="64"/>
      <c r="N16" s="79"/>
      <c r="O16" s="134"/>
      <c r="P16" s="134"/>
      <c r="Q16" s="134"/>
      <c r="R16" s="79"/>
      <c r="S16" s="79"/>
      <c r="T16" s="79"/>
      <c r="U16" s="79"/>
      <c r="V16" s="64">
        <v>0.5</v>
      </c>
      <c r="W16" s="133">
        <v>2</v>
      </c>
      <c r="X16" s="1">
        <v>2</v>
      </c>
      <c r="Y16" s="1">
        <v>2</v>
      </c>
      <c r="Z16" s="1">
        <v>1095</v>
      </c>
      <c r="AA16" s="3">
        <v>0</v>
      </c>
      <c r="AB16" s="3"/>
      <c r="AC16" s="3">
        <f>8550/Umrechnungsfaktoren!$B$16/Umrechnungsfaktoren!$B$17</f>
        <v>8590.598290598291</v>
      </c>
      <c r="AD16" s="3">
        <f>6.2/Umrechnungsfaktoren!$B$16/Umrechnungsfaktoren!$B$17</f>
        <v>6.2294396961063629</v>
      </c>
      <c r="AE16" s="3">
        <f>0.45/Umrechnungsfaktoren!$B$16/Umrechnungsfaktoren!$B$17</f>
        <v>0.4521367521367522</v>
      </c>
      <c r="AG16" s="79">
        <v>25</v>
      </c>
      <c r="AH16" s="79">
        <v>25</v>
      </c>
      <c r="AI16" s="79">
        <v>25</v>
      </c>
      <c r="AJ16" s="79">
        <v>25</v>
      </c>
      <c r="AK16" s="79"/>
      <c r="AL16" s="79"/>
      <c r="AM16" s="79">
        <v>25</v>
      </c>
      <c r="AN16" s="79">
        <v>25</v>
      </c>
      <c r="AO16" s="79">
        <v>25</v>
      </c>
      <c r="AP16" s="79">
        <v>25</v>
      </c>
      <c r="AQ16" s="79">
        <v>25</v>
      </c>
      <c r="AR16" s="79">
        <v>25</v>
      </c>
      <c r="AS16" s="79">
        <v>25</v>
      </c>
      <c r="AT16" s="79">
        <v>25</v>
      </c>
      <c r="AU16" s="79">
        <v>25</v>
      </c>
      <c r="AV16" s="79"/>
      <c r="AW16" s="79"/>
    </row>
    <row r="17" spans="1:49" x14ac:dyDescent="0.25">
      <c r="A17" s="1" t="s">
        <v>97</v>
      </c>
      <c r="B17" s="1" t="s">
        <v>127</v>
      </c>
      <c r="C17" s="1">
        <v>2019</v>
      </c>
      <c r="D17" s="1">
        <v>1</v>
      </c>
      <c r="E17" s="1">
        <v>0</v>
      </c>
      <c r="F17" s="1">
        <v>0</v>
      </c>
      <c r="G17" s="1">
        <v>14.2</v>
      </c>
      <c r="H17" s="79">
        <v>2800</v>
      </c>
      <c r="I17" s="79"/>
      <c r="J17" s="79">
        <v>5000</v>
      </c>
      <c r="K17" s="129">
        <v>0.41</v>
      </c>
      <c r="L17" s="64"/>
      <c r="M17" s="64"/>
      <c r="N17" s="79"/>
      <c r="O17" s="134"/>
      <c r="P17" s="134"/>
      <c r="Q17" s="134"/>
      <c r="R17" s="79"/>
      <c r="S17" s="79"/>
      <c r="T17" s="79"/>
      <c r="U17" s="79"/>
      <c r="V17" s="64">
        <v>0.56999999999999995</v>
      </c>
      <c r="W17" s="133">
        <v>2</v>
      </c>
      <c r="X17" s="1">
        <v>2</v>
      </c>
      <c r="Y17" s="1">
        <v>22</v>
      </c>
      <c r="Z17" s="1">
        <v>365</v>
      </c>
      <c r="AA17" s="3">
        <v>0</v>
      </c>
      <c r="AB17" s="3"/>
      <c r="AC17" s="3">
        <f>8550/Umrechnungsfaktoren!$B$16/Umrechnungsfaktoren!$B$17</f>
        <v>8590.598290598291</v>
      </c>
      <c r="AD17" s="3">
        <f>6.2/Umrechnungsfaktoren!$B$16/Umrechnungsfaktoren!$B$17</f>
        <v>6.2294396961063629</v>
      </c>
      <c r="AE17" s="3">
        <f>0.45/Umrechnungsfaktoren!$B$16/Umrechnungsfaktoren!$B$17</f>
        <v>0.4521367521367522</v>
      </c>
      <c r="AG17" s="79">
        <v>25</v>
      </c>
      <c r="AH17" s="79">
        <v>25</v>
      </c>
      <c r="AI17" s="79">
        <v>25</v>
      </c>
      <c r="AJ17" s="79">
        <v>25</v>
      </c>
      <c r="AK17" s="79"/>
      <c r="AL17" s="79"/>
      <c r="AM17" s="79">
        <v>25</v>
      </c>
      <c r="AN17" s="79">
        <v>25</v>
      </c>
      <c r="AO17" s="79">
        <v>25</v>
      </c>
      <c r="AP17" s="79">
        <v>25</v>
      </c>
      <c r="AQ17" s="79">
        <v>25</v>
      </c>
      <c r="AR17" s="79">
        <v>25</v>
      </c>
      <c r="AS17" s="79">
        <v>25</v>
      </c>
      <c r="AT17" s="79">
        <v>25</v>
      </c>
      <c r="AU17" s="79">
        <v>25</v>
      </c>
      <c r="AV17" s="79"/>
      <c r="AW17" s="79"/>
    </row>
    <row r="18" spans="1:49" x14ac:dyDescent="0.25">
      <c r="A18" s="132" t="s">
        <v>74</v>
      </c>
      <c r="B18" s="130" t="s">
        <v>126</v>
      </c>
      <c r="C18" s="135">
        <v>2030</v>
      </c>
      <c r="D18" s="6">
        <v>1</v>
      </c>
      <c r="E18" s="6">
        <v>1</v>
      </c>
      <c r="F18" s="6">
        <v>0</v>
      </c>
      <c r="G18" s="135"/>
      <c r="H18" s="79"/>
      <c r="I18" s="79"/>
      <c r="J18" s="79"/>
      <c r="K18" s="138"/>
      <c r="L18" s="82"/>
      <c r="M18" s="82"/>
      <c r="N18" s="134">
        <v>90</v>
      </c>
      <c r="O18" s="134"/>
      <c r="P18" s="134"/>
      <c r="Q18" s="134">
        <v>90</v>
      </c>
      <c r="R18" s="79"/>
      <c r="S18" s="79"/>
      <c r="T18" s="134"/>
      <c r="U18" s="134"/>
      <c r="V18" s="136"/>
      <c r="W18" s="133"/>
      <c r="X18" s="130"/>
      <c r="Y18" s="130"/>
      <c r="Z18" s="130"/>
      <c r="AA18" s="3"/>
      <c r="AB18" s="3"/>
      <c r="AC18" s="3"/>
      <c r="AD18" s="3"/>
      <c r="AE18" s="3"/>
      <c r="AF18" s="130"/>
      <c r="AG18" s="79"/>
      <c r="AH18" s="79"/>
      <c r="AI18" s="130"/>
      <c r="AK18" s="1" t="s">
        <v>1243</v>
      </c>
      <c r="AL18" s="1" t="s">
        <v>1243</v>
      </c>
      <c r="AM18" s="131"/>
      <c r="AN18" s="131"/>
      <c r="AO18" s="130"/>
      <c r="AP18" s="130"/>
      <c r="AQ18" s="130"/>
      <c r="AR18" s="130"/>
      <c r="AS18" s="130"/>
      <c r="AV18" s="130"/>
      <c r="AW18" s="130"/>
    </row>
    <row r="19" spans="1:49" x14ac:dyDescent="0.25">
      <c r="A19" s="130" t="s">
        <v>78</v>
      </c>
      <c r="B19" s="130" t="s">
        <v>126</v>
      </c>
      <c r="C19" s="135">
        <v>2030</v>
      </c>
      <c r="D19" s="1">
        <v>1</v>
      </c>
      <c r="E19" s="1">
        <v>1</v>
      </c>
      <c r="F19" s="1">
        <v>0</v>
      </c>
      <c r="G19" s="135"/>
      <c r="H19" s="79"/>
      <c r="I19" s="79"/>
      <c r="J19" s="79"/>
      <c r="K19" s="138"/>
      <c r="L19" s="82"/>
      <c r="M19" s="82"/>
      <c r="N19" s="134">
        <v>95</v>
      </c>
      <c r="O19" s="134"/>
      <c r="P19" s="134"/>
      <c r="Q19" s="134">
        <v>95</v>
      </c>
      <c r="R19" s="79"/>
      <c r="S19" s="79"/>
      <c r="T19" s="134"/>
      <c r="U19" s="134"/>
      <c r="V19" s="136"/>
      <c r="W19" s="133"/>
      <c r="X19" s="130"/>
      <c r="Y19" s="130"/>
      <c r="Z19" s="130"/>
      <c r="AA19" s="3"/>
      <c r="AB19" s="3"/>
      <c r="AC19" s="3"/>
      <c r="AD19" s="3"/>
      <c r="AE19" s="3"/>
      <c r="AF19" s="130"/>
      <c r="AG19" s="79"/>
      <c r="AH19" s="79"/>
      <c r="AI19" s="130"/>
      <c r="AK19" s="1" t="s">
        <v>1243</v>
      </c>
      <c r="AL19" s="1" t="s">
        <v>1243</v>
      </c>
      <c r="AM19" s="131"/>
      <c r="AN19" s="131"/>
      <c r="AO19" s="130"/>
      <c r="AP19" s="130"/>
      <c r="AQ19" s="130"/>
      <c r="AR19" s="130"/>
      <c r="AS19" s="130"/>
      <c r="AV19" s="130"/>
      <c r="AW19" s="130"/>
    </row>
    <row r="20" spans="1:49" x14ac:dyDescent="0.25">
      <c r="A20" s="130" t="s">
        <v>27</v>
      </c>
      <c r="B20" s="130" t="s">
        <v>126</v>
      </c>
      <c r="C20" s="135">
        <v>2030</v>
      </c>
      <c r="D20" s="1">
        <v>1</v>
      </c>
      <c r="E20" s="1">
        <v>1</v>
      </c>
      <c r="F20" s="1">
        <v>0</v>
      </c>
      <c r="G20" s="135"/>
      <c r="H20" s="79"/>
      <c r="I20" s="79"/>
      <c r="J20" s="79"/>
      <c r="K20" s="138"/>
      <c r="L20" s="82"/>
      <c r="M20" s="82"/>
      <c r="N20" s="134">
        <v>18</v>
      </c>
      <c r="O20" s="134"/>
      <c r="P20" s="134"/>
      <c r="Q20" s="134">
        <v>18</v>
      </c>
      <c r="R20" s="79"/>
      <c r="S20" s="79"/>
      <c r="T20" s="134"/>
      <c r="U20" s="134"/>
      <c r="V20" s="136"/>
      <c r="W20" s="133"/>
      <c r="X20" s="130"/>
      <c r="Y20" s="130"/>
      <c r="Z20" s="130"/>
      <c r="AA20" s="3"/>
      <c r="AB20" s="3"/>
      <c r="AC20" s="3"/>
      <c r="AD20" s="3"/>
      <c r="AE20" s="3"/>
      <c r="AF20" s="130"/>
      <c r="AG20" s="79"/>
      <c r="AH20" s="79"/>
      <c r="AI20" s="130"/>
      <c r="AK20" s="1" t="s">
        <v>1243</v>
      </c>
      <c r="AL20" s="1" t="s">
        <v>1243</v>
      </c>
      <c r="AM20" s="131"/>
      <c r="AN20" s="131"/>
      <c r="AO20" s="130"/>
      <c r="AP20" s="130"/>
      <c r="AQ20" s="130"/>
      <c r="AR20" s="130"/>
      <c r="AS20" s="130"/>
      <c r="AV20" s="130"/>
      <c r="AW20" s="130"/>
    </row>
    <row r="21" spans="1:49" x14ac:dyDescent="0.25">
      <c r="A21" s="130" t="s">
        <v>189</v>
      </c>
      <c r="B21" s="130" t="s">
        <v>126</v>
      </c>
      <c r="C21" s="135">
        <v>2030</v>
      </c>
      <c r="D21" s="1">
        <v>0</v>
      </c>
      <c r="E21" s="1">
        <v>1</v>
      </c>
      <c r="F21" s="1">
        <v>0</v>
      </c>
      <c r="G21" s="135"/>
      <c r="H21" s="79"/>
      <c r="I21" s="79"/>
      <c r="J21" s="79"/>
      <c r="K21" s="138"/>
      <c r="L21" s="82"/>
      <c r="M21" s="82"/>
      <c r="N21" s="134">
        <v>1</v>
      </c>
      <c r="O21" s="134"/>
      <c r="P21" s="134"/>
      <c r="Q21" s="134">
        <v>1</v>
      </c>
      <c r="R21" s="79"/>
      <c r="S21" s="79"/>
      <c r="T21" s="134"/>
      <c r="U21" s="134"/>
      <c r="V21" s="136"/>
      <c r="W21" s="133"/>
      <c r="X21" s="130"/>
      <c r="Y21" s="130"/>
      <c r="Z21" s="130"/>
      <c r="AA21" s="3"/>
      <c r="AB21" s="3"/>
      <c r="AC21" s="3"/>
      <c r="AD21" s="3"/>
      <c r="AE21" s="3"/>
      <c r="AF21" s="130"/>
      <c r="AG21" s="79"/>
      <c r="AH21" s="79"/>
      <c r="AI21" s="130"/>
      <c r="AK21" s="1" t="s">
        <v>1243</v>
      </c>
      <c r="AL21" s="1" t="s">
        <v>1243</v>
      </c>
      <c r="AM21" s="131"/>
      <c r="AN21" s="131"/>
      <c r="AO21" s="130"/>
      <c r="AP21" s="130"/>
      <c r="AQ21" s="130"/>
      <c r="AR21" s="130"/>
      <c r="AS21" s="130"/>
      <c r="AV21" s="130"/>
      <c r="AW21" s="130"/>
    </row>
    <row r="22" spans="1:49" x14ac:dyDescent="0.25">
      <c r="A22" s="130" t="s">
        <v>938</v>
      </c>
      <c r="B22" s="130" t="s">
        <v>126</v>
      </c>
      <c r="C22" s="135">
        <v>2030</v>
      </c>
      <c r="D22" s="1">
        <v>1</v>
      </c>
      <c r="E22" s="1">
        <v>1</v>
      </c>
      <c r="F22" s="1">
        <v>0</v>
      </c>
      <c r="G22" s="135"/>
      <c r="H22" s="79"/>
      <c r="I22" s="79"/>
      <c r="J22" s="79"/>
      <c r="K22" s="138"/>
      <c r="L22" s="82"/>
      <c r="M22" s="82"/>
      <c r="N22" s="134">
        <v>65</v>
      </c>
      <c r="O22" s="134"/>
      <c r="P22" s="134"/>
      <c r="Q22" s="134">
        <v>65</v>
      </c>
      <c r="R22" s="79"/>
      <c r="S22" s="79"/>
      <c r="T22" s="134"/>
      <c r="U22" s="134"/>
      <c r="V22" s="136"/>
      <c r="W22" s="133"/>
      <c r="X22" s="130"/>
      <c r="Y22" s="130"/>
      <c r="Z22" s="130"/>
      <c r="AA22" s="3"/>
      <c r="AB22" s="3"/>
      <c r="AC22" s="3"/>
      <c r="AD22" s="3"/>
      <c r="AE22" s="3"/>
      <c r="AF22" s="130"/>
      <c r="AG22" s="79"/>
      <c r="AH22" s="79"/>
      <c r="AI22" s="130"/>
      <c r="AK22" s="1" t="s">
        <v>1243</v>
      </c>
      <c r="AL22" s="1" t="s">
        <v>1243</v>
      </c>
      <c r="AM22" s="131"/>
      <c r="AN22" s="131"/>
      <c r="AO22" s="130"/>
      <c r="AP22" s="130"/>
      <c r="AQ22" s="130"/>
      <c r="AR22" s="130"/>
      <c r="AS22" s="130"/>
      <c r="AV22" s="130"/>
      <c r="AW22" s="130"/>
    </row>
    <row r="23" spans="1:49" x14ac:dyDescent="0.25">
      <c r="A23" s="130" t="s">
        <v>81</v>
      </c>
      <c r="B23" s="130" t="s">
        <v>126</v>
      </c>
      <c r="C23" s="135">
        <v>2030</v>
      </c>
      <c r="D23" s="1">
        <v>0</v>
      </c>
      <c r="E23" s="1">
        <v>1</v>
      </c>
      <c r="F23" s="1">
        <v>0</v>
      </c>
      <c r="G23" s="135"/>
      <c r="H23" s="79"/>
      <c r="I23" s="79"/>
      <c r="J23" s="79"/>
      <c r="K23" s="138"/>
      <c r="L23" s="82"/>
      <c r="M23" s="82"/>
      <c r="N23" s="134">
        <v>9</v>
      </c>
      <c r="O23" s="134">
        <v>10</v>
      </c>
      <c r="P23" s="134"/>
      <c r="Q23" s="134">
        <v>9</v>
      </c>
      <c r="R23" s="79">
        <v>10</v>
      </c>
      <c r="S23" s="79"/>
      <c r="T23" s="134"/>
      <c r="U23" s="134"/>
      <c r="V23" s="136"/>
      <c r="W23" s="133"/>
      <c r="X23" s="130"/>
      <c r="Y23" s="130"/>
      <c r="Z23" s="130"/>
      <c r="AA23" s="3"/>
      <c r="AB23" s="3"/>
      <c r="AC23" s="3"/>
      <c r="AD23" s="3"/>
      <c r="AE23" s="3"/>
      <c r="AF23" s="130"/>
      <c r="AG23" s="79"/>
      <c r="AH23" s="79"/>
      <c r="AI23" s="130"/>
      <c r="AK23" s="1" t="s">
        <v>1243</v>
      </c>
      <c r="AL23" s="1" t="s">
        <v>1243</v>
      </c>
      <c r="AM23" s="131"/>
      <c r="AN23" s="131"/>
      <c r="AO23" s="130"/>
      <c r="AP23" s="130"/>
      <c r="AQ23" s="130"/>
      <c r="AR23" s="130"/>
      <c r="AS23" s="130"/>
      <c r="AV23" s="130"/>
      <c r="AW23" s="130"/>
    </row>
    <row r="24" spans="1:49" x14ac:dyDescent="0.25">
      <c r="A24" s="130" t="s">
        <v>51</v>
      </c>
      <c r="B24" s="130" t="s">
        <v>126</v>
      </c>
      <c r="C24" s="135">
        <v>2030</v>
      </c>
      <c r="D24" s="1">
        <v>1</v>
      </c>
      <c r="E24" s="1">
        <v>1</v>
      </c>
      <c r="F24" s="1">
        <v>0</v>
      </c>
      <c r="G24" s="135"/>
      <c r="H24" s="79"/>
      <c r="I24" s="79"/>
      <c r="J24" s="79"/>
      <c r="K24" s="138"/>
      <c r="L24" s="82"/>
      <c r="M24" s="82"/>
      <c r="N24" s="134"/>
      <c r="O24" s="134"/>
      <c r="P24" s="134"/>
      <c r="Q24" s="134"/>
      <c r="R24" s="79"/>
      <c r="S24" s="79"/>
      <c r="T24" s="134">
        <v>1069</v>
      </c>
      <c r="U24" s="134"/>
      <c r="V24" s="136"/>
      <c r="W24" s="133"/>
      <c r="X24" s="130"/>
      <c r="Y24" s="130"/>
      <c r="Z24" s="130"/>
      <c r="AA24" s="3"/>
      <c r="AB24" s="3"/>
      <c r="AC24" s="3"/>
      <c r="AD24" s="3"/>
      <c r="AE24" s="3"/>
      <c r="AF24" s="130"/>
      <c r="AG24" s="79"/>
      <c r="AH24" s="79"/>
      <c r="AI24" s="130"/>
      <c r="AK24" s="1" t="s">
        <v>1243</v>
      </c>
      <c r="AM24" s="131"/>
      <c r="AN24" s="131"/>
      <c r="AO24" s="130"/>
      <c r="AP24" s="130"/>
      <c r="AQ24" s="130"/>
      <c r="AR24" s="130"/>
      <c r="AS24" s="130"/>
      <c r="AV24" s="130"/>
      <c r="AW24" s="130"/>
    </row>
    <row r="25" spans="1:49" x14ac:dyDescent="0.25">
      <c r="A25" s="130" t="s">
        <v>535</v>
      </c>
      <c r="B25" s="130" t="s">
        <v>127</v>
      </c>
      <c r="C25" s="135">
        <v>2030</v>
      </c>
      <c r="D25" s="1">
        <v>0</v>
      </c>
      <c r="E25" s="1">
        <v>1</v>
      </c>
      <c r="F25" s="1">
        <v>0</v>
      </c>
      <c r="G25" s="135"/>
      <c r="H25" s="79"/>
      <c r="I25" s="79"/>
      <c r="J25" s="79"/>
      <c r="K25" s="138"/>
      <c r="L25" s="82"/>
      <c r="M25" s="82"/>
      <c r="N25" s="134"/>
      <c r="O25" s="134"/>
      <c r="P25" s="134"/>
      <c r="Q25" s="134"/>
      <c r="R25" s="79"/>
      <c r="S25" s="79"/>
      <c r="T25" s="134">
        <v>58</v>
      </c>
      <c r="U25" s="134">
        <v>93</v>
      </c>
      <c r="V25" s="136"/>
      <c r="W25" s="133"/>
      <c r="X25" s="130"/>
      <c r="Y25" s="130"/>
      <c r="Z25" s="130"/>
      <c r="AA25" s="3"/>
      <c r="AB25" s="3"/>
      <c r="AC25" s="3"/>
      <c r="AD25" s="3"/>
      <c r="AE25" s="3"/>
      <c r="AF25" s="130"/>
      <c r="AG25" s="79"/>
      <c r="AH25" s="79"/>
      <c r="AI25" s="130"/>
      <c r="AK25" s="1" t="s">
        <v>1243</v>
      </c>
      <c r="AM25" s="131"/>
      <c r="AN25" s="131"/>
      <c r="AO25" s="130"/>
      <c r="AP25" s="130"/>
      <c r="AQ25" s="130"/>
      <c r="AR25" s="130"/>
      <c r="AS25" s="130"/>
      <c r="AV25" s="130"/>
      <c r="AW25" s="130"/>
    </row>
    <row r="26" spans="1:49" x14ac:dyDescent="0.25">
      <c r="A26" s="130" t="s">
        <v>208</v>
      </c>
      <c r="B26" s="130" t="s">
        <v>127</v>
      </c>
      <c r="C26" s="135">
        <v>2030</v>
      </c>
      <c r="D26" s="1">
        <v>0</v>
      </c>
      <c r="E26" s="1">
        <v>1</v>
      </c>
      <c r="F26" s="1">
        <v>0</v>
      </c>
      <c r="G26" s="135"/>
      <c r="H26" s="79"/>
      <c r="I26" s="79"/>
      <c r="J26" s="79"/>
      <c r="K26" s="138"/>
      <c r="L26" s="82"/>
      <c r="M26" s="82"/>
      <c r="N26" s="134"/>
      <c r="O26" s="134"/>
      <c r="P26" s="134"/>
      <c r="Q26" s="134"/>
      <c r="R26" s="79"/>
      <c r="S26" s="79"/>
      <c r="T26" s="134">
        <v>92</v>
      </c>
      <c r="U26" s="134">
        <v>149</v>
      </c>
      <c r="V26" s="136"/>
      <c r="W26" s="133"/>
      <c r="X26" s="130"/>
      <c r="Y26" s="130"/>
      <c r="Z26" s="130"/>
      <c r="AA26" s="3"/>
      <c r="AB26" s="3"/>
      <c r="AC26" s="3"/>
      <c r="AD26" s="3"/>
      <c r="AE26" s="3"/>
      <c r="AF26" s="130"/>
      <c r="AG26" s="79"/>
      <c r="AH26" s="79"/>
      <c r="AI26" s="130"/>
      <c r="AK26" s="1" t="s">
        <v>1243</v>
      </c>
      <c r="AM26" s="131"/>
      <c r="AN26" s="131"/>
      <c r="AO26" s="130"/>
      <c r="AP26" s="130"/>
      <c r="AQ26" s="130"/>
      <c r="AR26" s="130"/>
      <c r="AS26" s="130"/>
      <c r="AV26" s="130"/>
      <c r="AW26" s="130"/>
    </row>
    <row r="27" spans="1:49" x14ac:dyDescent="0.25">
      <c r="A27" s="130" t="s">
        <v>209</v>
      </c>
      <c r="B27" s="130" t="s">
        <v>127</v>
      </c>
      <c r="C27" s="135">
        <v>2030</v>
      </c>
      <c r="D27" s="130">
        <v>1</v>
      </c>
      <c r="E27" s="130">
        <v>0</v>
      </c>
      <c r="F27" s="1">
        <v>0</v>
      </c>
      <c r="G27" s="135"/>
      <c r="H27" s="79"/>
      <c r="I27" s="79"/>
      <c r="J27" s="79"/>
      <c r="K27" s="138"/>
      <c r="L27" s="82"/>
      <c r="M27" s="82"/>
      <c r="N27" s="134">
        <v>106</v>
      </c>
      <c r="O27" s="134">
        <v>171</v>
      </c>
      <c r="P27" s="134"/>
      <c r="Q27" s="134">
        <v>106</v>
      </c>
      <c r="R27" s="79">
        <v>171</v>
      </c>
      <c r="S27" s="79"/>
      <c r="T27" s="134"/>
      <c r="U27" s="134"/>
      <c r="V27" s="136"/>
      <c r="W27" s="133"/>
      <c r="X27" s="130"/>
      <c r="Y27" s="130"/>
      <c r="Z27" s="130"/>
      <c r="AA27" s="3"/>
      <c r="AB27" s="3"/>
      <c r="AC27" s="3"/>
      <c r="AD27" s="3"/>
      <c r="AE27" s="3"/>
      <c r="AF27" s="130"/>
      <c r="AG27" s="79"/>
      <c r="AH27" s="79"/>
      <c r="AI27" s="130"/>
      <c r="AK27" s="1" t="s">
        <v>1243</v>
      </c>
      <c r="AL27" s="1" t="s">
        <v>1243</v>
      </c>
      <c r="AM27" s="131"/>
      <c r="AN27" s="131"/>
      <c r="AO27" s="130"/>
      <c r="AP27" s="130"/>
      <c r="AQ27" s="130"/>
      <c r="AR27" s="130"/>
      <c r="AS27" s="130"/>
      <c r="AV27" s="130"/>
      <c r="AW27" s="130"/>
    </row>
    <row r="28" spans="1:49" x14ac:dyDescent="0.25">
      <c r="A28" s="130" t="s">
        <v>206</v>
      </c>
      <c r="B28" s="130" t="s">
        <v>127</v>
      </c>
      <c r="C28" s="135">
        <v>2030</v>
      </c>
      <c r="D28" s="130">
        <v>1</v>
      </c>
      <c r="E28" s="130">
        <v>0</v>
      </c>
      <c r="F28" s="1">
        <v>0</v>
      </c>
      <c r="G28" s="135"/>
      <c r="H28" s="79"/>
      <c r="I28" s="79"/>
      <c r="J28" s="79"/>
      <c r="K28" s="138"/>
      <c r="L28" s="82"/>
      <c r="M28" s="82"/>
      <c r="N28" s="134">
        <v>29</v>
      </c>
      <c r="O28" s="134">
        <v>48</v>
      </c>
      <c r="P28" s="134"/>
      <c r="Q28" s="134">
        <v>29</v>
      </c>
      <c r="R28" s="79">
        <v>48</v>
      </c>
      <c r="S28" s="79"/>
      <c r="T28" s="134"/>
      <c r="U28" s="134"/>
      <c r="V28" s="136"/>
      <c r="W28" s="133"/>
      <c r="X28" s="130"/>
      <c r="Y28" s="130"/>
      <c r="Z28" s="130"/>
      <c r="AA28" s="3"/>
      <c r="AB28" s="3"/>
      <c r="AC28" s="3"/>
      <c r="AD28" s="3"/>
      <c r="AE28" s="3"/>
      <c r="AF28" s="130"/>
      <c r="AG28" s="79"/>
      <c r="AH28" s="79"/>
      <c r="AI28" s="130"/>
      <c r="AK28" s="1" t="s">
        <v>1243</v>
      </c>
      <c r="AL28" s="1" t="s">
        <v>1243</v>
      </c>
      <c r="AM28" s="131"/>
      <c r="AN28" s="131"/>
      <c r="AO28" s="130"/>
      <c r="AP28" s="130"/>
      <c r="AQ28" s="130"/>
      <c r="AR28" s="130"/>
      <c r="AS28" s="130"/>
      <c r="AV28" s="130"/>
      <c r="AW28" s="130"/>
    </row>
    <row r="29" spans="1:49" x14ac:dyDescent="0.25">
      <c r="A29" s="130" t="s">
        <v>210</v>
      </c>
      <c r="B29" s="130" t="s">
        <v>127</v>
      </c>
      <c r="C29" s="135">
        <v>2030</v>
      </c>
      <c r="D29" s="130">
        <v>1</v>
      </c>
      <c r="E29" s="130">
        <v>0</v>
      </c>
      <c r="F29" s="1">
        <v>0</v>
      </c>
      <c r="G29" s="135"/>
      <c r="H29" s="79"/>
      <c r="I29" s="79"/>
      <c r="J29" s="79"/>
      <c r="K29" s="138"/>
      <c r="L29" s="82"/>
      <c r="M29" s="134"/>
      <c r="N29" s="134">
        <v>146</v>
      </c>
      <c r="O29" s="134">
        <v>236</v>
      </c>
      <c r="P29" s="134"/>
      <c r="Q29" s="134">
        <v>146</v>
      </c>
      <c r="R29" s="79">
        <v>236</v>
      </c>
      <c r="S29" s="79"/>
      <c r="T29" s="134"/>
      <c r="U29" s="134"/>
      <c r="V29" s="136"/>
      <c r="W29" s="133"/>
      <c r="X29" s="130"/>
      <c r="Y29" s="130"/>
      <c r="Z29" s="130"/>
      <c r="AA29" s="3"/>
      <c r="AB29" s="3"/>
      <c r="AC29" s="3"/>
      <c r="AD29" s="3"/>
      <c r="AE29" s="3"/>
      <c r="AF29" s="130"/>
      <c r="AG29" s="79"/>
      <c r="AH29" s="79"/>
      <c r="AI29" s="130"/>
      <c r="AK29" s="1" t="s">
        <v>1243</v>
      </c>
      <c r="AL29" s="1" t="s">
        <v>1243</v>
      </c>
      <c r="AM29" s="131"/>
      <c r="AN29" s="131"/>
      <c r="AO29" s="130"/>
      <c r="AP29" s="130"/>
      <c r="AQ29" s="130"/>
      <c r="AR29" s="130"/>
      <c r="AS29" s="130"/>
      <c r="AV29" s="130"/>
      <c r="AW29" s="130"/>
    </row>
    <row r="30" spans="1:49" x14ac:dyDescent="0.25">
      <c r="A30" s="130" t="s">
        <v>1242</v>
      </c>
      <c r="B30" s="130" t="s">
        <v>127</v>
      </c>
      <c r="C30" s="135">
        <v>2030</v>
      </c>
      <c r="D30" s="130">
        <v>1</v>
      </c>
      <c r="E30" s="130">
        <v>1</v>
      </c>
      <c r="F30" s="1">
        <v>0</v>
      </c>
      <c r="G30" s="135"/>
      <c r="H30" s="79"/>
      <c r="I30" s="79"/>
      <c r="J30" s="79"/>
      <c r="K30" s="138"/>
      <c r="L30" s="82"/>
      <c r="M30" s="134">
        <v>444</v>
      </c>
      <c r="N30" s="134">
        <v>542</v>
      </c>
      <c r="O30" s="134"/>
      <c r="P30" s="134">
        <v>444</v>
      </c>
      <c r="Q30" s="134">
        <v>542</v>
      </c>
      <c r="R30" s="79"/>
      <c r="S30" s="134"/>
      <c r="T30" s="134"/>
      <c r="U30" s="134"/>
      <c r="V30" s="136"/>
      <c r="W30" s="133"/>
      <c r="X30" s="130"/>
      <c r="Y30" s="130"/>
      <c r="Z30" s="130"/>
      <c r="AA30" s="3"/>
      <c r="AB30" s="3"/>
      <c r="AC30" s="3"/>
      <c r="AD30" s="3"/>
      <c r="AE30" s="3"/>
      <c r="AF30" s="130"/>
      <c r="AG30" s="79"/>
      <c r="AH30" s="79"/>
      <c r="AI30" s="130"/>
      <c r="AK30" s="1" t="s">
        <v>1243</v>
      </c>
      <c r="AL30" s="1" t="s">
        <v>1243</v>
      </c>
      <c r="AM30" s="131"/>
      <c r="AN30" s="131"/>
      <c r="AO30" s="130"/>
      <c r="AP30" s="130"/>
      <c r="AQ30" s="130"/>
      <c r="AR30" s="130"/>
      <c r="AS30" s="130"/>
      <c r="AV30" s="130"/>
      <c r="AW30" s="130"/>
    </row>
    <row r="31" spans="1:49" x14ac:dyDescent="0.25">
      <c r="A31" s="130" t="s">
        <v>221</v>
      </c>
      <c r="B31" s="130" t="s">
        <v>127</v>
      </c>
      <c r="C31" s="135">
        <v>2030</v>
      </c>
      <c r="D31" s="130">
        <v>1</v>
      </c>
      <c r="E31" s="130">
        <v>1</v>
      </c>
      <c r="F31" s="1">
        <v>0</v>
      </c>
      <c r="G31" s="135"/>
      <c r="H31" s="79"/>
      <c r="I31" s="79"/>
      <c r="J31" s="79"/>
      <c r="K31" s="138"/>
      <c r="L31" s="82"/>
      <c r="M31" s="134"/>
      <c r="N31" s="134">
        <v>24</v>
      </c>
      <c r="O31" s="134"/>
      <c r="P31" s="134"/>
      <c r="Q31" s="134">
        <v>24</v>
      </c>
      <c r="R31" s="79"/>
      <c r="S31" s="79"/>
      <c r="T31" s="134"/>
      <c r="U31" s="134"/>
      <c r="V31" s="136"/>
      <c r="W31" s="133"/>
      <c r="X31" s="130"/>
      <c r="Y31" s="130"/>
      <c r="Z31" s="130"/>
      <c r="AA31" s="3"/>
      <c r="AB31" s="3"/>
      <c r="AC31" s="3"/>
      <c r="AD31" s="3"/>
      <c r="AE31" s="3"/>
      <c r="AF31" s="130"/>
      <c r="AG31" s="79"/>
      <c r="AH31" s="79"/>
      <c r="AI31" s="130"/>
      <c r="AK31" s="1" t="s">
        <v>1243</v>
      </c>
      <c r="AL31" s="1" t="s">
        <v>1243</v>
      </c>
      <c r="AM31" s="131"/>
      <c r="AN31" s="131"/>
      <c r="AO31" s="130"/>
      <c r="AP31" s="130"/>
      <c r="AQ31" s="130"/>
      <c r="AR31" s="130"/>
      <c r="AS31" s="130"/>
      <c r="AV31" s="130"/>
      <c r="AW31" s="130"/>
    </row>
    <row r="32" spans="1:49" x14ac:dyDescent="0.25">
      <c r="A32" s="130" t="s">
        <v>374</v>
      </c>
      <c r="B32" s="130" t="s">
        <v>127</v>
      </c>
      <c r="C32" s="135">
        <v>2030</v>
      </c>
      <c r="D32" s="130">
        <v>1</v>
      </c>
      <c r="E32" s="130">
        <v>1</v>
      </c>
      <c r="F32" s="1">
        <v>0</v>
      </c>
      <c r="G32" s="135"/>
      <c r="H32" s="79"/>
      <c r="I32" s="79"/>
      <c r="J32" s="79"/>
      <c r="K32" s="138"/>
      <c r="L32" s="82"/>
      <c r="M32" s="134"/>
      <c r="N32" s="134">
        <v>142</v>
      </c>
      <c r="O32" s="134"/>
      <c r="P32" s="134"/>
      <c r="Q32" s="134">
        <v>142</v>
      </c>
      <c r="R32" s="79"/>
      <c r="S32" s="134"/>
      <c r="T32" s="134"/>
      <c r="U32" s="134"/>
      <c r="V32" s="136"/>
      <c r="W32" s="133"/>
      <c r="X32" s="130"/>
      <c r="Y32" s="130"/>
      <c r="Z32" s="130"/>
      <c r="AA32" s="3"/>
      <c r="AB32" s="3"/>
      <c r="AC32" s="3"/>
      <c r="AD32" s="3"/>
      <c r="AE32" s="3"/>
      <c r="AF32" s="130"/>
      <c r="AG32" s="79"/>
      <c r="AH32" s="79"/>
      <c r="AI32" s="130"/>
      <c r="AK32" s="1" t="s">
        <v>1243</v>
      </c>
      <c r="AL32" s="1" t="s">
        <v>1243</v>
      </c>
      <c r="AM32" s="131"/>
      <c r="AN32" s="131"/>
      <c r="AO32" s="130"/>
      <c r="AP32" s="130"/>
      <c r="AQ32" s="130"/>
      <c r="AR32" s="130"/>
      <c r="AS32" s="130"/>
      <c r="AV32" s="130"/>
      <c r="AW32" s="130"/>
    </row>
    <row r="33" spans="1:49" x14ac:dyDescent="0.25">
      <c r="A33" s="130" t="s">
        <v>97</v>
      </c>
      <c r="B33" s="130" t="s">
        <v>127</v>
      </c>
      <c r="C33" s="135">
        <v>2030</v>
      </c>
      <c r="D33" s="1">
        <v>1</v>
      </c>
      <c r="E33" s="1">
        <v>0</v>
      </c>
      <c r="F33" s="1">
        <v>0</v>
      </c>
      <c r="G33" s="135"/>
      <c r="H33" s="79"/>
      <c r="I33" s="79"/>
      <c r="J33" s="79"/>
      <c r="K33" s="138"/>
      <c r="L33" s="82"/>
      <c r="M33" s="134"/>
      <c r="N33" s="134">
        <v>182</v>
      </c>
      <c r="O33" s="134"/>
      <c r="P33" s="134"/>
      <c r="Q33" s="134">
        <v>182</v>
      </c>
      <c r="R33" s="79"/>
      <c r="S33" s="79"/>
      <c r="T33" s="134"/>
      <c r="U33" s="134"/>
      <c r="V33" s="136"/>
      <c r="W33" s="133"/>
      <c r="X33" s="130"/>
      <c r="Y33" s="130"/>
      <c r="Z33" s="130"/>
      <c r="AA33" s="3"/>
      <c r="AB33" s="3"/>
      <c r="AC33" s="3"/>
      <c r="AD33" s="3"/>
      <c r="AE33" s="3"/>
      <c r="AF33" s="130"/>
      <c r="AG33" s="79"/>
      <c r="AH33" s="79"/>
      <c r="AI33" s="130"/>
      <c r="AK33" s="1" t="s">
        <v>1243</v>
      </c>
      <c r="AL33" s="1" t="s">
        <v>1243</v>
      </c>
      <c r="AM33" s="131"/>
      <c r="AN33" s="131"/>
      <c r="AO33" s="130"/>
      <c r="AP33" s="130"/>
      <c r="AQ33" s="130"/>
      <c r="AR33" s="130"/>
      <c r="AS33" s="130"/>
      <c r="AV33" s="130"/>
      <c r="AW33" s="130"/>
    </row>
    <row r="34" spans="1:49" x14ac:dyDescent="0.25">
      <c r="A34" s="132" t="s">
        <v>74</v>
      </c>
      <c r="B34" s="130" t="s">
        <v>126</v>
      </c>
      <c r="C34" s="135">
        <v>2045</v>
      </c>
      <c r="D34" s="6">
        <v>1</v>
      </c>
      <c r="E34" s="6">
        <v>1</v>
      </c>
      <c r="F34" s="6">
        <v>0</v>
      </c>
      <c r="G34" s="135"/>
      <c r="H34" s="79"/>
      <c r="I34" s="79"/>
      <c r="J34" s="79"/>
      <c r="K34" s="138"/>
      <c r="L34" s="82"/>
      <c r="M34" s="134">
        <v>298</v>
      </c>
      <c r="N34" s="134">
        <v>453</v>
      </c>
      <c r="O34" s="134"/>
      <c r="P34" s="134">
        <v>298</v>
      </c>
      <c r="Q34" s="134">
        <v>453</v>
      </c>
      <c r="R34" s="79"/>
      <c r="S34" s="134"/>
      <c r="T34" s="134"/>
      <c r="U34" s="134"/>
      <c r="V34" s="136"/>
      <c r="W34" s="133"/>
      <c r="X34" s="130"/>
      <c r="Y34" s="130"/>
      <c r="Z34" s="130"/>
      <c r="AA34" s="3"/>
      <c r="AB34" s="3"/>
      <c r="AC34" s="3"/>
      <c r="AD34" s="3"/>
      <c r="AE34" s="3"/>
      <c r="AF34" s="130"/>
      <c r="AG34" s="79"/>
      <c r="AH34" s="79"/>
      <c r="AI34" s="130"/>
      <c r="AK34" s="1" t="s">
        <v>1243</v>
      </c>
      <c r="AL34" s="1" t="s">
        <v>1243</v>
      </c>
      <c r="AM34" s="131"/>
      <c r="AN34" s="131"/>
      <c r="AO34" s="130"/>
      <c r="AP34" s="130"/>
      <c r="AQ34" s="130"/>
      <c r="AR34" s="130"/>
      <c r="AS34" s="130"/>
      <c r="AV34" s="130"/>
      <c r="AW34" s="130"/>
    </row>
    <row r="35" spans="1:49" x14ac:dyDescent="0.25">
      <c r="A35" s="130" t="s">
        <v>78</v>
      </c>
      <c r="B35" s="130" t="s">
        <v>126</v>
      </c>
      <c r="C35" s="135">
        <v>2045</v>
      </c>
      <c r="D35" s="1">
        <v>1</v>
      </c>
      <c r="E35" s="1">
        <v>1</v>
      </c>
      <c r="F35" s="1">
        <v>0</v>
      </c>
      <c r="G35" s="135"/>
      <c r="H35" s="79"/>
      <c r="I35" s="79"/>
      <c r="J35" s="79"/>
      <c r="K35" s="138"/>
      <c r="L35" s="82"/>
      <c r="M35" s="134">
        <v>208</v>
      </c>
      <c r="N35" s="134">
        <v>316</v>
      </c>
      <c r="O35" s="134"/>
      <c r="P35" s="134">
        <v>208</v>
      </c>
      <c r="Q35" s="134">
        <v>316</v>
      </c>
      <c r="R35" s="79"/>
      <c r="S35" s="79"/>
      <c r="T35" s="134"/>
      <c r="U35" s="134"/>
      <c r="V35" s="136"/>
      <c r="W35" s="133"/>
      <c r="X35" s="130"/>
      <c r="Y35" s="130"/>
      <c r="Z35" s="130"/>
      <c r="AA35" s="3"/>
      <c r="AB35" s="3"/>
      <c r="AC35" s="3"/>
      <c r="AD35" s="3"/>
      <c r="AE35" s="3"/>
      <c r="AF35" s="130"/>
      <c r="AG35" s="79"/>
      <c r="AH35" s="79"/>
      <c r="AI35" s="130"/>
      <c r="AK35" s="1" t="s">
        <v>1243</v>
      </c>
      <c r="AL35" s="1" t="s">
        <v>1243</v>
      </c>
      <c r="AM35" s="131"/>
      <c r="AN35" s="131"/>
      <c r="AO35" s="130"/>
      <c r="AP35" s="130"/>
      <c r="AQ35" s="130"/>
      <c r="AR35" s="130"/>
      <c r="AS35" s="130"/>
      <c r="AV35" s="130"/>
      <c r="AW35" s="130"/>
    </row>
    <row r="36" spans="1:49" x14ac:dyDescent="0.25">
      <c r="A36" s="130" t="s">
        <v>27</v>
      </c>
      <c r="B36" s="130" t="s">
        <v>126</v>
      </c>
      <c r="C36" s="135">
        <v>2045</v>
      </c>
      <c r="D36" s="1">
        <v>1</v>
      </c>
      <c r="E36" s="1">
        <v>1</v>
      </c>
      <c r="F36" s="1">
        <v>0</v>
      </c>
      <c r="G36" s="135"/>
      <c r="H36" s="79"/>
      <c r="I36" s="79"/>
      <c r="J36" s="79"/>
      <c r="K36" s="138"/>
      <c r="L36" s="82"/>
      <c r="M36" s="134">
        <v>35</v>
      </c>
      <c r="N36" s="134">
        <v>53</v>
      </c>
      <c r="O36" s="134"/>
      <c r="P36" s="134">
        <v>35</v>
      </c>
      <c r="Q36" s="134">
        <v>53</v>
      </c>
      <c r="R36" s="79"/>
      <c r="S36" s="79"/>
      <c r="T36" s="134"/>
      <c r="U36" s="134"/>
      <c r="V36" s="136"/>
      <c r="W36" s="133"/>
      <c r="X36" s="130"/>
      <c r="Y36" s="130"/>
      <c r="Z36" s="130"/>
      <c r="AA36" s="3"/>
      <c r="AB36" s="3"/>
      <c r="AC36" s="3"/>
      <c r="AD36" s="3"/>
      <c r="AE36" s="3"/>
      <c r="AF36" s="130"/>
      <c r="AG36" s="79"/>
      <c r="AH36" s="79"/>
      <c r="AI36" s="130"/>
      <c r="AK36" s="1" t="s">
        <v>1243</v>
      </c>
      <c r="AL36" s="1" t="s">
        <v>1243</v>
      </c>
      <c r="AM36" s="131"/>
      <c r="AN36" s="131"/>
      <c r="AO36" s="130"/>
      <c r="AP36" s="130"/>
      <c r="AQ36" s="130"/>
      <c r="AR36" s="130"/>
      <c r="AS36" s="130"/>
      <c r="AV36" s="130"/>
      <c r="AW36" s="130"/>
    </row>
    <row r="37" spans="1:49" x14ac:dyDescent="0.25">
      <c r="A37" s="130" t="s">
        <v>189</v>
      </c>
      <c r="B37" s="130" t="s">
        <v>126</v>
      </c>
      <c r="C37" s="135">
        <v>2045</v>
      </c>
      <c r="D37" s="1">
        <v>0</v>
      </c>
      <c r="E37" s="1">
        <v>1</v>
      </c>
      <c r="F37" s="1">
        <v>0</v>
      </c>
      <c r="G37" s="135"/>
      <c r="H37" s="79"/>
      <c r="I37" s="79"/>
      <c r="J37" s="79"/>
      <c r="K37" s="138"/>
      <c r="L37" s="82"/>
      <c r="M37" s="134">
        <v>4</v>
      </c>
      <c r="N37" s="134">
        <v>6</v>
      </c>
      <c r="O37" s="134"/>
      <c r="P37" s="134">
        <v>4</v>
      </c>
      <c r="Q37" s="134">
        <v>6</v>
      </c>
      <c r="R37" s="79"/>
      <c r="S37" s="79"/>
      <c r="T37" s="134"/>
      <c r="U37" s="134"/>
      <c r="V37" s="136"/>
      <c r="W37" s="133"/>
      <c r="X37" s="130"/>
      <c r="Y37" s="130"/>
      <c r="Z37" s="130"/>
      <c r="AA37" s="3"/>
      <c r="AB37" s="3"/>
      <c r="AC37" s="3"/>
      <c r="AD37" s="3"/>
      <c r="AE37" s="3"/>
      <c r="AF37" s="130"/>
      <c r="AG37" s="79"/>
      <c r="AH37" s="79"/>
      <c r="AI37" s="130"/>
      <c r="AK37" s="1" t="s">
        <v>1243</v>
      </c>
      <c r="AL37" s="1" t="s">
        <v>1243</v>
      </c>
      <c r="AM37" s="131"/>
      <c r="AN37" s="131"/>
      <c r="AO37" s="130"/>
      <c r="AP37" s="130"/>
      <c r="AQ37" s="130"/>
      <c r="AR37" s="130"/>
      <c r="AS37" s="130"/>
      <c r="AV37" s="130"/>
      <c r="AW37" s="130"/>
    </row>
    <row r="38" spans="1:49" x14ac:dyDescent="0.25">
      <c r="A38" s="130" t="s">
        <v>938</v>
      </c>
      <c r="B38" s="130" t="s">
        <v>126</v>
      </c>
      <c r="C38" s="135">
        <v>2045</v>
      </c>
      <c r="D38" s="1">
        <v>1</v>
      </c>
      <c r="E38" s="1">
        <v>1</v>
      </c>
      <c r="F38" s="1">
        <v>0</v>
      </c>
      <c r="G38" s="135"/>
      <c r="H38" s="79"/>
      <c r="I38" s="79"/>
      <c r="J38" s="79"/>
      <c r="K38" s="138"/>
      <c r="L38" s="82"/>
      <c r="M38" s="134">
        <v>148</v>
      </c>
      <c r="N38" s="134">
        <v>224</v>
      </c>
      <c r="O38" s="134"/>
      <c r="P38" s="134">
        <v>148</v>
      </c>
      <c r="Q38" s="134">
        <v>224</v>
      </c>
      <c r="R38" s="79"/>
      <c r="S38" s="134"/>
      <c r="T38" s="134"/>
      <c r="U38" s="134"/>
      <c r="V38" s="136"/>
      <c r="W38" s="133"/>
      <c r="X38" s="130"/>
      <c r="Y38" s="130"/>
      <c r="Z38" s="130"/>
      <c r="AA38" s="3"/>
      <c r="AB38" s="3"/>
      <c r="AC38" s="3"/>
      <c r="AD38" s="3"/>
      <c r="AE38" s="3"/>
      <c r="AF38" s="130"/>
      <c r="AG38" s="79"/>
      <c r="AH38" s="79"/>
      <c r="AI38" s="130"/>
      <c r="AK38" s="1" t="s">
        <v>1243</v>
      </c>
      <c r="AL38" s="1" t="s">
        <v>1243</v>
      </c>
      <c r="AM38" s="131"/>
      <c r="AN38" s="131"/>
      <c r="AO38" s="130"/>
      <c r="AP38" s="130"/>
      <c r="AQ38" s="130"/>
      <c r="AR38" s="130"/>
      <c r="AS38" s="130"/>
      <c r="AV38" s="130"/>
      <c r="AW38" s="130"/>
    </row>
    <row r="39" spans="1:49" x14ac:dyDescent="0.25">
      <c r="A39" s="130" t="s">
        <v>81</v>
      </c>
      <c r="B39" s="130" t="s">
        <v>126</v>
      </c>
      <c r="C39" s="135">
        <v>2045</v>
      </c>
      <c r="D39" s="1">
        <v>0</v>
      </c>
      <c r="E39" s="1">
        <v>1</v>
      </c>
      <c r="F39" s="1">
        <v>0</v>
      </c>
      <c r="G39" s="135"/>
      <c r="H39" s="79"/>
      <c r="I39" s="79"/>
      <c r="J39" s="79"/>
      <c r="K39" s="138"/>
      <c r="L39" s="82"/>
      <c r="M39" s="134">
        <v>21</v>
      </c>
      <c r="N39" s="134">
        <v>47</v>
      </c>
      <c r="O39" s="134">
        <v>56</v>
      </c>
      <c r="P39" s="134">
        <v>21</v>
      </c>
      <c r="Q39" s="134">
        <v>47</v>
      </c>
      <c r="R39" s="79">
        <v>56</v>
      </c>
      <c r="S39" s="79"/>
      <c r="T39" s="134"/>
      <c r="U39" s="134"/>
      <c r="V39" s="136"/>
      <c r="W39" s="133"/>
      <c r="X39" s="130"/>
      <c r="Y39" s="130"/>
      <c r="Z39" s="130"/>
      <c r="AA39" s="3"/>
      <c r="AB39" s="3"/>
      <c r="AC39" s="3"/>
      <c r="AD39" s="3"/>
      <c r="AE39" s="3"/>
      <c r="AF39" s="130"/>
      <c r="AG39" s="79"/>
      <c r="AH39" s="79"/>
      <c r="AI39" s="130"/>
      <c r="AK39" s="1" t="s">
        <v>1243</v>
      </c>
      <c r="AL39" s="1" t="s">
        <v>1243</v>
      </c>
      <c r="AM39" s="131"/>
      <c r="AN39" s="131"/>
      <c r="AO39" s="130"/>
      <c r="AP39" s="130"/>
      <c r="AQ39" s="130"/>
      <c r="AR39" s="130"/>
      <c r="AS39" s="130"/>
      <c r="AV39" s="130"/>
      <c r="AW39" s="130"/>
    </row>
    <row r="40" spans="1:49" x14ac:dyDescent="0.25">
      <c r="A40" s="130" t="s">
        <v>51</v>
      </c>
      <c r="B40" s="130" t="s">
        <v>126</v>
      </c>
      <c r="C40" s="135">
        <v>2045</v>
      </c>
      <c r="D40" s="1">
        <v>1</v>
      </c>
      <c r="E40" s="1">
        <v>1</v>
      </c>
      <c r="F40" s="1">
        <v>0</v>
      </c>
      <c r="G40" s="135"/>
      <c r="H40" s="79"/>
      <c r="I40" s="79"/>
      <c r="J40" s="79"/>
      <c r="K40" s="138"/>
      <c r="L40" s="82"/>
      <c r="M40" s="134"/>
      <c r="N40" s="134"/>
      <c r="O40" s="134"/>
      <c r="P40" s="134"/>
      <c r="Q40" s="134"/>
      <c r="R40" s="79"/>
      <c r="S40" s="79">
        <v>1128</v>
      </c>
      <c r="T40" s="134">
        <v>1711</v>
      </c>
      <c r="U40" s="134"/>
      <c r="V40" s="136"/>
      <c r="W40" s="133"/>
      <c r="X40" s="130"/>
      <c r="Y40" s="130"/>
      <c r="Z40" s="130"/>
      <c r="AA40" s="3"/>
      <c r="AB40" s="3"/>
      <c r="AC40" s="3"/>
      <c r="AD40" s="3"/>
      <c r="AE40" s="3"/>
      <c r="AF40" s="130"/>
      <c r="AG40" s="79"/>
      <c r="AH40" s="79"/>
      <c r="AI40" s="130"/>
      <c r="AK40" s="1" t="s">
        <v>1243</v>
      </c>
      <c r="AM40" s="131"/>
      <c r="AN40" s="131"/>
      <c r="AO40" s="130"/>
      <c r="AP40" s="130"/>
      <c r="AQ40" s="130"/>
      <c r="AR40" s="130"/>
      <c r="AS40" s="130"/>
      <c r="AV40" s="130"/>
      <c r="AW40" s="130"/>
    </row>
    <row r="41" spans="1:49" x14ac:dyDescent="0.25">
      <c r="A41" s="130" t="s">
        <v>535</v>
      </c>
      <c r="B41" s="130" t="s">
        <v>127</v>
      </c>
      <c r="C41" s="135">
        <v>2045</v>
      </c>
      <c r="D41" s="1">
        <v>0</v>
      </c>
      <c r="E41" s="1">
        <v>1</v>
      </c>
      <c r="F41" s="1">
        <v>0</v>
      </c>
      <c r="G41" s="135"/>
      <c r="H41" s="79"/>
      <c r="I41" s="79"/>
      <c r="J41" s="79"/>
      <c r="K41" s="138"/>
      <c r="L41" s="82"/>
      <c r="M41" s="134"/>
      <c r="N41" s="134"/>
      <c r="O41" s="134"/>
      <c r="P41" s="134"/>
      <c r="Q41" s="134"/>
      <c r="R41" s="79"/>
      <c r="S41" s="134"/>
      <c r="T41" s="134">
        <v>219</v>
      </c>
      <c r="U41" s="134"/>
      <c r="V41" s="136"/>
      <c r="W41" s="133"/>
      <c r="X41" s="130"/>
      <c r="Y41" s="130"/>
      <c r="Z41" s="130"/>
      <c r="AA41" s="3"/>
      <c r="AB41" s="3"/>
      <c r="AC41" s="3"/>
      <c r="AD41" s="3"/>
      <c r="AE41" s="3"/>
      <c r="AF41" s="130"/>
      <c r="AG41" s="79"/>
      <c r="AH41" s="79"/>
      <c r="AI41" s="130"/>
      <c r="AK41" s="1" t="s">
        <v>1243</v>
      </c>
      <c r="AM41" s="131"/>
      <c r="AN41" s="131"/>
      <c r="AO41" s="130"/>
      <c r="AP41" s="130"/>
      <c r="AQ41" s="130"/>
      <c r="AR41" s="130"/>
      <c r="AS41" s="130"/>
      <c r="AV41" s="130"/>
      <c r="AW41" s="130"/>
    </row>
    <row r="42" spans="1:49" x14ac:dyDescent="0.25">
      <c r="A42" s="130" t="s">
        <v>208</v>
      </c>
      <c r="B42" s="130" t="s">
        <v>127</v>
      </c>
      <c r="C42" s="135">
        <v>2045</v>
      </c>
      <c r="D42" s="1">
        <v>0</v>
      </c>
      <c r="E42" s="1">
        <v>1</v>
      </c>
      <c r="F42" s="1">
        <v>0</v>
      </c>
      <c r="G42" s="135"/>
      <c r="H42" s="79"/>
      <c r="I42" s="79"/>
      <c r="J42" s="79"/>
      <c r="K42" s="138"/>
      <c r="L42" s="82"/>
      <c r="M42" s="134"/>
      <c r="N42" s="134"/>
      <c r="O42" s="134"/>
      <c r="P42" s="134"/>
      <c r="Q42" s="134"/>
      <c r="R42" s="79"/>
      <c r="S42" s="134"/>
      <c r="T42" s="134">
        <v>348</v>
      </c>
      <c r="U42" s="134"/>
      <c r="V42" s="136"/>
      <c r="W42" s="133"/>
      <c r="X42" s="130"/>
      <c r="Y42" s="130"/>
      <c r="Z42" s="130"/>
      <c r="AA42" s="3"/>
      <c r="AB42" s="3"/>
      <c r="AC42" s="3"/>
      <c r="AD42" s="3"/>
      <c r="AE42" s="3"/>
      <c r="AF42" s="130"/>
      <c r="AG42" s="79"/>
      <c r="AH42" s="79"/>
      <c r="AI42" s="130"/>
      <c r="AK42" s="1" t="s">
        <v>1243</v>
      </c>
      <c r="AM42" s="131"/>
      <c r="AN42" s="131"/>
      <c r="AO42" s="130"/>
      <c r="AP42" s="130"/>
      <c r="AQ42" s="130"/>
      <c r="AR42" s="130"/>
      <c r="AS42" s="130"/>
      <c r="AV42" s="130"/>
      <c r="AW42" s="130"/>
    </row>
    <row r="43" spans="1:49" x14ac:dyDescent="0.25">
      <c r="A43" s="130" t="s">
        <v>209</v>
      </c>
      <c r="B43" s="130" t="s">
        <v>127</v>
      </c>
      <c r="C43" s="135">
        <v>2045</v>
      </c>
      <c r="D43" s="130">
        <v>1</v>
      </c>
      <c r="E43" s="130">
        <v>0</v>
      </c>
      <c r="F43" s="1">
        <v>0</v>
      </c>
      <c r="G43" s="135"/>
      <c r="H43" s="79"/>
      <c r="I43" s="79"/>
      <c r="J43" s="79"/>
      <c r="K43" s="138"/>
      <c r="L43" s="82"/>
      <c r="M43" s="134"/>
      <c r="N43" s="134">
        <v>401</v>
      </c>
      <c r="O43" s="134"/>
      <c r="P43" s="134"/>
      <c r="Q43" s="134">
        <v>401</v>
      </c>
      <c r="R43" s="79"/>
      <c r="S43" s="134"/>
      <c r="T43" s="134"/>
      <c r="U43" s="134"/>
      <c r="V43" s="136"/>
      <c r="W43" s="133"/>
      <c r="X43" s="130"/>
      <c r="Y43" s="130"/>
      <c r="Z43" s="130"/>
      <c r="AA43" s="3"/>
      <c r="AB43" s="3"/>
      <c r="AC43" s="3"/>
      <c r="AD43" s="3"/>
      <c r="AE43" s="3"/>
      <c r="AF43" s="130"/>
      <c r="AG43" s="79"/>
      <c r="AH43" s="79"/>
      <c r="AI43" s="130"/>
      <c r="AK43" s="1" t="s">
        <v>1243</v>
      </c>
      <c r="AL43" s="1" t="s">
        <v>1243</v>
      </c>
      <c r="AM43" s="131"/>
      <c r="AN43" s="131"/>
      <c r="AO43" s="130"/>
      <c r="AP43" s="130"/>
      <c r="AQ43" s="130"/>
      <c r="AR43" s="130"/>
      <c r="AS43" s="130"/>
      <c r="AV43" s="130"/>
      <c r="AW43" s="130"/>
    </row>
    <row r="44" spans="1:49" x14ac:dyDescent="0.25">
      <c r="A44" s="130" t="s">
        <v>206</v>
      </c>
      <c r="B44" s="130" t="s">
        <v>127</v>
      </c>
      <c r="C44" s="135">
        <v>2045</v>
      </c>
      <c r="D44" s="130">
        <v>1</v>
      </c>
      <c r="E44" s="130">
        <v>0</v>
      </c>
      <c r="F44" s="1">
        <v>0</v>
      </c>
      <c r="G44" s="135"/>
      <c r="H44" s="79"/>
      <c r="I44" s="79"/>
      <c r="J44" s="79"/>
      <c r="K44" s="138"/>
      <c r="L44" s="82"/>
      <c r="M44" s="134"/>
      <c r="N44" s="134">
        <v>111</v>
      </c>
      <c r="O44" s="134"/>
      <c r="P44" s="134"/>
      <c r="Q44" s="134">
        <v>111</v>
      </c>
      <c r="R44" s="79"/>
      <c r="S44" s="79"/>
      <c r="T44" s="134"/>
      <c r="U44" s="134"/>
      <c r="V44" s="136"/>
      <c r="W44" s="133"/>
      <c r="X44" s="130"/>
      <c r="Y44" s="130"/>
      <c r="Z44" s="130"/>
      <c r="AA44" s="3"/>
      <c r="AB44" s="3"/>
      <c r="AC44" s="3"/>
      <c r="AD44" s="3"/>
      <c r="AE44" s="3"/>
      <c r="AF44" s="130"/>
      <c r="AG44" s="79"/>
      <c r="AH44" s="79"/>
      <c r="AI44" s="130"/>
      <c r="AK44" s="1" t="s">
        <v>1243</v>
      </c>
      <c r="AL44" s="1" t="s">
        <v>1243</v>
      </c>
      <c r="AM44" s="131"/>
      <c r="AN44" s="131"/>
      <c r="AO44" s="130"/>
      <c r="AP44" s="130"/>
      <c r="AQ44" s="130"/>
      <c r="AR44" s="130"/>
      <c r="AS44" s="130"/>
      <c r="AV44" s="130"/>
      <c r="AW44" s="130"/>
    </row>
    <row r="45" spans="1:49" x14ac:dyDescent="0.25">
      <c r="A45" s="130" t="s">
        <v>210</v>
      </c>
      <c r="B45" s="130" t="s">
        <v>127</v>
      </c>
      <c r="C45" s="135">
        <v>2045</v>
      </c>
      <c r="D45" s="130">
        <v>1</v>
      </c>
      <c r="E45" s="130">
        <v>0</v>
      </c>
      <c r="F45" s="1">
        <v>0</v>
      </c>
      <c r="G45" s="135"/>
      <c r="H45" s="79"/>
      <c r="I45" s="79"/>
      <c r="J45" s="79"/>
      <c r="K45" s="138"/>
      <c r="L45" s="82"/>
      <c r="M45" s="134"/>
      <c r="N45" s="134">
        <v>2614</v>
      </c>
      <c r="O45" s="134"/>
      <c r="P45" s="134"/>
      <c r="Q45" s="134">
        <v>2614</v>
      </c>
      <c r="R45" s="79"/>
      <c r="S45" s="134"/>
      <c r="T45" s="134"/>
      <c r="U45" s="134"/>
      <c r="V45" s="136"/>
      <c r="W45" s="133"/>
      <c r="X45" s="130"/>
      <c r="Y45" s="130"/>
      <c r="Z45" s="130"/>
      <c r="AA45" s="3"/>
      <c r="AB45" s="3"/>
      <c r="AC45" s="3"/>
      <c r="AD45" s="3"/>
      <c r="AE45" s="3"/>
      <c r="AF45" s="130"/>
      <c r="AG45" s="79"/>
      <c r="AH45" s="79"/>
      <c r="AI45" s="130"/>
      <c r="AK45" s="1" t="s">
        <v>1243</v>
      </c>
      <c r="AL45" s="1" t="s">
        <v>1243</v>
      </c>
      <c r="AM45" s="131"/>
      <c r="AN45" s="131"/>
      <c r="AO45" s="130"/>
      <c r="AP45" s="130"/>
      <c r="AQ45" s="130"/>
      <c r="AR45" s="130"/>
      <c r="AS45" s="130"/>
      <c r="AV45" s="130"/>
      <c r="AW45" s="130"/>
    </row>
    <row r="46" spans="1:49" x14ac:dyDescent="0.25">
      <c r="A46" s="130" t="s">
        <v>1242</v>
      </c>
      <c r="B46" s="130" t="s">
        <v>127</v>
      </c>
      <c r="C46" s="135">
        <v>2045</v>
      </c>
      <c r="D46" s="130">
        <v>1</v>
      </c>
      <c r="E46" s="130">
        <v>1</v>
      </c>
      <c r="F46" s="1">
        <v>0</v>
      </c>
      <c r="G46" s="135"/>
      <c r="H46" s="79"/>
      <c r="I46" s="79"/>
      <c r="J46" s="79"/>
      <c r="K46" s="138"/>
      <c r="L46" s="82"/>
      <c r="M46" s="134">
        <v>2391</v>
      </c>
      <c r="N46" s="134">
        <v>3995</v>
      </c>
      <c r="O46" s="134"/>
      <c r="P46" s="134">
        <v>2391</v>
      </c>
      <c r="Q46" s="134">
        <v>3995</v>
      </c>
      <c r="R46" s="79"/>
      <c r="S46" s="134"/>
      <c r="T46" s="134"/>
      <c r="U46" s="134"/>
      <c r="V46" s="136"/>
      <c r="W46" s="133"/>
      <c r="X46" s="130"/>
      <c r="Y46" s="130"/>
      <c r="Z46" s="130"/>
      <c r="AA46" s="3"/>
      <c r="AB46" s="3"/>
      <c r="AC46" s="3"/>
      <c r="AD46" s="3"/>
      <c r="AE46" s="3"/>
      <c r="AF46" s="130"/>
      <c r="AG46" s="79"/>
      <c r="AH46" s="79"/>
      <c r="AI46" s="130"/>
      <c r="AK46" s="1" t="s">
        <v>1243</v>
      </c>
      <c r="AL46" s="1" t="s">
        <v>1243</v>
      </c>
      <c r="AM46" s="131"/>
      <c r="AN46" s="131"/>
      <c r="AO46" s="130"/>
      <c r="AP46" s="130"/>
      <c r="AQ46" s="130"/>
      <c r="AR46" s="130"/>
      <c r="AS46" s="130"/>
      <c r="AV46" s="130"/>
      <c r="AW46" s="130"/>
    </row>
    <row r="47" spans="1:49" x14ac:dyDescent="0.25">
      <c r="A47" s="130" t="s">
        <v>221</v>
      </c>
      <c r="B47" s="130" t="s">
        <v>127</v>
      </c>
      <c r="C47" s="135">
        <v>2045</v>
      </c>
      <c r="D47" s="130">
        <v>1</v>
      </c>
      <c r="E47" s="130">
        <v>1</v>
      </c>
      <c r="F47" s="1">
        <v>0</v>
      </c>
      <c r="G47" s="135"/>
      <c r="H47" s="79"/>
      <c r="I47" s="79"/>
      <c r="J47" s="79"/>
      <c r="K47" s="138"/>
      <c r="L47" s="82"/>
      <c r="M47" s="134"/>
      <c r="N47" s="134">
        <v>82</v>
      </c>
      <c r="O47" s="134">
        <v>119</v>
      </c>
      <c r="P47" s="134"/>
      <c r="Q47" s="134">
        <v>82</v>
      </c>
      <c r="R47" s="79">
        <v>119</v>
      </c>
      <c r="S47" s="79"/>
      <c r="T47" s="134"/>
      <c r="U47" s="134"/>
      <c r="V47" s="136"/>
      <c r="W47" s="133"/>
      <c r="X47" s="130"/>
      <c r="Y47" s="130"/>
      <c r="Z47" s="130"/>
      <c r="AA47" s="3"/>
      <c r="AB47" s="3"/>
      <c r="AC47" s="3"/>
      <c r="AD47" s="3"/>
      <c r="AE47" s="3"/>
      <c r="AF47" s="130"/>
      <c r="AG47" s="79"/>
      <c r="AH47" s="79"/>
      <c r="AI47" s="130"/>
      <c r="AK47" s="1" t="s">
        <v>1243</v>
      </c>
      <c r="AL47" s="1" t="s">
        <v>1243</v>
      </c>
      <c r="AM47" s="131"/>
      <c r="AN47" s="131"/>
      <c r="AO47" s="130"/>
      <c r="AP47" s="130"/>
      <c r="AQ47" s="130"/>
      <c r="AR47" s="130"/>
      <c r="AS47" s="130"/>
      <c r="AV47" s="130"/>
      <c r="AW47" s="130"/>
    </row>
    <row r="48" spans="1:49" x14ac:dyDescent="0.25">
      <c r="A48" s="130" t="s">
        <v>374</v>
      </c>
      <c r="B48" s="130" t="s">
        <v>127</v>
      </c>
      <c r="C48" s="135">
        <v>2045</v>
      </c>
      <c r="D48" s="130">
        <v>1</v>
      </c>
      <c r="E48" s="130">
        <v>1</v>
      </c>
      <c r="F48" s="1">
        <v>0</v>
      </c>
      <c r="G48" s="135"/>
      <c r="H48" s="79"/>
      <c r="I48" s="79"/>
      <c r="J48" s="79"/>
      <c r="K48" s="138"/>
      <c r="L48" s="82"/>
      <c r="M48" s="134"/>
      <c r="N48" s="134">
        <v>478</v>
      </c>
      <c r="O48" s="134">
        <v>696</v>
      </c>
      <c r="P48" s="134"/>
      <c r="Q48" s="134">
        <v>478</v>
      </c>
      <c r="R48" s="79">
        <v>6969</v>
      </c>
      <c r="S48" s="79"/>
      <c r="T48" s="134"/>
      <c r="U48" s="134"/>
      <c r="V48" s="136"/>
      <c r="W48" s="133"/>
      <c r="X48" s="130"/>
      <c r="Y48" s="130"/>
      <c r="Z48" s="130"/>
      <c r="AA48" s="3"/>
      <c r="AB48" s="3"/>
      <c r="AC48" s="3"/>
      <c r="AD48" s="3"/>
      <c r="AE48" s="3"/>
      <c r="AF48" s="130"/>
      <c r="AG48" s="79"/>
      <c r="AH48" s="79"/>
      <c r="AI48" s="130"/>
      <c r="AK48" s="1" t="s">
        <v>1243</v>
      </c>
      <c r="AL48" s="1" t="s">
        <v>1243</v>
      </c>
      <c r="AM48" s="131"/>
      <c r="AN48" s="131"/>
      <c r="AO48" s="130"/>
      <c r="AP48" s="130"/>
      <c r="AQ48" s="130"/>
      <c r="AR48" s="130"/>
      <c r="AS48" s="130"/>
      <c r="AV48" s="130"/>
      <c r="AW48" s="130"/>
    </row>
    <row r="49" spans="1:49" x14ac:dyDescent="0.25">
      <c r="A49" s="130" t="s">
        <v>97</v>
      </c>
      <c r="B49" s="130" t="s">
        <v>127</v>
      </c>
      <c r="C49" s="135">
        <v>2045</v>
      </c>
      <c r="D49" s="1">
        <v>1</v>
      </c>
      <c r="E49" s="1">
        <v>0</v>
      </c>
      <c r="F49" s="1">
        <v>0</v>
      </c>
      <c r="G49" s="135"/>
      <c r="H49" s="79"/>
      <c r="I49" s="79"/>
      <c r="J49" s="79"/>
      <c r="K49" s="138"/>
      <c r="L49" s="82"/>
      <c r="M49" s="134"/>
      <c r="N49" s="134">
        <v>614</v>
      </c>
      <c r="O49" s="134">
        <v>893</v>
      </c>
      <c r="P49" s="134"/>
      <c r="Q49" s="134">
        <v>614</v>
      </c>
      <c r="R49" s="79">
        <v>893</v>
      </c>
      <c r="S49" s="79"/>
      <c r="T49" s="134"/>
      <c r="U49" s="134"/>
      <c r="V49" s="137"/>
      <c r="W49" s="133"/>
      <c r="X49" s="130"/>
      <c r="Y49" s="130"/>
      <c r="Z49" s="130"/>
      <c r="AA49" s="3"/>
      <c r="AB49" s="3"/>
      <c r="AC49" s="3"/>
      <c r="AD49" s="3"/>
      <c r="AE49" s="3"/>
      <c r="AF49" s="130"/>
      <c r="AG49" s="79"/>
      <c r="AH49" s="79"/>
      <c r="AI49" s="130"/>
      <c r="AK49" s="1" t="s">
        <v>1243</v>
      </c>
      <c r="AL49" s="1" t="s">
        <v>1243</v>
      </c>
      <c r="AM49" s="131"/>
      <c r="AN49" s="131"/>
      <c r="AO49" s="130"/>
      <c r="AP49" s="130"/>
      <c r="AQ49" s="130"/>
      <c r="AR49" s="130"/>
      <c r="AS49" s="130"/>
      <c r="AV49" s="130"/>
      <c r="AW49" s="130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6D3C8C-766F-47B4-A8CE-6777B1C3077D}">
          <x14:formula1>
            <xm:f>Dropdown!$A$2:$A$100</xm:f>
          </x14:formula1>
          <xm:sqref>A2:A13 A18:A29 A34:A45</xm:sqref>
        </x14:dataValidation>
        <x14:dataValidation type="list" allowBlank="1" showInputMessage="1" showErrorMessage="1" xr:uid="{E93B03AA-4B17-4B53-9C7C-A3D282EB1897}">
          <x14:formula1>
            <xm:f>Dropdown!$A$2:$A$101</xm:f>
          </x14:formula1>
          <xm:sqref>A14:A17 A30:A33 A46:A49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2"/>
  <dimension ref="A1:AU65"/>
  <sheetViews>
    <sheetView zoomScale="70" zoomScaleNormal="70" workbookViewId="0">
      <pane xSplit="6" ySplit="1" topLeftCell="Q2" activePane="bottomRight" state="frozen"/>
      <selection pane="topRight" activeCell="G1" sqref="G1"/>
      <selection pane="bottomLeft" activeCell="A2" sqref="A2"/>
      <selection pane="bottomRight" activeCell="T1" sqref="T1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32.54296875" style="1" customWidth="1"/>
    <col min="8" max="8" width="28.81640625" style="1" bestFit="1" customWidth="1"/>
    <col min="9" max="9" width="31" style="1" bestFit="1" customWidth="1"/>
    <col min="10" max="11" width="31" style="1" customWidth="1"/>
    <col min="12" max="14" width="24.54296875" style="1" customWidth="1"/>
    <col min="15" max="15" width="24.453125" style="1" bestFit="1" customWidth="1"/>
    <col min="16" max="18" width="24.453125" style="1" customWidth="1"/>
    <col min="19" max="19" width="37.7265625" style="1" bestFit="1" customWidth="1"/>
    <col min="20" max="21" width="24.7265625" style="1" customWidth="1"/>
    <col min="22" max="22" width="28.453125" style="1" customWidth="1"/>
    <col min="23" max="23" width="20.7265625" style="1" bestFit="1" customWidth="1"/>
    <col min="24" max="24" width="20.7265625" style="1" customWidth="1"/>
    <col min="25" max="25" width="25.81640625" style="1" bestFit="1" customWidth="1"/>
    <col min="26" max="26" width="29.7265625" style="1" bestFit="1" customWidth="1"/>
    <col min="27" max="28" width="38.26953125" style="1" customWidth="1"/>
    <col min="29" max="33" width="35.54296875" style="1" customWidth="1"/>
    <col min="34" max="34" width="31.7265625" style="1" bestFit="1" customWidth="1"/>
    <col min="35" max="35" width="31.54296875" style="1" bestFit="1" customWidth="1"/>
    <col min="36" max="39" width="31.54296875" style="1" customWidth="1"/>
    <col min="40" max="40" width="37.453125" style="1" bestFit="1" customWidth="1"/>
    <col min="41" max="41" width="28.81640625" style="1" bestFit="1" customWidth="1"/>
    <col min="42" max="42" width="34" style="1" bestFit="1" customWidth="1"/>
    <col min="43" max="43" width="37.81640625" style="1" bestFit="1" customWidth="1"/>
    <col min="44" max="44" width="38.1796875" style="1" bestFit="1" customWidth="1"/>
    <col min="45" max="45" width="28.26953125" style="1" customWidth="1"/>
    <col min="46" max="46" width="31" style="1" bestFit="1" customWidth="1"/>
    <col min="47" max="47" width="28.81640625" style="1" bestFit="1" customWidth="1"/>
    <col min="48" max="16384" width="11.453125" style="1"/>
  </cols>
  <sheetData>
    <row r="1" spans="1:47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833</v>
      </c>
      <c r="H1" s="2" t="s">
        <v>47</v>
      </c>
      <c r="I1" s="2" t="s">
        <v>146</v>
      </c>
      <c r="J1" s="2" t="s">
        <v>48</v>
      </c>
      <c r="K1" s="2" t="s">
        <v>1132</v>
      </c>
      <c r="L1" s="2" t="s">
        <v>94</v>
      </c>
      <c r="M1" s="2" t="s">
        <v>153</v>
      </c>
      <c r="N1" s="2" t="s">
        <v>155</v>
      </c>
      <c r="O1" s="2" t="s">
        <v>154</v>
      </c>
      <c r="P1" s="2" t="s">
        <v>53</v>
      </c>
      <c r="Q1" s="2" t="s">
        <v>52</v>
      </c>
      <c r="R1" s="2" t="s">
        <v>555</v>
      </c>
      <c r="S1" s="2" t="s">
        <v>113</v>
      </c>
      <c r="T1" s="2" t="s">
        <v>54</v>
      </c>
      <c r="U1" s="2" t="s">
        <v>120</v>
      </c>
      <c r="V1" s="2" t="s">
        <v>55</v>
      </c>
      <c r="W1" s="2" t="s">
        <v>156</v>
      </c>
      <c r="X1" s="2" t="s">
        <v>1131</v>
      </c>
      <c r="Y1" s="2" t="s">
        <v>3</v>
      </c>
      <c r="Z1" s="2" t="s">
        <v>10</v>
      </c>
      <c r="AA1" s="2" t="s">
        <v>96</v>
      </c>
      <c r="AB1" s="2" t="s">
        <v>1087</v>
      </c>
      <c r="AC1" s="2" t="s">
        <v>20</v>
      </c>
      <c r="AD1" s="2" t="s">
        <v>904</v>
      </c>
      <c r="AE1" s="2" t="s">
        <v>161</v>
      </c>
      <c r="AF1" s="2" t="s">
        <v>162</v>
      </c>
      <c r="AG1" s="2" t="s">
        <v>867</v>
      </c>
      <c r="AH1" s="2" t="s">
        <v>1</v>
      </c>
      <c r="AI1" s="2" t="s">
        <v>2</v>
      </c>
      <c r="AJ1" s="2" t="s">
        <v>56</v>
      </c>
      <c r="AK1" s="2" t="s">
        <v>1123</v>
      </c>
      <c r="AL1" s="2" t="s">
        <v>114</v>
      </c>
      <c r="AM1" s="2" t="s">
        <v>57</v>
      </c>
      <c r="AN1" s="2" t="s">
        <v>58</v>
      </c>
      <c r="AO1" s="2" t="s">
        <v>5</v>
      </c>
      <c r="AP1" s="2" t="s">
        <v>6</v>
      </c>
      <c r="AQ1" s="2" t="s">
        <v>15</v>
      </c>
      <c r="AR1" s="2" t="s">
        <v>7</v>
      </c>
      <c r="AS1" s="2" t="s">
        <v>145</v>
      </c>
      <c r="AT1" s="2" t="s">
        <v>21</v>
      </c>
      <c r="AU1" s="2" t="s">
        <v>49</v>
      </c>
    </row>
    <row r="2" spans="1:47" x14ac:dyDescent="0.25">
      <c r="A2" s="6" t="s">
        <v>27</v>
      </c>
      <c r="B2" s="1" t="s">
        <v>126</v>
      </c>
      <c r="C2" s="6">
        <v>2005</v>
      </c>
      <c r="D2" s="6">
        <v>1</v>
      </c>
      <c r="E2" s="6">
        <v>0</v>
      </c>
      <c r="F2" s="6">
        <v>0</v>
      </c>
      <c r="G2" s="6">
        <v>8.8000000000000007</v>
      </c>
      <c r="H2" s="18"/>
      <c r="I2" s="18"/>
      <c r="J2" s="18">
        <f>Tabelle25[[#This Row],[flexible Leistung (MW)]]+Herleitung_Klo09!M4</f>
        <v>730</v>
      </c>
      <c r="K2" s="18"/>
      <c r="L2" s="18"/>
      <c r="M2" s="18"/>
      <c r="N2" s="18"/>
      <c r="O2" s="80">
        <f>Tabelle5[[#This Row],[Potenzial pos. max MW]]</f>
        <v>730</v>
      </c>
      <c r="P2" s="18">
        <f>Herleitung_Klo09!L5</f>
        <v>391.42857142857144</v>
      </c>
      <c r="Q2" s="16">
        <f>'Klo09'!$P2/'Klo09'!$V2</f>
        <v>0.36131868131868128</v>
      </c>
      <c r="R2" s="16">
        <v>0.67</v>
      </c>
      <c r="S2" s="19"/>
      <c r="T2" s="19"/>
      <c r="U2" s="9"/>
      <c r="V2" s="18">
        <f>Herleitung_Klo09!F8</f>
        <v>1083.3333333333335</v>
      </c>
      <c r="W2" s="6">
        <v>4</v>
      </c>
      <c r="X2" s="6"/>
      <c r="Y2" s="6"/>
      <c r="Z2" s="6"/>
      <c r="AA2" s="6">
        <v>40</v>
      </c>
      <c r="AB2" s="6"/>
      <c r="AC2" s="6"/>
      <c r="AD2" s="6"/>
      <c r="AE2" s="79" t="s">
        <v>1104</v>
      </c>
      <c r="AF2" s="79" t="s">
        <v>1104</v>
      </c>
      <c r="AG2" s="6">
        <v>69</v>
      </c>
      <c r="AH2" s="14" t="s">
        <v>61</v>
      </c>
      <c r="AI2" s="6"/>
      <c r="AJ2" s="14" t="s">
        <v>64</v>
      </c>
      <c r="AK2" s="14" t="s">
        <v>105</v>
      </c>
      <c r="AL2" s="14" t="s">
        <v>64</v>
      </c>
      <c r="AM2" s="14" t="s">
        <v>64</v>
      </c>
      <c r="AN2" s="14" t="s">
        <v>64</v>
      </c>
      <c r="AO2" s="6">
        <v>69</v>
      </c>
      <c r="AP2" s="6"/>
      <c r="AQ2" s="6"/>
      <c r="AR2" s="6">
        <v>69</v>
      </c>
      <c r="AS2" s="6"/>
      <c r="AT2" s="6"/>
      <c r="AU2" s="6"/>
    </row>
    <row r="3" spans="1:47" x14ac:dyDescent="0.25">
      <c r="A3" s="1" t="s">
        <v>27</v>
      </c>
      <c r="B3" s="1" t="s">
        <v>126</v>
      </c>
      <c r="C3" s="1">
        <v>2020</v>
      </c>
      <c r="D3" s="1">
        <v>1</v>
      </c>
      <c r="E3" s="1">
        <v>0</v>
      </c>
      <c r="F3" s="1">
        <v>0</v>
      </c>
      <c r="H3" s="19"/>
      <c r="I3" s="19"/>
      <c r="J3" s="19">
        <f>650+80</f>
        <v>730</v>
      </c>
      <c r="K3" s="19"/>
      <c r="L3" s="19"/>
      <c r="M3" s="19"/>
      <c r="N3" s="19"/>
      <c r="O3" s="80">
        <f>Tabelle5[[#This Row],[Potenzial pos. max MW]]</f>
        <v>730</v>
      </c>
      <c r="P3" s="19">
        <f>Herleitung_Klo09!L9</f>
        <v>467.61904761904771</v>
      </c>
      <c r="Q3" s="9">
        <f>'Klo09'!$P3/'Klo09'!$V3</f>
        <v>0.39045725646123264</v>
      </c>
      <c r="R3" s="9">
        <v>0.67</v>
      </c>
      <c r="S3" s="19"/>
      <c r="T3" s="19"/>
      <c r="U3" s="9"/>
      <c r="V3" s="19">
        <f>Herleitung_Klo09!F9</f>
        <v>1197.6190476190477</v>
      </c>
      <c r="W3" s="1">
        <v>4</v>
      </c>
      <c r="AA3" s="1">
        <v>40</v>
      </c>
      <c r="AE3" s="79" t="s">
        <v>1104</v>
      </c>
      <c r="AF3" s="79" t="s">
        <v>1104</v>
      </c>
      <c r="AH3" s="13" t="s">
        <v>61</v>
      </c>
      <c r="AJ3" s="13" t="s">
        <v>64</v>
      </c>
      <c r="AK3" s="13" t="s">
        <v>105</v>
      </c>
      <c r="AL3" s="13" t="s">
        <v>64</v>
      </c>
      <c r="AM3" s="13" t="s">
        <v>64</v>
      </c>
      <c r="AN3" s="13" t="s">
        <v>64</v>
      </c>
      <c r="AO3" s="1">
        <v>69</v>
      </c>
      <c r="AR3" s="1">
        <v>69</v>
      </c>
    </row>
    <row r="4" spans="1:47" x14ac:dyDescent="0.25">
      <c r="A4" s="6" t="s">
        <v>39</v>
      </c>
      <c r="B4" s="1" t="s">
        <v>126</v>
      </c>
      <c r="C4" s="6">
        <v>2005</v>
      </c>
      <c r="D4" s="6">
        <v>1</v>
      </c>
      <c r="E4" s="6">
        <v>0</v>
      </c>
      <c r="F4" s="6">
        <v>0</v>
      </c>
      <c r="G4" s="6">
        <v>5</v>
      </c>
      <c r="H4" s="18"/>
      <c r="I4" s="18"/>
      <c r="J4" s="18">
        <v>170</v>
      </c>
      <c r="K4" s="18"/>
      <c r="L4" s="18"/>
      <c r="M4" s="18"/>
      <c r="N4" s="18"/>
      <c r="O4" s="80">
        <f>Tabelle5[[#This Row],[Potenzial pos. max MW]]</f>
        <v>170</v>
      </c>
      <c r="P4" s="18">
        <f>Herleitung_Klo09!L10</f>
        <v>399.54337899543373</v>
      </c>
      <c r="Q4" s="16">
        <f>'Klo09'!$P4/'Klo09'!$V4</f>
        <v>0.7</v>
      </c>
      <c r="R4" s="16">
        <v>0.3</v>
      </c>
      <c r="S4" s="19">
        <v>570</v>
      </c>
      <c r="T4" s="19"/>
      <c r="U4" s="9"/>
      <c r="V4" s="18">
        <f>Herleitung_Klo09!J10</f>
        <v>570.77625570776252</v>
      </c>
      <c r="W4" s="6">
        <v>4</v>
      </c>
      <c r="X4" s="6"/>
      <c r="Y4" s="6"/>
      <c r="Z4" s="6"/>
      <c r="AA4" s="6">
        <v>40</v>
      </c>
      <c r="AB4" s="6"/>
      <c r="AC4" s="6"/>
      <c r="AD4" s="6"/>
      <c r="AE4" s="79" t="s">
        <v>1104</v>
      </c>
      <c r="AF4" s="79" t="s">
        <v>1104</v>
      </c>
      <c r="AG4" s="6">
        <v>69</v>
      </c>
      <c r="AH4" s="14" t="s">
        <v>62</v>
      </c>
      <c r="AI4" s="6"/>
      <c r="AJ4" s="14" t="s">
        <v>65</v>
      </c>
      <c r="AK4" s="14" t="s">
        <v>105</v>
      </c>
      <c r="AL4" s="14" t="s">
        <v>65</v>
      </c>
      <c r="AM4" s="14" t="s">
        <v>65</v>
      </c>
      <c r="AN4" s="14" t="s">
        <v>65</v>
      </c>
      <c r="AO4" s="6">
        <v>69</v>
      </c>
      <c r="AP4" s="6"/>
      <c r="AQ4" s="6"/>
      <c r="AR4" s="6">
        <v>69</v>
      </c>
      <c r="AS4" s="6"/>
      <c r="AT4" s="6"/>
      <c r="AU4" s="6"/>
    </row>
    <row r="5" spans="1:47" x14ac:dyDescent="0.25">
      <c r="A5" s="1" t="s">
        <v>39</v>
      </c>
      <c r="B5" s="1" t="s">
        <v>126</v>
      </c>
      <c r="C5" s="1">
        <v>2020</v>
      </c>
      <c r="D5" s="1">
        <v>1</v>
      </c>
      <c r="E5" s="1">
        <v>0</v>
      </c>
      <c r="F5" s="1">
        <v>0</v>
      </c>
      <c r="H5" s="19"/>
      <c r="I5" s="19"/>
      <c r="J5" s="19">
        <f>J4*Tabelle5[[#This Row],[Mindestleistung MW]]/P4</f>
        <v>166.54726530612248</v>
      </c>
      <c r="K5" s="19"/>
      <c r="L5" s="19"/>
      <c r="M5" s="19"/>
      <c r="N5" s="19"/>
      <c r="O5" s="80">
        <f>Tabelle5[[#This Row],[Potenzial pos. max MW]]</f>
        <v>166.54726530612248</v>
      </c>
      <c r="P5" s="19">
        <f>Tabelle25[[#This Row],[Mindestleistung]]+Herleitung_Klo09!L7</f>
        <v>391.42857142857144</v>
      </c>
      <c r="Q5" s="9">
        <v>0.7</v>
      </c>
      <c r="R5" s="9">
        <v>0.3</v>
      </c>
      <c r="S5" s="19">
        <v>570</v>
      </c>
      <c r="T5" s="19"/>
      <c r="U5" s="9"/>
      <c r="V5" s="19">
        <f>Herleitung_Klo09!F11</f>
        <v>570.77625570776252</v>
      </c>
      <c r="W5" s="1">
        <v>4</v>
      </c>
      <c r="AA5" s="1">
        <v>40</v>
      </c>
      <c r="AE5" s="79" t="s">
        <v>1104</v>
      </c>
      <c r="AF5" s="79" t="s">
        <v>1104</v>
      </c>
      <c r="AH5" s="13" t="s">
        <v>70</v>
      </c>
      <c r="AJ5" s="13" t="s">
        <v>70</v>
      </c>
      <c r="AK5" s="13" t="s">
        <v>105</v>
      </c>
      <c r="AL5" s="13" t="s">
        <v>70</v>
      </c>
      <c r="AM5" s="13" t="s">
        <v>70</v>
      </c>
      <c r="AN5" s="13" t="s">
        <v>70</v>
      </c>
      <c r="AO5" s="1">
        <v>69</v>
      </c>
      <c r="AR5" s="1">
        <v>69</v>
      </c>
    </row>
    <row r="6" spans="1:47" x14ac:dyDescent="0.25">
      <c r="A6" s="6" t="s">
        <v>51</v>
      </c>
      <c r="B6" s="1" t="s">
        <v>126</v>
      </c>
      <c r="C6" s="6">
        <v>2005</v>
      </c>
      <c r="D6" s="6">
        <v>0</v>
      </c>
      <c r="E6" s="6">
        <v>1</v>
      </c>
      <c r="F6" s="6">
        <v>0</v>
      </c>
      <c r="G6" s="6">
        <v>10.5</v>
      </c>
      <c r="H6" s="18">
        <v>275</v>
      </c>
      <c r="I6" s="18"/>
      <c r="J6" s="19"/>
      <c r="K6" s="18">
        <v>325</v>
      </c>
      <c r="L6" s="18"/>
      <c r="M6" s="18"/>
      <c r="N6" s="19"/>
      <c r="O6" s="80"/>
      <c r="P6" s="18">
        <f>Herleitung_Klo09!L12</f>
        <v>900</v>
      </c>
      <c r="Q6" s="16">
        <f>'Klo09'!$P6/'Klo09'!$V6</f>
        <v>0.75</v>
      </c>
      <c r="R6" s="16">
        <f>(1-Tabelle5[[#This Row],[Mindestauslastung]])</f>
        <v>0.25</v>
      </c>
      <c r="S6" s="19"/>
      <c r="T6" s="19"/>
      <c r="U6" s="9"/>
      <c r="V6" s="18">
        <f>Herleitung_Klo09!F12</f>
        <v>1200</v>
      </c>
      <c r="W6" s="99"/>
      <c r="X6" s="6">
        <v>4</v>
      </c>
      <c r="Y6" s="6"/>
      <c r="Z6" s="6"/>
      <c r="AA6" s="6"/>
      <c r="AB6" s="6">
        <v>40</v>
      </c>
      <c r="AC6" s="6"/>
      <c r="AD6" s="6"/>
      <c r="AE6" s="79" t="s">
        <v>1104</v>
      </c>
      <c r="AF6" s="79" t="s">
        <v>1104</v>
      </c>
      <c r="AG6" s="6">
        <v>69</v>
      </c>
      <c r="AH6" s="14" t="s">
        <v>66</v>
      </c>
      <c r="AI6" s="6"/>
      <c r="AJ6" s="14" t="s">
        <v>67</v>
      </c>
      <c r="AK6" s="14" t="s">
        <v>105</v>
      </c>
      <c r="AL6" s="14" t="s">
        <v>67</v>
      </c>
      <c r="AM6" s="14" t="s">
        <v>67</v>
      </c>
      <c r="AN6" s="14" t="s">
        <v>67</v>
      </c>
      <c r="AO6" s="6">
        <v>69</v>
      </c>
      <c r="AP6" s="6"/>
      <c r="AQ6" s="6"/>
      <c r="AR6" s="6">
        <v>69</v>
      </c>
      <c r="AS6" s="6"/>
      <c r="AT6" s="6"/>
      <c r="AU6" s="6" t="s">
        <v>50</v>
      </c>
    </row>
    <row r="7" spans="1:47" x14ac:dyDescent="0.25">
      <c r="A7" s="1" t="s">
        <v>51</v>
      </c>
      <c r="B7" s="1" t="s">
        <v>126</v>
      </c>
      <c r="C7" s="1">
        <v>2020</v>
      </c>
      <c r="D7" s="1">
        <v>0</v>
      </c>
      <c r="E7" s="1">
        <v>1</v>
      </c>
      <c r="F7" s="1">
        <v>0</v>
      </c>
      <c r="H7" s="19"/>
      <c r="I7" s="19"/>
      <c r="J7" s="19"/>
      <c r="K7" s="19">
        <f>Herleitung_Klo09!M13</f>
        <v>100</v>
      </c>
      <c r="L7" s="19"/>
      <c r="M7" s="19"/>
      <c r="N7" s="19"/>
      <c r="O7" s="80"/>
      <c r="P7" s="19">
        <f>Herleitung_Klo09!L13</f>
        <v>300</v>
      </c>
      <c r="Q7" s="9">
        <f>'Klo09'!$P7/'Klo09'!$V7</f>
        <v>0.75</v>
      </c>
      <c r="R7" s="9">
        <f>(1-Tabelle5[[#This Row],[Mindestauslastung]])</f>
        <v>0.25</v>
      </c>
      <c r="S7" s="19"/>
      <c r="T7" s="19"/>
      <c r="U7" s="9"/>
      <c r="V7" s="19">
        <f>Herleitung_Klo09!F13</f>
        <v>400</v>
      </c>
      <c r="W7" s="99"/>
      <c r="X7" s="1">
        <v>4</v>
      </c>
      <c r="AB7" s="1">
        <v>40</v>
      </c>
      <c r="AE7" s="79" t="s">
        <v>1104</v>
      </c>
      <c r="AF7" s="79" t="s">
        <v>1104</v>
      </c>
      <c r="AH7" s="13" t="s">
        <v>66</v>
      </c>
      <c r="AJ7" s="13" t="s">
        <v>67</v>
      </c>
      <c r="AK7" s="13" t="s">
        <v>105</v>
      </c>
      <c r="AL7" s="13" t="s">
        <v>67</v>
      </c>
      <c r="AM7" s="13" t="s">
        <v>67</v>
      </c>
      <c r="AN7" s="13" t="s">
        <v>67</v>
      </c>
      <c r="AO7" s="1">
        <v>69</v>
      </c>
      <c r="AR7" s="1">
        <v>69</v>
      </c>
      <c r="AU7" s="1" t="s">
        <v>50</v>
      </c>
    </row>
    <row r="8" spans="1:47" x14ac:dyDescent="0.25">
      <c r="A8" s="6" t="s">
        <v>69</v>
      </c>
      <c r="B8" s="1" t="s">
        <v>126</v>
      </c>
      <c r="C8" s="6">
        <v>2005</v>
      </c>
      <c r="D8" s="1">
        <v>0</v>
      </c>
      <c r="E8" s="1">
        <v>1</v>
      </c>
      <c r="F8" s="6">
        <v>0</v>
      </c>
      <c r="G8" s="6"/>
      <c r="H8" s="18">
        <v>5</v>
      </c>
      <c r="I8" s="18"/>
      <c r="J8" s="19"/>
      <c r="K8" s="18">
        <v>7.5</v>
      </c>
      <c r="L8" s="18"/>
      <c r="M8" s="18"/>
      <c r="N8" s="18"/>
      <c r="O8" s="80"/>
      <c r="P8" s="18">
        <f>'Klo09'!$V8*'Klo09'!$Q8</f>
        <v>0</v>
      </c>
      <c r="Q8" s="16">
        <v>0.75</v>
      </c>
      <c r="R8" s="16">
        <f>(1-Tabelle5[[#This Row],[Mindestauslastung]])</f>
        <v>0.25</v>
      </c>
      <c r="S8" s="19"/>
      <c r="T8" s="19"/>
      <c r="U8" s="9"/>
      <c r="V8" s="18"/>
      <c r="W8" s="99"/>
      <c r="X8" s="6">
        <v>4</v>
      </c>
      <c r="Y8" s="6"/>
      <c r="Z8" s="6"/>
      <c r="AA8" s="6"/>
      <c r="AB8" s="6">
        <v>40</v>
      </c>
      <c r="AC8" s="6" t="s">
        <v>71</v>
      </c>
      <c r="AD8" s="6"/>
      <c r="AE8" s="79" t="s">
        <v>1104</v>
      </c>
      <c r="AF8" s="79" t="s">
        <v>1104</v>
      </c>
      <c r="AG8" s="6"/>
      <c r="AH8" s="14" t="s">
        <v>63</v>
      </c>
      <c r="AI8" s="6"/>
      <c r="AJ8" s="14" t="s">
        <v>68</v>
      </c>
      <c r="AK8" s="14" t="s">
        <v>105</v>
      </c>
      <c r="AL8" s="14" t="s">
        <v>68</v>
      </c>
      <c r="AM8" s="14" t="s">
        <v>68</v>
      </c>
      <c r="AN8" s="14" t="s">
        <v>68</v>
      </c>
      <c r="AO8" s="6">
        <v>69</v>
      </c>
      <c r="AP8" s="6"/>
      <c r="AQ8" s="6"/>
      <c r="AR8" s="6">
        <v>69</v>
      </c>
      <c r="AS8" s="6"/>
      <c r="AT8" s="6">
        <v>58</v>
      </c>
      <c r="AU8" s="6"/>
    </row>
    <row r="9" spans="1:47" x14ac:dyDescent="0.25">
      <c r="A9" s="1" t="s">
        <v>69</v>
      </c>
      <c r="B9" s="1" t="s">
        <v>126</v>
      </c>
      <c r="C9" s="1">
        <v>2020</v>
      </c>
      <c r="D9" s="1">
        <v>0</v>
      </c>
      <c r="E9" s="1">
        <v>1</v>
      </c>
      <c r="F9" s="1">
        <v>0</v>
      </c>
      <c r="H9" s="19">
        <v>5</v>
      </c>
      <c r="I9" s="19"/>
      <c r="J9" s="19"/>
      <c r="K9" s="19">
        <v>7.5</v>
      </c>
      <c r="L9" s="19"/>
      <c r="M9" s="19"/>
      <c r="N9" s="19"/>
      <c r="O9" s="80"/>
      <c r="P9" s="19">
        <f>'Klo09'!$V9*'Klo09'!$Q9</f>
        <v>0</v>
      </c>
      <c r="Q9" s="9">
        <v>0.75</v>
      </c>
      <c r="R9" s="9">
        <f>(1-Tabelle5[[#This Row],[Mindestauslastung]])</f>
        <v>0.25</v>
      </c>
      <c r="S9" s="19"/>
      <c r="T9" s="19"/>
      <c r="U9" s="9"/>
      <c r="V9" s="19"/>
      <c r="W9" s="99"/>
      <c r="X9" s="1">
        <v>4</v>
      </c>
      <c r="AB9" s="1">
        <v>40</v>
      </c>
      <c r="AC9" s="1" t="s">
        <v>71</v>
      </c>
      <c r="AE9" s="79" t="s">
        <v>1104</v>
      </c>
      <c r="AF9" s="79" t="s">
        <v>1104</v>
      </c>
      <c r="AH9" s="13">
        <v>58</v>
      </c>
      <c r="AJ9" s="13" t="s">
        <v>72</v>
      </c>
      <c r="AK9" s="13" t="s">
        <v>105</v>
      </c>
      <c r="AL9" s="13" t="s">
        <v>72</v>
      </c>
      <c r="AM9" s="13" t="s">
        <v>72</v>
      </c>
      <c r="AN9" s="13" t="s">
        <v>72</v>
      </c>
      <c r="AO9" s="1">
        <v>69</v>
      </c>
      <c r="AR9" s="1">
        <v>69</v>
      </c>
      <c r="AT9" s="1">
        <v>58</v>
      </c>
    </row>
    <row r="10" spans="1:47" x14ac:dyDescent="0.25">
      <c r="A10" s="6" t="s">
        <v>73</v>
      </c>
      <c r="B10" s="1" t="s">
        <v>126</v>
      </c>
      <c r="C10" s="6">
        <v>2005</v>
      </c>
      <c r="D10" s="1">
        <v>0</v>
      </c>
      <c r="E10" s="1">
        <v>1</v>
      </c>
      <c r="F10" s="6">
        <v>0</v>
      </c>
      <c r="G10" s="6"/>
      <c r="H10" s="18"/>
      <c r="I10" s="18"/>
      <c r="J10" s="19"/>
      <c r="K10" s="18">
        <v>25</v>
      </c>
      <c r="L10" s="18"/>
      <c r="M10" s="18"/>
      <c r="N10" s="18"/>
      <c r="O10" s="80"/>
      <c r="P10" s="18">
        <f>'Klo09'!$V10*'Klo09'!$Q10</f>
        <v>0</v>
      </c>
      <c r="Q10" s="16">
        <v>0.75</v>
      </c>
      <c r="R10" s="16">
        <f>(1-Tabelle5[[#This Row],[Mindestauslastung]])</f>
        <v>0.25</v>
      </c>
      <c r="S10" s="19"/>
      <c r="T10" s="19"/>
      <c r="U10" s="9"/>
      <c r="V10" s="18"/>
      <c r="W10" s="99"/>
      <c r="X10" s="6">
        <v>4</v>
      </c>
      <c r="Y10" s="6"/>
      <c r="Z10" s="6"/>
      <c r="AA10" s="6"/>
      <c r="AB10" s="6">
        <v>40</v>
      </c>
      <c r="AC10" s="6" t="s">
        <v>71</v>
      </c>
      <c r="AD10" s="6"/>
      <c r="AE10" s="79" t="s">
        <v>1104</v>
      </c>
      <c r="AF10" s="79" t="s">
        <v>1104</v>
      </c>
      <c r="AG10" s="6"/>
      <c r="AH10" s="14" t="s">
        <v>63</v>
      </c>
      <c r="AI10" s="6"/>
      <c r="AJ10" s="14" t="s">
        <v>68</v>
      </c>
      <c r="AK10" s="14" t="s">
        <v>105</v>
      </c>
      <c r="AL10" s="14" t="s">
        <v>68</v>
      </c>
      <c r="AM10" s="14" t="s">
        <v>68</v>
      </c>
      <c r="AN10" s="14" t="s">
        <v>68</v>
      </c>
      <c r="AO10" s="6">
        <v>69</v>
      </c>
      <c r="AP10" s="6"/>
      <c r="AQ10" s="6"/>
      <c r="AR10" s="6">
        <v>69</v>
      </c>
      <c r="AS10" s="6"/>
      <c r="AT10" s="6">
        <v>58</v>
      </c>
      <c r="AU10" s="6"/>
    </row>
    <row r="11" spans="1:47" x14ac:dyDescent="0.25">
      <c r="A11" s="1" t="s">
        <v>73</v>
      </c>
      <c r="B11" s="1" t="s">
        <v>126</v>
      </c>
      <c r="C11" s="1">
        <v>2020</v>
      </c>
      <c r="D11" s="1">
        <v>0</v>
      </c>
      <c r="E11" s="1">
        <v>1</v>
      </c>
      <c r="F11" s="1">
        <v>0</v>
      </c>
      <c r="H11" s="19"/>
      <c r="I11" s="19"/>
      <c r="J11" s="19"/>
      <c r="K11" s="19">
        <v>25</v>
      </c>
      <c r="L11" s="19"/>
      <c r="M11" s="19"/>
      <c r="N11" s="19"/>
      <c r="O11" s="80"/>
      <c r="P11" s="19">
        <f>'Klo09'!$V11*'Klo09'!$Q11</f>
        <v>0</v>
      </c>
      <c r="Q11" s="9">
        <v>0.75</v>
      </c>
      <c r="R11" s="9">
        <f>(1-Tabelle5[[#This Row],[Mindestauslastung]])</f>
        <v>0.25</v>
      </c>
      <c r="S11" s="19"/>
      <c r="T11" s="19"/>
      <c r="U11" s="9"/>
      <c r="V11" s="19"/>
      <c r="W11" s="99"/>
      <c r="X11" s="1">
        <v>4</v>
      </c>
      <c r="AB11" s="1">
        <v>40</v>
      </c>
      <c r="AC11" s="1" t="s">
        <v>71</v>
      </c>
      <c r="AE11" s="79" t="s">
        <v>1104</v>
      </c>
      <c r="AF11" s="79" t="s">
        <v>1104</v>
      </c>
      <c r="AH11" s="13" t="s">
        <v>63</v>
      </c>
      <c r="AJ11" s="13" t="s">
        <v>72</v>
      </c>
      <c r="AK11" s="13" t="s">
        <v>105</v>
      </c>
      <c r="AL11" s="13" t="s">
        <v>72</v>
      </c>
      <c r="AM11" s="13" t="s">
        <v>72</v>
      </c>
      <c r="AN11" s="13" t="s">
        <v>72</v>
      </c>
      <c r="AO11" s="1">
        <v>69</v>
      </c>
      <c r="AR11" s="1">
        <v>69</v>
      </c>
      <c r="AT11" s="1">
        <v>58</v>
      </c>
    </row>
    <row r="12" spans="1:47" x14ac:dyDescent="0.25">
      <c r="A12" s="6" t="s">
        <v>74</v>
      </c>
      <c r="B12" s="1" t="s">
        <v>126</v>
      </c>
      <c r="C12" s="6">
        <v>2005</v>
      </c>
      <c r="D12" s="1">
        <v>0</v>
      </c>
      <c r="E12" s="1">
        <v>1</v>
      </c>
      <c r="F12" s="6">
        <v>0</v>
      </c>
      <c r="G12" s="6">
        <v>3.5</v>
      </c>
      <c r="H12" s="18"/>
      <c r="I12" s="18"/>
      <c r="J12" s="19"/>
      <c r="K12" s="18">
        <v>400</v>
      </c>
      <c r="L12" s="18"/>
      <c r="M12" s="18"/>
      <c r="N12" s="18"/>
      <c r="O12" s="80"/>
      <c r="P12" s="18">
        <f>0</f>
        <v>0</v>
      </c>
      <c r="Q12" s="16">
        <v>0</v>
      </c>
      <c r="R12" s="16">
        <f>(1-Tabelle5[[#This Row],[Mindestauslastung]])</f>
        <v>1</v>
      </c>
      <c r="S12" s="19">
        <v>400</v>
      </c>
      <c r="T12" s="19"/>
      <c r="U12" s="9"/>
      <c r="V12" s="18">
        <v>400</v>
      </c>
      <c r="W12" s="99"/>
      <c r="X12" s="6">
        <v>2</v>
      </c>
      <c r="Y12" s="6"/>
      <c r="Z12" s="6"/>
      <c r="AA12" s="6"/>
      <c r="AB12" s="6">
        <v>365</v>
      </c>
      <c r="AC12" s="6"/>
      <c r="AD12" s="6"/>
      <c r="AE12" s="79" t="s">
        <v>1104</v>
      </c>
      <c r="AF12" s="79" t="s">
        <v>1104</v>
      </c>
      <c r="AG12" s="6">
        <v>69</v>
      </c>
      <c r="AH12" s="14" t="s">
        <v>75</v>
      </c>
      <c r="AI12" s="6"/>
      <c r="AJ12" s="14" t="s">
        <v>76</v>
      </c>
      <c r="AK12" s="14" t="s">
        <v>105</v>
      </c>
      <c r="AL12" s="14" t="s">
        <v>76</v>
      </c>
      <c r="AM12" s="14" t="s">
        <v>76</v>
      </c>
      <c r="AN12" s="14" t="s">
        <v>76</v>
      </c>
      <c r="AO12" s="6">
        <v>69</v>
      </c>
      <c r="AP12" s="6"/>
      <c r="AQ12" s="6"/>
      <c r="AR12" s="6">
        <v>69</v>
      </c>
      <c r="AS12" s="6"/>
      <c r="AT12" s="6"/>
      <c r="AU12" s="6"/>
    </row>
    <row r="13" spans="1:47" x14ac:dyDescent="0.25">
      <c r="A13" s="1" t="s">
        <v>74</v>
      </c>
      <c r="B13" s="1" t="s">
        <v>126</v>
      </c>
      <c r="C13" s="1">
        <v>2020</v>
      </c>
      <c r="D13" s="1">
        <v>0</v>
      </c>
      <c r="E13" s="1">
        <v>1</v>
      </c>
      <c r="F13" s="1">
        <v>0</v>
      </c>
      <c r="H13" s="19"/>
      <c r="I13" s="19"/>
      <c r="J13" s="19"/>
      <c r="K13" s="19">
        <v>400</v>
      </c>
      <c r="L13" s="19"/>
      <c r="M13" s="19"/>
      <c r="N13" s="19"/>
      <c r="O13" s="80"/>
      <c r="P13" s="19">
        <f>0</f>
        <v>0</v>
      </c>
      <c r="Q13" s="9">
        <v>0</v>
      </c>
      <c r="R13" s="9">
        <f>(1-Tabelle5[[#This Row],[Mindestauslastung]])</f>
        <v>1</v>
      </c>
      <c r="S13" s="19">
        <v>400</v>
      </c>
      <c r="T13" s="19"/>
      <c r="U13" s="9"/>
      <c r="V13" s="19">
        <v>400</v>
      </c>
      <c r="W13" s="99"/>
      <c r="X13" s="1">
        <v>2</v>
      </c>
      <c r="AB13" s="1">
        <v>365</v>
      </c>
      <c r="AE13" s="79" t="s">
        <v>1104</v>
      </c>
      <c r="AF13" s="79" t="s">
        <v>1104</v>
      </c>
      <c r="AH13" s="13" t="s">
        <v>75</v>
      </c>
      <c r="AJ13" s="13" t="s">
        <v>76</v>
      </c>
      <c r="AK13" s="13" t="s">
        <v>105</v>
      </c>
      <c r="AL13" s="13" t="s">
        <v>76</v>
      </c>
      <c r="AM13" s="13" t="s">
        <v>76</v>
      </c>
      <c r="AN13" s="13" t="s">
        <v>76</v>
      </c>
      <c r="AO13" s="1">
        <v>69</v>
      </c>
      <c r="AR13" s="1">
        <v>69</v>
      </c>
    </row>
    <row r="14" spans="1:47" x14ac:dyDescent="0.25">
      <c r="A14" s="6" t="s">
        <v>77</v>
      </c>
      <c r="B14" s="1" t="s">
        <v>126</v>
      </c>
      <c r="C14" s="6">
        <v>2005</v>
      </c>
      <c r="D14" s="6">
        <v>1</v>
      </c>
      <c r="E14" s="6">
        <v>0</v>
      </c>
      <c r="F14" s="6">
        <v>0</v>
      </c>
      <c r="G14" s="6"/>
      <c r="H14" s="18">
        <v>350</v>
      </c>
      <c r="I14" s="18">
        <v>400</v>
      </c>
      <c r="J14" s="18">
        <v>450</v>
      </c>
      <c r="K14" s="18"/>
      <c r="L14" s="18"/>
      <c r="M14" s="18">
        <v>350</v>
      </c>
      <c r="N14" s="18"/>
      <c r="O14" s="80">
        <f>Tabelle5[[#This Row],[Potenzial pos. max MW]]</f>
        <v>450</v>
      </c>
      <c r="P14" s="18">
        <f>0</f>
        <v>0</v>
      </c>
      <c r="Q14" s="16">
        <v>0</v>
      </c>
      <c r="R14" s="16">
        <f>(1-Tabelle5[[#This Row],[Mindestauslastung]])</f>
        <v>1</v>
      </c>
      <c r="S14" s="19"/>
      <c r="T14" s="19"/>
      <c r="U14" s="9"/>
      <c r="V14" s="18">
        <v>400</v>
      </c>
      <c r="W14" s="6"/>
      <c r="X14" s="6"/>
      <c r="Y14" s="6"/>
      <c r="Z14" s="6"/>
      <c r="AA14" s="6"/>
      <c r="AB14" s="6"/>
      <c r="AC14" s="6"/>
      <c r="AD14" s="6"/>
      <c r="AE14" s="79" t="s">
        <v>1104</v>
      </c>
      <c r="AF14" s="79" t="s">
        <v>1104</v>
      </c>
      <c r="AG14" s="6"/>
      <c r="AH14" s="14" t="s">
        <v>92</v>
      </c>
      <c r="AI14" s="6"/>
      <c r="AJ14" s="14" t="s">
        <v>76</v>
      </c>
      <c r="AK14" s="14" t="s">
        <v>105</v>
      </c>
      <c r="AL14" s="14" t="s">
        <v>76</v>
      </c>
      <c r="AM14" s="14" t="s">
        <v>76</v>
      </c>
      <c r="AN14" s="14" t="s">
        <v>76</v>
      </c>
      <c r="AO14" s="6"/>
      <c r="AP14" s="6"/>
      <c r="AQ14" s="6"/>
      <c r="AR14" s="6"/>
      <c r="AS14" s="6"/>
      <c r="AT14" s="6"/>
      <c r="AU14" s="6"/>
    </row>
    <row r="15" spans="1:47" x14ac:dyDescent="0.25">
      <c r="A15" s="1" t="s">
        <v>77</v>
      </c>
      <c r="B15" s="1" t="s">
        <v>126</v>
      </c>
      <c r="C15" s="1">
        <v>2020</v>
      </c>
      <c r="D15" s="1">
        <v>1</v>
      </c>
      <c r="E15" s="1">
        <v>0</v>
      </c>
      <c r="F15" s="1">
        <v>0</v>
      </c>
      <c r="H15" s="19">
        <v>350</v>
      </c>
      <c r="I15" s="19">
        <v>400</v>
      </c>
      <c r="J15" s="19">
        <v>450</v>
      </c>
      <c r="K15" s="19"/>
      <c r="L15" s="19"/>
      <c r="M15" s="19">
        <v>350</v>
      </c>
      <c r="N15" s="19"/>
      <c r="O15" s="80">
        <f>Tabelle5[[#This Row],[Potenzial pos. max MW]]</f>
        <v>450</v>
      </c>
      <c r="P15" s="19">
        <f>0</f>
        <v>0</v>
      </c>
      <c r="Q15" s="9">
        <v>0</v>
      </c>
      <c r="R15" s="9">
        <f>(1-Tabelle5[[#This Row],[Mindestauslastung]])</f>
        <v>1</v>
      </c>
      <c r="S15" s="19"/>
      <c r="T15" s="19"/>
      <c r="U15" s="9"/>
      <c r="V15" s="19">
        <v>400</v>
      </c>
      <c r="AE15" s="79" t="s">
        <v>1104</v>
      </c>
      <c r="AF15" s="79" t="s">
        <v>1104</v>
      </c>
      <c r="AH15" s="13" t="s">
        <v>75</v>
      </c>
      <c r="AJ15" s="13" t="s">
        <v>76</v>
      </c>
      <c r="AK15" s="13" t="s">
        <v>105</v>
      </c>
      <c r="AL15" s="13" t="s">
        <v>76</v>
      </c>
      <c r="AM15" s="13" t="s">
        <v>76</v>
      </c>
      <c r="AN15" s="13" t="s">
        <v>76</v>
      </c>
    </row>
    <row r="16" spans="1:47" x14ac:dyDescent="0.25">
      <c r="A16" s="6" t="s">
        <v>78</v>
      </c>
      <c r="B16" s="1" t="s">
        <v>126</v>
      </c>
      <c r="C16" s="6">
        <v>2005</v>
      </c>
      <c r="D16" s="6">
        <v>1</v>
      </c>
      <c r="E16" s="6">
        <v>0</v>
      </c>
      <c r="F16" s="6">
        <v>0</v>
      </c>
      <c r="G16" s="6"/>
      <c r="H16" s="18"/>
      <c r="I16" s="18"/>
      <c r="J16" s="18">
        <v>80</v>
      </c>
      <c r="K16" s="18"/>
      <c r="L16" s="18"/>
      <c r="M16" s="18"/>
      <c r="N16" s="18"/>
      <c r="O16" s="80">
        <f>Tabelle5[[#This Row],[Potenzial pos. max MW]]</f>
        <v>80</v>
      </c>
      <c r="P16" s="18">
        <f>Tabelle5[[#This Row],[Mindestauslastung]]*Tabelle5[[#This Row],[installierte Leistung MW]]</f>
        <v>0</v>
      </c>
      <c r="Q16" s="16">
        <v>0.75</v>
      </c>
      <c r="R16" s="16">
        <f>(1-Tabelle5[[#This Row],[Mindestauslastung]])</f>
        <v>0.25</v>
      </c>
      <c r="S16" s="19"/>
      <c r="T16" s="19"/>
      <c r="U16" s="9"/>
      <c r="V16" s="18"/>
      <c r="W16" s="6"/>
      <c r="X16" s="6"/>
      <c r="Y16" s="6"/>
      <c r="Z16" s="6"/>
      <c r="AA16" s="6"/>
      <c r="AB16" s="6"/>
      <c r="AC16" s="6"/>
      <c r="AD16" s="6"/>
      <c r="AE16" s="79" t="s">
        <v>1104</v>
      </c>
      <c r="AF16" s="79" t="s">
        <v>1104</v>
      </c>
      <c r="AG16" s="6"/>
      <c r="AH16" s="14" t="s">
        <v>92</v>
      </c>
      <c r="AI16" s="6"/>
      <c r="AJ16" s="14" t="s">
        <v>76</v>
      </c>
      <c r="AK16" s="14" t="s">
        <v>105</v>
      </c>
      <c r="AL16" s="14" t="s">
        <v>76</v>
      </c>
      <c r="AM16" s="14" t="s">
        <v>76</v>
      </c>
      <c r="AN16" s="14" t="s">
        <v>76</v>
      </c>
      <c r="AO16" s="6"/>
      <c r="AP16" s="6"/>
      <c r="AQ16" s="6"/>
      <c r="AR16" s="6"/>
      <c r="AS16" s="6"/>
      <c r="AT16" s="6"/>
      <c r="AU16" s="6"/>
    </row>
    <row r="17" spans="1:47" x14ac:dyDescent="0.25">
      <c r="A17" s="1" t="s">
        <v>78</v>
      </c>
      <c r="B17" s="1" t="s">
        <v>126</v>
      </c>
      <c r="C17" s="1">
        <v>2020</v>
      </c>
      <c r="D17" s="1">
        <v>1</v>
      </c>
      <c r="E17" s="1">
        <v>0</v>
      </c>
      <c r="F17" s="1">
        <v>0</v>
      </c>
      <c r="H17" s="19"/>
      <c r="I17" s="19"/>
      <c r="J17" s="19">
        <v>80</v>
      </c>
      <c r="K17" s="19"/>
      <c r="L17" s="19"/>
      <c r="M17" s="19"/>
      <c r="N17" s="19"/>
      <c r="O17" s="80">
        <f>Tabelle5[[#This Row],[Potenzial pos. max MW]]</f>
        <v>80</v>
      </c>
      <c r="P17" s="19">
        <f>Tabelle5[[#This Row],[Mindestauslastung]]*Tabelle5[[#This Row],[installierte Leistung MW]]</f>
        <v>0</v>
      </c>
      <c r="Q17" s="9">
        <v>0.75</v>
      </c>
      <c r="R17" s="9">
        <f>(1-Tabelle5[[#This Row],[Mindestauslastung]])</f>
        <v>0.25</v>
      </c>
      <c r="S17" s="19"/>
      <c r="T17" s="19"/>
      <c r="U17" s="9"/>
      <c r="V17" s="19"/>
      <c r="AE17" s="79" t="s">
        <v>1104</v>
      </c>
      <c r="AF17" s="79" t="s">
        <v>1104</v>
      </c>
      <c r="AH17" s="13" t="s">
        <v>75</v>
      </c>
      <c r="AJ17" s="13" t="s">
        <v>76</v>
      </c>
      <c r="AK17" s="13" t="s">
        <v>105</v>
      </c>
      <c r="AL17" s="13" t="s">
        <v>76</v>
      </c>
      <c r="AM17" s="13" t="s">
        <v>76</v>
      </c>
      <c r="AN17" s="13" t="s">
        <v>76</v>
      </c>
    </row>
    <row r="18" spans="1:47" x14ac:dyDescent="0.25">
      <c r="A18" s="6" t="s">
        <v>79</v>
      </c>
      <c r="B18" s="1" t="s">
        <v>126</v>
      </c>
      <c r="C18" s="6">
        <v>2005</v>
      </c>
      <c r="D18" s="6">
        <v>1</v>
      </c>
      <c r="E18" s="6">
        <v>0</v>
      </c>
      <c r="F18" s="6">
        <v>0</v>
      </c>
      <c r="G18" s="6"/>
      <c r="H18" s="18"/>
      <c r="I18" s="18"/>
      <c r="J18" s="18">
        <v>60</v>
      </c>
      <c r="K18" s="18"/>
      <c r="L18" s="18"/>
      <c r="M18" s="18"/>
      <c r="N18" s="18"/>
      <c r="O18" s="80">
        <f>Tabelle5[[#This Row],[Potenzial pos. max MW]]</f>
        <v>60</v>
      </c>
      <c r="P18" s="18">
        <f>Tabelle5[[#This Row],[Mindestauslastung]]*Tabelle5[[#This Row],[installierte Leistung MW]]</f>
        <v>0</v>
      </c>
      <c r="Q18" s="16">
        <v>0</v>
      </c>
      <c r="R18" s="16">
        <f>(1-Tabelle5[[#This Row],[Mindestauslastung]])</f>
        <v>1</v>
      </c>
      <c r="S18" s="19"/>
      <c r="T18" s="19"/>
      <c r="U18" s="9"/>
      <c r="V18" s="18"/>
      <c r="W18" s="6"/>
      <c r="X18" s="6"/>
      <c r="Y18" s="6"/>
      <c r="Z18" s="6"/>
      <c r="AA18" s="6"/>
      <c r="AB18" s="6"/>
      <c r="AC18" s="6" t="s">
        <v>80</v>
      </c>
      <c r="AD18" s="6"/>
      <c r="AE18" s="79" t="s">
        <v>1104</v>
      </c>
      <c r="AF18" s="79" t="s">
        <v>1104</v>
      </c>
      <c r="AG18" s="6"/>
      <c r="AH18" s="14" t="s">
        <v>92</v>
      </c>
      <c r="AI18" s="6"/>
      <c r="AJ18" s="14" t="s">
        <v>76</v>
      </c>
      <c r="AK18" s="14" t="s">
        <v>105</v>
      </c>
      <c r="AL18" s="14" t="s">
        <v>76</v>
      </c>
      <c r="AM18" s="14" t="s">
        <v>76</v>
      </c>
      <c r="AN18" s="14" t="s">
        <v>76</v>
      </c>
      <c r="AO18" s="6">
        <v>69</v>
      </c>
      <c r="AP18" s="6"/>
      <c r="AQ18" s="6"/>
      <c r="AR18" s="6">
        <v>69</v>
      </c>
      <c r="AS18" s="6"/>
      <c r="AT18" s="6">
        <v>62</v>
      </c>
      <c r="AU18" s="6"/>
    </row>
    <row r="19" spans="1:47" x14ac:dyDescent="0.25">
      <c r="A19" s="1" t="s">
        <v>79</v>
      </c>
      <c r="B19" s="1" t="s">
        <v>126</v>
      </c>
      <c r="C19" s="1">
        <v>2020</v>
      </c>
      <c r="D19" s="1">
        <v>1</v>
      </c>
      <c r="E19" s="1">
        <v>0</v>
      </c>
      <c r="F19" s="1">
        <v>0</v>
      </c>
      <c r="H19" s="19"/>
      <c r="I19" s="19"/>
      <c r="J19" s="19">
        <v>60</v>
      </c>
      <c r="K19" s="19"/>
      <c r="L19" s="19"/>
      <c r="M19" s="19"/>
      <c r="N19" s="19"/>
      <c r="O19" s="80">
        <f>Tabelle5[[#This Row],[Potenzial pos. max MW]]</f>
        <v>60</v>
      </c>
      <c r="P19" s="19">
        <f>Tabelle5[[#This Row],[Mindestauslastung]]*Tabelle5[[#This Row],[installierte Leistung MW]]</f>
        <v>0</v>
      </c>
      <c r="Q19" s="9">
        <v>0</v>
      </c>
      <c r="R19" s="9">
        <f>(1-Tabelle5[[#This Row],[Mindestauslastung]])</f>
        <v>1</v>
      </c>
      <c r="S19" s="19"/>
      <c r="T19" s="19"/>
      <c r="U19" s="9"/>
      <c r="V19" s="19"/>
      <c r="AC19" s="1" t="s">
        <v>80</v>
      </c>
      <c r="AE19" s="79" t="s">
        <v>1104</v>
      </c>
      <c r="AF19" s="79" t="s">
        <v>1104</v>
      </c>
      <c r="AH19" s="13" t="s">
        <v>75</v>
      </c>
      <c r="AJ19" s="13" t="s">
        <v>76</v>
      </c>
      <c r="AK19" s="13" t="s">
        <v>105</v>
      </c>
      <c r="AL19" s="13" t="s">
        <v>76</v>
      </c>
      <c r="AM19" s="13" t="s">
        <v>76</v>
      </c>
      <c r="AN19" s="13" t="s">
        <v>76</v>
      </c>
      <c r="AO19" s="1">
        <v>69</v>
      </c>
      <c r="AR19" s="1">
        <v>69</v>
      </c>
      <c r="AT19" s="1">
        <v>62</v>
      </c>
    </row>
    <row r="20" spans="1:47" x14ac:dyDescent="0.25">
      <c r="A20" s="6" t="s">
        <v>81</v>
      </c>
      <c r="B20" s="1" t="s">
        <v>126</v>
      </c>
      <c r="C20" s="6">
        <v>2005</v>
      </c>
      <c r="D20" s="6">
        <v>0</v>
      </c>
      <c r="E20" s="6">
        <v>1</v>
      </c>
      <c r="F20" s="6">
        <v>0</v>
      </c>
      <c r="G20" s="6">
        <v>6.8</v>
      </c>
      <c r="H20" s="18"/>
      <c r="I20" s="18"/>
      <c r="J20" s="19"/>
      <c r="K20" s="18">
        <v>400</v>
      </c>
      <c r="L20" s="18"/>
      <c r="M20" s="18"/>
      <c r="N20" s="18"/>
      <c r="O20" s="80"/>
      <c r="P20" s="18">
        <f>Tabelle5[[#This Row],[Mindestauslastung]]*Tabelle5[[#This Row],[installierte Leistung MW]]</f>
        <v>400</v>
      </c>
      <c r="Q20" s="16">
        <v>0.5</v>
      </c>
      <c r="R20" s="16">
        <f>(1-Tabelle5[[#This Row],[Mindestauslastung]])</f>
        <v>0.5</v>
      </c>
      <c r="S20" s="19"/>
      <c r="T20" s="19"/>
      <c r="U20" s="9"/>
      <c r="V20" s="18">
        <v>800</v>
      </c>
      <c r="W20" s="6">
        <v>4</v>
      </c>
      <c r="X20" s="6">
        <v>4</v>
      </c>
      <c r="Y20" s="6"/>
      <c r="Z20" s="6"/>
      <c r="AA20" s="6">
        <v>40</v>
      </c>
      <c r="AB20" s="6">
        <v>40</v>
      </c>
      <c r="AC20" s="6"/>
      <c r="AD20" s="6"/>
      <c r="AE20" s="79" t="s">
        <v>1104</v>
      </c>
      <c r="AF20" s="79" t="s">
        <v>1104</v>
      </c>
      <c r="AG20" s="6">
        <v>69</v>
      </c>
      <c r="AH20" s="14" t="s">
        <v>82</v>
      </c>
      <c r="AI20" s="6"/>
      <c r="AJ20" s="14" t="s">
        <v>83</v>
      </c>
      <c r="AK20" s="14" t="s">
        <v>105</v>
      </c>
      <c r="AL20" s="14" t="s">
        <v>83</v>
      </c>
      <c r="AM20" s="14" t="s">
        <v>83</v>
      </c>
      <c r="AN20" s="14" t="s">
        <v>83</v>
      </c>
      <c r="AO20" s="6">
        <v>69</v>
      </c>
      <c r="AP20" s="6"/>
      <c r="AQ20" s="6"/>
      <c r="AR20" s="6">
        <v>69</v>
      </c>
      <c r="AS20" s="6"/>
      <c r="AT20" s="6"/>
      <c r="AU20" s="6"/>
    </row>
    <row r="21" spans="1:47" x14ac:dyDescent="0.25">
      <c r="A21" s="1" t="s">
        <v>81</v>
      </c>
      <c r="B21" s="1" t="s">
        <v>126</v>
      </c>
      <c r="C21" s="1">
        <v>2020</v>
      </c>
      <c r="D21" s="1">
        <v>0</v>
      </c>
      <c r="E21" s="1">
        <v>1</v>
      </c>
      <c r="F21" s="1">
        <v>0</v>
      </c>
      <c r="H21" s="19"/>
      <c r="I21" s="19"/>
      <c r="J21" s="19"/>
      <c r="K21" s="19">
        <f>Tabelle5[[#This Row],[Mindestauslastung]]*Tabelle5[[#This Row],[installierte Leistung MW]]</f>
        <v>350</v>
      </c>
      <c r="L21" s="19"/>
      <c r="M21" s="19"/>
      <c r="N21" s="19"/>
      <c r="O21" s="80"/>
      <c r="P21" s="19">
        <f>Tabelle5[[#This Row],[Mindestauslastung]]*Tabelle5[[#This Row],[installierte Leistung MW]]</f>
        <v>350</v>
      </c>
      <c r="Q21" s="9">
        <v>0.5</v>
      </c>
      <c r="R21" s="9">
        <f>(1-Tabelle5[[#This Row],[Mindestauslastung]])</f>
        <v>0.5</v>
      </c>
      <c r="S21" s="19"/>
      <c r="T21" s="19"/>
      <c r="U21" s="9"/>
      <c r="V21" s="19">
        <v>700</v>
      </c>
      <c r="W21" s="1">
        <v>4</v>
      </c>
      <c r="X21" s="1">
        <v>4</v>
      </c>
      <c r="AA21" s="1">
        <v>40</v>
      </c>
      <c r="AB21" s="1">
        <v>40</v>
      </c>
      <c r="AE21" s="79" t="s">
        <v>1104</v>
      </c>
      <c r="AF21" s="79" t="s">
        <v>1104</v>
      </c>
      <c r="AH21" s="13" t="s">
        <v>82</v>
      </c>
      <c r="AJ21" s="13" t="s">
        <v>83</v>
      </c>
      <c r="AK21" s="13" t="s">
        <v>105</v>
      </c>
      <c r="AL21" s="13" t="s">
        <v>83</v>
      </c>
      <c r="AM21" s="13" t="s">
        <v>83</v>
      </c>
      <c r="AN21" s="13" t="s">
        <v>83</v>
      </c>
      <c r="AO21" s="1">
        <v>69</v>
      </c>
      <c r="AR21" s="1">
        <v>69</v>
      </c>
    </row>
    <row r="22" spans="1:47" x14ac:dyDescent="0.25">
      <c r="A22" s="1" t="s">
        <v>938</v>
      </c>
      <c r="B22" s="1" t="s">
        <v>126</v>
      </c>
      <c r="C22" s="6">
        <v>2005</v>
      </c>
      <c r="D22" s="6">
        <v>1</v>
      </c>
      <c r="E22" s="6">
        <v>1</v>
      </c>
      <c r="F22" s="6">
        <v>0</v>
      </c>
      <c r="G22" s="6">
        <v>3.2</v>
      </c>
      <c r="H22" s="18">
        <v>90</v>
      </c>
      <c r="I22" s="18">
        <v>180</v>
      </c>
      <c r="J22" s="18">
        <v>235</v>
      </c>
      <c r="K22" s="18">
        <v>235</v>
      </c>
      <c r="L22" s="18"/>
      <c r="M22" s="18">
        <v>90</v>
      </c>
      <c r="N22" s="19">
        <f>Tabelle5[[#This Row],[Potenzial pos. MW Durchschnitt]]</f>
        <v>180</v>
      </c>
      <c r="O22" s="80">
        <f>Tabelle5[[#This Row],[Potenzial pos. max MW]]</f>
        <v>235</v>
      </c>
      <c r="P22" s="18">
        <f>180*Tabelle5[[#This Row],[flexibilisierbarer Anteil an installierter Leistung]]</f>
        <v>90</v>
      </c>
      <c r="Q22" s="16">
        <f>Tabelle5[[#This Row],[Mindestleistung MW]]/Tabelle5[[#This Row],[installierte Leistung MW]]</f>
        <v>0.19148936170212766</v>
      </c>
      <c r="R22" s="16">
        <v>0.5</v>
      </c>
      <c r="S22" s="18">
        <v>360</v>
      </c>
      <c r="T22" s="18">
        <v>470</v>
      </c>
      <c r="U22" s="16"/>
      <c r="V22" s="18">
        <f>Tabelle5[[#This Row],[Maximalleistung MW]]</f>
        <v>470</v>
      </c>
      <c r="W22" s="6">
        <v>3</v>
      </c>
      <c r="X22" s="6">
        <v>3</v>
      </c>
      <c r="Y22" s="6"/>
      <c r="Z22" s="6"/>
      <c r="AA22" s="6">
        <v>365</v>
      </c>
      <c r="AB22" s="6">
        <v>365</v>
      </c>
      <c r="AC22" s="6"/>
      <c r="AD22" s="6"/>
      <c r="AE22" s="79" t="s">
        <v>1104</v>
      </c>
      <c r="AF22" s="79" t="s">
        <v>1104</v>
      </c>
      <c r="AG22" s="6">
        <v>69</v>
      </c>
      <c r="AH22" s="14" t="s">
        <v>85</v>
      </c>
      <c r="AI22" s="6"/>
      <c r="AJ22" s="14" t="s">
        <v>86</v>
      </c>
      <c r="AK22" s="14" t="s">
        <v>105</v>
      </c>
      <c r="AL22" s="14" t="s">
        <v>86</v>
      </c>
      <c r="AM22" s="14" t="s">
        <v>86</v>
      </c>
      <c r="AN22" s="14" t="s">
        <v>86</v>
      </c>
      <c r="AO22" s="6">
        <v>69</v>
      </c>
      <c r="AP22" s="6"/>
      <c r="AQ22" s="6"/>
      <c r="AR22" s="6">
        <v>69</v>
      </c>
      <c r="AS22" s="6"/>
      <c r="AT22" s="6"/>
      <c r="AU22" s="6"/>
    </row>
    <row r="23" spans="1:47" x14ac:dyDescent="0.25">
      <c r="A23" s="1" t="s">
        <v>938</v>
      </c>
      <c r="B23" s="1" t="s">
        <v>126</v>
      </c>
      <c r="C23" s="1">
        <v>2020</v>
      </c>
      <c r="D23" s="1">
        <v>1</v>
      </c>
      <c r="E23" s="1">
        <v>1</v>
      </c>
      <c r="F23" s="1">
        <v>0</v>
      </c>
      <c r="H23" s="19">
        <v>90</v>
      </c>
      <c r="I23" s="19">
        <v>180</v>
      </c>
      <c r="J23" s="19">
        <v>235</v>
      </c>
      <c r="K23" s="19">
        <v>235</v>
      </c>
      <c r="L23" s="19"/>
      <c r="M23" s="19">
        <v>90</v>
      </c>
      <c r="N23" s="19">
        <f>Tabelle5[[#This Row],[Potenzial pos. MW Durchschnitt]]</f>
        <v>180</v>
      </c>
      <c r="O23" s="80">
        <f>Tabelle5[[#This Row],[Potenzial pos. max MW]]</f>
        <v>235</v>
      </c>
      <c r="P23" s="19">
        <f>180*Tabelle5[[#This Row],[flexibilisierbarer Anteil an installierter Leistung]]</f>
        <v>90</v>
      </c>
      <c r="Q23" s="9">
        <f>Tabelle5[[#This Row],[Mindestleistung MW]]/Tabelle5[[#This Row],[installierte Leistung MW]]</f>
        <v>0.19148936170212766</v>
      </c>
      <c r="R23" s="9">
        <v>0.5</v>
      </c>
      <c r="S23" s="19">
        <v>360</v>
      </c>
      <c r="T23" s="19">
        <v>470</v>
      </c>
      <c r="U23" s="9"/>
      <c r="V23" s="19">
        <f>Tabelle5[[#This Row],[Maximalleistung MW]]</f>
        <v>470</v>
      </c>
      <c r="W23" s="1">
        <v>3</v>
      </c>
      <c r="X23" s="1">
        <v>3</v>
      </c>
      <c r="AA23" s="1">
        <v>365</v>
      </c>
      <c r="AB23" s="1">
        <v>365</v>
      </c>
      <c r="AC23" s="1" t="s">
        <v>87</v>
      </c>
      <c r="AE23" s="79" t="s">
        <v>1104</v>
      </c>
      <c r="AF23" s="79" t="s">
        <v>1104</v>
      </c>
      <c r="AH23" s="13" t="s">
        <v>85</v>
      </c>
      <c r="AJ23" s="13" t="s">
        <v>86</v>
      </c>
      <c r="AK23" s="13" t="s">
        <v>105</v>
      </c>
      <c r="AL23" s="13" t="s">
        <v>86</v>
      </c>
      <c r="AM23" s="13" t="s">
        <v>86</v>
      </c>
      <c r="AN23" s="13" t="s">
        <v>86</v>
      </c>
      <c r="AO23" s="1">
        <v>69</v>
      </c>
      <c r="AR23" s="1">
        <v>69</v>
      </c>
      <c r="AT23" s="1">
        <v>66</v>
      </c>
    </row>
    <row r="24" spans="1:47" x14ac:dyDescent="0.25">
      <c r="A24" s="1" t="s">
        <v>88</v>
      </c>
      <c r="B24" s="1" t="s">
        <v>126</v>
      </c>
      <c r="C24" s="1">
        <v>2005</v>
      </c>
      <c r="D24" s="6">
        <v>1</v>
      </c>
      <c r="E24" s="6">
        <v>1</v>
      </c>
      <c r="F24" s="6">
        <v>0</v>
      </c>
      <c r="G24" s="6">
        <v>4</v>
      </c>
      <c r="H24" s="19"/>
      <c r="I24" s="19">
        <v>450</v>
      </c>
      <c r="J24" s="19">
        <v>570</v>
      </c>
      <c r="K24" s="19">
        <v>570</v>
      </c>
      <c r="L24" s="19">
        <v>270</v>
      </c>
      <c r="M24" s="19"/>
      <c r="N24" s="19">
        <f>Tabelle5[[#This Row],[Potenzial pos. MW Durchschnitt]]</f>
        <v>450</v>
      </c>
      <c r="O24" s="80">
        <f>Tabelle5[[#This Row],[Potenzial pos. max MW]]</f>
        <v>570</v>
      </c>
      <c r="P24" s="19">
        <f>450-450</f>
        <v>0</v>
      </c>
      <c r="Q24" s="9">
        <f>1-Tabelle5[[#This Row],[flexibilisierbarer Anteil an installierter Leistung]]</f>
        <v>0.5</v>
      </c>
      <c r="R24" s="9">
        <v>0.5</v>
      </c>
      <c r="S24" s="19">
        <f>(450+570)/2</f>
        <v>510</v>
      </c>
      <c r="T24" s="19"/>
      <c r="U24" s="9"/>
      <c r="V24" s="19"/>
      <c r="W24" s="1">
        <v>2</v>
      </c>
      <c r="X24" s="1">
        <v>2</v>
      </c>
      <c r="AA24" s="1">
        <v>365</v>
      </c>
      <c r="AB24" s="1">
        <v>365</v>
      </c>
      <c r="AC24" s="1" t="s">
        <v>89</v>
      </c>
      <c r="AE24" s="79" t="s">
        <v>1104</v>
      </c>
      <c r="AF24" s="79" t="s">
        <v>1104</v>
      </c>
      <c r="AG24" s="6">
        <v>69</v>
      </c>
      <c r="AH24" s="13" t="s">
        <v>93</v>
      </c>
      <c r="AJ24" s="13" t="s">
        <v>91</v>
      </c>
      <c r="AK24" s="13" t="s">
        <v>105</v>
      </c>
      <c r="AL24" s="13" t="s">
        <v>91</v>
      </c>
      <c r="AM24" s="13" t="s">
        <v>91</v>
      </c>
      <c r="AN24" s="13" t="s">
        <v>91</v>
      </c>
      <c r="AO24" s="1">
        <v>69</v>
      </c>
      <c r="AR24" s="1">
        <v>69</v>
      </c>
      <c r="AT24" s="1">
        <v>67</v>
      </c>
    </row>
    <row r="25" spans="1:47" ht="13" x14ac:dyDescent="0.3">
      <c r="A25" s="1" t="s">
        <v>88</v>
      </c>
      <c r="B25" s="1" t="s">
        <v>126</v>
      </c>
      <c r="C25" s="1">
        <v>2020</v>
      </c>
      <c r="D25" s="1">
        <v>1</v>
      </c>
      <c r="E25" s="1">
        <v>1</v>
      </c>
      <c r="F25" s="1">
        <v>0</v>
      </c>
      <c r="H25" s="19"/>
      <c r="I25" s="19">
        <v>450</v>
      </c>
      <c r="J25" s="19">
        <v>570</v>
      </c>
      <c r="K25" s="19">
        <v>570</v>
      </c>
      <c r="L25" s="19">
        <v>270</v>
      </c>
      <c r="M25" s="119"/>
      <c r="N25" s="19">
        <f>Tabelle5[[#This Row],[Potenzial pos. MW Durchschnitt]]</f>
        <v>450</v>
      </c>
      <c r="O25" s="80">
        <f>Tabelle5[[#This Row],[Potenzial pos. max MW]]</f>
        <v>570</v>
      </c>
      <c r="P25" s="19">
        <f>450-450</f>
        <v>0</v>
      </c>
      <c r="Q25" s="9">
        <f>1-Tabelle5[[#This Row],[flexibilisierbarer Anteil an installierter Leistung]]</f>
        <v>0.5</v>
      </c>
      <c r="R25" s="9">
        <v>0.5</v>
      </c>
      <c r="S25" s="19">
        <f>(450+570)/2</f>
        <v>510</v>
      </c>
      <c r="T25" s="19"/>
      <c r="U25" s="9"/>
      <c r="V25" s="19"/>
      <c r="W25" s="1">
        <v>2</v>
      </c>
      <c r="X25" s="1">
        <v>2</v>
      </c>
      <c r="AA25" s="1">
        <v>365</v>
      </c>
      <c r="AB25" s="1">
        <v>365</v>
      </c>
      <c r="AC25" s="1" t="s">
        <v>89</v>
      </c>
      <c r="AE25" s="79" t="s">
        <v>1104</v>
      </c>
      <c r="AF25" s="79" t="s">
        <v>1104</v>
      </c>
      <c r="AH25" s="13" t="s">
        <v>90</v>
      </c>
      <c r="AJ25" s="13" t="s">
        <v>91</v>
      </c>
      <c r="AK25" s="13" t="s">
        <v>105</v>
      </c>
      <c r="AL25" s="13" t="s">
        <v>91</v>
      </c>
      <c r="AM25" s="13" t="s">
        <v>91</v>
      </c>
      <c r="AN25" s="13" t="s">
        <v>91</v>
      </c>
      <c r="AO25" s="1">
        <v>69</v>
      </c>
      <c r="AR25" s="1">
        <v>69</v>
      </c>
      <c r="AT25" s="1">
        <v>67</v>
      </c>
    </row>
    <row r="26" spans="1:47" x14ac:dyDescent="0.25">
      <c r="A26" s="1" t="s">
        <v>208</v>
      </c>
      <c r="B26" s="1" t="s">
        <v>126</v>
      </c>
      <c r="C26" s="1">
        <v>2005</v>
      </c>
      <c r="D26" s="6">
        <v>1</v>
      </c>
      <c r="E26" s="6">
        <v>1</v>
      </c>
      <c r="F26" s="6">
        <v>0</v>
      </c>
      <c r="G26" s="6">
        <v>21.9</v>
      </c>
      <c r="H26" s="19"/>
      <c r="I26" s="19"/>
      <c r="J26" s="19">
        <v>320</v>
      </c>
      <c r="K26" s="19">
        <v>320</v>
      </c>
      <c r="L26" s="19"/>
      <c r="M26" s="19"/>
      <c r="N26" s="19"/>
      <c r="O26" s="80">
        <f>Tabelle5[[#This Row],[Potenzial pos. max MW]]</f>
        <v>320</v>
      </c>
      <c r="P26" s="19">
        <v>100</v>
      </c>
      <c r="Q26" s="9">
        <f>Tabelle5[[#This Row],[Mindestleistung MW]]/Tabelle5[[#This Row],[installierte Leistung MW]]</f>
        <v>0.23809523809523808</v>
      </c>
      <c r="R26" s="9">
        <v>0.11</v>
      </c>
      <c r="S26" s="19"/>
      <c r="T26" s="19">
        <v>2909.090909090909</v>
      </c>
      <c r="U26" s="9"/>
      <c r="V26" s="19">
        <v>420</v>
      </c>
      <c r="W26" s="1">
        <v>2</v>
      </c>
      <c r="X26" s="1">
        <v>2</v>
      </c>
      <c r="AA26" s="1">
        <v>365</v>
      </c>
      <c r="AB26" s="1">
        <v>365</v>
      </c>
      <c r="AC26" s="1" t="s">
        <v>359</v>
      </c>
      <c r="AE26" s="79" t="s">
        <v>1104</v>
      </c>
      <c r="AF26" s="79" t="s">
        <v>1104</v>
      </c>
      <c r="AG26" s="6">
        <v>69</v>
      </c>
      <c r="AH26" s="13" t="s">
        <v>90</v>
      </c>
      <c r="AJ26" s="13" t="s">
        <v>91</v>
      </c>
      <c r="AK26" s="13" t="s">
        <v>105</v>
      </c>
      <c r="AL26" s="13" t="s">
        <v>91</v>
      </c>
      <c r="AM26" s="13" t="s">
        <v>91</v>
      </c>
      <c r="AN26" s="13" t="s">
        <v>91</v>
      </c>
      <c r="AO26" s="1">
        <v>69</v>
      </c>
      <c r="AR26" s="1">
        <v>69</v>
      </c>
    </row>
    <row r="27" spans="1:47" x14ac:dyDescent="0.25">
      <c r="A27" s="1" t="s">
        <v>208</v>
      </c>
      <c r="B27" s="1" t="s">
        <v>126</v>
      </c>
      <c r="C27" s="1">
        <v>2020</v>
      </c>
      <c r="D27" s="1">
        <v>1</v>
      </c>
      <c r="E27" s="1">
        <v>1</v>
      </c>
      <c r="F27" s="1">
        <v>0</v>
      </c>
      <c r="H27" s="19"/>
      <c r="I27" s="19"/>
      <c r="J27" s="19">
        <v>320</v>
      </c>
      <c r="K27" s="19">
        <v>320</v>
      </c>
      <c r="L27" s="19"/>
      <c r="M27" s="19"/>
      <c r="N27" s="19"/>
      <c r="O27" s="80">
        <f>Tabelle5[[#This Row],[Potenzial pos. max MW]]</f>
        <v>320</v>
      </c>
      <c r="P27" s="19">
        <v>100</v>
      </c>
      <c r="Q27" s="9">
        <f>Tabelle5[[#This Row],[Mindestleistung MW]]/Tabelle5[[#This Row],[installierte Leistung MW]]</f>
        <v>0.23809523809523808</v>
      </c>
      <c r="R27" s="9">
        <v>0.11</v>
      </c>
      <c r="S27" s="19"/>
      <c r="T27" s="19">
        <v>2909.090909090909</v>
      </c>
      <c r="U27" s="9"/>
      <c r="V27" s="19">
        <v>420</v>
      </c>
      <c r="W27" s="1">
        <v>2</v>
      </c>
      <c r="X27" s="1">
        <v>2</v>
      </c>
      <c r="AA27" s="1">
        <v>365</v>
      </c>
      <c r="AB27" s="1">
        <v>365</v>
      </c>
      <c r="AC27" s="1" t="s">
        <v>359</v>
      </c>
      <c r="AE27" s="79" t="s">
        <v>1104</v>
      </c>
      <c r="AF27" s="79" t="s">
        <v>1104</v>
      </c>
      <c r="AH27" s="13" t="s">
        <v>90</v>
      </c>
      <c r="AJ27" s="13" t="s">
        <v>91</v>
      </c>
      <c r="AK27" s="13" t="s">
        <v>105</v>
      </c>
      <c r="AL27" s="13" t="s">
        <v>91</v>
      </c>
      <c r="AM27" s="13" t="s">
        <v>91</v>
      </c>
      <c r="AN27" s="13" t="s">
        <v>91</v>
      </c>
      <c r="AO27" s="1">
        <v>69</v>
      </c>
      <c r="AR27" s="1">
        <v>69</v>
      </c>
    </row>
    <row r="28" spans="1:47" x14ac:dyDescent="0.25">
      <c r="A28" s="1" t="s">
        <v>403</v>
      </c>
      <c r="B28" s="1" t="s">
        <v>127</v>
      </c>
      <c r="C28" s="1">
        <v>2005</v>
      </c>
      <c r="D28" s="6">
        <v>1</v>
      </c>
      <c r="E28" s="6">
        <v>0</v>
      </c>
      <c r="F28" s="6">
        <v>0</v>
      </c>
      <c r="G28" s="6"/>
      <c r="H28" s="19"/>
      <c r="I28" s="19"/>
      <c r="J28" s="19">
        <v>685</v>
      </c>
      <c r="K28" s="19"/>
      <c r="L28" s="19"/>
      <c r="M28" s="19"/>
      <c r="N28" s="19"/>
      <c r="O28" s="80">
        <f>Tabelle5[[#This Row],[Potenzial pos. max MW]]</f>
        <v>685</v>
      </c>
      <c r="P28" s="19">
        <v>0</v>
      </c>
      <c r="Q28" s="9"/>
      <c r="R28" s="9">
        <v>0.63</v>
      </c>
      <c r="S28" s="19"/>
      <c r="T28" s="19"/>
      <c r="U28" s="9"/>
      <c r="V28" s="19">
        <v>1094</v>
      </c>
      <c r="W28" s="1">
        <v>2</v>
      </c>
      <c r="AA28" s="1">
        <v>365</v>
      </c>
      <c r="AC28" s="1" t="s">
        <v>98</v>
      </c>
      <c r="AD28" s="1" t="s">
        <v>1122</v>
      </c>
      <c r="AE28" s="79" t="s">
        <v>1104</v>
      </c>
      <c r="AF28" s="79" t="s">
        <v>1104</v>
      </c>
      <c r="AH28" s="13" t="s">
        <v>106</v>
      </c>
      <c r="AJ28" s="13" t="s">
        <v>107</v>
      </c>
      <c r="AK28" s="13" t="s">
        <v>107</v>
      </c>
      <c r="AL28" s="13" t="s">
        <v>107</v>
      </c>
      <c r="AM28" s="13" t="s">
        <v>107</v>
      </c>
      <c r="AN28" s="13" t="s">
        <v>107</v>
      </c>
      <c r="AO28" s="1">
        <v>79</v>
      </c>
      <c r="AR28" s="1">
        <v>79</v>
      </c>
      <c r="AT28" s="1">
        <v>73</v>
      </c>
    </row>
    <row r="29" spans="1:47" x14ac:dyDescent="0.25">
      <c r="A29" s="1" t="s">
        <v>403</v>
      </c>
      <c r="B29" s="1" t="s">
        <v>127</v>
      </c>
      <c r="C29" s="1">
        <v>2020</v>
      </c>
      <c r="D29" s="1">
        <v>1</v>
      </c>
      <c r="E29" s="1">
        <v>0</v>
      </c>
      <c r="F29" s="1">
        <v>0</v>
      </c>
      <c r="H29" s="19"/>
      <c r="I29" s="19"/>
      <c r="J29" s="19">
        <f>625/470*J28</f>
        <v>910.90425531914889</v>
      </c>
      <c r="K29" s="19"/>
      <c r="L29" s="19"/>
      <c r="M29" s="19"/>
      <c r="N29" s="19"/>
      <c r="O29" s="80">
        <f>Tabelle5[[#This Row],[Potenzial pos. max MW]]</f>
        <v>910.90425531914889</v>
      </c>
      <c r="P29" s="19">
        <v>0</v>
      </c>
      <c r="Q29" s="9"/>
      <c r="R29" s="9">
        <v>0.63</v>
      </c>
      <c r="S29" s="19"/>
      <c r="T29" s="19"/>
      <c r="U29" s="9"/>
      <c r="V29" s="19">
        <f>625/470*V28</f>
        <v>1454.7872340425531</v>
      </c>
      <c r="W29" s="1">
        <v>2</v>
      </c>
      <c r="AA29" s="1">
        <v>365</v>
      </c>
      <c r="AC29" s="1" t="s">
        <v>108</v>
      </c>
      <c r="AD29" s="1" t="s">
        <v>1122</v>
      </c>
      <c r="AE29" s="79" t="s">
        <v>1104</v>
      </c>
      <c r="AF29" s="79" t="s">
        <v>1104</v>
      </c>
      <c r="AH29" s="13" t="s">
        <v>106</v>
      </c>
      <c r="AJ29" s="13" t="s">
        <v>107</v>
      </c>
      <c r="AK29" s="13" t="s">
        <v>107</v>
      </c>
      <c r="AL29" s="13" t="s">
        <v>107</v>
      </c>
      <c r="AM29" s="13" t="s">
        <v>107</v>
      </c>
      <c r="AN29" s="13" t="s">
        <v>107</v>
      </c>
      <c r="AO29" s="1">
        <v>79</v>
      </c>
      <c r="AR29" s="1">
        <v>79</v>
      </c>
      <c r="AT29" s="1">
        <v>73</v>
      </c>
    </row>
    <row r="30" spans="1:47" x14ac:dyDescent="0.25">
      <c r="A30" s="1" t="s">
        <v>1121</v>
      </c>
      <c r="B30" s="1" t="s">
        <v>127</v>
      </c>
      <c r="C30" s="1">
        <v>2005</v>
      </c>
      <c r="D30" s="6">
        <v>1</v>
      </c>
      <c r="E30" s="6">
        <v>0</v>
      </c>
      <c r="F30" s="6">
        <v>0</v>
      </c>
      <c r="G30" s="6"/>
      <c r="H30" s="19"/>
      <c r="I30" s="19"/>
      <c r="J30" s="19">
        <v>200</v>
      </c>
      <c r="K30" s="19"/>
      <c r="L30" s="19"/>
      <c r="M30" s="19"/>
      <c r="N30" s="19"/>
      <c r="O30" s="80">
        <f>Tabelle5[[#This Row],[Potenzial pos. max MW]]</f>
        <v>200</v>
      </c>
      <c r="P30" s="19">
        <v>0</v>
      </c>
      <c r="Q30" s="9">
        <v>0</v>
      </c>
      <c r="R30" s="9">
        <f>(1-Tabelle5[[#This Row],[Mindestauslastung]])</f>
        <v>1</v>
      </c>
      <c r="S30" s="19"/>
      <c r="T30" s="19"/>
      <c r="U30" s="9"/>
      <c r="V30" s="19">
        <v>200</v>
      </c>
      <c r="W30" s="1">
        <v>2</v>
      </c>
      <c r="AA30" s="1">
        <v>365</v>
      </c>
      <c r="AE30" s="79" t="s">
        <v>1104</v>
      </c>
      <c r="AF30" s="79" t="s">
        <v>1104</v>
      </c>
      <c r="AH30" s="13" t="s">
        <v>109</v>
      </c>
      <c r="AJ30" s="13" t="s">
        <v>110</v>
      </c>
      <c r="AK30" s="13" t="s">
        <v>110</v>
      </c>
      <c r="AL30" s="13" t="s">
        <v>110</v>
      </c>
      <c r="AM30" s="13" t="s">
        <v>110</v>
      </c>
      <c r="AN30" s="13" t="s">
        <v>110</v>
      </c>
      <c r="AO30" s="1">
        <v>79</v>
      </c>
      <c r="AR30" s="1">
        <v>79</v>
      </c>
    </row>
    <row r="31" spans="1:47" x14ac:dyDescent="0.25">
      <c r="A31" s="1" t="s">
        <v>1121</v>
      </c>
      <c r="B31" s="1" t="s">
        <v>127</v>
      </c>
      <c r="C31" s="1">
        <v>2020</v>
      </c>
      <c r="D31" s="1">
        <v>1</v>
      </c>
      <c r="E31" s="1">
        <v>0</v>
      </c>
      <c r="F31" s="1">
        <v>0</v>
      </c>
      <c r="H31" s="19"/>
      <c r="I31" s="19"/>
      <c r="J31" s="19">
        <v>200</v>
      </c>
      <c r="K31" s="19"/>
      <c r="L31" s="19"/>
      <c r="M31" s="19"/>
      <c r="N31" s="19"/>
      <c r="O31" s="80">
        <f>Tabelle5[[#This Row],[Potenzial pos. max MW]]</f>
        <v>200</v>
      </c>
      <c r="P31" s="19">
        <v>0</v>
      </c>
      <c r="Q31" s="9">
        <v>0</v>
      </c>
      <c r="R31" s="9">
        <f>(1-Tabelle5[[#This Row],[Mindestauslastung]])</f>
        <v>1</v>
      </c>
      <c r="S31" s="19"/>
      <c r="T31" s="19"/>
      <c r="U31" s="9"/>
      <c r="V31" s="19">
        <v>200</v>
      </c>
      <c r="W31" s="1">
        <v>2</v>
      </c>
      <c r="AA31" s="1">
        <v>365</v>
      </c>
      <c r="AE31" s="79" t="s">
        <v>1104</v>
      </c>
      <c r="AF31" s="79" t="s">
        <v>1104</v>
      </c>
      <c r="AH31" s="13" t="s">
        <v>109</v>
      </c>
      <c r="AJ31" s="13" t="s">
        <v>110</v>
      </c>
      <c r="AK31" s="13" t="s">
        <v>110</v>
      </c>
      <c r="AL31" s="13" t="s">
        <v>110</v>
      </c>
      <c r="AM31" s="13" t="s">
        <v>110</v>
      </c>
      <c r="AN31" s="13" t="s">
        <v>110</v>
      </c>
      <c r="AO31" s="1">
        <v>79</v>
      </c>
      <c r="AR31" s="1">
        <v>79</v>
      </c>
    </row>
    <row r="32" spans="1:47" x14ac:dyDescent="0.25">
      <c r="A32" s="1" t="s">
        <v>99</v>
      </c>
      <c r="B32" s="1" t="s">
        <v>127</v>
      </c>
      <c r="C32" s="1">
        <v>2005</v>
      </c>
      <c r="D32" s="6">
        <v>1</v>
      </c>
      <c r="E32" s="6">
        <v>0</v>
      </c>
      <c r="F32" s="6">
        <v>0</v>
      </c>
      <c r="G32" s="6"/>
      <c r="H32" s="19"/>
      <c r="I32" s="19"/>
      <c r="J32" s="19">
        <v>280</v>
      </c>
      <c r="K32" s="19"/>
      <c r="L32" s="19"/>
      <c r="M32" s="19"/>
      <c r="N32" s="19"/>
      <c r="O32" s="80">
        <f>Tabelle5[[#This Row],[Potenzial pos. max MW]]</f>
        <v>280</v>
      </c>
      <c r="P32" s="19">
        <f>Tabelle5[[#This Row],[Mindestauslastung]]*Tabelle5[[#This Row],[Maximalleistung MW]]</f>
        <v>0</v>
      </c>
      <c r="Q32" s="9">
        <v>0.5</v>
      </c>
      <c r="R32" s="9">
        <v>0.5</v>
      </c>
      <c r="S32" s="19"/>
      <c r="T32" s="19"/>
      <c r="U32" s="9"/>
      <c r="V32" s="19"/>
      <c r="W32" s="1">
        <v>1</v>
      </c>
      <c r="AA32" s="1">
        <v>365</v>
      </c>
      <c r="AE32" s="79" t="s">
        <v>1104</v>
      </c>
      <c r="AF32" s="79" t="s">
        <v>1104</v>
      </c>
      <c r="AH32" s="13">
        <v>79</v>
      </c>
      <c r="AJ32" s="13" t="s">
        <v>111</v>
      </c>
      <c r="AK32" s="13" t="s">
        <v>111</v>
      </c>
      <c r="AL32" s="13" t="s">
        <v>111</v>
      </c>
      <c r="AM32" s="13" t="s">
        <v>111</v>
      </c>
      <c r="AN32" s="13" t="s">
        <v>111</v>
      </c>
      <c r="AO32" s="1">
        <v>79</v>
      </c>
      <c r="AR32" s="1">
        <v>79</v>
      </c>
      <c r="AU32" s="1" t="s">
        <v>112</v>
      </c>
    </row>
    <row r="33" spans="1:47" x14ac:dyDescent="0.25">
      <c r="A33" s="1" t="s">
        <v>99</v>
      </c>
      <c r="B33" s="1" t="s">
        <v>127</v>
      </c>
      <c r="C33" s="1">
        <v>2020</v>
      </c>
      <c r="D33" s="1">
        <v>1</v>
      </c>
      <c r="E33" s="1">
        <v>0</v>
      </c>
      <c r="F33" s="1">
        <v>0</v>
      </c>
      <c r="H33" s="19"/>
      <c r="I33" s="19"/>
      <c r="J33" s="19">
        <v>280</v>
      </c>
      <c r="K33" s="19"/>
      <c r="L33" s="19"/>
      <c r="M33" s="19"/>
      <c r="N33" s="19"/>
      <c r="O33" s="80">
        <f>Tabelle5[[#This Row],[Potenzial pos. max MW]]</f>
        <v>280</v>
      </c>
      <c r="P33" s="19">
        <f>Tabelle5[[#This Row],[Mindestauslastung]]*Tabelle5[[#This Row],[Maximalleistung MW]]</f>
        <v>0</v>
      </c>
      <c r="Q33" s="9">
        <v>0.5</v>
      </c>
      <c r="R33" s="9">
        <v>0.5</v>
      </c>
      <c r="S33" s="19"/>
      <c r="T33" s="19"/>
      <c r="U33" s="9"/>
      <c r="V33" s="19"/>
      <c r="W33" s="1">
        <v>1</v>
      </c>
      <c r="AA33" s="1">
        <v>365</v>
      </c>
      <c r="AE33" s="79" t="s">
        <v>1104</v>
      </c>
      <c r="AF33" s="79" t="s">
        <v>1104</v>
      </c>
      <c r="AH33" s="13">
        <v>79</v>
      </c>
      <c r="AJ33" s="13" t="s">
        <v>111</v>
      </c>
      <c r="AK33" s="13" t="s">
        <v>111</v>
      </c>
      <c r="AL33" s="13" t="s">
        <v>111</v>
      </c>
      <c r="AM33" s="13" t="s">
        <v>111</v>
      </c>
      <c r="AN33" s="13" t="s">
        <v>111</v>
      </c>
      <c r="AO33" s="1">
        <v>79</v>
      </c>
      <c r="AR33" s="1">
        <v>79</v>
      </c>
      <c r="AU33" s="1" t="s">
        <v>112</v>
      </c>
    </row>
    <row r="34" spans="1:47" x14ac:dyDescent="0.25">
      <c r="A34" s="1" t="s">
        <v>100</v>
      </c>
      <c r="B34" s="1" t="s">
        <v>127</v>
      </c>
      <c r="C34" s="1">
        <v>2005</v>
      </c>
      <c r="D34" s="6">
        <v>1</v>
      </c>
      <c r="E34" s="6">
        <v>0</v>
      </c>
      <c r="F34" s="6">
        <v>0</v>
      </c>
      <c r="G34" s="6"/>
      <c r="H34" s="19"/>
      <c r="I34" s="19"/>
      <c r="J34" s="19">
        <v>1750</v>
      </c>
      <c r="K34" s="19"/>
      <c r="L34" s="19"/>
      <c r="M34" s="19"/>
      <c r="N34" s="19"/>
      <c r="O34" s="80">
        <f>Tabelle5[[#This Row],[Potenzial pos. max MW]]</f>
        <v>1750</v>
      </c>
      <c r="P34" s="19">
        <f>Tabelle5[[#This Row],[Mindestauslastung]]*Tabelle5[[#This Row],[Maximalleistung MW]]</f>
        <v>0</v>
      </c>
      <c r="Q34" s="9">
        <v>0.25</v>
      </c>
      <c r="R34" s="9">
        <v>0.75</v>
      </c>
      <c r="S34" s="19"/>
      <c r="T34" s="19"/>
      <c r="U34" s="9"/>
      <c r="V34" s="19">
        <v>2340</v>
      </c>
      <c r="W34" s="1">
        <v>1</v>
      </c>
      <c r="AA34" s="1">
        <v>30</v>
      </c>
      <c r="AE34" s="79" t="s">
        <v>1104</v>
      </c>
      <c r="AF34" s="79" t="s">
        <v>1104</v>
      </c>
      <c r="AH34" s="13" t="s">
        <v>116</v>
      </c>
      <c r="AJ34" s="13" t="s">
        <v>116</v>
      </c>
      <c r="AK34" s="13" t="s">
        <v>117</v>
      </c>
      <c r="AL34" s="13" t="s">
        <v>117</v>
      </c>
      <c r="AM34" s="13" t="s">
        <v>117</v>
      </c>
      <c r="AN34" s="13" t="s">
        <v>117</v>
      </c>
      <c r="AO34" s="1">
        <v>79</v>
      </c>
      <c r="AR34" s="1">
        <v>79</v>
      </c>
    </row>
    <row r="35" spans="1:47" x14ac:dyDescent="0.25">
      <c r="A35" s="1" t="s">
        <v>100</v>
      </c>
      <c r="B35" s="1" t="s">
        <v>127</v>
      </c>
      <c r="C35" s="1">
        <v>2020</v>
      </c>
      <c r="D35" s="1">
        <v>1</v>
      </c>
      <c r="E35" s="1">
        <v>0</v>
      </c>
      <c r="F35" s="1">
        <v>0</v>
      </c>
      <c r="H35" s="19"/>
      <c r="I35" s="19"/>
      <c r="J35" s="19">
        <f>Tabelle5[[#This Row],[installierte Leistung MW]]/V34*J34</f>
        <v>3657.0512820512822</v>
      </c>
      <c r="K35" s="19"/>
      <c r="L35" s="19"/>
      <c r="M35" s="19"/>
      <c r="N35" s="19"/>
      <c r="O35" s="80">
        <f>Tabelle5[[#This Row],[Potenzial pos. max MW]]</f>
        <v>3657.0512820512822</v>
      </c>
      <c r="P35" s="19">
        <f>Tabelle5[[#This Row],[Mindestauslastung]]*Tabelle5[[#This Row],[Maximalleistung MW]]</f>
        <v>0</v>
      </c>
      <c r="Q35" s="9">
        <v>0.25</v>
      </c>
      <c r="R35" s="9">
        <v>0.75</v>
      </c>
      <c r="S35" s="19"/>
      <c r="T35" s="19"/>
      <c r="U35" s="9"/>
      <c r="V35" s="19">
        <f>V34+(2020-2005)*(6590-V34)/(2030-2005)</f>
        <v>4890</v>
      </c>
      <c r="W35" s="1">
        <v>1</v>
      </c>
      <c r="AA35" s="1">
        <v>30</v>
      </c>
      <c r="AC35" s="1" t="s">
        <v>121</v>
      </c>
      <c r="AE35" s="79" t="s">
        <v>1104</v>
      </c>
      <c r="AF35" s="79" t="s">
        <v>1104</v>
      </c>
      <c r="AH35" s="13" t="s">
        <v>115</v>
      </c>
      <c r="AJ35" s="13" t="s">
        <v>115</v>
      </c>
      <c r="AK35" s="13" t="s">
        <v>115</v>
      </c>
      <c r="AL35" s="13" t="s">
        <v>115</v>
      </c>
      <c r="AM35" s="13" t="s">
        <v>115</v>
      </c>
      <c r="AN35" s="13" t="s">
        <v>115</v>
      </c>
      <c r="AO35" s="1">
        <v>79</v>
      </c>
      <c r="AR35" s="1">
        <v>79</v>
      </c>
      <c r="AU35" s="1" t="s">
        <v>115</v>
      </c>
    </row>
    <row r="36" spans="1:47" x14ac:dyDescent="0.25">
      <c r="A36" s="1" t="s">
        <v>101</v>
      </c>
      <c r="B36" s="1" t="s">
        <v>127</v>
      </c>
      <c r="C36" s="1">
        <v>2005</v>
      </c>
      <c r="D36" s="6">
        <v>1</v>
      </c>
      <c r="E36" s="6">
        <v>0</v>
      </c>
      <c r="F36" s="6">
        <v>0</v>
      </c>
      <c r="G36" s="6"/>
      <c r="H36" s="19"/>
      <c r="I36" s="19"/>
      <c r="J36" s="19">
        <v>2800</v>
      </c>
      <c r="K36" s="19"/>
      <c r="L36" s="19"/>
      <c r="M36" s="19"/>
      <c r="N36" s="19"/>
      <c r="O36" s="80">
        <f>Tabelle5[[#This Row],[Potenzial pos. max MW]]</f>
        <v>2800</v>
      </c>
      <c r="P36" s="19">
        <f>Tabelle5[[#This Row],[Mindestauslastung]]*Tabelle5[[#This Row],[Maximalleistung MW]]</f>
        <v>0</v>
      </c>
      <c r="Q36" s="9">
        <v>0.25</v>
      </c>
      <c r="R36" s="9">
        <v>0.75</v>
      </c>
      <c r="S36" s="19"/>
      <c r="T36" s="19"/>
      <c r="U36" s="9"/>
      <c r="V36" s="19">
        <v>3740</v>
      </c>
      <c r="W36" s="1">
        <v>1</v>
      </c>
      <c r="AA36" s="1">
        <v>30</v>
      </c>
      <c r="AE36" s="79" t="s">
        <v>1104</v>
      </c>
      <c r="AF36" s="79" t="s">
        <v>1104</v>
      </c>
      <c r="AH36" s="13" t="s">
        <v>116</v>
      </c>
      <c r="AJ36" s="13" t="s">
        <v>116</v>
      </c>
      <c r="AK36" s="13" t="s">
        <v>117</v>
      </c>
      <c r="AL36" s="13" t="s">
        <v>117</v>
      </c>
      <c r="AM36" s="13" t="s">
        <v>117</v>
      </c>
      <c r="AN36" s="13" t="s">
        <v>117</v>
      </c>
      <c r="AO36" s="1">
        <v>79</v>
      </c>
      <c r="AR36" s="1">
        <v>79</v>
      </c>
    </row>
    <row r="37" spans="1:47" x14ac:dyDescent="0.25">
      <c r="A37" s="1" t="s">
        <v>101</v>
      </c>
      <c r="B37" s="1" t="s">
        <v>127</v>
      </c>
      <c r="C37" s="1">
        <v>2020</v>
      </c>
      <c r="D37" s="1">
        <v>1</v>
      </c>
      <c r="E37" s="1">
        <v>0</v>
      </c>
      <c r="F37" s="1">
        <v>0</v>
      </c>
      <c r="H37" s="19"/>
      <c r="I37" s="19"/>
      <c r="J37" s="19">
        <f>Tabelle5[[#This Row],[installierte Leistung MW]]/V36*J36</f>
        <v>4156.5775401069513</v>
      </c>
      <c r="K37" s="19"/>
      <c r="L37" s="19"/>
      <c r="M37" s="19"/>
      <c r="N37" s="19"/>
      <c r="O37" s="80">
        <f>Tabelle5[[#This Row],[Potenzial pos. max MW]]</f>
        <v>4156.5775401069513</v>
      </c>
      <c r="P37" s="19">
        <f>Tabelle5[[#This Row],[Mindestauslastung]]*Tabelle5[[#This Row],[Maximalleistung MW]]</f>
        <v>0</v>
      </c>
      <c r="Q37" s="9">
        <v>0.25</v>
      </c>
      <c r="R37" s="9">
        <v>0.75</v>
      </c>
      <c r="S37" s="19"/>
      <c r="T37" s="19"/>
      <c r="U37" s="9"/>
      <c r="V37" s="19">
        <f>V36+(2020-2005)*(6760-V36)/(2030-2005)</f>
        <v>5552</v>
      </c>
      <c r="W37" s="1">
        <v>1</v>
      </c>
      <c r="AA37" s="1">
        <v>30</v>
      </c>
      <c r="AC37" s="1" t="s">
        <v>121</v>
      </c>
      <c r="AE37" s="79" t="s">
        <v>1104</v>
      </c>
      <c r="AF37" s="79" t="s">
        <v>1104</v>
      </c>
      <c r="AH37" s="13" t="s">
        <v>115</v>
      </c>
      <c r="AJ37" s="13" t="s">
        <v>115</v>
      </c>
      <c r="AK37" s="13" t="s">
        <v>115</v>
      </c>
      <c r="AL37" s="13" t="s">
        <v>115</v>
      </c>
      <c r="AM37" s="13" t="s">
        <v>115</v>
      </c>
      <c r="AN37" s="13" t="s">
        <v>115</v>
      </c>
      <c r="AO37" s="1">
        <v>79</v>
      </c>
      <c r="AR37" s="1">
        <v>79</v>
      </c>
      <c r="AU37" s="1" t="s">
        <v>115</v>
      </c>
    </row>
    <row r="38" spans="1:47" x14ac:dyDescent="0.25">
      <c r="A38" s="1" t="s">
        <v>102</v>
      </c>
      <c r="B38" s="1" t="s">
        <v>127</v>
      </c>
      <c r="C38" s="1">
        <v>2005</v>
      </c>
      <c r="D38" s="6">
        <v>1</v>
      </c>
      <c r="E38" s="6">
        <v>0</v>
      </c>
      <c r="F38" s="6">
        <v>0</v>
      </c>
      <c r="G38" s="6"/>
      <c r="H38" s="19"/>
      <c r="I38" s="19"/>
      <c r="J38" s="19">
        <v>420</v>
      </c>
      <c r="K38" s="19"/>
      <c r="L38" s="19"/>
      <c r="M38" s="19"/>
      <c r="N38" s="19"/>
      <c r="O38" s="80">
        <f>Tabelle5[[#This Row],[Potenzial pos. max MW]]</f>
        <v>420</v>
      </c>
      <c r="P38" s="19">
        <f>Tabelle5[[#This Row],[Mindestauslastung]]*Tabelle5[[#This Row],[Maximalleistung MW]]</f>
        <v>0</v>
      </c>
      <c r="Q38" s="9">
        <v>0.25</v>
      </c>
      <c r="R38" s="9">
        <v>0.75</v>
      </c>
      <c r="S38" s="19"/>
      <c r="T38" s="19"/>
      <c r="U38" s="9"/>
      <c r="V38" s="19">
        <f>Tabelle5[[#This Row],[Potenzial pos. max MW]]/Tabelle5[[#This Row],[flexibilisierbarer Anteil an installierter Leistung]]</f>
        <v>560</v>
      </c>
      <c r="W38" s="1">
        <v>1</v>
      </c>
      <c r="AA38" s="1">
        <v>30</v>
      </c>
      <c r="AE38" s="79" t="s">
        <v>1104</v>
      </c>
      <c r="AF38" s="79" t="s">
        <v>1104</v>
      </c>
      <c r="AH38" s="13" t="s">
        <v>116</v>
      </c>
      <c r="AJ38" s="13" t="s">
        <v>116</v>
      </c>
      <c r="AK38" s="13" t="s">
        <v>117</v>
      </c>
      <c r="AL38" s="13" t="s">
        <v>117</v>
      </c>
      <c r="AM38" s="13" t="s">
        <v>117</v>
      </c>
      <c r="AN38" s="13" t="s">
        <v>117</v>
      </c>
      <c r="AO38" s="1">
        <v>79</v>
      </c>
      <c r="AR38" s="1">
        <v>79</v>
      </c>
    </row>
    <row r="39" spans="1:47" x14ac:dyDescent="0.25">
      <c r="A39" s="1" t="s">
        <v>102</v>
      </c>
      <c r="B39" s="1" t="s">
        <v>127</v>
      </c>
      <c r="C39" s="1">
        <v>2020</v>
      </c>
      <c r="D39" s="1">
        <v>1</v>
      </c>
      <c r="E39" s="1">
        <v>0</v>
      </c>
      <c r="F39" s="1">
        <v>0</v>
      </c>
      <c r="H39" s="19"/>
      <c r="I39" s="19"/>
      <c r="J39" s="19">
        <f>Tabelle5[[#This Row],[installierte Leistung MW]]/V38*J38</f>
        <v>870.00000000000011</v>
      </c>
      <c r="K39" s="19"/>
      <c r="L39" s="19"/>
      <c r="M39" s="19"/>
      <c r="N39" s="19"/>
      <c r="O39" s="80">
        <f>Tabelle5[[#This Row],[Potenzial pos. max MW]]</f>
        <v>870.00000000000011</v>
      </c>
      <c r="P39" s="19">
        <f>Tabelle5[[#This Row],[Mindestauslastung]]*Tabelle5[[#This Row],[Maximalleistung MW]]</f>
        <v>0</v>
      </c>
      <c r="Q39" s="9">
        <v>0.25</v>
      </c>
      <c r="R39" s="9">
        <v>0.75</v>
      </c>
      <c r="S39" s="19"/>
      <c r="T39" s="19"/>
      <c r="U39" s="9"/>
      <c r="V39" s="19">
        <f>V38+(2020-2005)*(1560-V38)/(2030-2005)</f>
        <v>1160</v>
      </c>
      <c r="W39" s="1">
        <v>1</v>
      </c>
      <c r="AA39" s="1">
        <v>30</v>
      </c>
      <c r="AC39" s="1" t="s">
        <v>121</v>
      </c>
      <c r="AE39" s="79" t="s">
        <v>1104</v>
      </c>
      <c r="AF39" s="79" t="s">
        <v>1104</v>
      </c>
      <c r="AH39" s="13" t="s">
        <v>115</v>
      </c>
      <c r="AJ39" s="13" t="s">
        <v>115</v>
      </c>
      <c r="AK39" s="13" t="s">
        <v>115</v>
      </c>
      <c r="AL39" s="13" t="s">
        <v>115</v>
      </c>
      <c r="AM39" s="13" t="s">
        <v>115</v>
      </c>
      <c r="AN39" s="13" t="s">
        <v>115</v>
      </c>
      <c r="AO39" s="1">
        <v>79</v>
      </c>
      <c r="AR39" s="1">
        <v>79</v>
      </c>
      <c r="AU39" s="1" t="s">
        <v>115</v>
      </c>
    </row>
    <row r="40" spans="1:47" x14ac:dyDescent="0.25">
      <c r="A40" s="1" t="s">
        <v>103</v>
      </c>
      <c r="B40" s="1" t="s">
        <v>127</v>
      </c>
      <c r="C40" s="1">
        <v>2005</v>
      </c>
      <c r="D40" s="6">
        <v>1</v>
      </c>
      <c r="E40" s="6">
        <v>0</v>
      </c>
      <c r="F40" s="6">
        <v>0</v>
      </c>
      <c r="G40" s="6"/>
      <c r="H40" s="19"/>
      <c r="I40" s="19"/>
      <c r="J40" s="19">
        <v>340</v>
      </c>
      <c r="K40" s="19"/>
      <c r="L40" s="19"/>
      <c r="M40" s="19"/>
      <c r="N40" s="19"/>
      <c r="O40" s="80">
        <f>Tabelle5[[#This Row],[Potenzial pos. max MW]]</f>
        <v>340</v>
      </c>
      <c r="P40" s="19">
        <f>Tabelle5[[#This Row],[Mindestauslastung]]*Tabelle5[[#This Row],[Maximalleistung MW]]</f>
        <v>0</v>
      </c>
      <c r="Q40" s="9">
        <v>0.25</v>
      </c>
      <c r="R40" s="9">
        <v>0.75</v>
      </c>
      <c r="S40" s="19"/>
      <c r="T40" s="19"/>
      <c r="U40" s="9"/>
      <c r="V40" s="19">
        <v>450</v>
      </c>
      <c r="W40" s="1">
        <v>1</v>
      </c>
      <c r="AA40" s="1">
        <v>30</v>
      </c>
      <c r="AE40" s="79" t="s">
        <v>1104</v>
      </c>
      <c r="AF40" s="79" t="s">
        <v>1104</v>
      </c>
      <c r="AH40" s="13" t="s">
        <v>116</v>
      </c>
      <c r="AJ40" s="13" t="s">
        <v>116</v>
      </c>
      <c r="AK40" s="13" t="s">
        <v>117</v>
      </c>
      <c r="AL40" s="13" t="s">
        <v>117</v>
      </c>
      <c r="AM40" s="13" t="s">
        <v>117</v>
      </c>
      <c r="AN40" s="13" t="s">
        <v>117</v>
      </c>
      <c r="AO40" s="1">
        <v>79</v>
      </c>
      <c r="AR40" s="1">
        <v>79</v>
      </c>
    </row>
    <row r="41" spans="1:47" x14ac:dyDescent="0.25">
      <c r="A41" s="1" t="s">
        <v>103</v>
      </c>
      <c r="B41" s="1" t="s">
        <v>127</v>
      </c>
      <c r="C41" s="1">
        <v>2020</v>
      </c>
      <c r="D41" s="1">
        <v>1</v>
      </c>
      <c r="E41" s="1">
        <v>0</v>
      </c>
      <c r="F41" s="1">
        <v>0</v>
      </c>
      <c r="H41" s="19"/>
      <c r="I41" s="19"/>
      <c r="J41" s="19">
        <f>Tabelle5[[#This Row],[installierte Leistung MW]]/V40*J40</f>
        <v>648.26666666666665</v>
      </c>
      <c r="K41" s="19"/>
      <c r="L41" s="19"/>
      <c r="M41" s="19"/>
      <c r="N41" s="19"/>
      <c r="O41" s="80">
        <f>Tabelle5[[#This Row],[Potenzial pos. max MW]]</f>
        <v>648.26666666666665</v>
      </c>
      <c r="P41" s="19">
        <f>Tabelle5[[#This Row],[Mindestauslastung]]*Tabelle5[[#This Row],[Maximalleistung MW]]</f>
        <v>0</v>
      </c>
      <c r="Q41" s="9">
        <v>0.25</v>
      </c>
      <c r="R41" s="9">
        <v>0.75</v>
      </c>
      <c r="S41" s="19"/>
      <c r="T41" s="19"/>
      <c r="U41" s="9"/>
      <c r="V41" s="19">
        <f>V40+(2020-2005)*(1130-V40)/(2030-2005)</f>
        <v>858</v>
      </c>
      <c r="W41" s="1">
        <v>1</v>
      </c>
      <c r="AA41" s="1">
        <v>30</v>
      </c>
      <c r="AC41" s="1" t="s">
        <v>121</v>
      </c>
      <c r="AE41" s="79" t="s">
        <v>1104</v>
      </c>
      <c r="AF41" s="79" t="s">
        <v>1104</v>
      </c>
      <c r="AH41" s="13" t="s">
        <v>115</v>
      </c>
      <c r="AJ41" s="13" t="s">
        <v>115</v>
      </c>
      <c r="AK41" s="13" t="s">
        <v>115</v>
      </c>
      <c r="AL41" s="13" t="s">
        <v>115</v>
      </c>
      <c r="AM41" s="13" t="s">
        <v>115</v>
      </c>
      <c r="AN41" s="13" t="s">
        <v>115</v>
      </c>
      <c r="AO41" s="1">
        <v>79</v>
      </c>
      <c r="AR41" s="1">
        <v>79</v>
      </c>
      <c r="AU41" s="1" t="s">
        <v>115</v>
      </c>
    </row>
    <row r="42" spans="1:47" x14ac:dyDescent="0.25">
      <c r="A42" s="1" t="s">
        <v>208</v>
      </c>
      <c r="B42" s="1" t="s">
        <v>127</v>
      </c>
      <c r="C42" s="1">
        <v>2005</v>
      </c>
      <c r="D42" s="6">
        <v>1</v>
      </c>
      <c r="E42" s="6">
        <v>0</v>
      </c>
      <c r="F42" s="6">
        <v>0</v>
      </c>
      <c r="G42" s="6"/>
      <c r="H42" s="19"/>
      <c r="I42" s="19"/>
      <c r="J42" s="19">
        <v>900</v>
      </c>
      <c r="K42" s="19"/>
      <c r="L42" s="19"/>
      <c r="M42" s="19"/>
      <c r="N42" s="19"/>
      <c r="O42" s="80">
        <f>Tabelle5[[#This Row],[Potenzial pos. max MW]]</f>
        <v>900</v>
      </c>
      <c r="P42" s="19">
        <f>Tabelle5[[#This Row],[Mindestauslastung]]*Tabelle5[[#This Row],[Maximalleistung MW]]</f>
        <v>0</v>
      </c>
      <c r="Q42" s="9"/>
      <c r="R42" s="9">
        <v>0.5</v>
      </c>
      <c r="S42" s="19">
        <f>(1500+1800)/2</f>
        <v>1650</v>
      </c>
      <c r="T42" s="19"/>
      <c r="U42" s="9"/>
      <c r="V42" s="19"/>
      <c r="W42" s="1">
        <v>1</v>
      </c>
      <c r="AA42" s="1">
        <v>365</v>
      </c>
      <c r="AE42" s="79" t="s">
        <v>1104</v>
      </c>
      <c r="AF42" s="79" t="s">
        <v>1104</v>
      </c>
      <c r="AH42" s="13" t="s">
        <v>118</v>
      </c>
      <c r="AJ42" s="13" t="s">
        <v>119</v>
      </c>
      <c r="AK42" s="13" t="s">
        <v>119</v>
      </c>
      <c r="AL42" s="13" t="s">
        <v>119</v>
      </c>
      <c r="AM42" s="13" t="s">
        <v>119</v>
      </c>
      <c r="AN42" s="13" t="s">
        <v>119</v>
      </c>
      <c r="AO42" s="1">
        <v>79</v>
      </c>
      <c r="AR42" s="1">
        <v>79</v>
      </c>
    </row>
    <row r="43" spans="1:47" x14ac:dyDescent="0.25">
      <c r="A43" s="1" t="s">
        <v>208</v>
      </c>
      <c r="B43" s="1" t="s">
        <v>127</v>
      </c>
      <c r="C43" s="1">
        <v>2020</v>
      </c>
      <c r="D43" s="1">
        <v>1</v>
      </c>
      <c r="E43" s="1">
        <v>0</v>
      </c>
      <c r="F43" s="1">
        <v>0</v>
      </c>
      <c r="H43" s="19"/>
      <c r="I43" s="19"/>
      <c r="J43" s="19">
        <v>900</v>
      </c>
      <c r="K43" s="19"/>
      <c r="L43" s="19"/>
      <c r="M43" s="19"/>
      <c r="N43" s="19"/>
      <c r="O43" s="80">
        <f>Tabelle5[[#This Row],[Potenzial pos. max MW]]</f>
        <v>900</v>
      </c>
      <c r="P43" s="19">
        <f>Tabelle5[[#This Row],[Mindestauslastung]]*Tabelle5[[#This Row],[Maximalleistung MW]]</f>
        <v>0</v>
      </c>
      <c r="Q43" s="9"/>
      <c r="R43" s="9">
        <v>0.5</v>
      </c>
      <c r="S43" s="19">
        <f>(1500+1800)/2</f>
        <v>1650</v>
      </c>
      <c r="T43" s="19"/>
      <c r="U43" s="9"/>
      <c r="V43" s="19"/>
      <c r="W43" s="1">
        <v>1</v>
      </c>
      <c r="AA43" s="1">
        <v>365</v>
      </c>
      <c r="AE43" s="79" t="s">
        <v>1104</v>
      </c>
      <c r="AF43" s="79" t="s">
        <v>1104</v>
      </c>
      <c r="AH43" s="13" t="s">
        <v>118</v>
      </c>
      <c r="AJ43" s="13" t="s">
        <v>119</v>
      </c>
      <c r="AK43" s="13" t="s">
        <v>119</v>
      </c>
      <c r="AL43" s="13" t="s">
        <v>119</v>
      </c>
      <c r="AM43" s="13" t="s">
        <v>119</v>
      </c>
      <c r="AN43" s="13" t="s">
        <v>119</v>
      </c>
      <c r="AO43" s="1">
        <v>79</v>
      </c>
      <c r="AR43" s="1">
        <v>79</v>
      </c>
    </row>
    <row r="44" spans="1:47" x14ac:dyDescent="0.25">
      <c r="A44" s="1" t="s">
        <v>136</v>
      </c>
      <c r="B44" s="1" t="s">
        <v>127</v>
      </c>
      <c r="C44" s="1">
        <v>2005</v>
      </c>
      <c r="D44" s="6">
        <v>1</v>
      </c>
      <c r="E44" s="6">
        <v>0</v>
      </c>
      <c r="F44" s="6">
        <v>0</v>
      </c>
      <c r="G44" s="6"/>
      <c r="H44" s="19"/>
      <c r="I44" s="19"/>
      <c r="J44" s="19">
        <v>465</v>
      </c>
      <c r="K44" s="19"/>
      <c r="L44" s="19"/>
      <c r="M44" s="19"/>
      <c r="N44" s="19"/>
      <c r="O44" s="80">
        <f>Tabelle5[[#This Row],[Potenzial pos. max MW]]</f>
        <v>465</v>
      </c>
      <c r="P44" s="19">
        <f>Tabelle5[[#This Row],[Mindestauslastung]]*Tabelle5[[#This Row],[Maximalleistung MW]]</f>
        <v>0</v>
      </c>
      <c r="Q44" s="9"/>
      <c r="R44" s="9">
        <v>0.25</v>
      </c>
      <c r="S44" s="19">
        <v>1900</v>
      </c>
      <c r="T44" s="19"/>
      <c r="U44" s="9"/>
      <c r="V44" s="19"/>
      <c r="W44" s="1">
        <v>12</v>
      </c>
      <c r="Z44" s="1">
        <v>8</v>
      </c>
      <c r="AA44" s="1">
        <v>365</v>
      </c>
      <c r="AE44" s="79" t="s">
        <v>1104</v>
      </c>
      <c r="AF44" s="79" t="s">
        <v>1104</v>
      </c>
      <c r="AH44" s="13" t="s">
        <v>122</v>
      </c>
      <c r="AJ44" s="13" t="s">
        <v>123</v>
      </c>
      <c r="AK44" s="13" t="s">
        <v>123</v>
      </c>
      <c r="AL44" s="13" t="s">
        <v>123</v>
      </c>
      <c r="AM44" s="13" t="s">
        <v>123</v>
      </c>
      <c r="AN44" s="13" t="s">
        <v>123</v>
      </c>
      <c r="AO44" s="1">
        <v>79</v>
      </c>
      <c r="AQ44" s="1">
        <v>78</v>
      </c>
      <c r="AR44" s="1">
        <v>79</v>
      </c>
    </row>
    <row r="45" spans="1:47" x14ac:dyDescent="0.25">
      <c r="A45" s="1" t="s">
        <v>136</v>
      </c>
      <c r="B45" s="1" t="s">
        <v>127</v>
      </c>
      <c r="C45" s="1">
        <v>2020</v>
      </c>
      <c r="D45" s="1">
        <v>1</v>
      </c>
      <c r="E45" s="1">
        <v>0</v>
      </c>
      <c r="F45" s="1">
        <v>0</v>
      </c>
      <c r="H45" s="19"/>
      <c r="I45" s="19"/>
      <c r="J45" s="19">
        <v>465</v>
      </c>
      <c r="K45" s="19"/>
      <c r="L45" s="19"/>
      <c r="M45" s="19"/>
      <c r="N45" s="19"/>
      <c r="O45" s="80">
        <f>Tabelle5[[#This Row],[Potenzial pos. max MW]]</f>
        <v>465</v>
      </c>
      <c r="P45" s="19">
        <f>Tabelle5[[#This Row],[Mindestauslastung]]*Tabelle5[[#This Row],[Maximalleistung MW]]</f>
        <v>0</v>
      </c>
      <c r="Q45" s="9"/>
      <c r="R45" s="9">
        <v>0.25</v>
      </c>
      <c r="S45" s="19">
        <v>1900</v>
      </c>
      <c r="T45" s="19"/>
      <c r="U45" s="9"/>
      <c r="V45" s="19"/>
      <c r="W45" s="1">
        <v>12</v>
      </c>
      <c r="Z45" s="1">
        <v>8</v>
      </c>
      <c r="AA45" s="1">
        <v>365</v>
      </c>
      <c r="AE45" s="79" t="s">
        <v>1104</v>
      </c>
      <c r="AF45" s="79" t="s">
        <v>1104</v>
      </c>
      <c r="AH45" s="13" t="s">
        <v>122</v>
      </c>
      <c r="AJ45" s="13" t="s">
        <v>123</v>
      </c>
      <c r="AK45" s="13" t="s">
        <v>123</v>
      </c>
      <c r="AL45" s="13" t="s">
        <v>123</v>
      </c>
      <c r="AM45" s="13" t="s">
        <v>123</v>
      </c>
      <c r="AN45" s="13" t="s">
        <v>123</v>
      </c>
      <c r="AO45" s="1">
        <v>79</v>
      </c>
      <c r="AQ45" s="1">
        <v>78</v>
      </c>
      <c r="AR45" s="1">
        <v>79</v>
      </c>
    </row>
    <row r="46" spans="1:47" x14ac:dyDescent="0.25">
      <c r="A46" s="1" t="s">
        <v>137</v>
      </c>
      <c r="B46" s="1" t="s">
        <v>127</v>
      </c>
      <c r="C46" s="1">
        <v>2005</v>
      </c>
      <c r="D46" s="6">
        <v>1</v>
      </c>
      <c r="E46" s="6">
        <v>0</v>
      </c>
      <c r="F46" s="6">
        <v>0</v>
      </c>
      <c r="G46" s="6"/>
      <c r="H46" s="19"/>
      <c r="I46" s="19"/>
      <c r="J46" s="19">
        <v>2080</v>
      </c>
      <c r="K46" s="19"/>
      <c r="L46" s="19"/>
      <c r="M46" s="19"/>
      <c r="N46" s="19"/>
      <c r="O46" s="80">
        <f>Tabelle5[[#This Row],[Potenzial pos. max MW]]</f>
        <v>2080</v>
      </c>
      <c r="P46" s="19">
        <f>Tabelle5[[#This Row],[Mindestauslastung]]*Tabelle5[[#This Row],[Maximalleistung MW]]</f>
        <v>0</v>
      </c>
      <c r="Q46" s="9"/>
      <c r="R46" s="9">
        <v>1</v>
      </c>
      <c r="S46" s="19"/>
      <c r="T46" s="19">
        <f>Tabelle5[[#This Row],[Potenzial pos. max MW]]/Tabelle5[[#This Row],[flexibilisierbarer Anteil an installierter Leistung]]</f>
        <v>2080</v>
      </c>
      <c r="U46" s="9">
        <f>Tabelle5[[#This Row],[Maximalleistung MW]]/Tabelle5[[#This Row],[installierte Leistung MW]]</f>
        <v>0.69333333333333336</v>
      </c>
      <c r="V46" s="19">
        <v>3000</v>
      </c>
      <c r="W46" s="1">
        <v>16</v>
      </c>
      <c r="AA46" s="1">
        <v>90</v>
      </c>
      <c r="AE46" s="79" t="s">
        <v>1104</v>
      </c>
      <c r="AF46" s="79" t="s">
        <v>1104</v>
      </c>
      <c r="AH46" s="13" t="s">
        <v>122</v>
      </c>
      <c r="AJ46" s="13" t="s">
        <v>123</v>
      </c>
      <c r="AK46" s="13" t="s">
        <v>123</v>
      </c>
      <c r="AL46" s="13" t="s">
        <v>123</v>
      </c>
      <c r="AM46" s="13" t="s">
        <v>123</v>
      </c>
      <c r="AN46" s="13" t="s">
        <v>123</v>
      </c>
      <c r="AO46" s="1">
        <v>79</v>
      </c>
      <c r="AR46" s="1">
        <v>79</v>
      </c>
    </row>
    <row r="47" spans="1:47" x14ac:dyDescent="0.25">
      <c r="A47" s="1" t="s">
        <v>137</v>
      </c>
      <c r="B47" s="1" t="s">
        <v>127</v>
      </c>
      <c r="C47" s="1">
        <v>2020</v>
      </c>
      <c r="D47" s="1">
        <v>1</v>
      </c>
      <c r="E47" s="1">
        <v>0</v>
      </c>
      <c r="F47" s="1">
        <v>0</v>
      </c>
      <c r="H47" s="19"/>
      <c r="I47" s="19"/>
      <c r="J47" s="19">
        <v>2080</v>
      </c>
      <c r="K47" s="19"/>
      <c r="L47" s="19"/>
      <c r="M47" s="19"/>
      <c r="N47" s="19"/>
      <c r="O47" s="80">
        <f>Tabelle5[[#This Row],[Potenzial pos. max MW]]</f>
        <v>2080</v>
      </c>
      <c r="P47" s="19">
        <f>Tabelle5[[#This Row],[Mindestauslastung]]*Tabelle5[[#This Row],[Maximalleistung MW]]</f>
        <v>0</v>
      </c>
      <c r="Q47" s="9"/>
      <c r="R47" s="9">
        <v>1</v>
      </c>
      <c r="S47" s="19"/>
      <c r="T47" s="19">
        <f>Tabelle5[[#This Row],[Potenzial pos. max MW]]/Tabelle5[[#This Row],[flexibilisierbarer Anteil an installierter Leistung]]</f>
        <v>2080</v>
      </c>
      <c r="U47" s="9">
        <f>Tabelle5[[#This Row],[Maximalleistung MW]]/Tabelle5[[#This Row],[installierte Leistung MW]]</f>
        <v>0.69333333333333336</v>
      </c>
      <c r="V47" s="19">
        <v>3000</v>
      </c>
      <c r="W47" s="1">
        <v>16</v>
      </c>
      <c r="AA47" s="1">
        <v>90</v>
      </c>
      <c r="AE47" s="79" t="s">
        <v>1104</v>
      </c>
      <c r="AF47" s="79" t="s">
        <v>1104</v>
      </c>
      <c r="AH47" s="13" t="s">
        <v>122</v>
      </c>
      <c r="AJ47" s="13" t="s">
        <v>123</v>
      </c>
      <c r="AK47" s="13" t="s">
        <v>123</v>
      </c>
      <c r="AL47" s="13" t="s">
        <v>123</v>
      </c>
      <c r="AM47" s="13" t="s">
        <v>123</v>
      </c>
      <c r="AN47" s="13" t="s">
        <v>123</v>
      </c>
      <c r="AO47" s="1">
        <v>79</v>
      </c>
      <c r="AR47" s="1">
        <v>79</v>
      </c>
    </row>
    <row r="48" spans="1:47" x14ac:dyDescent="0.25">
      <c r="A48" s="1" t="s">
        <v>124</v>
      </c>
      <c r="B48" s="1" t="s">
        <v>127</v>
      </c>
      <c r="C48" s="1">
        <v>2005</v>
      </c>
      <c r="D48" s="6">
        <v>1</v>
      </c>
      <c r="E48" s="6">
        <v>0</v>
      </c>
      <c r="F48" s="6">
        <v>0</v>
      </c>
      <c r="G48" s="6"/>
      <c r="H48" s="19"/>
      <c r="I48" s="19"/>
      <c r="J48" s="19">
        <v>400</v>
      </c>
      <c r="K48" s="19"/>
      <c r="L48" s="19"/>
      <c r="M48" s="19"/>
      <c r="N48" s="19"/>
      <c r="O48" s="80">
        <f>Tabelle5[[#This Row],[Potenzial pos. max MW]]</f>
        <v>400</v>
      </c>
      <c r="P48" s="19">
        <f>Tabelle5[[#This Row],[Mindestauslastung]]*Tabelle5[[#This Row],[Maximalleistung MW]]</f>
        <v>0</v>
      </c>
      <c r="Q48" s="9"/>
      <c r="R48" s="9">
        <v>1</v>
      </c>
      <c r="S48" s="19"/>
      <c r="T48" s="19"/>
      <c r="U48" s="9"/>
      <c r="V48" s="19">
        <v>400</v>
      </c>
      <c r="AE48" s="79" t="s">
        <v>1104</v>
      </c>
      <c r="AF48" s="79" t="s">
        <v>1104</v>
      </c>
      <c r="AH48" s="13" t="s">
        <v>125</v>
      </c>
      <c r="AJ48" s="13" t="s">
        <v>111</v>
      </c>
      <c r="AK48" s="13" t="s">
        <v>111</v>
      </c>
      <c r="AL48" s="13" t="s">
        <v>111</v>
      </c>
      <c r="AM48" s="13" t="s">
        <v>111</v>
      </c>
      <c r="AN48" s="13" t="s">
        <v>111</v>
      </c>
    </row>
    <row r="49" spans="1:47" x14ac:dyDescent="0.25">
      <c r="A49" s="1" t="s">
        <v>124</v>
      </c>
      <c r="B49" s="1" t="s">
        <v>127</v>
      </c>
      <c r="C49" s="1">
        <v>2020</v>
      </c>
      <c r="D49" s="1">
        <v>1</v>
      </c>
      <c r="E49" s="1">
        <v>0</v>
      </c>
      <c r="F49" s="1">
        <v>0</v>
      </c>
      <c r="H49" s="19"/>
      <c r="I49" s="19"/>
      <c r="J49" s="19">
        <v>400</v>
      </c>
      <c r="K49" s="19"/>
      <c r="L49" s="19"/>
      <c r="M49" s="19"/>
      <c r="N49" s="19"/>
      <c r="O49" s="80">
        <f>Tabelle5[[#This Row],[Potenzial pos. max MW]]</f>
        <v>400</v>
      </c>
      <c r="P49" s="19">
        <f>Tabelle5[[#This Row],[Mindestauslastung]]*Tabelle5[[#This Row],[Maximalleistung MW]]</f>
        <v>0</v>
      </c>
      <c r="Q49" s="9"/>
      <c r="R49" s="9">
        <v>1</v>
      </c>
      <c r="S49" s="19"/>
      <c r="T49" s="19"/>
      <c r="U49" s="9"/>
      <c r="V49" s="19">
        <v>400</v>
      </c>
      <c r="AE49" s="79" t="s">
        <v>1104</v>
      </c>
      <c r="AF49" s="79" t="s">
        <v>1104</v>
      </c>
      <c r="AH49" s="13" t="s">
        <v>125</v>
      </c>
      <c r="AJ49" s="13" t="s">
        <v>111</v>
      </c>
      <c r="AK49" s="13" t="s">
        <v>111</v>
      </c>
      <c r="AL49" s="13" t="s">
        <v>111</v>
      </c>
      <c r="AM49" s="13" t="s">
        <v>111</v>
      </c>
      <c r="AN49" s="13" t="s">
        <v>111</v>
      </c>
    </row>
    <row r="50" spans="1:47" x14ac:dyDescent="0.25">
      <c r="A50" s="1" t="s">
        <v>129</v>
      </c>
      <c r="B50" s="1" t="s">
        <v>139</v>
      </c>
      <c r="C50" s="1">
        <v>2005</v>
      </c>
      <c r="D50" s="6">
        <v>1</v>
      </c>
      <c r="E50" s="6">
        <v>0</v>
      </c>
      <c r="F50" s="6">
        <v>0</v>
      </c>
      <c r="G50" s="6"/>
      <c r="H50" s="19"/>
      <c r="I50" s="19"/>
      <c r="J50" s="19">
        <v>580</v>
      </c>
      <c r="K50" s="19"/>
      <c r="L50" s="19"/>
      <c r="M50" s="19"/>
      <c r="N50" s="19"/>
      <c r="O50" s="80">
        <f>Tabelle5[[#This Row],[Potenzial pos. max MW]]</f>
        <v>580</v>
      </c>
      <c r="P50" s="19">
        <f>Tabelle5[[#This Row],[Mindestauslastung]]*Tabelle5[[#This Row],[Maximalleistung MW]]</f>
        <v>0</v>
      </c>
      <c r="Q50" s="9"/>
      <c r="R50" s="9">
        <v>1</v>
      </c>
      <c r="S50" s="19">
        <f>150/8760*39*10^3</f>
        <v>667.80821917808214</v>
      </c>
      <c r="T50" s="19"/>
      <c r="U50" s="9"/>
      <c r="V50" s="19">
        <f>2.4*39*10^3</f>
        <v>93600</v>
      </c>
      <c r="W50" s="1">
        <v>24</v>
      </c>
      <c r="AA50" s="1">
        <v>90</v>
      </c>
      <c r="AC50" s="1" t="s">
        <v>142</v>
      </c>
      <c r="AE50" s="79" t="s">
        <v>1104</v>
      </c>
      <c r="AF50" s="79" t="s">
        <v>1104</v>
      </c>
      <c r="AH50" s="13">
        <v>85</v>
      </c>
      <c r="AJ50" s="13" t="s">
        <v>140</v>
      </c>
      <c r="AK50" s="13" t="s">
        <v>140</v>
      </c>
      <c r="AL50" s="13" t="s">
        <v>140</v>
      </c>
      <c r="AM50" s="13" t="s">
        <v>140</v>
      </c>
      <c r="AN50" s="13" t="s">
        <v>140</v>
      </c>
      <c r="AO50" s="1">
        <v>85</v>
      </c>
      <c r="AR50" s="1">
        <v>85</v>
      </c>
      <c r="AS50" s="1">
        <v>91</v>
      </c>
      <c r="AT50" s="1" t="s">
        <v>141</v>
      </c>
      <c r="AU50" s="1" t="s">
        <v>143</v>
      </c>
    </row>
    <row r="51" spans="1:47" x14ac:dyDescent="0.25">
      <c r="A51" s="1" t="s">
        <v>129</v>
      </c>
      <c r="B51" s="1" t="s">
        <v>139</v>
      </c>
      <c r="C51" s="1">
        <v>2020</v>
      </c>
      <c r="D51" s="1">
        <v>1</v>
      </c>
      <c r="E51" s="1">
        <v>0</v>
      </c>
      <c r="F51" s="1">
        <v>0</v>
      </c>
      <c r="H51" s="19"/>
      <c r="I51" s="19"/>
      <c r="J51" s="19">
        <v>580</v>
      </c>
      <c r="K51" s="19"/>
      <c r="L51" s="19"/>
      <c r="M51" s="19"/>
      <c r="N51" s="19"/>
      <c r="O51" s="80">
        <f>Tabelle5[[#This Row],[Potenzial pos. max MW]]</f>
        <v>580</v>
      </c>
      <c r="P51" s="19">
        <f>Tabelle5[[#This Row],[Mindestauslastung]]*Tabelle5[[#This Row],[Maximalleistung MW]]</f>
        <v>0</v>
      </c>
      <c r="Q51" s="9"/>
      <c r="R51" s="9">
        <v>1</v>
      </c>
      <c r="S51" s="19">
        <f>150/8760*39*10^3</f>
        <v>667.80821917808214</v>
      </c>
      <c r="T51" s="19"/>
      <c r="U51" s="9"/>
      <c r="V51" s="19">
        <f>2.4*39*10^3</f>
        <v>93600</v>
      </c>
      <c r="W51" s="1">
        <v>24</v>
      </c>
      <c r="AA51" s="1">
        <v>90</v>
      </c>
      <c r="AC51" s="1" t="s">
        <v>142</v>
      </c>
      <c r="AE51" s="79" t="s">
        <v>1104</v>
      </c>
      <c r="AF51" s="79" t="s">
        <v>1104</v>
      </c>
      <c r="AH51" s="13">
        <v>85</v>
      </c>
      <c r="AJ51" s="13" t="s">
        <v>140</v>
      </c>
      <c r="AK51" s="13" t="s">
        <v>140</v>
      </c>
      <c r="AL51" s="13" t="s">
        <v>140</v>
      </c>
      <c r="AM51" s="13" t="s">
        <v>140</v>
      </c>
      <c r="AN51" s="13" t="s">
        <v>140</v>
      </c>
      <c r="AO51" s="1">
        <v>85</v>
      </c>
      <c r="AR51" s="1">
        <v>85</v>
      </c>
      <c r="AS51" s="1">
        <v>91</v>
      </c>
      <c r="AT51" s="1" t="s">
        <v>141</v>
      </c>
      <c r="AU51" s="1" t="s">
        <v>143</v>
      </c>
    </row>
    <row r="52" spans="1:47" x14ac:dyDescent="0.25">
      <c r="A52" s="1" t="s">
        <v>130</v>
      </c>
      <c r="B52" s="1" t="s">
        <v>139</v>
      </c>
      <c r="C52" s="1">
        <v>2005</v>
      </c>
      <c r="D52" s="6">
        <v>1</v>
      </c>
      <c r="E52" s="6">
        <v>0</v>
      </c>
      <c r="F52" s="6">
        <v>0</v>
      </c>
      <c r="G52" s="6"/>
      <c r="H52" s="19"/>
      <c r="I52" s="19"/>
      <c r="J52" s="19">
        <v>630</v>
      </c>
      <c r="K52" s="19"/>
      <c r="L52" s="19"/>
      <c r="M52" s="19"/>
      <c r="N52" s="19"/>
      <c r="O52" s="80">
        <f>Tabelle5[[#This Row],[Potenzial pos. max MW]]</f>
        <v>630</v>
      </c>
      <c r="P52" s="19">
        <f>Tabelle5[[#This Row],[Mindestauslastung]]*Tabelle5[[#This Row],[Maximalleistung MW]]</f>
        <v>0</v>
      </c>
      <c r="Q52" s="9"/>
      <c r="R52" s="9">
        <v>1</v>
      </c>
      <c r="S52" s="19">
        <f>280/8760*39*10^3</f>
        <v>1246.5753424657532</v>
      </c>
      <c r="T52" s="19"/>
      <c r="U52" s="9"/>
      <c r="V52" s="19">
        <f>3.1*39*10^3</f>
        <v>120900</v>
      </c>
      <c r="W52" s="1">
        <v>24</v>
      </c>
      <c r="AA52" s="1">
        <v>60</v>
      </c>
      <c r="AC52" s="1" t="s">
        <v>142</v>
      </c>
      <c r="AE52" s="79" t="s">
        <v>1104</v>
      </c>
      <c r="AF52" s="79" t="s">
        <v>1104</v>
      </c>
      <c r="AH52" s="13">
        <v>85</v>
      </c>
      <c r="AJ52" s="13" t="s">
        <v>140</v>
      </c>
      <c r="AK52" s="13" t="s">
        <v>140</v>
      </c>
      <c r="AL52" s="13" t="s">
        <v>140</v>
      </c>
      <c r="AM52" s="13" t="s">
        <v>140</v>
      </c>
      <c r="AN52" s="13" t="s">
        <v>140</v>
      </c>
      <c r="AO52" s="1">
        <v>85</v>
      </c>
      <c r="AR52" s="1">
        <v>85</v>
      </c>
      <c r="AS52" s="1">
        <v>91</v>
      </c>
      <c r="AT52" s="1" t="s">
        <v>141</v>
      </c>
      <c r="AU52" s="1" t="s">
        <v>143</v>
      </c>
    </row>
    <row r="53" spans="1:47" x14ac:dyDescent="0.25">
      <c r="A53" s="1" t="s">
        <v>130</v>
      </c>
      <c r="B53" s="1" t="s">
        <v>139</v>
      </c>
      <c r="C53" s="1">
        <v>2020</v>
      </c>
      <c r="D53" s="1">
        <v>1</v>
      </c>
      <c r="E53" s="1">
        <v>0</v>
      </c>
      <c r="F53" s="1">
        <v>0</v>
      </c>
      <c r="H53" s="19"/>
      <c r="I53" s="19"/>
      <c r="J53" s="19">
        <v>630</v>
      </c>
      <c r="K53" s="19"/>
      <c r="L53" s="19"/>
      <c r="M53" s="19"/>
      <c r="N53" s="19"/>
      <c r="O53" s="80">
        <f>Tabelle5[[#This Row],[Potenzial pos. max MW]]</f>
        <v>630</v>
      </c>
      <c r="P53" s="19">
        <f>Tabelle5[[#This Row],[Mindestauslastung]]*Tabelle5[[#This Row],[Maximalleistung MW]]</f>
        <v>0</v>
      </c>
      <c r="Q53" s="9"/>
      <c r="R53" s="9">
        <v>1</v>
      </c>
      <c r="S53" s="19">
        <f>280/8760*39*10^3</f>
        <v>1246.5753424657532</v>
      </c>
      <c r="T53" s="19"/>
      <c r="U53" s="9"/>
      <c r="V53" s="19">
        <f>3.1*39*10^3</f>
        <v>120900</v>
      </c>
      <c r="W53" s="1">
        <v>24</v>
      </c>
      <c r="AA53" s="1">
        <v>60</v>
      </c>
      <c r="AC53" s="1" t="s">
        <v>142</v>
      </c>
      <c r="AE53" s="79" t="s">
        <v>1104</v>
      </c>
      <c r="AF53" s="79" t="s">
        <v>1104</v>
      </c>
      <c r="AH53" s="13">
        <v>85</v>
      </c>
      <c r="AJ53" s="13" t="s">
        <v>140</v>
      </c>
      <c r="AK53" s="13" t="s">
        <v>140</v>
      </c>
      <c r="AL53" s="13" t="s">
        <v>140</v>
      </c>
      <c r="AM53" s="13" t="s">
        <v>140</v>
      </c>
      <c r="AN53" s="13" t="s">
        <v>140</v>
      </c>
      <c r="AO53" s="1">
        <v>85</v>
      </c>
      <c r="AR53" s="1">
        <v>85</v>
      </c>
      <c r="AS53" s="1">
        <v>91</v>
      </c>
      <c r="AT53" s="1" t="s">
        <v>141</v>
      </c>
      <c r="AU53" s="1" t="s">
        <v>143</v>
      </c>
    </row>
    <row r="54" spans="1:47" x14ac:dyDescent="0.25">
      <c r="A54" s="1" t="s">
        <v>283</v>
      </c>
      <c r="B54" s="1" t="s">
        <v>139</v>
      </c>
      <c r="C54" s="1">
        <v>2005</v>
      </c>
      <c r="D54" s="6">
        <v>1</v>
      </c>
      <c r="E54" s="6">
        <v>0</v>
      </c>
      <c r="F54" s="6">
        <v>0</v>
      </c>
      <c r="G54" s="6"/>
      <c r="H54" s="19"/>
      <c r="I54" s="19"/>
      <c r="J54" s="19">
        <v>600</v>
      </c>
      <c r="K54" s="19"/>
      <c r="L54" s="19"/>
      <c r="M54" s="19"/>
      <c r="N54" s="19"/>
      <c r="O54" s="80">
        <f>Tabelle5[[#This Row],[Potenzial pos. max MW]]</f>
        <v>600</v>
      </c>
      <c r="P54" s="19"/>
      <c r="Q54" s="9"/>
      <c r="R54" s="9">
        <v>0.25</v>
      </c>
      <c r="S54" s="19">
        <f>215/8760*39*10^3</f>
        <v>957.19178082191786</v>
      </c>
      <c r="T54" s="19"/>
      <c r="U54" s="9"/>
      <c r="V54" s="19">
        <f>2.4*39*10^3</f>
        <v>93600</v>
      </c>
      <c r="W54" s="1">
        <v>24</v>
      </c>
      <c r="AA54" s="1">
        <v>70</v>
      </c>
      <c r="AC54" s="1" t="s">
        <v>142</v>
      </c>
      <c r="AE54" s="79" t="s">
        <v>1104</v>
      </c>
      <c r="AF54" s="79" t="s">
        <v>1104</v>
      </c>
      <c r="AH54" s="13">
        <v>85</v>
      </c>
      <c r="AJ54" s="13" t="s">
        <v>140</v>
      </c>
      <c r="AK54" s="13" t="s">
        <v>140</v>
      </c>
      <c r="AL54" s="13" t="s">
        <v>140</v>
      </c>
      <c r="AM54" s="13" t="s">
        <v>140</v>
      </c>
      <c r="AN54" s="13" t="s">
        <v>140</v>
      </c>
      <c r="AO54" s="1">
        <v>85</v>
      </c>
      <c r="AR54" s="1">
        <v>85</v>
      </c>
      <c r="AS54" s="1">
        <v>91</v>
      </c>
      <c r="AT54" s="1" t="s">
        <v>141</v>
      </c>
      <c r="AU54" s="1" t="s">
        <v>143</v>
      </c>
    </row>
    <row r="55" spans="1:47" x14ac:dyDescent="0.25">
      <c r="A55" s="1" t="s">
        <v>283</v>
      </c>
      <c r="B55" s="1" t="s">
        <v>139</v>
      </c>
      <c r="C55" s="1">
        <v>2020</v>
      </c>
      <c r="D55" s="1">
        <v>1</v>
      </c>
      <c r="E55" s="1">
        <v>0</v>
      </c>
      <c r="F55" s="1">
        <v>0</v>
      </c>
      <c r="H55" s="19"/>
      <c r="I55" s="19"/>
      <c r="J55" s="19">
        <v>600</v>
      </c>
      <c r="K55" s="19"/>
      <c r="L55" s="19"/>
      <c r="M55" s="19"/>
      <c r="N55" s="19"/>
      <c r="O55" s="80">
        <f>Tabelle5[[#This Row],[Potenzial pos. max MW]]</f>
        <v>600</v>
      </c>
      <c r="P55" s="19"/>
      <c r="Q55" s="9"/>
      <c r="R55" s="9">
        <v>0.25</v>
      </c>
      <c r="S55" s="19">
        <f>215/8760*39*10^3</f>
        <v>957.19178082191786</v>
      </c>
      <c r="T55" s="19"/>
      <c r="U55" s="9"/>
      <c r="V55" s="19">
        <f>2.4*39*10^3</f>
        <v>93600</v>
      </c>
      <c r="W55" s="1">
        <v>24</v>
      </c>
      <c r="AA55" s="1">
        <v>70</v>
      </c>
      <c r="AC55" s="1" t="s">
        <v>142</v>
      </c>
      <c r="AE55" s="79" t="s">
        <v>1104</v>
      </c>
      <c r="AF55" s="79" t="s">
        <v>1104</v>
      </c>
      <c r="AH55" s="13">
        <v>85</v>
      </c>
      <c r="AJ55" s="13" t="s">
        <v>140</v>
      </c>
      <c r="AK55" s="13" t="s">
        <v>140</v>
      </c>
      <c r="AL55" s="13" t="s">
        <v>140</v>
      </c>
      <c r="AM55" s="13" t="s">
        <v>140</v>
      </c>
      <c r="AN55" s="13" t="s">
        <v>140</v>
      </c>
      <c r="AO55" s="1">
        <v>85</v>
      </c>
      <c r="AR55" s="1">
        <v>85</v>
      </c>
      <c r="AS55" s="1">
        <v>91</v>
      </c>
      <c r="AT55" s="1" t="s">
        <v>141</v>
      </c>
      <c r="AU55" s="1" t="s">
        <v>143</v>
      </c>
    </row>
    <row r="56" spans="1:47" x14ac:dyDescent="0.25">
      <c r="A56" s="1" t="s">
        <v>132</v>
      </c>
      <c r="B56" s="1" t="s">
        <v>139</v>
      </c>
      <c r="C56" s="1">
        <v>2005</v>
      </c>
      <c r="D56" s="6">
        <v>1</v>
      </c>
      <c r="E56" s="6">
        <v>0</v>
      </c>
      <c r="F56" s="6">
        <v>0</v>
      </c>
      <c r="G56" s="6"/>
      <c r="H56" s="19"/>
      <c r="I56" s="19"/>
      <c r="J56" s="19">
        <v>620</v>
      </c>
      <c r="K56" s="19"/>
      <c r="L56" s="19"/>
      <c r="M56" s="19"/>
      <c r="N56" s="19"/>
      <c r="O56" s="80">
        <f>Tabelle5[[#This Row],[Potenzial pos. max MW]]</f>
        <v>620</v>
      </c>
      <c r="P56" s="19"/>
      <c r="Q56" s="9"/>
      <c r="R56" s="9">
        <v>0.25</v>
      </c>
      <c r="S56" s="19">
        <f>262.8/8760*39*10^3</f>
        <v>1170.0000000000002</v>
      </c>
      <c r="T56" s="19"/>
      <c r="U56" s="9"/>
      <c r="V56" s="19">
        <f>0.09*39^3</f>
        <v>5338.71</v>
      </c>
      <c r="W56" s="1">
        <v>1</v>
      </c>
      <c r="AA56" s="1">
        <v>220</v>
      </c>
      <c r="AC56" s="1" t="s">
        <v>142</v>
      </c>
      <c r="AE56" s="79" t="s">
        <v>1104</v>
      </c>
      <c r="AF56" s="79" t="s">
        <v>1104</v>
      </c>
      <c r="AH56" s="13">
        <v>85</v>
      </c>
      <c r="AJ56" s="13" t="s">
        <v>140</v>
      </c>
      <c r="AK56" s="13" t="s">
        <v>140</v>
      </c>
      <c r="AL56" s="13" t="s">
        <v>140</v>
      </c>
      <c r="AM56" s="13" t="s">
        <v>140</v>
      </c>
      <c r="AN56" s="13" t="s">
        <v>140</v>
      </c>
      <c r="AO56" s="1">
        <v>85</v>
      </c>
      <c r="AR56" s="1">
        <v>85</v>
      </c>
      <c r="AS56" s="1">
        <v>91</v>
      </c>
      <c r="AT56" s="1" t="s">
        <v>141</v>
      </c>
      <c r="AU56" s="1" t="s">
        <v>143</v>
      </c>
    </row>
    <row r="57" spans="1:47" x14ac:dyDescent="0.25">
      <c r="A57" s="1" t="s">
        <v>132</v>
      </c>
      <c r="B57" s="1" t="s">
        <v>139</v>
      </c>
      <c r="C57" s="1">
        <v>2020</v>
      </c>
      <c r="D57" s="1">
        <v>1</v>
      </c>
      <c r="E57" s="1">
        <v>0</v>
      </c>
      <c r="F57" s="1">
        <v>0</v>
      </c>
      <c r="H57" s="19"/>
      <c r="I57" s="19"/>
      <c r="J57" s="19">
        <v>620</v>
      </c>
      <c r="K57" s="19"/>
      <c r="L57" s="19"/>
      <c r="M57" s="19"/>
      <c r="N57" s="19"/>
      <c r="O57" s="80">
        <f>Tabelle5[[#This Row],[Potenzial pos. max MW]]</f>
        <v>620</v>
      </c>
      <c r="P57" s="19"/>
      <c r="Q57" s="9"/>
      <c r="R57" s="9">
        <v>0.25</v>
      </c>
      <c r="S57" s="19">
        <f>262.8/8760*39*10^3</f>
        <v>1170.0000000000002</v>
      </c>
      <c r="T57" s="19"/>
      <c r="U57" s="9"/>
      <c r="V57" s="19">
        <f>0.09*39^3</f>
        <v>5338.71</v>
      </c>
      <c r="W57" s="1">
        <v>1</v>
      </c>
      <c r="AA57" s="1">
        <v>220</v>
      </c>
      <c r="AC57" s="1" t="s">
        <v>142</v>
      </c>
      <c r="AE57" s="79" t="s">
        <v>1104</v>
      </c>
      <c r="AF57" s="79" t="s">
        <v>1104</v>
      </c>
      <c r="AH57" s="13">
        <v>85</v>
      </c>
      <c r="AJ57" s="13" t="s">
        <v>140</v>
      </c>
      <c r="AK57" s="13" t="s">
        <v>140</v>
      </c>
      <c r="AL57" s="13" t="s">
        <v>140</v>
      </c>
      <c r="AM57" s="13" t="s">
        <v>140</v>
      </c>
      <c r="AN57" s="13" t="s">
        <v>140</v>
      </c>
      <c r="AO57" s="1">
        <v>85</v>
      </c>
      <c r="AR57" s="1">
        <v>85</v>
      </c>
      <c r="AS57" s="1">
        <v>91</v>
      </c>
      <c r="AT57" s="1" t="s">
        <v>141</v>
      </c>
      <c r="AU57" s="1" t="s">
        <v>143</v>
      </c>
    </row>
    <row r="58" spans="1:47" x14ac:dyDescent="0.25">
      <c r="A58" s="1" t="s">
        <v>133</v>
      </c>
      <c r="B58" s="1" t="s">
        <v>139</v>
      </c>
      <c r="C58" s="1">
        <v>2005</v>
      </c>
      <c r="D58" s="6">
        <v>1</v>
      </c>
      <c r="E58" s="6">
        <v>0</v>
      </c>
      <c r="F58" s="6">
        <v>0</v>
      </c>
      <c r="G58" s="6"/>
      <c r="H58" s="19"/>
      <c r="I58" s="19"/>
      <c r="J58" s="19">
        <v>600</v>
      </c>
      <c r="K58" s="19"/>
      <c r="L58" s="19"/>
      <c r="M58" s="19"/>
      <c r="N58" s="19"/>
      <c r="O58" s="80">
        <f>Tabelle5[[#This Row],[Potenzial pos. max MW]]</f>
        <v>600</v>
      </c>
      <c r="P58" s="19"/>
      <c r="Q58" s="9"/>
      <c r="R58" s="9">
        <v>0.25</v>
      </c>
      <c r="S58" s="19">
        <f>350.4/8760*39*10^3</f>
        <v>1560</v>
      </c>
      <c r="T58" s="19"/>
      <c r="U58" s="9"/>
      <c r="V58" s="19">
        <f>0.12*39^3</f>
        <v>7118.28</v>
      </c>
      <c r="W58" s="1">
        <v>1</v>
      </c>
      <c r="AA58" s="1">
        <v>220</v>
      </c>
      <c r="AC58" s="1" t="s">
        <v>142</v>
      </c>
      <c r="AE58" s="79" t="s">
        <v>1104</v>
      </c>
      <c r="AF58" s="79" t="s">
        <v>1104</v>
      </c>
      <c r="AH58" s="13">
        <v>85</v>
      </c>
      <c r="AJ58" s="13" t="s">
        <v>140</v>
      </c>
      <c r="AK58" s="13" t="s">
        <v>140</v>
      </c>
      <c r="AL58" s="13" t="s">
        <v>140</v>
      </c>
      <c r="AM58" s="13" t="s">
        <v>140</v>
      </c>
      <c r="AN58" s="13" t="s">
        <v>140</v>
      </c>
      <c r="AO58" s="1">
        <v>85</v>
      </c>
      <c r="AR58" s="1">
        <v>85</v>
      </c>
      <c r="AS58" s="1">
        <v>91</v>
      </c>
      <c r="AT58" s="1" t="s">
        <v>141</v>
      </c>
      <c r="AU58" s="1" t="s">
        <v>143</v>
      </c>
    </row>
    <row r="59" spans="1:47" x14ac:dyDescent="0.25">
      <c r="A59" s="1" t="s">
        <v>133</v>
      </c>
      <c r="B59" s="1" t="s">
        <v>139</v>
      </c>
      <c r="C59" s="1">
        <v>2020</v>
      </c>
      <c r="D59" s="1">
        <v>1</v>
      </c>
      <c r="E59" s="1">
        <v>0</v>
      </c>
      <c r="F59" s="1">
        <v>0</v>
      </c>
      <c r="H59" s="19"/>
      <c r="I59" s="19"/>
      <c r="J59" s="19">
        <v>600</v>
      </c>
      <c r="K59" s="19"/>
      <c r="L59" s="19"/>
      <c r="M59" s="19"/>
      <c r="N59" s="19"/>
      <c r="O59" s="80">
        <f>Tabelle5[[#This Row],[Potenzial pos. max MW]]</f>
        <v>600</v>
      </c>
      <c r="P59" s="19"/>
      <c r="Q59" s="9"/>
      <c r="R59" s="9">
        <v>0.25</v>
      </c>
      <c r="S59" s="19">
        <f>350.4/8760*39*10^3</f>
        <v>1560</v>
      </c>
      <c r="T59" s="19"/>
      <c r="U59" s="9"/>
      <c r="V59" s="19">
        <f>0.12*39^3</f>
        <v>7118.28</v>
      </c>
      <c r="W59" s="1">
        <v>1</v>
      </c>
      <c r="AA59" s="1">
        <v>220</v>
      </c>
      <c r="AC59" s="1" t="s">
        <v>142</v>
      </c>
      <c r="AE59" s="79" t="s">
        <v>1104</v>
      </c>
      <c r="AF59" s="79" t="s">
        <v>1104</v>
      </c>
      <c r="AH59" s="13">
        <v>85</v>
      </c>
      <c r="AJ59" s="13" t="s">
        <v>140</v>
      </c>
      <c r="AK59" s="13" t="s">
        <v>140</v>
      </c>
      <c r="AL59" s="13" t="s">
        <v>140</v>
      </c>
      <c r="AM59" s="13" t="s">
        <v>140</v>
      </c>
      <c r="AN59" s="13" t="s">
        <v>140</v>
      </c>
      <c r="AO59" s="1">
        <v>85</v>
      </c>
      <c r="AR59" s="1">
        <v>85</v>
      </c>
      <c r="AS59" s="1">
        <v>91</v>
      </c>
      <c r="AT59" s="1" t="s">
        <v>141</v>
      </c>
      <c r="AU59" s="1" t="s">
        <v>143</v>
      </c>
    </row>
    <row r="60" spans="1:47" x14ac:dyDescent="0.25">
      <c r="A60" s="1" t="s">
        <v>134</v>
      </c>
      <c r="B60" s="1" t="s">
        <v>139</v>
      </c>
      <c r="C60" s="1">
        <v>2005</v>
      </c>
      <c r="D60" s="6">
        <v>1</v>
      </c>
      <c r="E60" s="6">
        <v>0</v>
      </c>
      <c r="F60" s="6">
        <v>0</v>
      </c>
      <c r="G60" s="6"/>
      <c r="H60" s="19"/>
      <c r="I60" s="19"/>
      <c r="J60" s="19">
        <v>880</v>
      </c>
      <c r="K60" s="19"/>
      <c r="L60" s="19"/>
      <c r="M60" s="19"/>
      <c r="N60" s="19"/>
      <c r="O60" s="80">
        <f>Tabelle5[[#This Row],[Potenzial pos. max MW]]</f>
        <v>880</v>
      </c>
      <c r="P60" s="19"/>
      <c r="Q60" s="9"/>
      <c r="R60" s="9">
        <v>0.33</v>
      </c>
      <c r="S60" s="19"/>
      <c r="T60" s="19"/>
      <c r="U60" s="9"/>
      <c r="V60" s="19">
        <v>3000</v>
      </c>
      <c r="AC60" s="1" t="s">
        <v>142</v>
      </c>
      <c r="AE60" s="79" t="s">
        <v>1104</v>
      </c>
      <c r="AF60" s="79" t="s">
        <v>1104</v>
      </c>
      <c r="AH60" s="13">
        <v>85</v>
      </c>
      <c r="AJ60" s="13" t="s">
        <v>140</v>
      </c>
      <c r="AK60" s="13" t="s">
        <v>140</v>
      </c>
      <c r="AL60" s="13" t="s">
        <v>140</v>
      </c>
      <c r="AM60" s="13" t="s">
        <v>140</v>
      </c>
      <c r="AN60" s="13" t="s">
        <v>140</v>
      </c>
      <c r="AO60" s="1">
        <v>85</v>
      </c>
      <c r="AR60" s="1">
        <v>85</v>
      </c>
      <c r="AS60" s="1">
        <v>91</v>
      </c>
      <c r="AT60" s="1" t="s">
        <v>141</v>
      </c>
    </row>
    <row r="61" spans="1:47" x14ac:dyDescent="0.25">
      <c r="A61" s="1" t="s">
        <v>134</v>
      </c>
      <c r="B61" s="1" t="s">
        <v>139</v>
      </c>
      <c r="C61" s="1">
        <v>2020</v>
      </c>
      <c r="D61" s="1">
        <v>1</v>
      </c>
      <c r="E61" s="1">
        <v>0</v>
      </c>
      <c r="F61" s="1">
        <v>0</v>
      </c>
      <c r="H61" s="19"/>
      <c r="I61" s="19"/>
      <c r="J61" s="19">
        <v>880</v>
      </c>
      <c r="K61" s="19"/>
      <c r="L61" s="19"/>
      <c r="M61" s="19"/>
      <c r="N61" s="19"/>
      <c r="O61" s="80">
        <f>Tabelle5[[#This Row],[Potenzial pos. max MW]]</f>
        <v>880</v>
      </c>
      <c r="P61" s="19"/>
      <c r="Q61" s="9"/>
      <c r="R61" s="9">
        <v>0.33</v>
      </c>
      <c r="S61" s="19"/>
      <c r="T61" s="19"/>
      <c r="U61" s="9"/>
      <c r="V61" s="19">
        <v>3000</v>
      </c>
      <c r="AC61" s="1" t="s">
        <v>142</v>
      </c>
      <c r="AE61" s="79" t="s">
        <v>1104</v>
      </c>
      <c r="AF61" s="79" t="s">
        <v>1104</v>
      </c>
      <c r="AH61" s="13">
        <v>85</v>
      </c>
      <c r="AJ61" s="13" t="s">
        <v>140</v>
      </c>
      <c r="AK61" s="13" t="s">
        <v>140</v>
      </c>
      <c r="AL61" s="13" t="s">
        <v>140</v>
      </c>
      <c r="AM61" s="13" t="s">
        <v>140</v>
      </c>
      <c r="AN61" s="13" t="s">
        <v>140</v>
      </c>
      <c r="AO61" s="1">
        <v>85</v>
      </c>
      <c r="AR61" s="1">
        <v>85</v>
      </c>
      <c r="AS61" s="1">
        <v>91</v>
      </c>
      <c r="AT61" s="1" t="s">
        <v>141</v>
      </c>
    </row>
    <row r="62" spans="1:47" x14ac:dyDescent="0.25">
      <c r="A62" s="1" t="s">
        <v>135</v>
      </c>
      <c r="B62" s="1" t="s">
        <v>139</v>
      </c>
      <c r="C62" s="1">
        <v>2005</v>
      </c>
      <c r="D62" s="6">
        <v>1</v>
      </c>
      <c r="E62" s="6">
        <v>0</v>
      </c>
      <c r="F62" s="6">
        <v>0</v>
      </c>
      <c r="G62" s="6"/>
      <c r="H62" s="19"/>
      <c r="I62" s="19"/>
      <c r="J62" s="19">
        <v>675</v>
      </c>
      <c r="K62" s="19"/>
      <c r="L62" s="19"/>
      <c r="M62" s="19"/>
      <c r="N62" s="19"/>
      <c r="O62" s="80">
        <f>Tabelle5[[#This Row],[Potenzial pos. max MW]]</f>
        <v>675</v>
      </c>
      <c r="P62" s="19"/>
      <c r="Q62" s="9"/>
      <c r="R62" s="9"/>
      <c r="S62" s="19">
        <v>2700</v>
      </c>
      <c r="T62" s="19"/>
      <c r="U62" s="9"/>
      <c r="V62" s="19"/>
      <c r="W62" s="1">
        <v>2</v>
      </c>
      <c r="Y62" s="1">
        <v>24</v>
      </c>
      <c r="AA62" s="1">
        <v>365</v>
      </c>
      <c r="AE62" s="79" t="s">
        <v>1104</v>
      </c>
      <c r="AF62" s="79" t="s">
        <v>1104</v>
      </c>
      <c r="AH62" s="13">
        <v>85</v>
      </c>
      <c r="AJ62" s="13" t="s">
        <v>140</v>
      </c>
      <c r="AK62" s="13" t="s">
        <v>140</v>
      </c>
      <c r="AL62" s="13" t="s">
        <v>140</v>
      </c>
      <c r="AM62" s="13" t="s">
        <v>140</v>
      </c>
      <c r="AN62" s="13" t="s">
        <v>140</v>
      </c>
      <c r="AO62" s="1">
        <v>85</v>
      </c>
      <c r="AP62" s="1">
        <v>84</v>
      </c>
      <c r="AR62" s="1">
        <v>85</v>
      </c>
      <c r="AS62" s="1">
        <v>91</v>
      </c>
      <c r="AT62" s="1" t="s">
        <v>141</v>
      </c>
    </row>
    <row r="63" spans="1:47" x14ac:dyDescent="0.25">
      <c r="A63" s="1" t="s">
        <v>135</v>
      </c>
      <c r="B63" s="1" t="s">
        <v>139</v>
      </c>
      <c r="C63" s="1">
        <v>2020</v>
      </c>
      <c r="D63" s="1">
        <v>1</v>
      </c>
      <c r="E63" s="1">
        <v>0</v>
      </c>
      <c r="F63" s="1">
        <v>0</v>
      </c>
      <c r="H63" s="19"/>
      <c r="I63" s="19"/>
      <c r="J63" s="19">
        <v>675</v>
      </c>
      <c r="K63" s="19"/>
      <c r="L63" s="19"/>
      <c r="M63" s="19"/>
      <c r="N63" s="19"/>
      <c r="O63" s="80">
        <f>Tabelle5[[#This Row],[Potenzial pos. max MW]]</f>
        <v>675</v>
      </c>
      <c r="P63" s="19"/>
      <c r="Q63" s="9"/>
      <c r="R63" s="9"/>
      <c r="S63" s="19">
        <v>2700</v>
      </c>
      <c r="T63" s="19"/>
      <c r="U63" s="9"/>
      <c r="V63" s="19"/>
      <c r="W63" s="1">
        <v>2</v>
      </c>
      <c r="Y63" s="1">
        <v>24</v>
      </c>
      <c r="AA63" s="1">
        <v>365</v>
      </c>
      <c r="AE63" s="79" t="s">
        <v>1104</v>
      </c>
      <c r="AF63" s="79" t="s">
        <v>1104</v>
      </c>
      <c r="AH63" s="13">
        <v>85</v>
      </c>
      <c r="AJ63" s="13" t="s">
        <v>140</v>
      </c>
      <c r="AK63" s="13" t="s">
        <v>140</v>
      </c>
      <c r="AL63" s="13" t="s">
        <v>140</v>
      </c>
      <c r="AM63" s="13" t="s">
        <v>140</v>
      </c>
      <c r="AN63" s="13" t="s">
        <v>140</v>
      </c>
      <c r="AO63" s="1">
        <v>85</v>
      </c>
      <c r="AP63" s="1">
        <v>84</v>
      </c>
      <c r="AR63" s="1">
        <v>85</v>
      </c>
      <c r="AS63" s="1">
        <v>91</v>
      </c>
      <c r="AT63" s="1" t="s">
        <v>141</v>
      </c>
    </row>
    <row r="64" spans="1:47" x14ac:dyDescent="0.25">
      <c r="A64" s="1" t="s">
        <v>138</v>
      </c>
      <c r="B64" s="1" t="s">
        <v>139</v>
      </c>
      <c r="C64" s="1">
        <v>2005</v>
      </c>
      <c r="D64" s="6">
        <v>1</v>
      </c>
      <c r="E64" s="6">
        <v>0</v>
      </c>
      <c r="F64" s="6">
        <v>0</v>
      </c>
      <c r="G64" s="6"/>
      <c r="H64" s="19"/>
      <c r="I64" s="19"/>
      <c r="J64" s="19">
        <v>16000</v>
      </c>
      <c r="K64" s="19"/>
      <c r="L64" s="19"/>
      <c r="M64" s="19"/>
      <c r="N64" s="19"/>
      <c r="O64" s="80">
        <f>Tabelle5[[#This Row],[Potenzial pos. max MW]]</f>
        <v>16000</v>
      </c>
      <c r="P64" s="19"/>
      <c r="Q64" s="9">
        <f>1-Tabelle5[[#This Row],[flexibilisierbarer Anteil an installierter Leistung]]</f>
        <v>0</v>
      </c>
      <c r="R64" s="9">
        <v>1</v>
      </c>
      <c r="S64" s="19">
        <f>670/8760*Tabelle5[[#This Row],[installierte Leistung MW]]</f>
        <v>2600.4566210045659</v>
      </c>
      <c r="T64" s="19"/>
      <c r="U64" s="9"/>
      <c r="V64" s="19">
        <v>34000</v>
      </c>
      <c r="W64" s="1">
        <v>12</v>
      </c>
      <c r="Z64" s="1">
        <v>8</v>
      </c>
      <c r="AA64" s="1">
        <v>80</v>
      </c>
      <c r="AE64" s="79" t="s">
        <v>1104</v>
      </c>
      <c r="AF64" s="79" t="s">
        <v>1104</v>
      </c>
      <c r="AH64" s="13">
        <v>85</v>
      </c>
      <c r="AJ64" s="13" t="s">
        <v>140</v>
      </c>
      <c r="AK64" s="13" t="s">
        <v>140</v>
      </c>
      <c r="AL64" s="13" t="s">
        <v>140</v>
      </c>
      <c r="AM64" s="13" t="s">
        <v>140</v>
      </c>
      <c r="AN64" s="13" t="s">
        <v>140</v>
      </c>
      <c r="AO64" s="1">
        <v>85</v>
      </c>
      <c r="AQ64" s="1">
        <v>78</v>
      </c>
      <c r="AR64" s="1">
        <v>85</v>
      </c>
      <c r="AS64" s="1">
        <v>91</v>
      </c>
      <c r="AT64" s="1" t="s">
        <v>141</v>
      </c>
    </row>
    <row r="65" spans="1:46" x14ac:dyDescent="0.25">
      <c r="A65" s="1" t="s">
        <v>138</v>
      </c>
      <c r="B65" s="1" t="s">
        <v>139</v>
      </c>
      <c r="C65" s="1">
        <v>2020</v>
      </c>
      <c r="D65" s="1">
        <v>1</v>
      </c>
      <c r="E65" s="1">
        <v>0</v>
      </c>
      <c r="F65" s="1">
        <v>0</v>
      </c>
      <c r="H65" s="19"/>
      <c r="I65" s="19"/>
      <c r="J65" s="19">
        <v>16000</v>
      </c>
      <c r="K65" s="19"/>
      <c r="L65" s="19"/>
      <c r="M65" s="19"/>
      <c r="N65" s="19"/>
      <c r="O65" s="80">
        <f>Tabelle5[[#This Row],[Potenzial pos. max MW]]</f>
        <v>16000</v>
      </c>
      <c r="P65" s="19"/>
      <c r="Q65" s="9">
        <f>1-Tabelle5[[#This Row],[flexibilisierbarer Anteil an installierter Leistung]]</f>
        <v>0</v>
      </c>
      <c r="R65" s="9">
        <v>1</v>
      </c>
      <c r="S65" s="19">
        <f>670/8760*Tabelle5[[#This Row],[installierte Leistung MW]]</f>
        <v>2600.4566210045659</v>
      </c>
      <c r="T65" s="19"/>
      <c r="U65" s="9"/>
      <c r="V65" s="19">
        <v>34000</v>
      </c>
      <c r="W65" s="1">
        <v>12</v>
      </c>
      <c r="Z65" s="1">
        <v>8</v>
      </c>
      <c r="AA65" s="1">
        <v>80</v>
      </c>
      <c r="AE65" s="79" t="s">
        <v>1104</v>
      </c>
      <c r="AF65" s="79" t="s">
        <v>1104</v>
      </c>
      <c r="AH65" s="13">
        <v>85</v>
      </c>
      <c r="AJ65" s="13" t="s">
        <v>140</v>
      </c>
      <c r="AK65" s="13" t="s">
        <v>140</v>
      </c>
      <c r="AL65" s="13" t="s">
        <v>140</v>
      </c>
      <c r="AM65" s="13" t="s">
        <v>140</v>
      </c>
      <c r="AN65" s="13" t="s">
        <v>140</v>
      </c>
      <c r="AO65" s="1">
        <v>85</v>
      </c>
      <c r="AQ65" s="1">
        <v>68</v>
      </c>
      <c r="AR65" s="1">
        <v>85</v>
      </c>
      <c r="AS65" s="1">
        <v>91</v>
      </c>
      <c r="AT65" s="1" t="s">
        <v>141</v>
      </c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Dropdown!$A$2:$A$90</xm:f>
          </x14:formula1>
          <xm:sqref>A2:A65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3"/>
  <dimension ref="A1:Q1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baseColWidth="10" defaultRowHeight="14.5" x14ac:dyDescent="0.35"/>
  <cols>
    <col min="1" max="1" width="22.26953125" bestFit="1" customWidth="1"/>
    <col min="2" max="2" width="15.81640625" bestFit="1" customWidth="1"/>
    <col min="4" max="4" width="17.26953125" customWidth="1"/>
    <col min="5" max="10" width="24.26953125" customWidth="1"/>
    <col min="11" max="12" width="17.54296875" customWidth="1"/>
    <col min="13" max="15" width="17.81640625" customWidth="1"/>
    <col min="17" max="17" width="36.81640625" bestFit="1" customWidth="1"/>
  </cols>
  <sheetData>
    <row r="1" spans="1:17" x14ac:dyDescent="0.35">
      <c r="A1" s="4" t="s">
        <v>0</v>
      </c>
      <c r="B1" s="4" t="s">
        <v>28</v>
      </c>
      <c r="C1" s="4" t="s">
        <v>8</v>
      </c>
      <c r="D1" s="1" t="s">
        <v>35</v>
      </c>
      <c r="E1" s="1" t="s">
        <v>23</v>
      </c>
      <c r="F1" s="1" t="s">
        <v>36</v>
      </c>
      <c r="G1" s="1" t="s">
        <v>45</v>
      </c>
      <c r="H1" s="1" t="s">
        <v>46</v>
      </c>
      <c r="I1" s="1" t="s">
        <v>34</v>
      </c>
      <c r="J1" s="1" t="s">
        <v>37</v>
      </c>
      <c r="K1" s="1" t="s">
        <v>52</v>
      </c>
      <c r="L1" s="1" t="s">
        <v>24</v>
      </c>
      <c r="M1" s="1" t="s">
        <v>38</v>
      </c>
      <c r="N1" s="1" t="s">
        <v>41</v>
      </c>
      <c r="O1" s="1" t="s">
        <v>42</v>
      </c>
      <c r="P1" s="1" t="s">
        <v>26</v>
      </c>
      <c r="Q1" s="1" t="s">
        <v>59</v>
      </c>
    </row>
    <row r="2" spans="1:17" x14ac:dyDescent="0.35">
      <c r="A2" s="6" t="s">
        <v>27</v>
      </c>
      <c r="B2" s="6" t="s">
        <v>29</v>
      </c>
      <c r="C2" s="6">
        <v>2005</v>
      </c>
      <c r="D2" s="1"/>
      <c r="E2" s="11"/>
      <c r="F2" s="11">
        <f>Tabelle25[[#This Row],[flexible Leistung (MW)]]/(1-Tabelle25[[#This Row],[Mindestauslastung]])</f>
        <v>571.42857142857144</v>
      </c>
      <c r="G2" s="11"/>
      <c r="H2" s="11"/>
      <c r="I2" s="7"/>
      <c r="J2" s="11"/>
      <c r="K2" s="7">
        <v>0.3</v>
      </c>
      <c r="L2" s="11">
        <f>Tabelle25[[#This Row],[Mindestauslastung]]*Tabelle25[[#This Row],[Nennleistung (MW)]]</f>
        <v>171.42857142857142</v>
      </c>
      <c r="M2" s="11">
        <v>400</v>
      </c>
      <c r="N2" s="11"/>
      <c r="O2" s="11"/>
      <c r="P2" s="13" t="s">
        <v>33</v>
      </c>
      <c r="Q2" s="11"/>
    </row>
    <row r="3" spans="1:17" x14ac:dyDescent="0.35">
      <c r="A3" s="1" t="s">
        <v>27</v>
      </c>
      <c r="B3" s="1" t="s">
        <v>30</v>
      </c>
      <c r="C3" s="1">
        <v>2005</v>
      </c>
      <c r="D3" s="1"/>
      <c r="E3" s="11"/>
      <c r="F3" s="11"/>
      <c r="G3" s="11"/>
      <c r="H3" s="11"/>
      <c r="I3" s="7"/>
      <c r="J3" s="11"/>
      <c r="K3" s="7">
        <v>1</v>
      </c>
      <c r="L3" s="11">
        <f>Tabelle25[[#This Row],[Mindestauslastung]]*Tabelle25[[#This Row],[Nennleistung (MW)]]</f>
        <v>0</v>
      </c>
      <c r="M3" s="11">
        <v>0</v>
      </c>
      <c r="N3" s="11"/>
      <c r="O3" s="11"/>
      <c r="P3" s="13" t="s">
        <v>33</v>
      </c>
      <c r="Q3" s="11" t="s">
        <v>60</v>
      </c>
    </row>
    <row r="4" spans="1:17" x14ac:dyDescent="0.35">
      <c r="A4" s="6" t="s">
        <v>27</v>
      </c>
      <c r="B4" s="6" t="s">
        <v>31</v>
      </c>
      <c r="C4" s="6">
        <v>2005</v>
      </c>
      <c r="D4" s="1"/>
      <c r="E4" s="11"/>
      <c r="F4" s="11">
        <f>Tabelle25[[#This Row],[flexible Leistung (MW)]]/(1-Tabelle25[[#This Row],[Mindestauslastung]])</f>
        <v>550</v>
      </c>
      <c r="G4" s="11"/>
      <c r="H4" s="11"/>
      <c r="I4" s="7"/>
      <c r="J4" s="11"/>
      <c r="K4" s="7">
        <v>0.4</v>
      </c>
      <c r="L4" s="11">
        <f>Tabelle25[[#This Row],[Mindestauslastung]]*Tabelle25[[#This Row],[Nennleistung (MW)]]</f>
        <v>220</v>
      </c>
      <c r="M4" s="11">
        <v>330</v>
      </c>
      <c r="N4" s="11"/>
      <c r="O4" s="11"/>
      <c r="P4" s="13" t="s">
        <v>33</v>
      </c>
      <c r="Q4" s="11"/>
    </row>
    <row r="5" spans="1:17" s="10" customFormat="1" x14ac:dyDescent="0.35">
      <c r="A5" s="2" t="s">
        <v>27</v>
      </c>
      <c r="B5" s="2" t="s">
        <v>32</v>
      </c>
      <c r="C5" s="2">
        <v>2005</v>
      </c>
      <c r="D5" s="1">
        <v>15</v>
      </c>
      <c r="E5" s="11">
        <f>Tabelle25[[#This Row],[durchschnittliche Auslastung]]*8760</f>
        <v>7533.5999999999995</v>
      </c>
      <c r="F5" s="12">
        <f>SUM(F2:F4)</f>
        <v>1121.4285714285716</v>
      </c>
      <c r="G5" s="11">
        <v>1600</v>
      </c>
      <c r="H5" s="11">
        <v>1700</v>
      </c>
      <c r="I5" s="9">
        <v>0.86</v>
      </c>
      <c r="J5" s="11">
        <f>Tabelle25[[#This Row],[Nennleistung (MW)]]*Tabelle25[[#This Row],[durchschnittliche Auslastung]]</f>
        <v>964.42857142857156</v>
      </c>
      <c r="K5" s="7"/>
      <c r="L5" s="12">
        <f>SUM(L2:L4)</f>
        <v>391.42857142857144</v>
      </c>
      <c r="M5" s="12">
        <f>SUM(M2:M4)</f>
        <v>730</v>
      </c>
      <c r="N5" s="12"/>
      <c r="O5" s="12"/>
      <c r="P5" s="13" t="s">
        <v>33</v>
      </c>
      <c r="Q5" s="11"/>
    </row>
    <row r="6" spans="1:17" x14ac:dyDescent="0.35">
      <c r="A6" s="6" t="s">
        <v>27</v>
      </c>
      <c r="B6" s="6" t="s">
        <v>29</v>
      </c>
      <c r="C6" s="6">
        <v>2020</v>
      </c>
      <c r="D6" s="1"/>
      <c r="E6" s="11"/>
      <c r="F6" s="11">
        <f>Tabelle25[[#This Row],[flexible Leistung (MW)]]/(1-Tabelle25[[#This Row],[Mindestauslastung]])</f>
        <v>114.28571428571429</v>
      </c>
      <c r="G6" s="11"/>
      <c r="H6" s="11"/>
      <c r="I6" s="7"/>
      <c r="J6" s="11"/>
      <c r="K6" s="7">
        <v>0.3</v>
      </c>
      <c r="L6" s="11">
        <f>Tabelle25[[#This Row],[Mindestauslastung]]*Tabelle25[[#This Row],[Nennleistung (MW)]]</f>
        <v>34.285714285714285</v>
      </c>
      <c r="M6" s="11">
        <v>80</v>
      </c>
      <c r="N6" s="11"/>
      <c r="O6" s="11"/>
      <c r="P6" s="13" t="s">
        <v>33</v>
      </c>
      <c r="Q6" s="11"/>
    </row>
    <row r="7" spans="1:17" x14ac:dyDescent="0.35">
      <c r="A7" s="1" t="s">
        <v>27</v>
      </c>
      <c r="B7" s="1" t="s">
        <v>30</v>
      </c>
      <c r="C7" s="1">
        <v>2020</v>
      </c>
      <c r="D7" s="1"/>
      <c r="E7" s="11"/>
      <c r="F7" s="11"/>
      <c r="G7" s="11"/>
      <c r="H7" s="11"/>
      <c r="I7" s="7"/>
      <c r="J7" s="11"/>
      <c r="K7" s="7">
        <v>1</v>
      </c>
      <c r="L7" s="11">
        <f>Tabelle25[[#This Row],[Mindestauslastung]]*Tabelle25[[#This Row],[Nennleistung (MW)]]</f>
        <v>0</v>
      </c>
      <c r="M7" s="11">
        <v>0</v>
      </c>
      <c r="N7" s="11"/>
      <c r="O7" s="11"/>
      <c r="P7" s="13" t="s">
        <v>33</v>
      </c>
      <c r="Q7" s="11" t="s">
        <v>60</v>
      </c>
    </row>
    <row r="8" spans="1:17" x14ac:dyDescent="0.35">
      <c r="A8" s="6" t="s">
        <v>27</v>
      </c>
      <c r="B8" s="6" t="s">
        <v>31</v>
      </c>
      <c r="C8" s="6">
        <v>2020</v>
      </c>
      <c r="D8" s="1"/>
      <c r="E8" s="11"/>
      <c r="F8" s="11">
        <f>Tabelle25[[#This Row],[flexible Leistung (MW)]]/(1-Tabelle25[[#This Row],[Mindestauslastung]])</f>
        <v>1083.3333333333335</v>
      </c>
      <c r="G8" s="11"/>
      <c r="H8" s="11"/>
      <c r="I8" s="7"/>
      <c r="J8" s="11"/>
      <c r="K8" s="7">
        <v>0.4</v>
      </c>
      <c r="L8" s="11">
        <f>Tabelle25[[#This Row],[Mindestauslastung]]*Tabelle25[[#This Row],[Nennleistung (MW)]]</f>
        <v>433.33333333333343</v>
      </c>
      <c r="M8" s="11">
        <v>650</v>
      </c>
      <c r="N8" s="11"/>
      <c r="O8" s="11"/>
      <c r="P8" s="13" t="s">
        <v>33</v>
      </c>
      <c r="Q8" s="11"/>
    </row>
    <row r="9" spans="1:17" s="10" customFormat="1" x14ac:dyDescent="0.35">
      <c r="A9" s="2" t="s">
        <v>27</v>
      </c>
      <c r="B9" s="2" t="s">
        <v>32</v>
      </c>
      <c r="C9" s="2">
        <v>2020</v>
      </c>
      <c r="D9" s="1"/>
      <c r="E9" s="11"/>
      <c r="F9" s="12">
        <f>SUM(F6:F8)</f>
        <v>1197.6190476190477</v>
      </c>
      <c r="G9" s="11"/>
      <c r="H9" s="11"/>
      <c r="I9" s="9"/>
      <c r="J9" s="11"/>
      <c r="K9" s="7"/>
      <c r="L9" s="12">
        <f>SUM(L6:L8)</f>
        <v>467.61904761904771</v>
      </c>
      <c r="M9" s="12">
        <v>730</v>
      </c>
      <c r="N9" s="12"/>
      <c r="O9" s="12"/>
      <c r="P9" s="13" t="s">
        <v>33</v>
      </c>
      <c r="Q9" s="11"/>
    </row>
    <row r="10" spans="1:17" x14ac:dyDescent="0.35">
      <c r="A10" s="15" t="s">
        <v>39</v>
      </c>
      <c r="B10" s="2" t="s">
        <v>32</v>
      </c>
      <c r="C10" s="15">
        <v>2005</v>
      </c>
      <c r="D10" s="1">
        <v>5</v>
      </c>
      <c r="E10" s="11">
        <f>Tabelle25[[#This Row],[durchschnittliche Auslastung]]*8760</f>
        <v>8760</v>
      </c>
      <c r="F10" s="12">
        <f>Tabelle25[[#This Row],[Stromverbrauch (TWh)]]*10^6/Tabelle25[[#This Row],[Vollbenutzungsstunden]]</f>
        <v>570.77625570776252</v>
      </c>
      <c r="G10" s="11"/>
      <c r="H10" s="11"/>
      <c r="I10" s="7">
        <v>1</v>
      </c>
      <c r="J10" s="11">
        <f>Tabelle25[[#This Row],[Nennleistung (MW)]]*Tabelle25[[#This Row],[durchschnittliche Auslastung]]</f>
        <v>570.77625570776252</v>
      </c>
      <c r="K10" s="7">
        <v>0.7</v>
      </c>
      <c r="L10" s="12">
        <f>Tabelle25[[#This Row],[Mindestauslastung]]*Tabelle25[[#This Row],[Nennleistung (MW)]]</f>
        <v>399.54337899543373</v>
      </c>
      <c r="M10" s="12">
        <f>Tabelle25[[#This Row],[Nennleistung (MW)]]*(1-Tabelle25[[#This Row],[Mindestauslastung]])</f>
        <v>171.23287671232879</v>
      </c>
      <c r="N10" s="12"/>
      <c r="O10" s="12"/>
      <c r="P10" s="13">
        <v>56</v>
      </c>
      <c r="Q10" s="11"/>
    </row>
    <row r="11" spans="1:17" x14ac:dyDescent="0.35">
      <c r="A11" s="15" t="s">
        <v>39</v>
      </c>
      <c r="B11" s="2" t="s">
        <v>32</v>
      </c>
      <c r="C11" s="15">
        <v>2020</v>
      </c>
      <c r="D11" s="1">
        <v>5</v>
      </c>
      <c r="E11" s="11">
        <f>Tabelle25[[#This Row],[durchschnittliche Auslastung]]*8760</f>
        <v>8760</v>
      </c>
      <c r="F11" s="12">
        <f>Tabelle25[[#This Row],[Stromverbrauch (TWh)]]*10^6/Tabelle25[[#This Row],[Vollbenutzungsstunden]]</f>
        <v>570.77625570776252</v>
      </c>
      <c r="G11" s="11"/>
      <c r="H11" s="11"/>
      <c r="I11" s="7">
        <v>1</v>
      </c>
      <c r="J11" s="11">
        <f>Tabelle25[[#This Row],[Nennleistung (MW)]]*Tabelle25[[#This Row],[durchschnittliche Auslastung]]</f>
        <v>570.77625570776252</v>
      </c>
      <c r="K11" s="7">
        <v>0.7</v>
      </c>
      <c r="L11" s="12">
        <f>Tabelle25[[#This Row],[Mindestauslastung]]*Tabelle25[[#This Row],[Nennleistung (MW)]]</f>
        <v>399.54337899543373</v>
      </c>
      <c r="M11" s="12">
        <f>Tabelle25[[#This Row],[Nennleistung (MW)]]*(1-Tabelle25[[#This Row],[Mindestauslastung]])</f>
        <v>171.23287671232879</v>
      </c>
      <c r="N11" s="12"/>
      <c r="O11" s="12"/>
      <c r="P11" s="13">
        <v>56</v>
      </c>
      <c r="Q11" s="11"/>
    </row>
    <row r="12" spans="1:17" x14ac:dyDescent="0.35">
      <c r="A12" s="15" t="s">
        <v>43</v>
      </c>
      <c r="B12" s="15" t="s">
        <v>44</v>
      </c>
      <c r="C12" s="15">
        <v>2005</v>
      </c>
      <c r="D12" s="1"/>
      <c r="E12" s="11"/>
      <c r="F12" s="12">
        <f>Tabelle25[[#This Row],[flexible Leistung (MW)]]/(1-Tabelle25[[#This Row],[Mindestauslastung]])</f>
        <v>1200</v>
      </c>
      <c r="G12" s="11">
        <v>1100</v>
      </c>
      <c r="H12" s="11">
        <v>1300</v>
      </c>
      <c r="I12" s="7"/>
      <c r="J12" s="11"/>
      <c r="K12" s="7">
        <v>0.75</v>
      </c>
      <c r="L12" s="12">
        <f>Tabelle25[[#This Row],[Mindestauslastung]]*Tabelle25[[#This Row],[Nennleistung (MW)]]</f>
        <v>900</v>
      </c>
      <c r="M12" s="12">
        <f>AVERAGE(Tabelle25[[#This Row],[flexible Leistung min (MW)]:[flexible Leistung max (MW)]])</f>
        <v>300</v>
      </c>
      <c r="N12" s="12">
        <v>275</v>
      </c>
      <c r="O12" s="12">
        <v>325</v>
      </c>
      <c r="P12" s="13" t="s">
        <v>40</v>
      </c>
      <c r="Q12" s="11"/>
    </row>
    <row r="13" spans="1:17" x14ac:dyDescent="0.35">
      <c r="A13" s="15" t="s">
        <v>43</v>
      </c>
      <c r="B13" s="15" t="s">
        <v>44</v>
      </c>
      <c r="C13" s="15">
        <v>2020</v>
      </c>
      <c r="D13" s="1"/>
      <c r="E13" s="11"/>
      <c r="F13" s="12">
        <f>Tabelle25[[#This Row],[flexible Leistung (MW)]]/(1-Tabelle25[[#This Row],[Mindestauslastung]])</f>
        <v>400</v>
      </c>
      <c r="G13" s="11"/>
      <c r="H13" s="11"/>
      <c r="I13" s="7"/>
      <c r="J13" s="11"/>
      <c r="K13" s="7">
        <v>0.75</v>
      </c>
      <c r="L13" s="12">
        <f>Tabelle25[[#This Row],[Mindestauslastung]]*Tabelle25[[#This Row],[Nennleistung (MW)]]</f>
        <v>300</v>
      </c>
      <c r="M13" s="12">
        <v>100</v>
      </c>
      <c r="N13" s="11"/>
      <c r="O13" s="11"/>
      <c r="P13" s="13" t="s">
        <v>40</v>
      </c>
      <c r="Q1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4"/>
  <dimension ref="A1:AS13"/>
  <sheetViews>
    <sheetView zoomScale="85" zoomScaleNormal="85" workbookViewId="0">
      <pane xSplit="6" ySplit="1" topLeftCell="AA2" activePane="bottomRight" state="frozen"/>
      <selection pane="topRight" activeCell="G1" sqref="G1"/>
      <selection pane="bottomLeft" activeCell="A2" sqref="A2"/>
      <selection pane="bottomRight" activeCell="AE2" sqref="AE2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28.81640625" style="1" bestFit="1" customWidth="1"/>
    <col min="8" max="8" width="29.26953125" style="1" bestFit="1" customWidth="1"/>
    <col min="9" max="9" width="29.26953125" style="1" customWidth="1"/>
    <col min="10" max="10" width="24.54296875" style="1" customWidth="1"/>
    <col min="11" max="11" width="24.453125" style="1" bestFit="1" customWidth="1"/>
    <col min="12" max="16" width="24.453125" style="1" customWidth="1"/>
    <col min="17" max="17" width="37.7265625" style="1" bestFit="1" customWidth="1"/>
    <col min="18" max="18" width="28.453125" style="1" customWidth="1"/>
    <col min="19" max="19" width="27.453125" style="1" bestFit="1" customWidth="1"/>
    <col min="20" max="21" width="27.453125" style="1" customWidth="1"/>
    <col min="22" max="22" width="20.7265625" style="1" bestFit="1" customWidth="1"/>
    <col min="23" max="26" width="20.7265625" style="1" customWidth="1"/>
    <col min="27" max="27" width="24" style="1" bestFit="1" customWidth="1"/>
    <col min="28" max="30" width="38.26953125" style="1" customWidth="1"/>
    <col min="31" max="31" width="56.7265625" style="1" bestFit="1" customWidth="1"/>
    <col min="32" max="33" width="35.54296875" style="1" customWidth="1"/>
    <col min="34" max="34" width="31.7265625" style="1" bestFit="1" customWidth="1"/>
    <col min="35" max="35" width="31.54296875" style="1" bestFit="1" customWidth="1"/>
    <col min="36" max="37" width="31.54296875" style="1" customWidth="1"/>
    <col min="38" max="38" width="37.453125" style="1" bestFit="1" customWidth="1"/>
    <col min="39" max="39" width="35.7265625" style="1" bestFit="1" customWidth="1"/>
    <col min="40" max="40" width="28.81640625" style="1" bestFit="1" customWidth="1"/>
    <col min="41" max="41" width="34" style="1" bestFit="1" customWidth="1"/>
    <col min="42" max="42" width="34.453125" style="1" bestFit="1" customWidth="1"/>
    <col min="43" max="43" width="38.1796875" style="1" bestFit="1" customWidth="1"/>
    <col min="44" max="44" width="28.54296875" style="1" bestFit="1" customWidth="1"/>
    <col min="45" max="45" width="31" style="1" bestFit="1" customWidth="1"/>
    <col min="46" max="16384" width="11.453125" style="1"/>
  </cols>
  <sheetData>
    <row r="1" spans="1:45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47</v>
      </c>
      <c r="H1" s="2" t="s">
        <v>48</v>
      </c>
      <c r="I1" s="2" t="s">
        <v>1133</v>
      </c>
      <c r="J1" s="2" t="s">
        <v>153</v>
      </c>
      <c r="K1" s="2" t="s">
        <v>154</v>
      </c>
      <c r="L1" s="2" t="s">
        <v>555</v>
      </c>
      <c r="M1" s="2" t="s">
        <v>1111</v>
      </c>
      <c r="N1" s="2" t="s">
        <v>1112</v>
      </c>
      <c r="O1" s="2" t="s">
        <v>590</v>
      </c>
      <c r="P1" s="2" t="s">
        <v>591</v>
      </c>
      <c r="Q1" s="2" t="s">
        <v>113</v>
      </c>
      <c r="R1" s="2" t="s">
        <v>55</v>
      </c>
      <c r="S1" s="2" t="s">
        <v>9</v>
      </c>
      <c r="T1" s="2" t="s">
        <v>426</v>
      </c>
      <c r="U1" s="2" t="s">
        <v>222</v>
      </c>
      <c r="V1" s="2" t="s">
        <v>156</v>
      </c>
      <c r="W1" s="2" t="s">
        <v>1131</v>
      </c>
      <c r="X1" s="2" t="s">
        <v>224</v>
      </c>
      <c r="Y1" s="2" t="s">
        <v>225</v>
      </c>
      <c r="Z1" s="2" t="s">
        <v>212</v>
      </c>
      <c r="AA1" s="2" t="s">
        <v>14</v>
      </c>
      <c r="AB1" s="2" t="s">
        <v>96</v>
      </c>
      <c r="AC1" s="2" t="s">
        <v>1244</v>
      </c>
      <c r="AD1" s="2" t="s">
        <v>1245</v>
      </c>
      <c r="AE1" s="2" t="s">
        <v>20</v>
      </c>
      <c r="AF1" s="2" t="s">
        <v>161</v>
      </c>
      <c r="AG1" s="2" t="s">
        <v>162</v>
      </c>
      <c r="AH1" s="2" t="s">
        <v>1</v>
      </c>
      <c r="AI1" s="2" t="s">
        <v>2</v>
      </c>
      <c r="AJ1" s="2" t="s">
        <v>1123</v>
      </c>
      <c r="AK1" s="2" t="s">
        <v>233</v>
      </c>
      <c r="AL1" s="2" t="s">
        <v>58</v>
      </c>
      <c r="AM1" s="2" t="s">
        <v>95</v>
      </c>
      <c r="AN1" s="2" t="s">
        <v>5</v>
      </c>
      <c r="AO1" s="2" t="s">
        <v>6</v>
      </c>
      <c r="AP1" s="2" t="s">
        <v>16</v>
      </c>
      <c r="AQ1" s="2" t="s">
        <v>7</v>
      </c>
      <c r="AR1" s="2" t="s">
        <v>18</v>
      </c>
      <c r="AS1" s="2" t="s">
        <v>21</v>
      </c>
    </row>
    <row r="2" spans="1:45" x14ac:dyDescent="0.25">
      <c r="A2" s="6" t="s">
        <v>51</v>
      </c>
      <c r="B2" s="1" t="s">
        <v>126</v>
      </c>
      <c r="C2" s="1">
        <v>2013</v>
      </c>
      <c r="D2" s="1">
        <v>1</v>
      </c>
      <c r="E2" s="1">
        <v>1</v>
      </c>
      <c r="F2" s="1">
        <v>0</v>
      </c>
      <c r="G2" s="19"/>
      <c r="H2" s="19"/>
      <c r="I2" s="19"/>
      <c r="J2" s="19"/>
      <c r="K2" s="19" t="str">
        <f>IF(Tabelle58971113[[#This Row],[Potenzial pos. max MW]]&lt;&gt;"",Tabelle58971113[[#This Row],[Potenzial pos. max MW]],"")</f>
        <v/>
      </c>
      <c r="L2" s="9"/>
      <c r="M2" s="42" t="str">
        <f>IF(Tabelle58971113[[#This Row],[Durchschnittsauslastung min]]&lt;&gt;"",Tabelle58971113[[#This Row],[Durchschnittsauslastung min]]*8760,"")</f>
        <v/>
      </c>
      <c r="N2" s="42" t="str">
        <f>IF(Tabelle58971113[[#This Row],[Durchschnittsauslastung max]]&lt;&gt;"",Tabelle58971113[[#This Row],[Durchschnittsauslastung max]]*8760,"")</f>
        <v/>
      </c>
      <c r="O2" s="9"/>
      <c r="P2" s="9"/>
      <c r="Q2" s="20" t="str">
        <f>IF(Tabelle58971113[[#This Row],[installierte Leistung MW]]&lt;&gt;"",Tabelle58971113[[#This Row],[Durchschnittsauslastung max]]*Tabelle58971113[[#This Row],[installierte Leistung MW]],"")</f>
        <v/>
      </c>
      <c r="R2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C2" s="8">
        <f>40/Umrechnungsfaktoren!$B$10</f>
        <v>42.964467005076145</v>
      </c>
      <c r="AD2" s="8">
        <f>800/Umrechnungsfaktoren!$B$10</f>
        <v>859.28934010152284</v>
      </c>
      <c r="AE2" s="1" t="s">
        <v>1113</v>
      </c>
      <c r="AF2" s="1" t="s">
        <v>1166</v>
      </c>
      <c r="AG2" s="1" t="s">
        <v>1166</v>
      </c>
      <c r="AH2" s="13"/>
      <c r="AJ2" s="13"/>
      <c r="AK2" s="13"/>
      <c r="AL2" s="13"/>
      <c r="AM2" s="13"/>
      <c r="AR2" s="1" t="s">
        <v>340</v>
      </c>
    </row>
    <row r="3" spans="1:45" x14ac:dyDescent="0.25">
      <c r="A3" s="1" t="s">
        <v>27</v>
      </c>
      <c r="B3" s="1" t="s">
        <v>126</v>
      </c>
      <c r="C3" s="1">
        <v>2013</v>
      </c>
      <c r="D3" s="1">
        <v>1</v>
      </c>
      <c r="E3" s="1">
        <v>1</v>
      </c>
      <c r="F3" s="1">
        <v>0</v>
      </c>
      <c r="G3" s="19"/>
      <c r="H3" s="19">
        <v>575</v>
      </c>
      <c r="I3" s="19">
        <v>575</v>
      </c>
      <c r="J3" s="19"/>
      <c r="K3" s="19">
        <f>IF(Tabelle58971113[[#This Row],[Potenzial pos. max MW]]&lt;&gt;"",Tabelle58971113[[#This Row],[Potenzial pos. max MW]],"")</f>
        <v>575</v>
      </c>
      <c r="L3" s="9">
        <v>0.65</v>
      </c>
      <c r="M3" s="42" t="str">
        <f>IF(Tabelle58971113[[#This Row],[Durchschnittsauslastung min]]&lt;&gt;"",Tabelle58971113[[#This Row],[Durchschnittsauslastung min]]*8760,"")</f>
        <v/>
      </c>
      <c r="N3" s="42" t="str">
        <f>IF(Tabelle58971113[[#This Row],[Durchschnittsauslastung max]]&lt;&gt;"",Tabelle58971113[[#This Row],[Durchschnittsauslastung max]]*8760,"")</f>
        <v/>
      </c>
      <c r="O3" s="9"/>
      <c r="P3" s="9"/>
      <c r="Q3" s="20"/>
      <c r="R3" s="19">
        <v>910</v>
      </c>
      <c r="S3" s="1">
        <v>0.25</v>
      </c>
      <c r="V3" s="1">
        <v>2</v>
      </c>
      <c r="W3" s="1">
        <v>2</v>
      </c>
      <c r="AB3" s="1">
        <v>50</v>
      </c>
      <c r="AC3" s="8"/>
      <c r="AD3" s="8"/>
      <c r="AE3" s="1" t="s">
        <v>1107</v>
      </c>
      <c r="AF3" s="1" t="s">
        <v>1166</v>
      </c>
      <c r="AG3" s="1" t="s">
        <v>1166</v>
      </c>
      <c r="AH3" s="13" t="s">
        <v>333</v>
      </c>
      <c r="AI3" s="13" t="s">
        <v>333</v>
      </c>
      <c r="AJ3" s="13" t="s">
        <v>333</v>
      </c>
      <c r="AK3" s="13"/>
      <c r="AL3" s="13" t="s">
        <v>1106</v>
      </c>
      <c r="AM3" s="13" t="s">
        <v>340</v>
      </c>
      <c r="AN3" s="13" t="s">
        <v>333</v>
      </c>
      <c r="AQ3" s="13" t="s">
        <v>333</v>
      </c>
      <c r="AS3" s="1" t="s">
        <v>1108</v>
      </c>
    </row>
    <row r="4" spans="1:45" x14ac:dyDescent="0.25">
      <c r="A4" s="1" t="s">
        <v>74</v>
      </c>
      <c r="B4" s="1" t="s">
        <v>126</v>
      </c>
      <c r="C4" s="1">
        <v>2013</v>
      </c>
      <c r="D4" s="1">
        <v>1</v>
      </c>
      <c r="E4" s="1">
        <v>1</v>
      </c>
      <c r="F4" s="1">
        <v>0</v>
      </c>
      <c r="G4" s="19"/>
      <c r="H4" s="19">
        <v>300</v>
      </c>
      <c r="I4" s="19">
        <v>300</v>
      </c>
      <c r="J4" s="19"/>
      <c r="K4" s="19">
        <f>IF(Tabelle58971113[[#This Row],[Potenzial pos. max MW]]&lt;&gt;"",Tabelle58971113[[#This Row],[Potenzial pos. max MW]],"")</f>
        <v>300</v>
      </c>
      <c r="L4" s="9">
        <v>1</v>
      </c>
      <c r="M4" s="42">
        <f>IF(Tabelle58971113[[#This Row],[Durchschnittsauslastung min]]&lt;&gt;"",Tabelle58971113[[#This Row],[Durchschnittsauslastung min]]*8760,"")</f>
        <v>7008</v>
      </c>
      <c r="N4" s="42">
        <f>IF(Tabelle58971113[[#This Row],[Durchschnittsauslastung max]]&lt;&gt;"",Tabelle58971113[[#This Row],[Durchschnittsauslastung max]]*8760,"")</f>
        <v>7446</v>
      </c>
      <c r="O4" s="9">
        <v>0.8</v>
      </c>
      <c r="P4" s="9">
        <v>0.85</v>
      </c>
      <c r="Q4" s="20">
        <f>IF(Tabelle58971113[[#This Row],[installierte Leistung MW]]&lt;&gt;"",Tabelle58971113[[#This Row],[Durchschnittsauslastung max]]*Tabelle58971113[[#This Row],[installierte Leistung MW]],"")</f>
        <v>255</v>
      </c>
      <c r="R4" s="19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300</v>
      </c>
      <c r="S4" s="1">
        <f>5/60</f>
        <v>8.3333333333333329E-2</v>
      </c>
      <c r="V4" s="1">
        <v>2</v>
      </c>
      <c r="W4" s="1">
        <v>2</v>
      </c>
      <c r="AA4" s="1" t="s">
        <v>337</v>
      </c>
      <c r="AB4" s="1">
        <v>20</v>
      </c>
      <c r="AC4" s="8"/>
      <c r="AD4" s="8"/>
      <c r="AF4" s="1" t="s">
        <v>1166</v>
      </c>
      <c r="AG4" s="1" t="s">
        <v>1166</v>
      </c>
      <c r="AH4" s="13" t="s">
        <v>333</v>
      </c>
      <c r="AI4" s="13" t="s">
        <v>333</v>
      </c>
      <c r="AJ4" s="13" t="s">
        <v>333</v>
      </c>
      <c r="AK4" s="13" t="s">
        <v>339</v>
      </c>
      <c r="AL4" s="13"/>
      <c r="AM4" s="13" t="s">
        <v>338</v>
      </c>
      <c r="AN4" s="13" t="s">
        <v>333</v>
      </c>
      <c r="AQ4" s="13" t="s">
        <v>338</v>
      </c>
    </row>
    <row r="5" spans="1:45" x14ac:dyDescent="0.25">
      <c r="A5" s="1" t="s">
        <v>78</v>
      </c>
      <c r="B5" s="1" t="s">
        <v>126</v>
      </c>
      <c r="C5" s="1">
        <v>2013</v>
      </c>
      <c r="D5" s="1">
        <v>1</v>
      </c>
      <c r="E5" s="1">
        <v>1</v>
      </c>
      <c r="F5" s="1">
        <v>0</v>
      </c>
      <c r="G5" s="19"/>
      <c r="H5" s="19"/>
      <c r="I5" s="19"/>
      <c r="J5" s="19"/>
      <c r="K5" s="19" t="str">
        <f>IF(Tabelle58971113[[#This Row],[Potenzial pos. max MW]]&lt;&gt;"",Tabelle58971113[[#This Row],[Potenzial pos. max MW]],"")</f>
        <v/>
      </c>
      <c r="L5" s="9"/>
      <c r="M5" s="42" t="str">
        <f>IF(Tabelle58971113[[#This Row],[Durchschnittsauslastung min]]&lt;&gt;"",Tabelle58971113[[#This Row],[Durchschnittsauslastung min]]*8760,"")</f>
        <v/>
      </c>
      <c r="N5" s="42" t="str">
        <f>IF(Tabelle58971113[[#This Row],[Durchschnittsauslastung max]]&lt;&gt;"",Tabelle58971113[[#This Row],[Durchschnittsauslastung max]]*8760,"")</f>
        <v/>
      </c>
      <c r="O5" s="9"/>
      <c r="P5" s="9"/>
      <c r="Q5" s="20" t="str">
        <f>IF(Tabelle58971113[[#This Row],[installierte Leistung MW]]&lt;&gt;"",Tabelle58971113[[#This Row],[Durchschnittsauslastung max]]*Tabelle58971113[[#This Row],[installierte Leistung MW]],"")</f>
        <v/>
      </c>
      <c r="R5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C5" s="8"/>
      <c r="AD5" s="8"/>
      <c r="AF5" s="1" t="s">
        <v>1166</v>
      </c>
      <c r="AG5" s="1" t="s">
        <v>1166</v>
      </c>
      <c r="AH5" s="13"/>
      <c r="AI5" s="13"/>
      <c r="AJ5" s="13"/>
      <c r="AK5" s="13"/>
      <c r="AL5" s="13"/>
      <c r="AM5" s="13"/>
      <c r="AN5" s="13"/>
      <c r="AQ5" s="13"/>
    </row>
    <row r="6" spans="1:45" x14ac:dyDescent="0.25">
      <c r="A6" s="1" t="s">
        <v>81</v>
      </c>
      <c r="B6" s="1" t="s">
        <v>126</v>
      </c>
      <c r="C6" s="1">
        <v>2013</v>
      </c>
      <c r="D6" s="1">
        <v>1</v>
      </c>
      <c r="E6" s="1">
        <v>1</v>
      </c>
      <c r="F6" s="1">
        <v>0</v>
      </c>
      <c r="G6" s="19"/>
      <c r="H6" s="19">
        <v>680</v>
      </c>
      <c r="I6" s="19">
        <v>680</v>
      </c>
      <c r="J6" s="19"/>
      <c r="K6" s="19">
        <f>IF(Tabelle58971113[[#This Row],[Potenzial pos. max MW]]&lt;&gt;"",Tabelle58971113[[#This Row],[Potenzial pos. max MW]],"")</f>
        <v>680</v>
      </c>
      <c r="L6" s="9">
        <v>0.75</v>
      </c>
      <c r="M6" s="42" t="str">
        <f>IF(Tabelle58971113[[#This Row],[Durchschnittsauslastung min]]&lt;&gt;"",Tabelle58971113[[#This Row],[Durchschnittsauslastung min]]*8760,"")</f>
        <v/>
      </c>
      <c r="N6" s="42" t="str">
        <f>IF(Tabelle58971113[[#This Row],[Durchschnittsauslastung max]]&lt;&gt;"",Tabelle58971113[[#This Row],[Durchschnittsauslastung max]]*8760,"")</f>
        <v/>
      </c>
      <c r="O6" s="9"/>
      <c r="P6" s="9"/>
      <c r="Q6" s="20"/>
      <c r="R6" s="19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906.66666666666663</v>
      </c>
      <c r="V6" s="1">
        <v>2</v>
      </c>
      <c r="W6" s="1">
        <v>2</v>
      </c>
      <c r="AA6" s="1" t="s">
        <v>1105</v>
      </c>
      <c r="AB6" s="1">
        <v>50</v>
      </c>
      <c r="AC6" s="8"/>
      <c r="AD6" s="8"/>
      <c r="AF6" s="1" t="s">
        <v>1166</v>
      </c>
      <c r="AG6" s="1" t="s">
        <v>1166</v>
      </c>
      <c r="AH6" s="13" t="s">
        <v>333</v>
      </c>
      <c r="AI6" s="13" t="s">
        <v>333</v>
      </c>
      <c r="AJ6" s="13" t="s">
        <v>333</v>
      </c>
      <c r="AK6" s="13"/>
      <c r="AL6" s="13"/>
      <c r="AM6" s="13"/>
      <c r="AN6" s="13" t="s">
        <v>333</v>
      </c>
      <c r="AQ6" s="13" t="s">
        <v>333</v>
      </c>
    </row>
    <row r="7" spans="1:45" x14ac:dyDescent="0.25">
      <c r="A7" s="1" t="s">
        <v>938</v>
      </c>
      <c r="B7" s="1" t="s">
        <v>126</v>
      </c>
      <c r="C7" s="1">
        <v>2013</v>
      </c>
      <c r="D7" s="1">
        <v>1</v>
      </c>
      <c r="E7" s="1">
        <v>1</v>
      </c>
      <c r="F7" s="1">
        <v>0</v>
      </c>
      <c r="G7" s="19"/>
      <c r="H7" s="19">
        <v>150</v>
      </c>
      <c r="I7" s="19">
        <v>150</v>
      </c>
      <c r="J7" s="19"/>
      <c r="K7" s="19">
        <f>IF(Tabelle58971113[[#This Row],[Potenzial pos. max MW]]&lt;&gt;"",Tabelle58971113[[#This Row],[Potenzial pos. max MW]],"")</f>
        <v>150</v>
      </c>
      <c r="L7" s="9">
        <v>0.4</v>
      </c>
      <c r="M7" s="42">
        <v>5000</v>
      </c>
      <c r="N7" s="42">
        <v>6000</v>
      </c>
      <c r="O7" s="9">
        <f>Tabelle58971113[[#This Row],[Vollbenutzungsstunden min]]/8760</f>
        <v>0.57077625570776258</v>
      </c>
      <c r="P7" s="9">
        <f>Tabelle58971113[[#This Row],[Vollbenutzungsstunden max]]/8760</f>
        <v>0.68493150684931503</v>
      </c>
      <c r="Q7" s="20">
        <f>IF(Tabelle58971113[[#This Row],[installierte Leistung MW]]&lt;&gt;"",Tabelle58971113[[#This Row],[Durchschnittsauslastung max]]*Tabelle58971113[[#This Row],[installierte Leistung MW]],"")</f>
        <v>256.84931506849313</v>
      </c>
      <c r="R7" s="19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375</v>
      </c>
      <c r="S7" s="1">
        <v>0.25</v>
      </c>
      <c r="V7" s="1">
        <v>4</v>
      </c>
      <c r="W7" s="1">
        <v>4</v>
      </c>
      <c r="AA7" s="1" t="s">
        <v>334</v>
      </c>
      <c r="AB7" s="1">
        <v>50</v>
      </c>
      <c r="AC7" s="8"/>
      <c r="AD7" s="8"/>
      <c r="AE7" s="1" t="s">
        <v>1110</v>
      </c>
      <c r="AF7" s="1" t="s">
        <v>1166</v>
      </c>
      <c r="AG7" s="1" t="s">
        <v>1166</v>
      </c>
      <c r="AH7" s="13" t="s">
        <v>333</v>
      </c>
      <c r="AI7" s="13" t="s">
        <v>333</v>
      </c>
      <c r="AJ7" s="13" t="s">
        <v>333</v>
      </c>
      <c r="AK7" s="13" t="s">
        <v>335</v>
      </c>
      <c r="AL7" s="13"/>
      <c r="AM7" s="13" t="s">
        <v>336</v>
      </c>
      <c r="AN7" s="13" t="s">
        <v>333</v>
      </c>
      <c r="AP7" s="1" t="s">
        <v>335</v>
      </c>
      <c r="AQ7" s="13" t="s">
        <v>333</v>
      </c>
      <c r="AS7" s="1" t="s">
        <v>336</v>
      </c>
    </row>
    <row r="8" spans="1:45" x14ac:dyDescent="0.25">
      <c r="A8" s="1" t="s">
        <v>208</v>
      </c>
      <c r="B8" s="1" t="s">
        <v>126</v>
      </c>
      <c r="C8" s="1">
        <v>2013</v>
      </c>
      <c r="D8" s="1">
        <v>1</v>
      </c>
      <c r="E8" s="1">
        <v>0</v>
      </c>
      <c r="F8" s="1">
        <v>0</v>
      </c>
      <c r="G8" s="19"/>
      <c r="H8" s="19"/>
      <c r="I8" s="19"/>
      <c r="J8" s="19"/>
      <c r="K8" s="19" t="str">
        <f>IF(Tabelle58971113[[#This Row],[Potenzial pos. max MW]]&lt;&gt;"",Tabelle58971113[[#This Row],[Potenzial pos. max MW]],"")</f>
        <v/>
      </c>
      <c r="L8" s="9"/>
      <c r="M8" s="42" t="str">
        <f>IF(Tabelle58971113[[#This Row],[Durchschnittsauslastung min]]&lt;&gt;"",Tabelle58971113[[#This Row],[Durchschnittsauslastung min]]*8760,"")</f>
        <v/>
      </c>
      <c r="N8" s="42" t="str">
        <f>IF(Tabelle58971113[[#This Row],[Durchschnittsauslastung max]]&lt;&gt;"",Tabelle58971113[[#This Row],[Durchschnittsauslastung max]]*8760,"")</f>
        <v/>
      </c>
      <c r="O8" s="9"/>
      <c r="P8" s="9"/>
      <c r="Q8" s="20" t="str">
        <f>IF(Tabelle58971113[[#This Row],[installierte Leistung MW]]&lt;&gt;"",Tabelle58971113[[#This Row],[Durchschnittsauslastung max]]*Tabelle58971113[[#This Row],[installierte Leistung MW]],"")</f>
        <v/>
      </c>
      <c r="R8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T8" s="1">
        <v>0.25</v>
      </c>
      <c r="U8" s="1">
        <v>2</v>
      </c>
      <c r="X8" s="1">
        <v>0.25</v>
      </c>
      <c r="Y8" s="1">
        <v>2</v>
      </c>
      <c r="AC8" s="8"/>
      <c r="AD8" s="8"/>
      <c r="AF8" s="1" t="s">
        <v>1166</v>
      </c>
      <c r="AG8" s="1" t="s">
        <v>1166</v>
      </c>
      <c r="AH8" s="13"/>
      <c r="AI8" s="13"/>
      <c r="AJ8" s="13"/>
      <c r="AK8" s="13"/>
      <c r="AL8" s="13"/>
      <c r="AM8" s="13"/>
      <c r="AN8" s="1" t="s">
        <v>341</v>
      </c>
    </row>
    <row r="9" spans="1:45" x14ac:dyDescent="0.25">
      <c r="A9" s="1" t="s">
        <v>206</v>
      </c>
      <c r="B9" s="1" t="s">
        <v>126</v>
      </c>
      <c r="C9" s="1">
        <v>2013</v>
      </c>
      <c r="D9" s="1">
        <v>1</v>
      </c>
      <c r="E9" s="1">
        <v>0</v>
      </c>
      <c r="F9" s="1">
        <v>0</v>
      </c>
      <c r="G9" s="19"/>
      <c r="H9" s="19"/>
      <c r="I9" s="19"/>
      <c r="J9" s="19"/>
      <c r="K9" s="19" t="str">
        <f>IF(Tabelle58971113[[#This Row],[Potenzial pos. max MW]]&lt;&gt;"",Tabelle58971113[[#This Row],[Potenzial pos. max MW]],"")</f>
        <v/>
      </c>
      <c r="L9" s="9"/>
      <c r="M9" s="42" t="str">
        <f>IF(Tabelle58971113[[#This Row],[Durchschnittsauslastung min]]&lt;&gt;"",Tabelle58971113[[#This Row],[Durchschnittsauslastung min]]*8760,"")</f>
        <v/>
      </c>
      <c r="N9" s="42" t="str">
        <f>IF(Tabelle58971113[[#This Row],[Durchschnittsauslastung max]]&lt;&gt;"",Tabelle58971113[[#This Row],[Durchschnittsauslastung max]]*8760,"")</f>
        <v/>
      </c>
      <c r="O9" s="9"/>
      <c r="P9" s="9"/>
      <c r="Q9" s="20" t="str">
        <f>IF(Tabelle58971113[[#This Row],[installierte Leistung MW]]&lt;&gt;"",Tabelle58971113[[#This Row],[Durchschnittsauslastung max]]*Tabelle58971113[[#This Row],[installierte Leistung MW]],"")</f>
        <v/>
      </c>
      <c r="R9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C9" s="8"/>
      <c r="AD9" s="8"/>
      <c r="AF9" s="1" t="s">
        <v>1166</v>
      </c>
      <c r="AG9" s="1" t="s">
        <v>1166</v>
      </c>
      <c r="AH9" s="13"/>
      <c r="AI9" s="13"/>
      <c r="AJ9" s="13"/>
      <c r="AK9" s="13"/>
      <c r="AL9" s="13"/>
      <c r="AM9" s="13"/>
    </row>
    <row r="10" spans="1:45" x14ac:dyDescent="0.25">
      <c r="A10" s="1" t="s">
        <v>209</v>
      </c>
      <c r="B10" s="1" t="s">
        <v>126</v>
      </c>
      <c r="C10" s="1">
        <v>2013</v>
      </c>
      <c r="D10" s="1">
        <v>1</v>
      </c>
      <c r="E10" s="1">
        <v>0</v>
      </c>
      <c r="F10" s="1">
        <v>0</v>
      </c>
      <c r="G10" s="19"/>
      <c r="H10" s="19"/>
      <c r="I10" s="19"/>
      <c r="J10" s="19"/>
      <c r="K10" s="19" t="str">
        <f>IF(Tabelle58971113[[#This Row],[Potenzial pos. max MW]]&lt;&gt;"",Tabelle58971113[[#This Row],[Potenzial pos. max MW]],"")</f>
        <v/>
      </c>
      <c r="L10" s="9"/>
      <c r="M10" s="42" t="str">
        <f>IF(Tabelle58971113[[#This Row],[Durchschnittsauslastung min]]&lt;&gt;"",Tabelle58971113[[#This Row],[Durchschnittsauslastung min]]*8760,"")</f>
        <v/>
      </c>
      <c r="N10" s="42" t="str">
        <f>IF(Tabelle58971113[[#This Row],[Durchschnittsauslastung max]]&lt;&gt;"",Tabelle58971113[[#This Row],[Durchschnittsauslastung max]]*8760,"")</f>
        <v/>
      </c>
      <c r="O10" s="9"/>
      <c r="P10" s="9"/>
      <c r="Q10" s="20" t="str">
        <f>IF(Tabelle58971113[[#This Row],[installierte Leistung MW]]&lt;&gt;"",Tabelle58971113[[#This Row],[Durchschnittsauslastung max]]*Tabelle58971113[[#This Row],[installierte Leistung MW]],"")</f>
        <v/>
      </c>
      <c r="R10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C10" s="8"/>
      <c r="AD10" s="8"/>
      <c r="AF10" s="1" t="s">
        <v>1166</v>
      </c>
      <c r="AG10" s="1" t="s">
        <v>1166</v>
      </c>
      <c r="AH10" s="13"/>
      <c r="AI10" s="13"/>
      <c r="AJ10" s="13"/>
      <c r="AK10" s="13"/>
      <c r="AL10" s="13"/>
      <c r="AM10" s="13"/>
    </row>
    <row r="11" spans="1:45" x14ac:dyDescent="0.25">
      <c r="A11" s="1" t="s">
        <v>138</v>
      </c>
      <c r="B11" s="1" t="s">
        <v>139</v>
      </c>
      <c r="C11" s="1">
        <v>2013</v>
      </c>
      <c r="D11" s="1">
        <v>1</v>
      </c>
      <c r="E11" s="1">
        <v>0</v>
      </c>
      <c r="F11" s="1">
        <v>0</v>
      </c>
      <c r="G11" s="19"/>
      <c r="H11" s="19"/>
      <c r="I11" s="19"/>
      <c r="J11" s="19"/>
      <c r="K11" s="19" t="str">
        <f>IF(Tabelle58971113[[#This Row],[Potenzial pos. max MW]]&lt;&gt;"",Tabelle58971113[[#This Row],[Potenzial pos. max MW]],"")</f>
        <v/>
      </c>
      <c r="L11" s="9"/>
      <c r="M11" s="42" t="str">
        <f>IF(Tabelle58971113[[#This Row],[Durchschnittsauslastung min]]&lt;&gt;"",Tabelle58971113[[#This Row],[Durchschnittsauslastung min]]*8760,"")</f>
        <v/>
      </c>
      <c r="N11" s="42" t="str">
        <f>IF(Tabelle58971113[[#This Row],[Durchschnittsauslastung max]]&lt;&gt;"",Tabelle58971113[[#This Row],[Durchschnittsauslastung max]]*8760,"")</f>
        <v/>
      </c>
      <c r="O11" s="9"/>
      <c r="P11" s="9"/>
      <c r="Q11" s="20" t="str">
        <f>IF(Tabelle58971113[[#This Row],[installierte Leistung MW]]&lt;&gt;"",Tabelle58971113[[#This Row],[Durchschnittsauslastung max]]*Tabelle58971113[[#This Row],[installierte Leistung MW]],"")</f>
        <v/>
      </c>
      <c r="R11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T11" s="1">
        <v>5</v>
      </c>
      <c r="U11" s="1">
        <v>12</v>
      </c>
      <c r="Z11" s="1">
        <v>24</v>
      </c>
      <c r="AC11" s="8"/>
      <c r="AD11" s="8"/>
      <c r="AF11" s="1" t="s">
        <v>1166</v>
      </c>
      <c r="AG11" s="1" t="s">
        <v>1166</v>
      </c>
      <c r="AH11" s="13"/>
      <c r="AI11" s="13"/>
      <c r="AJ11" s="13"/>
      <c r="AK11" s="13"/>
      <c r="AL11" s="13"/>
      <c r="AM11" s="13"/>
      <c r="AN11" s="1" t="s">
        <v>342</v>
      </c>
      <c r="AO11" s="1" t="s">
        <v>342</v>
      </c>
    </row>
    <row r="12" spans="1:45" x14ac:dyDescent="0.25">
      <c r="A12" s="1" t="s">
        <v>134</v>
      </c>
      <c r="B12" s="1" t="s">
        <v>139</v>
      </c>
      <c r="C12" s="1">
        <v>2013</v>
      </c>
      <c r="D12" s="1">
        <v>1</v>
      </c>
      <c r="E12" s="1">
        <v>0</v>
      </c>
      <c r="F12" s="1">
        <v>0</v>
      </c>
      <c r="G12" s="19"/>
      <c r="H12" s="19"/>
      <c r="I12" s="19"/>
      <c r="J12" s="19"/>
      <c r="K12" s="19" t="str">
        <f>IF(Tabelle58971113[[#This Row],[Potenzial pos. max MW]]&lt;&gt;"",Tabelle58971113[[#This Row],[Potenzial pos. max MW]],"")</f>
        <v/>
      </c>
      <c r="L12" s="9"/>
      <c r="M12" s="42" t="str">
        <f>IF(Tabelle58971113[[#This Row],[Durchschnittsauslastung min]]&lt;&gt;"",Tabelle58971113[[#This Row],[Durchschnittsauslastung min]]*8760,"")</f>
        <v/>
      </c>
      <c r="N12" s="42" t="str">
        <f>IF(Tabelle58971113[[#This Row],[Durchschnittsauslastung max]]&lt;&gt;"",Tabelle58971113[[#This Row],[Durchschnittsauslastung max]]*8760,"")</f>
        <v/>
      </c>
      <c r="O12" s="9"/>
      <c r="P12" s="9"/>
      <c r="Q12" s="20" t="str">
        <f>IF(Tabelle58971113[[#This Row],[installierte Leistung MW]]&lt;&gt;"",Tabelle58971113[[#This Row],[Durchschnittsauslastung max]]*Tabelle58971113[[#This Row],[installierte Leistung MW]],"")</f>
        <v/>
      </c>
      <c r="R12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V12" s="1">
        <v>1</v>
      </c>
      <c r="Z12" s="1">
        <v>12</v>
      </c>
      <c r="AA12" s="1" t="s">
        <v>343</v>
      </c>
      <c r="AC12" s="8"/>
      <c r="AD12" s="8"/>
      <c r="AF12" s="1" t="s">
        <v>1166</v>
      </c>
      <c r="AG12" s="1" t="s">
        <v>1166</v>
      </c>
      <c r="AH12" s="13"/>
      <c r="AI12" s="13"/>
      <c r="AJ12" s="13"/>
      <c r="AK12" s="13"/>
      <c r="AL12" s="13"/>
      <c r="AM12" s="13"/>
      <c r="AN12" s="1" t="s">
        <v>344</v>
      </c>
      <c r="AO12" s="1" t="s">
        <v>344</v>
      </c>
      <c r="AP12" s="1" t="s">
        <v>345</v>
      </c>
    </row>
    <row r="13" spans="1:45" x14ac:dyDescent="0.25">
      <c r="A13" s="1" t="s">
        <v>210</v>
      </c>
      <c r="B13" s="1" t="s">
        <v>139</v>
      </c>
      <c r="C13" s="1">
        <v>2013</v>
      </c>
      <c r="D13" s="1">
        <v>1</v>
      </c>
      <c r="E13" s="1">
        <v>0</v>
      </c>
      <c r="F13" s="1">
        <v>0</v>
      </c>
      <c r="G13" s="19">
        <v>160</v>
      </c>
      <c r="H13" s="19">
        <v>17300</v>
      </c>
      <c r="I13" s="19"/>
      <c r="J13" s="19">
        <v>160</v>
      </c>
      <c r="K13" s="19">
        <f>IF(Tabelle58971113[[#This Row],[Potenzial pos. max MW]]&lt;&gt;"",Tabelle58971113[[#This Row],[Potenzial pos. max MW]],"")</f>
        <v>17300</v>
      </c>
      <c r="L13" s="64"/>
      <c r="M13" s="42" t="str">
        <f>IF(Tabelle58971113[[#This Row],[Durchschnittsauslastung min]]&lt;&gt;"",Tabelle58971113[[#This Row],[Durchschnittsauslastung min]]*8760,"")</f>
        <v/>
      </c>
      <c r="N13" s="42"/>
      <c r="O13" s="64"/>
      <c r="P13" s="64"/>
      <c r="Q13" s="20" t="str">
        <f>IF(Tabelle58971113[[#This Row],[installierte Leistung MW]]&lt;&gt;"",Tabelle58971113[[#This Row],[Durchschnittsauslastung max]]*Tabelle58971113[[#This Row],[installierte Leistung MW]],"")</f>
        <v/>
      </c>
      <c r="R13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S13" s="65"/>
      <c r="T13" s="65"/>
      <c r="U13" s="65"/>
      <c r="AC13" s="8"/>
      <c r="AD13" s="8"/>
      <c r="AF13" s="1" t="s">
        <v>1166</v>
      </c>
      <c r="AG13" s="1" t="s">
        <v>1166</v>
      </c>
      <c r="AH13" s="13" t="s">
        <v>1109</v>
      </c>
      <c r="AI13" s="13" t="s">
        <v>1109</v>
      </c>
      <c r="AJ13" s="13"/>
      <c r="AK13" s="13"/>
      <c r="AL13" s="13"/>
      <c r="AM13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Dropdown!$C$2:$C$4</xm:f>
          </x14:formula1>
          <xm:sqref>B2:B13</xm:sqref>
        </x14:dataValidation>
        <x14:dataValidation type="list" allowBlank="1" showInputMessage="1" showErrorMessage="1" xr:uid="{00000000-0002-0000-0700-000001000000}">
          <x14:formula1>
            <xm:f>Dropdown!$A$2:$A$103</xm:f>
          </x14:formula1>
          <xm:sqref>A2:A13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5"/>
  <dimension ref="A1:AB8"/>
  <sheetViews>
    <sheetView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F9" sqref="F9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28.81640625" style="1" bestFit="1" customWidth="1"/>
    <col min="8" max="8" width="38.81640625" style="1" bestFit="1" customWidth="1"/>
    <col min="9" max="9" width="29.26953125" style="1" bestFit="1" customWidth="1"/>
    <col min="10" max="11" width="24.54296875" style="1" customWidth="1"/>
    <col min="12" max="12" width="24.453125" style="1" bestFit="1" customWidth="1"/>
    <col min="13" max="13" width="20.7265625" style="1" bestFit="1" customWidth="1"/>
    <col min="14" max="15" width="20.7265625" style="1" customWidth="1"/>
    <col min="16" max="16" width="25.81640625" style="1" bestFit="1" customWidth="1"/>
    <col min="17" max="17" width="24" style="1" bestFit="1" customWidth="1"/>
    <col min="18" max="18" width="38.26953125" style="1" bestFit="1" customWidth="1"/>
    <col min="19" max="20" width="38.26953125" style="1" customWidth="1"/>
    <col min="21" max="21" width="56.7265625" style="1" bestFit="1" customWidth="1"/>
    <col min="22" max="22" width="35.54296875" style="1" customWidth="1"/>
    <col min="23" max="23" width="31.7265625" style="1" bestFit="1" customWidth="1"/>
    <col min="24" max="24" width="31.54296875" style="1" bestFit="1" customWidth="1"/>
    <col min="25" max="25" width="34" style="1" bestFit="1" customWidth="1"/>
    <col min="26" max="26" width="34.453125" style="1" bestFit="1" customWidth="1"/>
    <col min="27" max="27" width="38.1796875" style="1" bestFit="1" customWidth="1"/>
    <col min="28" max="28" width="28.54296875" style="1" bestFit="1" customWidth="1"/>
    <col min="29" max="16384" width="11.453125" style="1"/>
  </cols>
  <sheetData>
    <row r="1" spans="1:28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47</v>
      </c>
      <c r="H1" s="2" t="s">
        <v>146</v>
      </c>
      <c r="I1" s="2" t="s">
        <v>48</v>
      </c>
      <c r="J1" s="2" t="s">
        <v>153</v>
      </c>
      <c r="K1" s="2" t="s">
        <v>155</v>
      </c>
      <c r="L1" s="2" t="s">
        <v>154</v>
      </c>
      <c r="M1" s="2" t="s">
        <v>156</v>
      </c>
      <c r="N1" s="2" t="s">
        <v>211</v>
      </c>
      <c r="O1" s="2" t="s">
        <v>212</v>
      </c>
      <c r="P1" s="2" t="s">
        <v>3</v>
      </c>
      <c r="Q1" s="2" t="s">
        <v>14</v>
      </c>
      <c r="R1" s="2" t="s">
        <v>4</v>
      </c>
      <c r="S1" s="2" t="s">
        <v>1244</v>
      </c>
      <c r="T1" s="2" t="s">
        <v>1245</v>
      </c>
      <c r="U1" s="2" t="s">
        <v>20</v>
      </c>
      <c r="V1" s="2" t="s">
        <v>161</v>
      </c>
      <c r="W1" s="2" t="s">
        <v>1</v>
      </c>
      <c r="X1" s="2" t="s">
        <v>2</v>
      </c>
      <c r="Y1" s="2" t="s">
        <v>6</v>
      </c>
      <c r="Z1" s="2" t="s">
        <v>16</v>
      </c>
      <c r="AA1" s="2" t="s">
        <v>7</v>
      </c>
      <c r="AB1" s="2" t="s">
        <v>18</v>
      </c>
    </row>
    <row r="2" spans="1:28" x14ac:dyDescent="0.25">
      <c r="A2" s="6" t="s">
        <v>820</v>
      </c>
      <c r="B2" s="1" t="s">
        <v>126</v>
      </c>
      <c r="C2" s="1">
        <v>2013</v>
      </c>
      <c r="D2" s="1">
        <v>1</v>
      </c>
      <c r="E2" s="1">
        <v>0</v>
      </c>
      <c r="F2" s="1">
        <v>0</v>
      </c>
      <c r="G2" s="19"/>
      <c r="H2" s="19"/>
      <c r="I2" s="19">
        <v>500</v>
      </c>
      <c r="J2" s="19"/>
      <c r="K2" s="19"/>
      <c r="L2" s="19">
        <v>125</v>
      </c>
      <c r="N2" s="1">
        <v>0.25</v>
      </c>
      <c r="O2" s="1">
        <v>4</v>
      </c>
      <c r="S2" s="8">
        <v>10</v>
      </c>
      <c r="T2" s="8">
        <v>1000</v>
      </c>
      <c r="U2" s="1" t="s">
        <v>821</v>
      </c>
      <c r="V2" s="1">
        <v>29</v>
      </c>
      <c r="W2" s="13">
        <v>29</v>
      </c>
      <c r="X2" s="1">
        <v>29</v>
      </c>
      <c r="Y2" s="1">
        <v>30</v>
      </c>
      <c r="AB2" s="1" t="s">
        <v>824</v>
      </c>
    </row>
    <row r="3" spans="1:28" x14ac:dyDescent="0.25">
      <c r="A3" s="1" t="s">
        <v>820</v>
      </c>
      <c r="B3" s="1" t="s">
        <v>126</v>
      </c>
      <c r="C3" s="1">
        <v>2020</v>
      </c>
      <c r="D3" s="1">
        <v>1</v>
      </c>
      <c r="E3" s="1">
        <v>0</v>
      </c>
      <c r="F3" s="1">
        <v>0</v>
      </c>
      <c r="G3" s="19">
        <v>500</v>
      </c>
      <c r="H3" s="19"/>
      <c r="I3" s="19">
        <v>2000</v>
      </c>
      <c r="J3" s="19">
        <v>700</v>
      </c>
      <c r="K3" s="19"/>
      <c r="L3" s="19">
        <v>4400</v>
      </c>
      <c r="N3" s="1">
        <v>0.25</v>
      </c>
      <c r="O3" s="1">
        <v>4</v>
      </c>
      <c r="S3" s="8">
        <v>10</v>
      </c>
      <c r="T3" s="8">
        <v>1000</v>
      </c>
      <c r="U3" s="1" t="s">
        <v>822</v>
      </c>
      <c r="V3" s="1">
        <v>29</v>
      </c>
      <c r="W3" s="13">
        <v>29</v>
      </c>
      <c r="X3" s="1">
        <v>29</v>
      </c>
      <c r="Y3" s="1">
        <v>30</v>
      </c>
      <c r="AB3" s="1" t="s">
        <v>824</v>
      </c>
    </row>
    <row r="4" spans="1:28" x14ac:dyDescent="0.25">
      <c r="A4" s="1" t="s">
        <v>823</v>
      </c>
      <c r="B4" s="1" t="s">
        <v>139</v>
      </c>
      <c r="C4" s="1">
        <v>2013</v>
      </c>
      <c r="D4" s="1">
        <v>1</v>
      </c>
      <c r="E4" s="1">
        <v>0</v>
      </c>
      <c r="F4" s="1">
        <v>0</v>
      </c>
      <c r="G4" s="19"/>
      <c r="H4" s="19"/>
      <c r="I4" s="19"/>
      <c r="J4" s="19"/>
      <c r="K4" s="19"/>
      <c r="L4" s="19"/>
      <c r="S4" s="8"/>
      <c r="T4" s="8"/>
      <c r="W4" s="13"/>
    </row>
    <row r="5" spans="1:28" x14ac:dyDescent="0.25">
      <c r="A5" s="1" t="s">
        <v>823</v>
      </c>
      <c r="B5" s="1" t="s">
        <v>139</v>
      </c>
      <c r="C5" s="1">
        <v>2020</v>
      </c>
      <c r="D5" s="1">
        <v>1</v>
      </c>
      <c r="E5" s="1">
        <v>0</v>
      </c>
      <c r="F5" s="1">
        <v>0</v>
      </c>
      <c r="G5" s="19">
        <v>1000</v>
      </c>
      <c r="H5" s="19">
        <v>2000</v>
      </c>
      <c r="I5" s="19">
        <v>6700</v>
      </c>
      <c r="J5" s="19">
        <v>10000</v>
      </c>
      <c r="K5" s="19"/>
      <c r="L5" s="19">
        <v>35300</v>
      </c>
      <c r="Q5" s="1" t="s">
        <v>825</v>
      </c>
      <c r="S5" s="8"/>
      <c r="T5" s="8"/>
      <c r="W5" s="13">
        <v>32</v>
      </c>
      <c r="X5" s="1">
        <v>32</v>
      </c>
      <c r="Z5" s="1">
        <v>33</v>
      </c>
    </row>
    <row r="6" spans="1:28" x14ac:dyDescent="0.25">
      <c r="A6" s="1" t="s">
        <v>134</v>
      </c>
      <c r="B6" s="1" t="s">
        <v>139</v>
      </c>
      <c r="C6" s="1">
        <v>2020</v>
      </c>
      <c r="D6" s="1">
        <v>1</v>
      </c>
      <c r="E6" s="1">
        <v>0</v>
      </c>
      <c r="F6" s="1">
        <v>0</v>
      </c>
      <c r="G6" s="19">
        <v>300</v>
      </c>
      <c r="H6" s="19">
        <v>450</v>
      </c>
      <c r="I6" s="19">
        <v>700</v>
      </c>
      <c r="J6" s="19">
        <v>1300</v>
      </c>
      <c r="K6" s="19">
        <v>1500</v>
      </c>
      <c r="L6" s="19">
        <v>2200</v>
      </c>
      <c r="M6" s="1">
        <v>2</v>
      </c>
      <c r="N6" s="1">
        <v>0.25</v>
      </c>
      <c r="O6" s="1">
        <v>4</v>
      </c>
      <c r="P6" s="1">
        <v>2</v>
      </c>
      <c r="Q6" s="1" t="s">
        <v>826</v>
      </c>
      <c r="R6" s="1">
        <f>3*7</f>
        <v>21</v>
      </c>
      <c r="S6" s="8"/>
      <c r="T6" s="8"/>
      <c r="W6" s="13" t="s">
        <v>811</v>
      </c>
      <c r="X6" s="13" t="s">
        <v>811</v>
      </c>
      <c r="Y6" s="1">
        <v>34</v>
      </c>
      <c r="Z6" s="1">
        <v>34</v>
      </c>
      <c r="AA6" s="1">
        <v>34</v>
      </c>
    </row>
    <row r="7" spans="1:28" x14ac:dyDescent="0.25">
      <c r="A7" s="55" t="s">
        <v>827</v>
      </c>
      <c r="B7" s="55" t="s">
        <v>126</v>
      </c>
      <c r="C7" s="55">
        <v>2013</v>
      </c>
      <c r="D7" s="1">
        <v>1</v>
      </c>
      <c r="E7" s="1">
        <v>0</v>
      </c>
      <c r="F7" s="1">
        <v>0</v>
      </c>
      <c r="G7" s="56"/>
      <c r="H7" s="56"/>
      <c r="I7" s="56"/>
      <c r="J7" s="56"/>
      <c r="K7" s="56"/>
      <c r="L7" s="56"/>
      <c r="M7" s="55"/>
      <c r="N7" s="55"/>
      <c r="O7" s="55"/>
      <c r="P7" s="55"/>
      <c r="Q7" s="55"/>
      <c r="R7" s="60"/>
      <c r="S7" s="61"/>
      <c r="T7" s="61"/>
      <c r="U7" s="55" t="s">
        <v>828</v>
      </c>
      <c r="V7" s="55"/>
      <c r="W7" s="62"/>
      <c r="X7" s="55"/>
      <c r="Y7" s="55"/>
      <c r="Z7" s="55"/>
      <c r="AA7" s="55"/>
      <c r="AB7" s="55"/>
    </row>
    <row r="8" spans="1:28" x14ac:dyDescent="0.25">
      <c r="A8" s="55" t="s">
        <v>827</v>
      </c>
      <c r="B8" s="55" t="s">
        <v>126</v>
      </c>
      <c r="C8" s="55">
        <v>2020</v>
      </c>
      <c r="D8" s="1">
        <v>1</v>
      </c>
      <c r="E8" s="1">
        <v>0</v>
      </c>
      <c r="F8" s="1">
        <v>0</v>
      </c>
      <c r="G8" s="56"/>
      <c r="H8" s="56"/>
      <c r="I8" s="56"/>
      <c r="J8" s="56">
        <v>7000</v>
      </c>
      <c r="K8" s="56"/>
      <c r="L8" s="56">
        <v>11000</v>
      </c>
      <c r="M8" s="55"/>
      <c r="N8" s="55"/>
      <c r="O8" s="55"/>
      <c r="P8" s="55"/>
      <c r="Q8" s="55"/>
      <c r="R8" s="60"/>
      <c r="S8" s="61"/>
      <c r="T8" s="61"/>
      <c r="U8" s="55"/>
      <c r="V8" s="55"/>
      <c r="W8" s="62"/>
      <c r="X8" s="55">
        <v>36</v>
      </c>
      <c r="Y8" s="55"/>
      <c r="Z8" s="55"/>
      <c r="AA8" s="55"/>
      <c r="AB8" s="55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1000000}">
          <x14:formula1>
            <xm:f>Dropdown!$C$2:$C$4</xm:f>
          </x14:formula1>
          <xm:sqref>B2:B8</xm:sqref>
        </x14:dataValidation>
        <x14:dataValidation type="list" allowBlank="1" showInputMessage="1" showErrorMessage="1" xr:uid="{D2B9CDA4-B57F-4BD3-9E06-8A5CBAA8218D}">
          <x14:formula1>
            <xm:f>Dropdown!$A$1:$A$92</xm:f>
          </x14:formula1>
          <xm:sqref>A2:A8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C923-8EA2-4ABF-8B45-D04DA71BFBF7}">
  <sheetPr codeName="Tabelle16"/>
  <dimension ref="A1:BX40"/>
  <sheetViews>
    <sheetView zoomScale="80" zoomScaleNormal="80" workbookViewId="0">
      <pane xSplit="6" ySplit="1" topLeftCell="P2" activePane="bottomRight" state="frozen"/>
      <selection pane="topRight" activeCell="G1" sqref="G1"/>
      <selection pane="bottomLeft" activeCell="A2" sqref="A2"/>
      <selection pane="bottomRight" activeCell="U6" sqref="U6"/>
    </sheetView>
  </sheetViews>
  <sheetFormatPr baseColWidth="10" defaultRowHeight="14.5" x14ac:dyDescent="0.35"/>
  <cols>
    <col min="1" max="1" width="20.7265625" bestFit="1" customWidth="1"/>
    <col min="2" max="2" width="21.26953125" bestFit="1" customWidth="1"/>
    <col min="3" max="3" width="7.26953125" bestFit="1" customWidth="1"/>
    <col min="4" max="4" width="19.26953125" bestFit="1" customWidth="1"/>
    <col min="5" max="5" width="14.1796875" bestFit="1" customWidth="1"/>
    <col min="6" max="19" width="14.1796875" customWidth="1"/>
    <col min="20" max="20" width="24.453125" bestFit="1" customWidth="1"/>
    <col min="21" max="21" width="32.26953125" bestFit="1" customWidth="1"/>
    <col min="22" max="22" width="28.81640625" bestFit="1" customWidth="1"/>
    <col min="23" max="25" width="28.81640625" customWidth="1"/>
    <col min="26" max="26" width="27.453125" bestFit="1" customWidth="1"/>
    <col min="27" max="27" width="24.7265625" bestFit="1" customWidth="1"/>
    <col min="28" max="28" width="32.54296875" bestFit="1" customWidth="1"/>
    <col min="29" max="29" width="25.26953125" bestFit="1" customWidth="1"/>
    <col min="30" max="30" width="21.54296875" bestFit="1" customWidth="1"/>
    <col min="31" max="31" width="20.1796875" bestFit="1" customWidth="1"/>
    <col min="32" max="32" width="24.453125" bestFit="1" customWidth="1"/>
    <col min="33" max="33" width="43.453125" customWidth="1"/>
    <col min="34" max="34" width="25.26953125" bestFit="1" customWidth="1"/>
    <col min="35" max="35" width="31.54296875" bestFit="1" customWidth="1"/>
    <col min="36" max="36" width="25.453125" bestFit="1" customWidth="1"/>
    <col min="37" max="37" width="21.54296875" bestFit="1" customWidth="1"/>
    <col min="38" max="38" width="21.54296875" customWidth="1"/>
    <col min="39" max="39" width="21.81640625" bestFit="1" customWidth="1"/>
    <col min="40" max="40" width="21.7265625" bestFit="1" customWidth="1"/>
    <col min="41" max="41" width="19.81640625" bestFit="1" customWidth="1"/>
    <col min="42" max="42" width="33.1796875" bestFit="1" customWidth="1"/>
    <col min="43" max="43" width="30.81640625" bestFit="1" customWidth="1"/>
    <col min="44" max="44" width="30.81640625" customWidth="1"/>
    <col min="45" max="45" width="37.453125" bestFit="1" customWidth="1"/>
    <col min="46" max="46" width="38" bestFit="1" customWidth="1"/>
    <col min="47" max="47" width="30.1796875" bestFit="1" customWidth="1"/>
    <col min="48" max="48" width="30.7265625" bestFit="1" customWidth="1"/>
    <col min="49" max="50" width="30.7265625" customWidth="1"/>
    <col min="51" max="51" width="30.26953125" bestFit="1" customWidth="1"/>
    <col min="52" max="52" width="30.26953125" customWidth="1"/>
    <col min="53" max="53" width="47.54296875" customWidth="1"/>
    <col min="54" max="54" width="16" bestFit="1" customWidth="1"/>
    <col min="55" max="55" width="16" customWidth="1"/>
    <col min="56" max="56" width="29.54296875" bestFit="1" customWidth="1"/>
    <col min="57" max="57" width="24.453125" bestFit="1" customWidth="1"/>
    <col min="58" max="62" width="24.453125" customWidth="1"/>
    <col min="63" max="63" width="26.453125" bestFit="1" customWidth="1"/>
    <col min="64" max="64" width="27.7265625" bestFit="1" customWidth="1"/>
    <col min="65" max="65" width="30.81640625" bestFit="1" customWidth="1"/>
    <col min="66" max="66" width="35.54296875" bestFit="1" customWidth="1"/>
    <col min="67" max="67" width="31.54296875" bestFit="1" customWidth="1"/>
    <col min="68" max="68" width="24.54296875" bestFit="1" customWidth="1"/>
    <col min="69" max="69" width="29.1796875" bestFit="1" customWidth="1"/>
    <col min="70" max="70" width="29" bestFit="1" customWidth="1"/>
    <col min="71" max="71" width="32.7265625" bestFit="1" customWidth="1"/>
    <col min="72" max="72" width="18.7265625" bestFit="1" customWidth="1"/>
    <col min="73" max="74" width="23.7265625" bestFit="1" customWidth="1"/>
    <col min="75" max="75" width="40" customWidth="1"/>
    <col min="76" max="76" width="26.26953125" bestFit="1" customWidth="1"/>
  </cols>
  <sheetData>
    <row r="1" spans="1:76" s="1" customFormat="1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892</v>
      </c>
      <c r="H1" s="2" t="s">
        <v>893</v>
      </c>
      <c r="I1" s="2" t="s">
        <v>894</v>
      </c>
      <c r="J1" s="2" t="s">
        <v>884</v>
      </c>
      <c r="K1" s="2" t="s">
        <v>895</v>
      </c>
      <c r="L1" s="2" t="s">
        <v>896</v>
      </c>
      <c r="M1" s="2" t="s">
        <v>897</v>
      </c>
      <c r="N1" s="2" t="s">
        <v>898</v>
      </c>
      <c r="O1" s="2" t="s">
        <v>899</v>
      </c>
      <c r="P1" s="2" t="s">
        <v>900</v>
      </c>
      <c r="Q1" s="2" t="s">
        <v>985</v>
      </c>
      <c r="R1" s="2" t="s">
        <v>986</v>
      </c>
      <c r="S1" s="2" t="s">
        <v>987</v>
      </c>
      <c r="T1" s="2" t="s">
        <v>47</v>
      </c>
      <c r="U1" s="2" t="s">
        <v>146</v>
      </c>
      <c r="V1" s="2" t="s">
        <v>48</v>
      </c>
      <c r="W1" s="2" t="s">
        <v>1134</v>
      </c>
      <c r="X1" s="2" t="s">
        <v>1130</v>
      </c>
      <c r="Y1" s="2" t="s">
        <v>541</v>
      </c>
      <c r="Z1" s="2" t="s">
        <v>906</v>
      </c>
      <c r="AA1" s="2" t="s">
        <v>153</v>
      </c>
      <c r="AB1" s="2" t="s">
        <v>155</v>
      </c>
      <c r="AC1" s="2" t="s">
        <v>154</v>
      </c>
      <c r="AD1" s="2" t="s">
        <v>53</v>
      </c>
      <c r="AE1" s="2" t="s">
        <v>52</v>
      </c>
      <c r="AF1" s="2" t="s">
        <v>84</v>
      </c>
      <c r="AG1" s="2" t="s">
        <v>854</v>
      </c>
      <c r="AH1" s="2" t="s">
        <v>232</v>
      </c>
      <c r="AI1" s="2" t="s">
        <v>113</v>
      </c>
      <c r="AJ1" s="2" t="s">
        <v>55</v>
      </c>
      <c r="AK1" s="2" t="s">
        <v>156</v>
      </c>
      <c r="AL1" s="2" t="s">
        <v>1131</v>
      </c>
      <c r="AM1" s="2" t="s">
        <v>157</v>
      </c>
      <c r="AN1" s="2" t="s">
        <v>3</v>
      </c>
      <c r="AO1" s="2" t="s">
        <v>14</v>
      </c>
      <c r="AP1" s="2" t="s">
        <v>4</v>
      </c>
      <c r="AQ1" s="2" t="s">
        <v>96</v>
      </c>
      <c r="AR1" s="2" t="s">
        <v>1087</v>
      </c>
      <c r="AS1" s="2" t="s">
        <v>1251</v>
      </c>
      <c r="AT1" s="2" t="s">
        <v>1252</v>
      </c>
      <c r="AU1" s="2" t="s">
        <v>1244</v>
      </c>
      <c r="AV1" s="2" t="s">
        <v>1245</v>
      </c>
      <c r="AW1" s="2" t="s">
        <v>1260</v>
      </c>
      <c r="AX1" s="2" t="s">
        <v>1261</v>
      </c>
      <c r="AY1" s="2" t="s">
        <v>1249</v>
      </c>
      <c r="AZ1" s="2" t="s">
        <v>1262</v>
      </c>
      <c r="BA1" s="2" t="s">
        <v>1263</v>
      </c>
      <c r="BB1" s="2" t="s">
        <v>20</v>
      </c>
      <c r="BC1" s="2" t="s">
        <v>904</v>
      </c>
      <c r="BD1" s="2" t="s">
        <v>161</v>
      </c>
      <c r="BE1" s="2" t="s">
        <v>162</v>
      </c>
      <c r="BF1" s="2" t="s">
        <v>885</v>
      </c>
      <c r="BG1" s="2" t="s">
        <v>901</v>
      </c>
      <c r="BH1" s="2" t="s">
        <v>902</v>
      </c>
      <c r="BI1" s="2" t="s">
        <v>867</v>
      </c>
      <c r="BJ1" s="2" t="s">
        <v>886</v>
      </c>
      <c r="BK1" s="2" t="s">
        <v>1</v>
      </c>
      <c r="BL1" s="2" t="s">
        <v>56</v>
      </c>
      <c r="BM1" s="2" t="s">
        <v>1123</v>
      </c>
      <c r="BN1" s="2" t="s">
        <v>233</v>
      </c>
      <c r="BO1" s="2" t="s">
        <v>58</v>
      </c>
      <c r="BP1" s="2" t="s">
        <v>5</v>
      </c>
      <c r="BQ1" s="2" t="s">
        <v>6</v>
      </c>
      <c r="BR1" s="2" t="s">
        <v>16</v>
      </c>
      <c r="BS1" s="2" t="s">
        <v>7</v>
      </c>
      <c r="BT1" s="2" t="s">
        <v>17</v>
      </c>
      <c r="BU1" s="2" t="s">
        <v>18</v>
      </c>
      <c r="BV1" s="2" t="s">
        <v>19</v>
      </c>
      <c r="BW1" s="2" t="s">
        <v>909</v>
      </c>
      <c r="BX1" s="2" t="s">
        <v>21</v>
      </c>
    </row>
    <row r="2" spans="1:76" s="1" customFormat="1" ht="12.5" x14ac:dyDescent="0.25">
      <c r="A2" s="1" t="s">
        <v>81</v>
      </c>
      <c r="B2" s="1" t="s">
        <v>126</v>
      </c>
      <c r="C2" s="30">
        <v>2013</v>
      </c>
      <c r="D2" s="30">
        <v>0</v>
      </c>
      <c r="E2" s="30">
        <v>1</v>
      </c>
      <c r="F2" s="30">
        <v>0</v>
      </c>
      <c r="G2" s="30"/>
      <c r="H2" s="30">
        <v>13700</v>
      </c>
      <c r="I2" s="30"/>
      <c r="J2" s="30">
        <v>525</v>
      </c>
      <c r="K2" s="30"/>
      <c r="L2" s="30"/>
      <c r="M2" s="30"/>
      <c r="N2" s="30"/>
      <c r="O2" s="30"/>
      <c r="P2" s="30"/>
      <c r="Q2" s="30"/>
      <c r="R2" s="30">
        <f>Tabelle589711143136[[#This Row],[jährliche Produktion kt REF]]*Tabelle589711143136[[#This Row],[spez. StV kWh/t]]/10^6</f>
        <v>7.1924999999999999</v>
      </c>
      <c r="S2" s="30"/>
      <c r="T2" s="19"/>
      <c r="U2" s="19"/>
      <c r="V2" s="19"/>
      <c r="W2" s="19"/>
      <c r="X2" s="19">
        <v>800</v>
      </c>
      <c r="Y2" s="19"/>
      <c r="Z2" s="31">
        <f>Tabelle589711143136[[#This Row],[Stromverbrauch in TWh REF]]/Tabelle589711143136[[#This Row],[Vollbenutzungsstunden h/a]]*10^6</f>
        <v>1094.7488584474886</v>
      </c>
      <c r="AA2" s="31" t="str">
        <f>IF(AND(Tabelle589711143136[[#This Row],[Lastverschiebung]]=1,Tabelle589711143136[[#This Row],[Potenzial pos. min MW]]&lt;&gt;""),Tabelle589711143136[[#This Row],[Potenzial pos. min MW]],"")</f>
        <v/>
      </c>
      <c r="AB2" s="31" t="str">
        <f>IF(AND(Tabelle589711143136[[#This Row],[Lastverschiebung]]=1,Tabelle589711143136[[#This Row],[Potenzial pos. MW Durchschnitt]]&lt;&gt;""),Tabelle589711143136[[#This Row],[Potenzial pos. MW Durchschnitt]],"")</f>
        <v/>
      </c>
      <c r="AC2" s="31" t="str">
        <f>IF(AND(Tabelle589711143136[[#This Row],[Lastverschiebung]]=1,Tabelle589711143136[[#This Row],[Potenzial pos. max MW]]&lt;&gt;""),Tabelle589711143136[[#This Row],[Potenzial pos. max MW]],"")</f>
        <v/>
      </c>
      <c r="AD2" s="31"/>
      <c r="AE2" s="64">
        <f>1-Tabelle589711143136[[#This Row],[flexibilisierbarer Anteil]]</f>
        <v>0</v>
      </c>
      <c r="AF2" s="33">
        <v>1</v>
      </c>
      <c r="AG2" s="72">
        <v>6570</v>
      </c>
      <c r="AH2" s="69">
        <f>IF(Tabelle589711143136[[#This Row],[Vollbenutzungsstunden h/a]]&lt;&gt;"",Tabelle589711143136[[#This Row],[Vollbenutzungsstunden h/a]]/8760,"")</f>
        <v>0.75</v>
      </c>
      <c r="AI2" s="32"/>
      <c r="AJ2" s="31"/>
      <c r="AL2" s="30">
        <v>4</v>
      </c>
      <c r="AM2" s="30"/>
      <c r="AN2" s="30"/>
      <c r="AO2" s="30"/>
      <c r="AP2" s="30"/>
      <c r="AR2" s="30">
        <v>40</v>
      </c>
      <c r="AS2" s="19">
        <v>1</v>
      </c>
      <c r="AT2" s="19">
        <v>20</v>
      </c>
      <c r="AU2" s="34"/>
      <c r="AV2" s="34"/>
      <c r="AW2" s="34">
        <v>130</v>
      </c>
      <c r="AX2" s="34">
        <v>1000</v>
      </c>
      <c r="AY2" s="34">
        <v>0</v>
      </c>
      <c r="AZ2" s="34">
        <v>1</v>
      </c>
      <c r="BA2" s="30">
        <v>30</v>
      </c>
      <c r="BB2" s="1" t="s">
        <v>1114</v>
      </c>
      <c r="BC2" s="1" t="s">
        <v>903</v>
      </c>
      <c r="BD2" s="30">
        <v>17</v>
      </c>
      <c r="BE2" s="30">
        <v>17</v>
      </c>
      <c r="BF2" s="30">
        <v>46</v>
      </c>
      <c r="BG2" s="30"/>
      <c r="BH2" s="30"/>
      <c r="BI2" s="30">
        <v>46</v>
      </c>
      <c r="BJ2" s="30">
        <v>46</v>
      </c>
      <c r="BK2" s="35">
        <v>205</v>
      </c>
      <c r="BL2" s="30">
        <v>46</v>
      </c>
      <c r="BM2" s="30">
        <v>46</v>
      </c>
      <c r="BN2" s="35"/>
      <c r="BO2" s="35"/>
      <c r="BP2" s="30">
        <v>23</v>
      </c>
      <c r="BQ2" s="30"/>
      <c r="BR2" s="30">
        <v>23</v>
      </c>
      <c r="BS2" s="30">
        <v>23</v>
      </c>
      <c r="BT2" s="30">
        <v>30</v>
      </c>
      <c r="BU2" s="30">
        <v>30</v>
      </c>
      <c r="BV2" s="30">
        <v>30</v>
      </c>
      <c r="BW2" s="30">
        <v>117</v>
      </c>
      <c r="BX2" s="30"/>
    </row>
    <row r="3" spans="1:76" s="1" customFormat="1" x14ac:dyDescent="0.35">
      <c r="A3" s="1" t="s">
        <v>81</v>
      </c>
      <c r="B3" s="1" t="s">
        <v>126</v>
      </c>
      <c r="C3" s="30">
        <v>2030</v>
      </c>
      <c r="D3" s="30">
        <v>0</v>
      </c>
      <c r="E3" s="30">
        <v>1</v>
      </c>
      <c r="F3" s="30">
        <v>0</v>
      </c>
      <c r="G3">
        <v>10900</v>
      </c>
      <c r="H3">
        <v>13738</v>
      </c>
      <c r="I3">
        <v>15000</v>
      </c>
      <c r="J3">
        <v>350</v>
      </c>
      <c r="K3"/>
      <c r="L3"/>
      <c r="M3"/>
      <c r="N3"/>
      <c r="O3"/>
      <c r="P3"/>
      <c r="Q3">
        <f>Tabelle589711143136[[#This Row],[jährliche Produktion kt MIN]]*Tabelle589711143136[[#This Row],[spez. StV kWh/t]]/10^6</f>
        <v>3.8149999999999999</v>
      </c>
      <c r="R3" s="30">
        <f>Tabelle589711143136[[#This Row],[jährliche Produktion kt REF]]*Tabelle589711143136[[#This Row],[spez. StV kWh/t]]/10^6</f>
        <v>4.8083</v>
      </c>
      <c r="S3" s="30">
        <f>Tabelle589711143136[[#This Row],[jährliche Produktion kt MAX]]*Tabelle589711143136[[#This Row],[spez. StV kWh/t]]/10^6</f>
        <v>5.25</v>
      </c>
      <c r="T3" s="19"/>
      <c r="U3" s="19"/>
      <c r="V3" s="19"/>
      <c r="W3" s="19">
        <f>$X2*Tabelle589711143136[[#This Row],[Stromverbrauch in TWh MIN]]/$R2</f>
        <v>424.33090024330903</v>
      </c>
      <c r="X3" s="19">
        <f>$X2*Tabelle589711143136[[#This Row],[Stromverbrauch in TWh REF]]/$R2</f>
        <v>534.81265206812657</v>
      </c>
      <c r="Y3" s="19">
        <f>$X2*Tabelle589711143136[[#This Row],[Stromverbrauch in TWh MAX]]/$R2</f>
        <v>583.94160583941607</v>
      </c>
      <c r="Z3" s="31"/>
      <c r="AA3" s="31" t="str">
        <f>IF(AND(Tabelle589711143136[[#This Row],[Lastverschiebung]]=1,Tabelle589711143136[[#This Row],[Potenzial pos. min MW]]&lt;&gt;""),Tabelle589711143136[[#This Row],[Potenzial pos. min MW]],"")</f>
        <v/>
      </c>
      <c r="AB3" s="31" t="str">
        <f>IF(AND(Tabelle589711143136[[#This Row],[Lastverschiebung]]=1,Tabelle589711143136[[#This Row],[Potenzial pos. MW Durchschnitt]]&lt;&gt;""),Tabelle589711143136[[#This Row],[Potenzial pos. MW Durchschnitt]],"")</f>
        <v/>
      </c>
      <c r="AC3" s="31" t="str">
        <f>IF(AND(Tabelle589711143136[[#This Row],[Lastverschiebung]]=1,Tabelle589711143136[[#This Row],[Potenzial pos. max MW]]&lt;&gt;""),Tabelle589711143136[[#This Row],[Potenzial pos. max MW]],"")</f>
        <v/>
      </c>
      <c r="AD3" s="31"/>
      <c r="AE3" s="64"/>
      <c r="AF3" s="33"/>
      <c r="AG3" s="72"/>
      <c r="AH3" s="33"/>
      <c r="AI3" s="32"/>
      <c r="AJ3" s="31"/>
      <c r="AL3" s="30">
        <v>4</v>
      </c>
      <c r="AM3" s="30"/>
      <c r="AN3" s="30"/>
      <c r="AO3" s="30"/>
      <c r="AP3" s="30">
        <f>8*7</f>
        <v>56</v>
      </c>
      <c r="AR3" s="30">
        <v>40</v>
      </c>
      <c r="AS3" s="19"/>
      <c r="AT3" s="19"/>
      <c r="AU3" s="34"/>
      <c r="AV3" s="34"/>
      <c r="AW3" s="34"/>
      <c r="AX3" s="34"/>
      <c r="AY3" s="34"/>
      <c r="AZ3" s="34"/>
      <c r="BA3" s="30"/>
      <c r="BB3" s="1" t="s">
        <v>1114</v>
      </c>
      <c r="BC3" s="1" t="s">
        <v>903</v>
      </c>
      <c r="BD3" s="30"/>
      <c r="BE3" s="30"/>
      <c r="BF3" s="30">
        <v>202</v>
      </c>
      <c r="BG3" s="30"/>
      <c r="BH3" s="30"/>
      <c r="BI3" s="30">
        <v>202</v>
      </c>
      <c r="BJ3" s="30"/>
      <c r="BK3" s="35">
        <v>205</v>
      </c>
      <c r="BL3" s="30"/>
      <c r="BM3" s="30"/>
      <c r="BN3" s="35"/>
      <c r="BO3" s="35"/>
      <c r="BP3" s="30"/>
      <c r="BQ3" s="30"/>
      <c r="BR3" s="30"/>
      <c r="BS3" s="30"/>
      <c r="BT3" s="30"/>
      <c r="BU3" s="30"/>
      <c r="BV3" s="30"/>
      <c r="BW3" s="30"/>
      <c r="BX3" s="30"/>
    </row>
    <row r="4" spans="1:76" s="1" customFormat="1" x14ac:dyDescent="0.35">
      <c r="A4" s="1" t="s">
        <v>81</v>
      </c>
      <c r="B4" s="1" t="s">
        <v>126</v>
      </c>
      <c r="C4" s="30">
        <v>2050</v>
      </c>
      <c r="D4" s="30">
        <v>0</v>
      </c>
      <c r="E4" s="30">
        <v>1</v>
      </c>
      <c r="F4" s="30">
        <v>0</v>
      </c>
      <c r="G4">
        <v>10900</v>
      </c>
      <c r="H4">
        <v>13738</v>
      </c>
      <c r="I4">
        <v>15000</v>
      </c>
      <c r="J4">
        <v>280</v>
      </c>
      <c r="K4"/>
      <c r="L4"/>
      <c r="M4"/>
      <c r="N4"/>
      <c r="O4"/>
      <c r="P4"/>
      <c r="Q4">
        <f>Tabelle589711143136[[#This Row],[jährliche Produktion kt MIN]]*Tabelle589711143136[[#This Row],[spez. StV kWh/t]]/10^6</f>
        <v>3.052</v>
      </c>
      <c r="R4" s="30">
        <f>Tabelle589711143136[[#This Row],[jährliche Produktion kt REF]]*Tabelle589711143136[[#This Row],[spez. StV kWh/t]]/10^6</f>
        <v>3.8466399999999998</v>
      </c>
      <c r="S4" s="30">
        <f>Tabelle589711143136[[#This Row],[jährliche Produktion kt MAX]]*Tabelle589711143136[[#This Row],[spez. StV kWh/t]]/10^6</f>
        <v>4.2</v>
      </c>
      <c r="T4" s="19"/>
      <c r="U4" s="19"/>
      <c r="V4" s="19"/>
      <c r="W4" s="19">
        <f>$X2*Tabelle589711143136[[#This Row],[Stromverbrauch in TWh MIN]]/$R2</f>
        <v>339.46472019464721</v>
      </c>
      <c r="X4" s="19">
        <f>$X2*Tabelle589711143136[[#This Row],[Stromverbrauch in TWh REF]]/$R2</f>
        <v>427.85012165450121</v>
      </c>
      <c r="Y4" s="19">
        <f>$X2*Tabelle589711143136[[#This Row],[Stromverbrauch in TWh MAX]]/$R2</f>
        <v>467.15328467153284</v>
      </c>
      <c r="Z4" s="31"/>
      <c r="AA4" s="31" t="str">
        <f>IF(AND(Tabelle589711143136[[#This Row],[Lastverschiebung]]=1,Tabelle589711143136[[#This Row],[Potenzial pos. min MW]]&lt;&gt;""),Tabelle589711143136[[#This Row],[Potenzial pos. min MW]],"")</f>
        <v/>
      </c>
      <c r="AB4" s="31" t="str">
        <f>IF(AND(Tabelle589711143136[[#This Row],[Lastverschiebung]]=1,Tabelle589711143136[[#This Row],[Potenzial pos. MW Durchschnitt]]&lt;&gt;""),Tabelle589711143136[[#This Row],[Potenzial pos. MW Durchschnitt]],"")</f>
        <v/>
      </c>
      <c r="AC4" s="31" t="str">
        <f>IF(AND(Tabelle589711143136[[#This Row],[Lastverschiebung]]=1,Tabelle589711143136[[#This Row],[Potenzial pos. max MW]]&lt;&gt;""),Tabelle589711143136[[#This Row],[Potenzial pos. max MW]],"")</f>
        <v/>
      </c>
      <c r="AD4" s="31"/>
      <c r="AE4" s="64"/>
      <c r="AF4" s="33"/>
      <c r="AG4" s="72"/>
      <c r="AH4" s="33"/>
      <c r="AI4" s="32"/>
      <c r="AJ4" s="31"/>
      <c r="AL4" s="30">
        <v>4</v>
      </c>
      <c r="AM4" s="30"/>
      <c r="AN4" s="30"/>
      <c r="AO4" s="30"/>
      <c r="AP4" s="30">
        <f>8*7</f>
        <v>56</v>
      </c>
      <c r="AR4" s="30">
        <v>40</v>
      </c>
      <c r="AS4" s="19"/>
      <c r="AT4" s="19"/>
      <c r="AU4" s="34"/>
      <c r="AV4" s="34"/>
      <c r="AW4" s="34"/>
      <c r="AX4" s="34"/>
      <c r="AY4" s="34"/>
      <c r="AZ4" s="34"/>
      <c r="BA4" s="30"/>
      <c r="BB4" s="1" t="s">
        <v>1114</v>
      </c>
      <c r="BC4" s="1" t="s">
        <v>903</v>
      </c>
      <c r="BD4" s="30"/>
      <c r="BE4" s="30"/>
      <c r="BF4" s="30">
        <v>202</v>
      </c>
      <c r="BG4" s="30"/>
      <c r="BH4" s="30"/>
      <c r="BI4" s="30">
        <v>202</v>
      </c>
      <c r="BJ4" s="30"/>
      <c r="BK4" s="35">
        <v>205</v>
      </c>
      <c r="BL4" s="30"/>
      <c r="BM4" s="30"/>
      <c r="BN4" s="35"/>
      <c r="BO4" s="35"/>
      <c r="BP4" s="30"/>
      <c r="BQ4" s="30"/>
      <c r="BR4" s="30"/>
      <c r="BS4" s="30"/>
      <c r="BT4" s="30"/>
      <c r="BU4" s="30"/>
      <c r="BV4" s="30"/>
      <c r="BW4" s="30"/>
      <c r="BX4" s="30"/>
    </row>
    <row r="5" spans="1:76" x14ac:dyDescent="0.35">
      <c r="A5" s="1" t="s">
        <v>74</v>
      </c>
      <c r="B5" s="1" t="s">
        <v>126</v>
      </c>
      <c r="C5" s="30">
        <v>2013</v>
      </c>
      <c r="D5" s="1">
        <v>1</v>
      </c>
      <c r="E5" s="1">
        <v>0</v>
      </c>
      <c r="F5" s="30">
        <v>0</v>
      </c>
      <c r="G5" s="30"/>
      <c r="H5" s="30">
        <v>716</v>
      </c>
      <c r="I5" s="30"/>
      <c r="J5" s="30">
        <v>2000</v>
      </c>
      <c r="K5" s="30"/>
      <c r="L5" s="30"/>
      <c r="M5" s="30"/>
      <c r="N5" s="30"/>
      <c r="O5" s="30"/>
      <c r="P5" s="30"/>
      <c r="Q5" s="30"/>
      <c r="R5" s="30">
        <f>Tabelle589711143136[[#This Row],[jährliche Produktion kt REF]]*Tabelle589711143136[[#This Row],[spez. StV kWh/t]]/10^6</f>
        <v>1.4319999999999999</v>
      </c>
      <c r="S5" s="30"/>
      <c r="T5" s="19"/>
      <c r="U5" s="19">
        <v>180</v>
      </c>
      <c r="V5" s="19"/>
      <c r="W5" s="19"/>
      <c r="X5" s="19"/>
      <c r="Y5" s="19"/>
      <c r="Z5" s="19">
        <f>Tabelle589711143136[[#This Row],[Stromverbrauch in TWh REF]]/Tabelle589711143136[[#This Row],[Vollbenutzungsstunden h/a]]*10^6</f>
        <v>255.71428571428572</v>
      </c>
      <c r="AA5" s="19" t="str">
        <f>IF(AND(Tabelle589711143136[[#This Row],[Lastverschiebung]]=1,Tabelle589711143136[[#This Row],[Potenzial pos. min MW]]&lt;&gt;""),Tabelle589711143136[[#This Row],[Potenzial pos. min MW]],"")</f>
        <v/>
      </c>
      <c r="AB5" s="19">
        <f>IF(AND(Tabelle589711143136[[#This Row],[Lastverschiebung]]=1,Tabelle589711143136[[#This Row],[Potenzial pos. MW Durchschnitt]]&lt;&gt;""),Tabelle589711143136[[#This Row],[Potenzial pos. MW Durchschnitt]],"")</f>
        <v>180</v>
      </c>
      <c r="AC5" s="19" t="str">
        <f>IF(AND(Tabelle589711143136[[#This Row],[Lastverschiebung]]=1,Tabelle589711143136[[#This Row],[Potenzial pos. max MW]]&lt;&gt;""),Tabelle589711143136[[#This Row],[Potenzial pos. max MW]],"")</f>
        <v/>
      </c>
      <c r="AD5" s="19"/>
      <c r="AE5" s="64">
        <f>1-Tabelle589711143136[[#This Row],[flexibilisierbarer Anteil]]</f>
        <v>0</v>
      </c>
      <c r="AF5" s="64">
        <v>1</v>
      </c>
      <c r="AG5" s="46">
        <v>5600</v>
      </c>
      <c r="AH5" s="64">
        <v>0.65</v>
      </c>
      <c r="AI5" s="20"/>
      <c r="AJ5" s="19"/>
      <c r="AK5" s="1">
        <v>2</v>
      </c>
      <c r="AL5" s="1"/>
      <c r="AM5" s="1">
        <v>2</v>
      </c>
      <c r="AN5" s="1">
        <v>4</v>
      </c>
      <c r="AO5" s="1"/>
      <c r="AP5" s="1"/>
      <c r="AQ5" s="1">
        <v>24</v>
      </c>
      <c r="AR5" s="1"/>
      <c r="AS5" s="19">
        <v>1</v>
      </c>
      <c r="AT5" s="19">
        <v>20</v>
      </c>
      <c r="AU5" s="8">
        <v>0</v>
      </c>
      <c r="AV5" s="8">
        <v>10</v>
      </c>
      <c r="AW5" s="8"/>
      <c r="AX5" s="8"/>
      <c r="AY5" s="34">
        <v>0</v>
      </c>
      <c r="AZ5" s="34">
        <v>1</v>
      </c>
      <c r="BA5" s="1">
        <v>0</v>
      </c>
      <c r="BB5" s="1"/>
      <c r="BC5" s="1" t="s">
        <v>903</v>
      </c>
      <c r="BD5" s="30">
        <v>17</v>
      </c>
      <c r="BE5" s="30">
        <v>17</v>
      </c>
      <c r="BF5" s="30">
        <v>46</v>
      </c>
      <c r="BG5" s="30"/>
      <c r="BH5" s="30"/>
      <c r="BI5" s="30">
        <v>46</v>
      </c>
      <c r="BJ5" s="30">
        <v>46</v>
      </c>
      <c r="BK5" s="35">
        <v>205</v>
      </c>
      <c r="BL5" s="30">
        <v>46</v>
      </c>
      <c r="BM5" s="30">
        <v>46</v>
      </c>
      <c r="BN5" s="13">
        <v>18</v>
      </c>
      <c r="BO5" s="13"/>
      <c r="BP5" s="30">
        <v>23</v>
      </c>
      <c r="BQ5" s="30">
        <v>23</v>
      </c>
      <c r="BR5" s="30">
        <v>23</v>
      </c>
      <c r="BS5" s="30">
        <v>23</v>
      </c>
      <c r="BT5" s="30">
        <v>30</v>
      </c>
      <c r="BU5" s="30">
        <v>30</v>
      </c>
      <c r="BV5" s="30">
        <v>30</v>
      </c>
      <c r="BW5" s="30">
        <v>117</v>
      </c>
      <c r="BX5" s="1"/>
    </row>
    <row r="6" spans="1:76" x14ac:dyDescent="0.35">
      <c r="A6" s="1" t="s">
        <v>74</v>
      </c>
      <c r="B6" s="1" t="s">
        <v>126</v>
      </c>
      <c r="C6" s="30">
        <v>2030</v>
      </c>
      <c r="D6" s="1">
        <v>1</v>
      </c>
      <c r="E6" s="1">
        <v>0</v>
      </c>
      <c r="F6" s="30">
        <v>0</v>
      </c>
      <c r="G6">
        <v>277</v>
      </c>
      <c r="H6">
        <v>716</v>
      </c>
      <c r="I6">
        <v>1126</v>
      </c>
      <c r="J6">
        <v>1389</v>
      </c>
      <c r="Q6">
        <f>Tabelle589711143136[[#This Row],[jährliche Produktion kt MIN]]*Tabelle589711143136[[#This Row],[spez. StV kWh/t]]/10^6</f>
        <v>0.38475300000000001</v>
      </c>
      <c r="R6" s="30">
        <f>Tabelle589711143136[[#This Row],[jährliche Produktion kt REF]]*Tabelle589711143136[[#This Row],[spez. StV kWh/t]]/10^6</f>
        <v>0.99452399999999996</v>
      </c>
      <c r="S6" s="30">
        <f>Tabelle589711143136[[#This Row],[jährliche Produktion kt MAX]]*Tabelle589711143136[[#This Row],[spez. StV kWh/t]]/10^6</f>
        <v>1.564014</v>
      </c>
      <c r="T6" s="19">
        <f>$U5*Tabelle589711143136[[#This Row],[Stromverbrauch in TWh MIN]]/$R5</f>
        <v>48.362807262569831</v>
      </c>
      <c r="U6" s="19">
        <f>$U5*Tabelle589711143136[[#This Row],[Stromverbrauch in TWh REF]]/$R5</f>
        <v>125.01</v>
      </c>
      <c r="V6" s="19">
        <f>$U5*Tabelle589711143136[[#This Row],[Stromverbrauch in TWh MAX]]/$R5</f>
        <v>196.59393854748603</v>
      </c>
      <c r="W6" s="19"/>
      <c r="X6" s="19"/>
      <c r="Y6" s="19"/>
      <c r="Z6" s="19"/>
      <c r="AA6" s="19">
        <f>IF(AND(Tabelle589711143136[[#This Row],[Lastverschiebung]]=1,Tabelle589711143136[[#This Row],[Potenzial pos. min MW]]&lt;&gt;""),Tabelle589711143136[[#This Row],[Potenzial pos. min MW]],"")</f>
        <v>48.362807262569831</v>
      </c>
      <c r="AB6" s="19">
        <f>IF(AND(Tabelle589711143136[[#This Row],[Lastverschiebung]]=1,Tabelle589711143136[[#This Row],[Potenzial pos. MW Durchschnitt]]&lt;&gt;""),Tabelle589711143136[[#This Row],[Potenzial pos. MW Durchschnitt]],"")</f>
        <v>125.01</v>
      </c>
      <c r="AC6" s="19">
        <f>IF(AND(Tabelle589711143136[[#This Row],[Lastverschiebung]]=1,Tabelle589711143136[[#This Row],[Potenzial pos. max MW]]&lt;&gt;""),Tabelle589711143136[[#This Row],[Potenzial pos. max MW]],"")</f>
        <v>196.59393854748603</v>
      </c>
      <c r="AD6" s="19"/>
      <c r="AE6" s="64"/>
      <c r="AF6" s="64"/>
      <c r="AG6" s="46"/>
      <c r="AH6" s="64"/>
      <c r="AI6" s="20"/>
      <c r="AJ6" s="19"/>
      <c r="AK6" s="1">
        <v>2</v>
      </c>
      <c r="AL6" s="1"/>
      <c r="AM6" s="1"/>
      <c r="AN6" s="1">
        <v>4</v>
      </c>
      <c r="AO6" s="1"/>
      <c r="AP6" s="1">
        <f>8*7</f>
        <v>56</v>
      </c>
      <c r="AQ6" s="1">
        <v>24</v>
      </c>
      <c r="AR6" s="1"/>
      <c r="AS6" s="19"/>
      <c r="AT6" s="19"/>
      <c r="AU6" s="8"/>
      <c r="AV6" s="8"/>
      <c r="AW6" s="8"/>
      <c r="AX6" s="8"/>
      <c r="AY6" s="34"/>
      <c r="AZ6" s="34"/>
      <c r="BA6" s="1">
        <v>0</v>
      </c>
      <c r="BB6" s="1"/>
      <c r="BC6" s="1" t="s">
        <v>903</v>
      </c>
      <c r="BD6" s="30"/>
      <c r="BE6" s="30"/>
      <c r="BF6" s="30">
        <v>202</v>
      </c>
      <c r="BG6" s="30"/>
      <c r="BH6" s="30"/>
      <c r="BI6" s="30">
        <v>202</v>
      </c>
      <c r="BJ6" s="30"/>
      <c r="BK6" s="35">
        <v>205</v>
      </c>
      <c r="BL6" s="30"/>
      <c r="BM6" s="30"/>
      <c r="BN6" s="13"/>
      <c r="BO6" s="13"/>
      <c r="BP6" s="30"/>
      <c r="BQ6" s="30"/>
      <c r="BR6" s="30"/>
      <c r="BS6" s="30"/>
      <c r="BT6" s="30"/>
      <c r="BU6" s="30"/>
      <c r="BV6" s="30"/>
      <c r="BW6" s="30">
        <v>117</v>
      </c>
      <c r="BX6" s="1"/>
    </row>
    <row r="7" spans="1:76" x14ac:dyDescent="0.35">
      <c r="A7" s="1" t="s">
        <v>74</v>
      </c>
      <c r="B7" s="1" t="s">
        <v>126</v>
      </c>
      <c r="C7" s="30">
        <v>2050</v>
      </c>
      <c r="D7" s="1">
        <v>1</v>
      </c>
      <c r="E7" s="1">
        <v>0</v>
      </c>
      <c r="F7" s="30">
        <v>0</v>
      </c>
      <c r="G7">
        <v>277</v>
      </c>
      <c r="H7">
        <v>716</v>
      </c>
      <c r="I7">
        <v>1126</v>
      </c>
      <c r="J7">
        <v>1389</v>
      </c>
      <c r="Q7">
        <f>Tabelle589711143136[[#This Row],[jährliche Produktion kt MIN]]*Tabelle589711143136[[#This Row],[spez. StV kWh/t]]/10^6</f>
        <v>0.38475300000000001</v>
      </c>
      <c r="R7" s="30">
        <f>Tabelle589711143136[[#This Row],[jährliche Produktion kt REF]]*Tabelle589711143136[[#This Row],[spez. StV kWh/t]]/10^6</f>
        <v>0.99452399999999996</v>
      </c>
      <c r="S7" s="30">
        <f>Tabelle589711143136[[#This Row],[jährliche Produktion kt MAX]]*Tabelle589711143136[[#This Row],[spez. StV kWh/t]]/10^6</f>
        <v>1.564014</v>
      </c>
      <c r="T7" s="19">
        <f>$U5*Tabelle589711143136[[#This Row],[Stromverbrauch in TWh MIN]]/$R5</f>
        <v>48.362807262569831</v>
      </c>
      <c r="U7" s="19">
        <f>$U5*Tabelle589711143136[[#This Row],[Stromverbrauch in TWh REF]]/$R5</f>
        <v>125.01</v>
      </c>
      <c r="V7" s="19">
        <f>$U5*Tabelle589711143136[[#This Row],[Stromverbrauch in TWh MAX]]/$R5</f>
        <v>196.59393854748603</v>
      </c>
      <c r="W7" s="19"/>
      <c r="X7" s="19"/>
      <c r="Y7" s="19"/>
      <c r="Z7" s="19"/>
      <c r="AA7" s="19">
        <f>IF(AND(Tabelle589711143136[[#This Row],[Lastverschiebung]]=1,Tabelle589711143136[[#This Row],[Potenzial pos. min MW]]&lt;&gt;""),Tabelle589711143136[[#This Row],[Potenzial pos. min MW]],"")</f>
        <v>48.362807262569831</v>
      </c>
      <c r="AB7" s="19">
        <f>IF(AND(Tabelle589711143136[[#This Row],[Lastverschiebung]]=1,Tabelle589711143136[[#This Row],[Potenzial pos. MW Durchschnitt]]&lt;&gt;""),Tabelle589711143136[[#This Row],[Potenzial pos. MW Durchschnitt]],"")</f>
        <v>125.01</v>
      </c>
      <c r="AC7" s="19">
        <f>IF(AND(Tabelle589711143136[[#This Row],[Lastverschiebung]]=1,Tabelle589711143136[[#This Row],[Potenzial pos. max MW]]&lt;&gt;""),Tabelle589711143136[[#This Row],[Potenzial pos. max MW]],"")</f>
        <v>196.59393854748603</v>
      </c>
      <c r="AD7" s="19"/>
      <c r="AE7" s="64"/>
      <c r="AF7" s="64"/>
      <c r="AG7" s="46"/>
      <c r="AH7" s="64"/>
      <c r="AI7" s="20"/>
      <c r="AJ7" s="19"/>
      <c r="AK7" s="1">
        <v>2</v>
      </c>
      <c r="AL7" s="1"/>
      <c r="AM7" s="1"/>
      <c r="AN7" s="1">
        <v>4</v>
      </c>
      <c r="AO7" s="1"/>
      <c r="AP7" s="1">
        <f>8*7</f>
        <v>56</v>
      </c>
      <c r="AQ7" s="1">
        <v>24</v>
      </c>
      <c r="AR7" s="1"/>
      <c r="AS7" s="19"/>
      <c r="AT7" s="19"/>
      <c r="AU7" s="8"/>
      <c r="AV7" s="8"/>
      <c r="AW7" s="8"/>
      <c r="AX7" s="8"/>
      <c r="AY7" s="34"/>
      <c r="AZ7" s="34"/>
      <c r="BA7" s="1">
        <v>0</v>
      </c>
      <c r="BB7" s="1"/>
      <c r="BC7" s="1" t="s">
        <v>903</v>
      </c>
      <c r="BD7" s="30"/>
      <c r="BE7" s="30"/>
      <c r="BF7" s="30">
        <v>202</v>
      </c>
      <c r="BG7" s="30"/>
      <c r="BH7" s="30"/>
      <c r="BI7" s="30">
        <v>202</v>
      </c>
      <c r="BJ7" s="30"/>
      <c r="BK7" s="35">
        <v>205</v>
      </c>
      <c r="BL7" s="30"/>
      <c r="BM7" s="30"/>
      <c r="BN7" s="13"/>
      <c r="BO7" s="13"/>
      <c r="BP7" s="30"/>
      <c r="BQ7" s="30"/>
      <c r="BR7" s="30"/>
      <c r="BS7" s="30"/>
      <c r="BT7" s="30"/>
      <c r="BU7" s="30"/>
      <c r="BV7" s="30"/>
      <c r="BW7" s="30">
        <v>117</v>
      </c>
      <c r="BX7" s="1"/>
    </row>
    <row r="8" spans="1:76" x14ac:dyDescent="0.35">
      <c r="A8" s="1" t="s">
        <v>1016</v>
      </c>
      <c r="B8" s="1" t="s">
        <v>126</v>
      </c>
      <c r="C8" s="30">
        <v>2013</v>
      </c>
      <c r="D8" s="1">
        <v>0</v>
      </c>
      <c r="E8" s="1">
        <v>1</v>
      </c>
      <c r="F8" s="30">
        <v>0</v>
      </c>
      <c r="G8" s="30"/>
      <c r="H8" s="30">
        <v>504</v>
      </c>
      <c r="I8" s="30"/>
      <c r="J8" s="30">
        <v>3400</v>
      </c>
      <c r="K8" s="30"/>
      <c r="L8" s="30"/>
      <c r="M8" s="30"/>
      <c r="N8" s="30"/>
      <c r="O8" s="30"/>
      <c r="P8" s="30"/>
      <c r="Q8" s="30"/>
      <c r="R8" s="30">
        <f>Tabelle589711143136[[#This Row],[jährliche Produktion kt REF]]*Tabelle589711143136[[#This Row],[spez. StV kWh/t]]/10^6</f>
        <v>1.7136</v>
      </c>
      <c r="S8" s="30"/>
      <c r="T8" s="19"/>
      <c r="U8" s="19"/>
      <c r="V8" s="19"/>
      <c r="W8" s="19"/>
      <c r="X8" s="19"/>
      <c r="Y8" s="19"/>
      <c r="Z8" s="19">
        <f>Tabelle589711143136[[#This Row],[Stromverbrauch in TWh REF]]/Tabelle589711143136[[#This Row],[Vollbenutzungsstunden h/a]]*10^6</f>
        <v>232.51017639077341</v>
      </c>
      <c r="AA8" s="19" t="str">
        <f>IF(AND(Tabelle589711143136[[#This Row],[Lastverschiebung]]=1,Tabelle589711143136[[#This Row],[Potenzial pos. min MW]]&lt;&gt;""),Tabelle589711143136[[#This Row],[Potenzial pos. min MW]],"")</f>
        <v/>
      </c>
      <c r="AB8" s="19" t="str">
        <f>IF(AND(Tabelle589711143136[[#This Row],[Lastverschiebung]]=1,Tabelle589711143136[[#This Row],[Potenzial pos. MW Durchschnitt]]&lt;&gt;""),Tabelle589711143136[[#This Row],[Potenzial pos. MW Durchschnitt]],"")</f>
        <v/>
      </c>
      <c r="AC8" s="19" t="str">
        <f>IF(AND(Tabelle589711143136[[#This Row],[Lastverschiebung]]=1,Tabelle589711143136[[#This Row],[Potenzial pos. max MW]]&lt;&gt;""),Tabelle589711143136[[#This Row],[Potenzial pos. max MW]],"")</f>
        <v/>
      </c>
      <c r="AD8" s="19"/>
      <c r="AE8" s="64">
        <f>1-Tabelle589711143136[[#This Row],[flexibilisierbarer Anteil]]</f>
        <v>0.30000000000000004</v>
      </c>
      <c r="AF8" s="64">
        <v>0.7</v>
      </c>
      <c r="AG8" s="46">
        <v>7370</v>
      </c>
      <c r="AH8" s="64">
        <v>0.84</v>
      </c>
      <c r="AI8" s="20"/>
      <c r="AJ8" s="19"/>
      <c r="AK8" s="1"/>
      <c r="AL8" s="1">
        <v>4</v>
      </c>
      <c r="AM8" s="1"/>
      <c r="AN8" s="1"/>
      <c r="AO8" s="1"/>
      <c r="AP8" s="1"/>
      <c r="AQ8" s="1"/>
      <c r="AR8" s="1">
        <v>40</v>
      </c>
      <c r="AS8" s="19">
        <v>1</v>
      </c>
      <c r="AT8" s="19">
        <v>20</v>
      </c>
      <c r="AU8" s="8"/>
      <c r="AV8" s="8"/>
      <c r="AW8" s="8">
        <v>30</v>
      </c>
      <c r="AX8" s="8">
        <v>310</v>
      </c>
      <c r="AY8" s="34">
        <v>0</v>
      </c>
      <c r="AZ8" s="34">
        <v>1</v>
      </c>
      <c r="BA8" s="1">
        <v>130</v>
      </c>
      <c r="BB8" s="1" t="s">
        <v>874</v>
      </c>
      <c r="BC8" s="1" t="s">
        <v>903</v>
      </c>
      <c r="BD8" s="1">
        <v>18</v>
      </c>
      <c r="BE8" s="1">
        <v>18</v>
      </c>
      <c r="BF8" s="30">
        <v>46</v>
      </c>
      <c r="BG8" s="30"/>
      <c r="BH8" s="30"/>
      <c r="BI8" s="30">
        <v>46</v>
      </c>
      <c r="BJ8" s="30">
        <v>46</v>
      </c>
      <c r="BK8" s="35">
        <v>205</v>
      </c>
      <c r="BL8" s="30">
        <v>46</v>
      </c>
      <c r="BM8" s="30">
        <v>46</v>
      </c>
      <c r="BN8" s="13">
        <v>18</v>
      </c>
      <c r="BO8" s="13"/>
      <c r="BP8" s="30">
        <v>23</v>
      </c>
      <c r="BQ8" s="30"/>
      <c r="BR8" s="30">
        <v>23</v>
      </c>
      <c r="BS8" s="30">
        <v>23</v>
      </c>
      <c r="BT8" s="30">
        <v>30</v>
      </c>
      <c r="BU8" s="30">
        <v>30</v>
      </c>
      <c r="BV8" s="30">
        <v>30</v>
      </c>
      <c r="BW8" s="30">
        <v>117</v>
      </c>
      <c r="BX8" s="1"/>
    </row>
    <row r="9" spans="1:76" x14ac:dyDescent="0.35">
      <c r="A9" s="1" t="s">
        <v>1017</v>
      </c>
      <c r="B9" s="1" t="s">
        <v>126</v>
      </c>
      <c r="C9" s="30">
        <v>2013</v>
      </c>
      <c r="D9" s="1">
        <v>0</v>
      </c>
      <c r="E9" s="1">
        <v>1</v>
      </c>
      <c r="F9" s="30">
        <v>0</v>
      </c>
      <c r="G9" s="30"/>
      <c r="H9" s="30">
        <v>2564</v>
      </c>
      <c r="I9" s="30"/>
      <c r="J9" s="30">
        <v>2450</v>
      </c>
      <c r="K9" s="30"/>
      <c r="L9" s="30"/>
      <c r="M9" s="30"/>
      <c r="N9" s="30"/>
      <c r="O9" s="30"/>
      <c r="P9" s="30"/>
      <c r="Q9" s="30"/>
      <c r="R9" s="30">
        <f>Tabelle589711143136[[#This Row],[jährliche Produktion kt REF]]*Tabelle589711143136[[#This Row],[spez. StV kWh/t]]/10^6</f>
        <v>6.2817999999999996</v>
      </c>
      <c r="S9" s="30"/>
      <c r="T9" s="19"/>
      <c r="U9" s="19"/>
      <c r="V9" s="19"/>
      <c r="W9" s="19"/>
      <c r="X9" s="19">
        <v>500</v>
      </c>
      <c r="Y9" s="19"/>
      <c r="Z9" s="19">
        <f>Tabelle589711143136[[#This Row],[Stromverbrauch in TWh REF]]/Tabelle589711143136[[#This Row],[Vollbenutzungsstunden h/a]]*10^6</f>
        <v>852.34735413839883</v>
      </c>
      <c r="AA9" s="19" t="str">
        <f>IF(AND(Tabelle589711143136[[#This Row],[Lastverschiebung]]=1,Tabelle589711143136[[#This Row],[Potenzial pos. min MW]]&lt;&gt;""),Tabelle589711143136[[#This Row],[Potenzial pos. min MW]],"")</f>
        <v/>
      </c>
      <c r="AB9" s="19" t="str">
        <f>IF(AND(Tabelle589711143136[[#This Row],[Lastverschiebung]]=1,Tabelle589711143136[[#This Row],[Potenzial pos. MW Durchschnitt]]&lt;&gt;""),Tabelle589711143136[[#This Row],[Potenzial pos. MW Durchschnitt]],"")</f>
        <v/>
      </c>
      <c r="AC9" s="19" t="str">
        <f>IF(AND(Tabelle589711143136[[#This Row],[Lastverschiebung]]=1,Tabelle589711143136[[#This Row],[Potenzial pos. max MW]]&lt;&gt;""),Tabelle589711143136[[#This Row],[Potenzial pos. max MW]],"")</f>
        <v/>
      </c>
      <c r="AD9" s="19"/>
      <c r="AE9" s="64">
        <f>1-Tabelle589711143136[[#This Row],[flexibilisierbarer Anteil]]</f>
        <v>0.4</v>
      </c>
      <c r="AF9" s="64">
        <v>0.6</v>
      </c>
      <c r="AG9" s="46">
        <v>7370</v>
      </c>
      <c r="AH9" s="64">
        <v>0.84</v>
      </c>
      <c r="AI9" s="20"/>
      <c r="AJ9" s="19"/>
      <c r="AK9" s="1"/>
      <c r="AL9" s="1">
        <v>4</v>
      </c>
      <c r="AM9" s="1"/>
      <c r="AN9" s="1"/>
      <c r="AO9" s="1"/>
      <c r="AP9" s="1"/>
      <c r="AQ9" s="1"/>
      <c r="AR9" s="1">
        <v>40</v>
      </c>
      <c r="AS9" s="19">
        <v>1</v>
      </c>
      <c r="AT9" s="19">
        <v>20</v>
      </c>
      <c r="AU9" s="8"/>
      <c r="AV9" s="8"/>
      <c r="AW9" s="8">
        <v>30</v>
      </c>
      <c r="AX9" s="8">
        <v>310</v>
      </c>
      <c r="AY9" s="34">
        <v>0</v>
      </c>
      <c r="AZ9" s="34">
        <v>1</v>
      </c>
      <c r="BA9" s="1"/>
      <c r="BB9" s="1" t="s">
        <v>874</v>
      </c>
      <c r="BC9" s="1" t="s">
        <v>903</v>
      </c>
      <c r="BD9" s="1">
        <v>18</v>
      </c>
      <c r="BE9" s="1">
        <v>18</v>
      </c>
      <c r="BF9" s="30">
        <v>46</v>
      </c>
      <c r="BG9" s="30"/>
      <c r="BH9" s="30"/>
      <c r="BI9" s="30">
        <v>46</v>
      </c>
      <c r="BJ9" s="30">
        <v>46</v>
      </c>
      <c r="BK9" s="35">
        <v>205</v>
      </c>
      <c r="BL9" s="30">
        <v>46</v>
      </c>
      <c r="BM9" s="30">
        <v>46</v>
      </c>
      <c r="BN9" s="13">
        <v>18</v>
      </c>
      <c r="BO9" s="13"/>
      <c r="BP9" s="30">
        <v>23</v>
      </c>
      <c r="BQ9" s="30"/>
      <c r="BR9" s="30">
        <v>23</v>
      </c>
      <c r="BS9" s="30">
        <v>23</v>
      </c>
      <c r="BT9" s="30">
        <v>30</v>
      </c>
      <c r="BU9" s="30">
        <v>30</v>
      </c>
      <c r="BV9" s="30">
        <v>30</v>
      </c>
      <c r="BW9" s="1"/>
      <c r="BX9" s="1"/>
    </row>
    <row r="10" spans="1:76" x14ac:dyDescent="0.35">
      <c r="A10" s="1" t="s">
        <v>1017</v>
      </c>
      <c r="B10" s="1" t="s">
        <v>126</v>
      </c>
      <c r="C10" s="30">
        <v>2030</v>
      </c>
      <c r="D10" s="1">
        <v>0</v>
      </c>
      <c r="E10" s="1">
        <v>1</v>
      </c>
      <c r="F10" s="30">
        <v>0</v>
      </c>
      <c r="G10">
        <v>2189</v>
      </c>
      <c r="H10">
        <v>2817</v>
      </c>
      <c r="I10">
        <v>3648</v>
      </c>
      <c r="J10">
        <v>2100</v>
      </c>
      <c r="Q10">
        <f>Tabelle589711143136[[#This Row],[jährliche Produktion kt MIN]]*Tabelle589711143136[[#This Row],[spez. StV kWh/t]]/10^6</f>
        <v>4.5968999999999998</v>
      </c>
      <c r="R10" s="30">
        <f>Tabelle589711143136[[#This Row],[jährliche Produktion kt REF]]*Tabelle589711143136[[#This Row],[spez. StV kWh/t]]/10^6</f>
        <v>5.9157000000000002</v>
      </c>
      <c r="S10" s="30">
        <f>Tabelle589711143136[[#This Row],[jährliche Produktion kt MAX]]*Tabelle589711143136[[#This Row],[spez. StV kWh/t]]/10^6</f>
        <v>7.6608000000000001</v>
      </c>
      <c r="T10" s="19"/>
      <c r="U10" s="19"/>
      <c r="V10" s="19"/>
      <c r="W10" s="19">
        <v>180</v>
      </c>
      <c r="X10" s="19">
        <f>$X9*Tabelle589711143136[[#This Row],[Stromverbrauch in TWh REF]]/($R9+$R8)</f>
        <v>369.94396778147433</v>
      </c>
      <c r="Y10" s="19">
        <v>520</v>
      </c>
      <c r="Z10" s="19"/>
      <c r="AA10" s="19" t="str">
        <f>IF(AND(Tabelle589711143136[[#This Row],[Lastverschiebung]]=1,Tabelle589711143136[[#This Row],[Potenzial pos. min MW]]&lt;&gt;""),Tabelle589711143136[[#This Row],[Potenzial pos. min MW]],"")</f>
        <v/>
      </c>
      <c r="AB10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0" s="19" t="str">
        <f>IF(AND(Tabelle589711143136[[#This Row],[Lastverschiebung]]=1,Tabelle589711143136[[#This Row],[Potenzial pos. max MW]]&lt;&gt;""),Tabelle589711143136[[#This Row],[Potenzial pos. max MW]],"")</f>
        <v/>
      </c>
      <c r="AD10" s="19"/>
      <c r="AE10" s="64"/>
      <c r="AF10" s="64"/>
      <c r="AG10" s="46"/>
      <c r="AH10" s="64"/>
      <c r="AI10" s="20"/>
      <c r="AJ10" s="19"/>
      <c r="AK10" s="1"/>
      <c r="AL10" s="1">
        <v>4</v>
      </c>
      <c r="AM10" s="1"/>
      <c r="AN10" s="1"/>
      <c r="AO10" s="1"/>
      <c r="AP10" s="1">
        <f>8*7</f>
        <v>56</v>
      </c>
      <c r="AQ10" s="1"/>
      <c r="AR10" s="1">
        <v>40</v>
      </c>
      <c r="AS10" s="19"/>
      <c r="AT10" s="19"/>
      <c r="AU10" s="8"/>
      <c r="AV10" s="8"/>
      <c r="AW10" s="8"/>
      <c r="AX10" s="8"/>
      <c r="AY10" s="34"/>
      <c r="AZ10" s="34"/>
      <c r="BA10" s="1"/>
      <c r="BB10" s="1"/>
      <c r="BC10" s="1" t="s">
        <v>903</v>
      </c>
      <c r="BD10" s="1"/>
      <c r="BE10" s="1"/>
      <c r="BF10" s="30">
        <v>202</v>
      </c>
      <c r="BG10" s="30"/>
      <c r="BH10" s="30"/>
      <c r="BI10" s="30">
        <v>202</v>
      </c>
      <c r="BJ10" s="30"/>
      <c r="BK10" s="35">
        <v>205</v>
      </c>
      <c r="BL10" s="30"/>
      <c r="BM10" s="30"/>
      <c r="BN10" s="13"/>
      <c r="BO10" s="13"/>
      <c r="BP10" s="30"/>
      <c r="BQ10" s="30"/>
      <c r="BR10" s="30"/>
      <c r="BS10" s="30"/>
      <c r="BT10" s="30"/>
      <c r="BU10" s="30"/>
      <c r="BV10" s="30"/>
      <c r="BW10" s="1"/>
      <c r="BX10" s="1"/>
    </row>
    <row r="11" spans="1:76" x14ac:dyDescent="0.35">
      <c r="A11" s="1" t="s">
        <v>1017</v>
      </c>
      <c r="B11" s="1" t="s">
        <v>126</v>
      </c>
      <c r="C11" s="30">
        <v>2050</v>
      </c>
      <c r="D11" s="1">
        <v>0</v>
      </c>
      <c r="E11" s="1">
        <v>1</v>
      </c>
      <c r="F11" s="30">
        <v>0</v>
      </c>
      <c r="G11">
        <v>2189</v>
      </c>
      <c r="H11">
        <v>2549</v>
      </c>
      <c r="I11">
        <v>3648</v>
      </c>
      <c r="J11">
        <v>2100</v>
      </c>
      <c r="Q11">
        <f>Tabelle589711143136[[#This Row],[jährliche Produktion kt MIN]]*Tabelle589711143136[[#This Row],[spez. StV kWh/t]]/10^6</f>
        <v>4.5968999999999998</v>
      </c>
      <c r="R11" s="30">
        <f>Tabelle589711143136[[#This Row],[jährliche Produktion kt REF]]*Tabelle589711143136[[#This Row],[spez. StV kWh/t]]/10^6</f>
        <v>5.3529</v>
      </c>
      <c r="S11" s="30">
        <f>Tabelle589711143136[[#This Row],[jährliche Produktion kt MAX]]*Tabelle589711143136[[#This Row],[spez. StV kWh/t]]/10^6</f>
        <v>7.6608000000000001</v>
      </c>
      <c r="T11" s="19"/>
      <c r="U11" s="19"/>
      <c r="V11" s="19"/>
      <c r="W11" s="19">
        <v>180</v>
      </c>
      <c r="X11" s="19">
        <v>280</v>
      </c>
      <c r="Y11" s="19">
        <v>520</v>
      </c>
      <c r="Z11" s="19"/>
      <c r="AA11" s="19" t="str">
        <f>IF(AND(Tabelle589711143136[[#This Row],[Lastverschiebung]]=1,Tabelle589711143136[[#This Row],[Potenzial pos. min MW]]&lt;&gt;""),Tabelle589711143136[[#This Row],[Potenzial pos. min MW]],"")</f>
        <v/>
      </c>
      <c r="AB11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1" s="19" t="str">
        <f>IF(AND(Tabelle589711143136[[#This Row],[Lastverschiebung]]=1,Tabelle589711143136[[#This Row],[Potenzial pos. max MW]]&lt;&gt;""),Tabelle589711143136[[#This Row],[Potenzial pos. max MW]],"")</f>
        <v/>
      </c>
      <c r="AD11" s="19"/>
      <c r="AE11" s="64"/>
      <c r="AF11" s="64"/>
      <c r="AG11" s="46"/>
      <c r="AH11" s="64"/>
      <c r="AI11" s="20"/>
      <c r="AJ11" s="19"/>
      <c r="AK11" s="1"/>
      <c r="AL11" s="1">
        <v>4</v>
      </c>
      <c r="AM11" s="1"/>
      <c r="AN11" s="1"/>
      <c r="AO11" s="1"/>
      <c r="AP11" s="1">
        <f>8*7</f>
        <v>56</v>
      </c>
      <c r="AQ11" s="1"/>
      <c r="AR11" s="1">
        <v>40</v>
      </c>
      <c r="AS11" s="19"/>
      <c r="AT11" s="19"/>
      <c r="AU11" s="8"/>
      <c r="AV11" s="8"/>
      <c r="AW11" s="8"/>
      <c r="AX11" s="8"/>
      <c r="AY11" s="34"/>
      <c r="AZ11" s="34"/>
      <c r="BA11" s="1"/>
      <c r="BB11" s="1"/>
      <c r="BC11" s="1" t="s">
        <v>903</v>
      </c>
      <c r="BD11" s="1"/>
      <c r="BE11" s="1"/>
      <c r="BF11" s="30">
        <v>202</v>
      </c>
      <c r="BG11" s="30"/>
      <c r="BH11" s="30"/>
      <c r="BI11" s="30">
        <v>202</v>
      </c>
      <c r="BJ11" s="30"/>
      <c r="BK11" s="35">
        <v>205</v>
      </c>
      <c r="BL11" s="30"/>
      <c r="BM11" s="30"/>
      <c r="BN11" s="13"/>
      <c r="BO11" s="13"/>
      <c r="BP11" s="30"/>
      <c r="BQ11" s="30"/>
      <c r="BR11" s="30"/>
      <c r="BS11" s="30"/>
      <c r="BT11" s="30"/>
      <c r="BU11" s="30"/>
      <c r="BV11" s="30"/>
      <c r="BW11" s="1"/>
      <c r="BX11" s="1"/>
    </row>
    <row r="12" spans="1:76" x14ac:dyDescent="0.35">
      <c r="A12" s="1" t="s">
        <v>51</v>
      </c>
      <c r="B12" s="1" t="s">
        <v>126</v>
      </c>
      <c r="C12" s="30">
        <v>2013</v>
      </c>
      <c r="D12" s="1">
        <v>0</v>
      </c>
      <c r="E12" s="1">
        <v>1</v>
      </c>
      <c r="F12" s="30">
        <v>0</v>
      </c>
      <c r="G12" s="30"/>
      <c r="H12" s="30">
        <v>500</v>
      </c>
      <c r="I12" s="30"/>
      <c r="J12" s="30">
        <v>14000</v>
      </c>
      <c r="K12" s="30"/>
      <c r="L12" s="30"/>
      <c r="M12" s="30"/>
      <c r="N12" s="30"/>
      <c r="O12" s="30"/>
      <c r="P12" s="30"/>
      <c r="Q12" s="30"/>
      <c r="R12" s="30">
        <v>6.944</v>
      </c>
      <c r="S12" s="30"/>
      <c r="T12" s="19"/>
      <c r="U12" s="19"/>
      <c r="V12" s="19"/>
      <c r="W12" s="19"/>
      <c r="X12" s="19">
        <v>200</v>
      </c>
      <c r="Y12" s="19"/>
      <c r="Z12" s="19">
        <f>Tabelle589711143136[[#This Row],[Stromverbrauch in TWh REF]]/Tabelle589711143136[[#This Row],[Vollbenutzungsstunden h/a]]*10^6</f>
        <v>982.87331917905169</v>
      </c>
      <c r="AA12" s="19" t="str">
        <f>IF(AND(Tabelle589711143136[[#This Row],[Lastverschiebung]]=1,Tabelle589711143136[[#This Row],[Potenzial pos. min MW]]&lt;&gt;""),Tabelle589711143136[[#This Row],[Potenzial pos. min MW]],"")</f>
        <v/>
      </c>
      <c r="AB12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2" s="19" t="str">
        <f>IF(AND(Tabelle589711143136[[#This Row],[Lastverschiebung]]=1,Tabelle589711143136[[#This Row],[Potenzial pos. max MW]]&lt;&gt;""),Tabelle589711143136[[#This Row],[Potenzial pos. max MW]],"")</f>
        <v/>
      </c>
      <c r="AD12" s="19"/>
      <c r="AE12" s="64">
        <f>1-Tabelle589711143136[[#This Row],[flexibilisierbarer Anteil]]</f>
        <v>0.75</v>
      </c>
      <c r="AF12" s="64">
        <v>0.25</v>
      </c>
      <c r="AG12" s="46">
        <v>7065</v>
      </c>
      <c r="AH12" s="64">
        <f>AVERAGE(80%,85%)</f>
        <v>0.82499999999999996</v>
      </c>
      <c r="AI12" s="20"/>
      <c r="AJ12" s="19"/>
      <c r="AK12" s="1"/>
      <c r="AL12" s="1">
        <v>4</v>
      </c>
      <c r="AM12" s="1"/>
      <c r="AN12" s="1"/>
      <c r="AO12" s="1"/>
      <c r="AP12" s="1"/>
      <c r="AQ12" s="1"/>
      <c r="AR12" s="1">
        <v>40</v>
      </c>
      <c r="AS12" s="19">
        <v>1</v>
      </c>
      <c r="AT12" s="19">
        <v>20</v>
      </c>
      <c r="AU12" s="8"/>
      <c r="AV12" s="8"/>
      <c r="AW12" s="8">
        <v>350</v>
      </c>
      <c r="AX12" s="8">
        <v>1500</v>
      </c>
      <c r="AY12" s="34">
        <v>0</v>
      </c>
      <c r="AZ12" s="34">
        <v>1</v>
      </c>
      <c r="BA12" s="1">
        <v>350</v>
      </c>
      <c r="BB12" s="1"/>
      <c r="BC12" s="1" t="s">
        <v>903</v>
      </c>
      <c r="BD12" s="1">
        <v>18</v>
      </c>
      <c r="BE12" s="1">
        <v>18</v>
      </c>
      <c r="BF12" s="30">
        <v>46</v>
      </c>
      <c r="BG12" s="30"/>
      <c r="BH12" s="30"/>
      <c r="BI12" s="30">
        <v>46</v>
      </c>
      <c r="BJ12" s="30">
        <v>46</v>
      </c>
      <c r="BK12" s="35">
        <v>205</v>
      </c>
      <c r="BL12" s="30">
        <v>46</v>
      </c>
      <c r="BM12" s="30">
        <v>46</v>
      </c>
      <c r="BN12" s="13">
        <v>18</v>
      </c>
      <c r="BO12" s="13"/>
      <c r="BP12" s="30">
        <v>23</v>
      </c>
      <c r="BQ12" s="30"/>
      <c r="BR12" s="30">
        <v>23</v>
      </c>
      <c r="BS12" s="30">
        <v>23</v>
      </c>
      <c r="BT12" s="30">
        <v>30</v>
      </c>
      <c r="BU12" s="30">
        <v>30</v>
      </c>
      <c r="BV12" s="30">
        <v>30</v>
      </c>
      <c r="BW12" s="30">
        <v>117</v>
      </c>
      <c r="BX12" s="1"/>
    </row>
    <row r="13" spans="1:76" x14ac:dyDescent="0.35">
      <c r="A13" s="1" t="s">
        <v>51</v>
      </c>
      <c r="B13" s="1" t="s">
        <v>126</v>
      </c>
      <c r="C13" s="30">
        <v>2030</v>
      </c>
      <c r="D13" s="1">
        <v>0</v>
      </c>
      <c r="E13" s="1">
        <v>1</v>
      </c>
      <c r="F13" s="30">
        <v>0</v>
      </c>
      <c r="G13">
        <v>298</v>
      </c>
      <c r="H13">
        <v>500</v>
      </c>
      <c r="I13">
        <v>620</v>
      </c>
      <c r="J13">
        <v>11200</v>
      </c>
      <c r="Q13">
        <f>Tabelle589711143136[[#This Row],[jährliche Produktion kt MIN]]*Tabelle589711143136[[#This Row],[spez. StV kWh/t]]/10^6</f>
        <v>3.3376000000000001</v>
      </c>
      <c r="R13" s="30">
        <f>Tabelle589711143136[[#This Row],[jährliche Produktion kt REF]]*Tabelle589711143136[[#This Row],[spez. StV kWh/t]]/10^6</f>
        <v>5.6</v>
      </c>
      <c r="S13" s="30">
        <f>Tabelle589711143136[[#This Row],[jährliche Produktion kt MAX]]*Tabelle589711143136[[#This Row],[spez. StV kWh/t]]/10^6</f>
        <v>6.944</v>
      </c>
      <c r="T13" s="19"/>
      <c r="U13" s="19"/>
      <c r="V13" s="19"/>
      <c r="W13" s="19">
        <f>$X12*Tabelle589711143136[[#This Row],[Stromverbrauch in TWh MIN]]/$R12</f>
        <v>96.129032258064512</v>
      </c>
      <c r="X13" s="19">
        <f>$X12*Tabelle589711143136[[#This Row],[Stromverbrauch in TWh REF]]/$R12</f>
        <v>161.29032258064515</v>
      </c>
      <c r="Y13" s="19">
        <f>$X12*Tabelle589711143136[[#This Row],[Stromverbrauch in TWh MAX]]/$R12</f>
        <v>200</v>
      </c>
      <c r="Z13" s="19"/>
      <c r="AA13" s="19" t="str">
        <f>IF(AND(Tabelle589711143136[[#This Row],[Lastverschiebung]]=1,Tabelle589711143136[[#This Row],[Potenzial pos. min MW]]&lt;&gt;""),Tabelle589711143136[[#This Row],[Potenzial pos. min MW]],"")</f>
        <v/>
      </c>
      <c r="AB13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3" s="19" t="str">
        <f>IF(AND(Tabelle589711143136[[#This Row],[Lastverschiebung]]=1,Tabelle589711143136[[#This Row],[Potenzial pos. max MW]]&lt;&gt;""),Tabelle589711143136[[#This Row],[Potenzial pos. max MW]],"")</f>
        <v/>
      </c>
      <c r="AD13" s="19"/>
      <c r="AE13" s="64"/>
      <c r="AF13" s="64"/>
      <c r="AG13" s="46"/>
      <c r="AH13" s="69" t="str">
        <f>IF(Tabelle589711143136[[#This Row],[Vollbenutzungsstunden h/a]]&lt;&gt;"",Tabelle589711143136[[#This Row],[Vollbenutzungsstunden h/a]]/8760,"")</f>
        <v/>
      </c>
      <c r="AI13" s="20"/>
      <c r="AJ13" s="19"/>
      <c r="AK13" s="1"/>
      <c r="AL13" s="1">
        <v>4</v>
      </c>
      <c r="AM13" s="1"/>
      <c r="AN13" s="1"/>
      <c r="AO13" s="1"/>
      <c r="AP13" s="1">
        <f>8*7</f>
        <v>56</v>
      </c>
      <c r="AQ13" s="1"/>
      <c r="AR13" s="1">
        <v>40</v>
      </c>
      <c r="AS13" s="19"/>
      <c r="AT13" s="19"/>
      <c r="AU13" s="8"/>
      <c r="AV13" s="8"/>
      <c r="AW13" s="8"/>
      <c r="AX13" s="8"/>
      <c r="AY13" s="34"/>
      <c r="AZ13" s="34"/>
      <c r="BA13" s="1"/>
      <c r="BB13" s="1"/>
      <c r="BC13" s="1" t="s">
        <v>903</v>
      </c>
      <c r="BD13" s="1"/>
      <c r="BE13" s="1"/>
      <c r="BF13" s="30">
        <v>202</v>
      </c>
      <c r="BG13" s="30"/>
      <c r="BH13" s="30"/>
      <c r="BI13" s="30">
        <v>202</v>
      </c>
      <c r="BJ13" s="30"/>
      <c r="BK13" s="35">
        <v>205</v>
      </c>
      <c r="BL13" s="30"/>
      <c r="BM13" s="30"/>
      <c r="BN13" s="13"/>
      <c r="BO13" s="13"/>
      <c r="BP13" s="30"/>
      <c r="BQ13" s="30"/>
      <c r="BR13" s="30"/>
      <c r="BS13" s="30"/>
      <c r="BT13" s="30"/>
      <c r="BU13" s="30"/>
      <c r="BV13" s="30"/>
      <c r="BW13" s="1"/>
      <c r="BX13" s="1"/>
    </row>
    <row r="14" spans="1:76" x14ac:dyDescent="0.35">
      <c r="A14" s="1" t="s">
        <v>51</v>
      </c>
      <c r="B14" s="1" t="s">
        <v>126</v>
      </c>
      <c r="C14" s="30">
        <v>2050</v>
      </c>
      <c r="D14" s="1">
        <v>0</v>
      </c>
      <c r="E14" s="1">
        <v>1</v>
      </c>
      <c r="F14" s="30">
        <v>0</v>
      </c>
      <c r="G14">
        <v>298</v>
      </c>
      <c r="H14">
        <v>500</v>
      </c>
      <c r="I14">
        <v>620</v>
      </c>
      <c r="J14">
        <v>11200</v>
      </c>
      <c r="Q14">
        <f>Tabelle589711143136[[#This Row],[jährliche Produktion kt MIN]]*Tabelle589711143136[[#This Row],[spez. StV kWh/t]]/10^6</f>
        <v>3.3376000000000001</v>
      </c>
      <c r="R14" s="30">
        <f>Tabelle589711143136[[#This Row],[jährliche Produktion kt REF]]*Tabelle589711143136[[#This Row],[spez. StV kWh/t]]/10^6</f>
        <v>5.6</v>
      </c>
      <c r="S14" s="30">
        <f>Tabelle589711143136[[#This Row],[jährliche Produktion kt MAX]]*Tabelle589711143136[[#This Row],[spez. StV kWh/t]]/10^6</f>
        <v>6.944</v>
      </c>
      <c r="T14" s="19"/>
      <c r="U14" s="19"/>
      <c r="V14" s="19"/>
      <c r="W14" s="19">
        <f>$X12*Tabelle589711143136[[#This Row],[Stromverbrauch in TWh MIN]]/$R12</f>
        <v>96.129032258064512</v>
      </c>
      <c r="X14" s="19">
        <f>$X12*Tabelle589711143136[[#This Row],[Stromverbrauch in TWh REF]]/$R12</f>
        <v>161.29032258064515</v>
      </c>
      <c r="Y14" s="19">
        <f>$X12*Tabelle589711143136[[#This Row],[Stromverbrauch in TWh MAX]]/$R12</f>
        <v>200</v>
      </c>
      <c r="Z14" s="19"/>
      <c r="AA14" s="19" t="str">
        <f>IF(AND(Tabelle589711143136[[#This Row],[Lastverschiebung]]=1,Tabelle589711143136[[#This Row],[Potenzial pos. min MW]]&lt;&gt;""),Tabelle589711143136[[#This Row],[Potenzial pos. min MW]],"")</f>
        <v/>
      </c>
      <c r="AB14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4" s="19" t="str">
        <f>IF(AND(Tabelle589711143136[[#This Row],[Lastverschiebung]]=1,Tabelle589711143136[[#This Row],[Potenzial pos. max MW]]&lt;&gt;""),Tabelle589711143136[[#This Row],[Potenzial pos. max MW]],"")</f>
        <v/>
      </c>
      <c r="AD14" s="19"/>
      <c r="AE14" s="64"/>
      <c r="AF14" s="64"/>
      <c r="AG14" s="46"/>
      <c r="AH14" s="69" t="str">
        <f>IF(Tabelle589711143136[[#This Row],[Vollbenutzungsstunden h/a]]&lt;&gt;"",Tabelle589711143136[[#This Row],[Vollbenutzungsstunden h/a]]/8760,"")</f>
        <v/>
      </c>
      <c r="AI14" s="20"/>
      <c r="AJ14" s="19"/>
      <c r="AK14" s="1"/>
      <c r="AL14" s="1">
        <v>4</v>
      </c>
      <c r="AM14" s="1"/>
      <c r="AN14" s="1"/>
      <c r="AO14" s="1"/>
      <c r="AP14" s="1">
        <f>8*7</f>
        <v>56</v>
      </c>
      <c r="AQ14" s="1"/>
      <c r="AR14" s="1">
        <v>40</v>
      </c>
      <c r="AS14" s="19"/>
      <c r="AT14" s="19"/>
      <c r="AU14" s="8"/>
      <c r="AV14" s="8"/>
      <c r="AW14" s="8"/>
      <c r="AX14" s="8"/>
      <c r="AY14" s="34"/>
      <c r="AZ14" s="34"/>
      <c r="BA14" s="1"/>
      <c r="BB14" s="1"/>
      <c r="BC14" s="1" t="s">
        <v>903</v>
      </c>
      <c r="BD14" s="1"/>
      <c r="BE14" s="1"/>
      <c r="BF14" s="30">
        <v>202</v>
      </c>
      <c r="BG14" s="30"/>
      <c r="BH14" s="30"/>
      <c r="BI14" s="30">
        <v>202</v>
      </c>
      <c r="BJ14" s="30"/>
      <c r="BK14" s="35">
        <v>205</v>
      </c>
      <c r="BL14" s="30"/>
      <c r="BM14" s="30"/>
      <c r="BN14" s="13"/>
      <c r="BO14" s="13"/>
      <c r="BP14" s="30"/>
      <c r="BQ14" s="30"/>
      <c r="BR14" s="30"/>
      <c r="BS14" s="30"/>
      <c r="BT14" s="30"/>
      <c r="BU14" s="30"/>
      <c r="BV14" s="30"/>
      <c r="BW14" s="1"/>
      <c r="BX14" s="1"/>
    </row>
    <row r="15" spans="1:76" x14ac:dyDescent="0.35">
      <c r="A15" s="1" t="s">
        <v>873</v>
      </c>
      <c r="B15" s="1" t="s">
        <v>126</v>
      </c>
      <c r="C15" s="30">
        <v>2013</v>
      </c>
      <c r="D15" s="1">
        <v>1</v>
      </c>
      <c r="E15" s="1">
        <v>0</v>
      </c>
      <c r="F15" s="30">
        <v>0</v>
      </c>
      <c r="G15" s="30"/>
      <c r="H15" s="30">
        <v>32345</v>
      </c>
      <c r="I15" s="30"/>
      <c r="J15" s="30">
        <v>42</v>
      </c>
      <c r="K15" s="30"/>
      <c r="L15" s="30"/>
      <c r="M15" s="30"/>
      <c r="N15" s="30"/>
      <c r="O15" s="30"/>
      <c r="P15" s="30"/>
      <c r="Q15" s="30"/>
      <c r="R15" s="30">
        <f>Tabelle589711143136[[#This Row],[jährliche Produktion kt REF]]*Tabelle589711143136[[#This Row],[spez. StV kWh/t]]/10^6</f>
        <v>1.35849</v>
      </c>
      <c r="S15" s="30"/>
      <c r="T15" s="19"/>
      <c r="U15" s="19">
        <v>270</v>
      </c>
      <c r="V15" s="19"/>
      <c r="W15" s="19"/>
      <c r="X15" s="19"/>
      <c r="Y15" s="19"/>
      <c r="Z15" s="19">
        <f>Tabelle589711143136[[#This Row],[Stromverbrauch in TWh REF]]/Tabelle589711143136[[#This Row],[Vollbenutzungsstunden h/a]]*10^6</f>
        <v>261.24807692307689</v>
      </c>
      <c r="AA15" s="19" t="str">
        <f>IF(AND(Tabelle589711143136[[#This Row],[Lastverschiebung]]=1,Tabelle589711143136[[#This Row],[Potenzial pos. min MW]]&lt;&gt;""),Tabelle589711143136[[#This Row],[Potenzial pos. min MW]],"")</f>
        <v/>
      </c>
      <c r="AB15" s="19">
        <f>IF(AND(Tabelle589711143136[[#This Row],[Lastverschiebung]]=1,Tabelle589711143136[[#This Row],[Potenzial pos. MW Durchschnitt]]&lt;&gt;""),Tabelle589711143136[[#This Row],[Potenzial pos. MW Durchschnitt]],"")</f>
        <v>270</v>
      </c>
      <c r="AC15" s="19" t="str">
        <f>IF(AND(Tabelle589711143136[[#This Row],[Lastverschiebung]]=1,Tabelle589711143136[[#This Row],[Potenzial pos. max MW]]&lt;&gt;""),Tabelle589711143136[[#This Row],[Potenzial pos. max MW]],"")</f>
        <v/>
      </c>
      <c r="AD15" s="19"/>
      <c r="AE15" s="64">
        <f>1-Tabelle589711143136[[#This Row],[flexibilisierbarer Anteil]]</f>
        <v>0</v>
      </c>
      <c r="AF15" s="64">
        <v>1</v>
      </c>
      <c r="AG15" s="46">
        <v>5200</v>
      </c>
      <c r="AH15" s="69">
        <f>IF(Tabelle589711143136[[#This Row],[Vollbenutzungsstunden h/a]]&lt;&gt;"",Tabelle589711143136[[#This Row],[Vollbenutzungsstunden h/a]]/8760,"")</f>
        <v>0.59360730593607303</v>
      </c>
      <c r="AI15" s="20"/>
      <c r="AJ15" s="19"/>
      <c r="AK15" s="1">
        <v>3</v>
      </c>
      <c r="AL15" s="1"/>
      <c r="AM15" s="1">
        <v>3</v>
      </c>
      <c r="AN15" s="1">
        <v>24</v>
      </c>
      <c r="AO15" s="1" t="s">
        <v>880</v>
      </c>
      <c r="AP15" s="1"/>
      <c r="AQ15" s="1">
        <v>40</v>
      </c>
      <c r="AR15" s="1"/>
      <c r="AS15" s="19">
        <v>40</v>
      </c>
      <c r="AT15" s="19">
        <v>1200</v>
      </c>
      <c r="AU15" s="8"/>
      <c r="AV15" s="8">
        <v>6</v>
      </c>
      <c r="AW15" s="8"/>
      <c r="AX15" s="8"/>
      <c r="AY15" s="34">
        <v>0</v>
      </c>
      <c r="AZ15" s="34">
        <v>1</v>
      </c>
      <c r="BA15" s="1">
        <v>0</v>
      </c>
      <c r="BB15" s="1" t="s">
        <v>875</v>
      </c>
      <c r="BC15" s="1" t="s">
        <v>903</v>
      </c>
      <c r="BD15" s="1">
        <v>19</v>
      </c>
      <c r="BE15" s="1">
        <v>19</v>
      </c>
      <c r="BF15" s="30">
        <v>46</v>
      </c>
      <c r="BG15" s="30"/>
      <c r="BH15" s="30"/>
      <c r="BI15" s="30">
        <v>46</v>
      </c>
      <c r="BJ15" s="30">
        <v>46</v>
      </c>
      <c r="BK15" s="35">
        <v>205</v>
      </c>
      <c r="BL15" s="30">
        <v>46</v>
      </c>
      <c r="BM15" s="30">
        <v>46</v>
      </c>
      <c r="BN15" s="13"/>
      <c r="BO15" s="13"/>
      <c r="BP15" s="30">
        <v>23</v>
      </c>
      <c r="BQ15" s="30">
        <v>23</v>
      </c>
      <c r="BR15" s="30">
        <v>23</v>
      </c>
      <c r="BS15" s="30">
        <v>23</v>
      </c>
      <c r="BT15" s="30">
        <v>30</v>
      </c>
      <c r="BU15" s="30">
        <v>30</v>
      </c>
      <c r="BV15" s="30">
        <v>30</v>
      </c>
      <c r="BW15" s="30">
        <v>117</v>
      </c>
      <c r="BX15" s="1"/>
    </row>
    <row r="16" spans="1:76" x14ac:dyDescent="0.35">
      <c r="A16" s="1" t="s">
        <v>873</v>
      </c>
      <c r="B16" s="1" t="s">
        <v>126</v>
      </c>
      <c r="C16" s="30">
        <v>2030</v>
      </c>
      <c r="D16" s="1">
        <v>1</v>
      </c>
      <c r="E16" s="1">
        <v>0</v>
      </c>
      <c r="F16" s="30">
        <v>0</v>
      </c>
      <c r="G16">
        <v>30707</v>
      </c>
      <c r="H16">
        <v>32345</v>
      </c>
      <c r="I16">
        <v>37158</v>
      </c>
      <c r="J16">
        <v>28</v>
      </c>
      <c r="Q16">
        <f>Tabelle589711143136[[#This Row],[jährliche Produktion kt MIN]]*Tabelle589711143136[[#This Row],[spez. StV kWh/t]]/10^6</f>
        <v>0.859796</v>
      </c>
      <c r="R16" s="30">
        <f>Tabelle589711143136[[#This Row],[jährliche Produktion kt REF]]*Tabelle589711143136[[#This Row],[spez. StV kWh/t]]/10^6</f>
        <v>0.90566000000000002</v>
      </c>
      <c r="S16" s="30">
        <f>Tabelle589711143136[[#This Row],[jährliche Produktion kt MAX]]*Tabelle589711143136[[#This Row],[spez. StV kWh/t]]/10^6</f>
        <v>1.040424</v>
      </c>
      <c r="T16" s="19">
        <f>$U15*Tabelle589711143136[[#This Row],[Stromverbrauch in TWh MIN]]/$R15</f>
        <v>170.88452620188593</v>
      </c>
      <c r="U16" s="19">
        <f>$U15*Tabelle589711143136[[#This Row],[Stromverbrauch in TWh REF]]/$R15</f>
        <v>180</v>
      </c>
      <c r="V16" s="19">
        <f>$U15*Tabelle589711143136[[#This Row],[Stromverbrauch in TWh MAX]]/$R15</f>
        <v>206.78435616014843</v>
      </c>
      <c r="W16" s="19"/>
      <c r="X16" s="19"/>
      <c r="Y16" s="19"/>
      <c r="Z16" s="19"/>
      <c r="AA16" s="19">
        <f>IF(AND(Tabelle589711143136[[#This Row],[Lastverschiebung]]=1,Tabelle589711143136[[#This Row],[Potenzial pos. min MW]]&lt;&gt;""),Tabelle589711143136[[#This Row],[Potenzial pos. min MW]],"")</f>
        <v>170.88452620188593</v>
      </c>
      <c r="AB16" s="19">
        <f>IF(AND(Tabelle589711143136[[#This Row],[Lastverschiebung]]=1,Tabelle589711143136[[#This Row],[Potenzial pos. MW Durchschnitt]]&lt;&gt;""),Tabelle589711143136[[#This Row],[Potenzial pos. MW Durchschnitt]],"")</f>
        <v>180</v>
      </c>
      <c r="AC16" s="19">
        <f>IF(AND(Tabelle589711143136[[#This Row],[Lastverschiebung]]=1,Tabelle589711143136[[#This Row],[Potenzial pos. max MW]]&lt;&gt;""),Tabelle589711143136[[#This Row],[Potenzial pos. max MW]],"")</f>
        <v>206.78435616014843</v>
      </c>
      <c r="AD16" s="19"/>
      <c r="AE16" s="64"/>
      <c r="AF16" s="64"/>
      <c r="AG16" s="46"/>
      <c r="AH16" s="69" t="str">
        <f>IF(Tabelle589711143136[[#This Row],[Vollbenutzungsstunden h/a]]&lt;&gt;"",Tabelle589711143136[[#This Row],[Vollbenutzungsstunden h/a]]/8760,"")</f>
        <v/>
      </c>
      <c r="AI16" s="20"/>
      <c r="AJ16" s="19"/>
      <c r="AK16" s="1">
        <v>3</v>
      </c>
      <c r="AL16" s="1"/>
      <c r="AM16" s="1"/>
      <c r="AN16" s="1">
        <v>24</v>
      </c>
      <c r="AO16" s="1"/>
      <c r="AP16" s="1">
        <f>8*7</f>
        <v>56</v>
      </c>
      <c r="AQ16" s="1">
        <v>40</v>
      </c>
      <c r="AR16" s="1"/>
      <c r="AS16" s="19"/>
      <c r="AT16" s="19"/>
      <c r="AU16" s="8"/>
      <c r="AV16" s="8"/>
      <c r="AW16" s="8"/>
      <c r="AX16" s="8"/>
      <c r="AY16" s="34"/>
      <c r="AZ16" s="34"/>
      <c r="BA16" s="1">
        <v>0</v>
      </c>
      <c r="BB16" s="1"/>
      <c r="BC16" s="1" t="s">
        <v>903</v>
      </c>
      <c r="BD16" s="1"/>
      <c r="BE16" s="1"/>
      <c r="BF16" s="30">
        <v>202</v>
      </c>
      <c r="BG16" s="30"/>
      <c r="BH16" s="30"/>
      <c r="BI16" s="30">
        <v>202</v>
      </c>
      <c r="BJ16" s="30"/>
      <c r="BK16" s="35">
        <v>205</v>
      </c>
      <c r="BL16" s="30"/>
      <c r="BM16" s="30"/>
      <c r="BN16" s="13"/>
      <c r="BO16" s="13"/>
      <c r="BP16" s="30"/>
      <c r="BQ16" s="30"/>
      <c r="BR16" s="30"/>
      <c r="BS16" s="30"/>
      <c r="BT16" s="30"/>
      <c r="BU16" s="30"/>
      <c r="BV16" s="30"/>
      <c r="BW16" s="30">
        <v>117</v>
      </c>
      <c r="BX16" s="1"/>
    </row>
    <row r="17" spans="1:76" x14ac:dyDescent="0.35">
      <c r="A17" s="1" t="s">
        <v>873</v>
      </c>
      <c r="B17" s="1" t="s">
        <v>126</v>
      </c>
      <c r="C17" s="30">
        <v>2050</v>
      </c>
      <c r="D17" s="1">
        <v>1</v>
      </c>
      <c r="E17" s="1">
        <v>0</v>
      </c>
      <c r="F17" s="30">
        <v>0</v>
      </c>
      <c r="G17">
        <v>30707</v>
      </c>
      <c r="H17">
        <v>32345</v>
      </c>
      <c r="I17">
        <v>37158</v>
      </c>
      <c r="J17">
        <v>28</v>
      </c>
      <c r="Q17">
        <f>Tabelle589711143136[[#This Row],[jährliche Produktion kt MIN]]*Tabelle589711143136[[#This Row],[spez. StV kWh/t]]/10^6</f>
        <v>0.859796</v>
      </c>
      <c r="R17" s="30">
        <f>Tabelle589711143136[[#This Row],[jährliche Produktion kt REF]]*Tabelle589711143136[[#This Row],[spez. StV kWh/t]]/10^6</f>
        <v>0.90566000000000002</v>
      </c>
      <c r="S17" s="30">
        <f>Tabelle589711143136[[#This Row],[jährliche Produktion kt MAX]]*Tabelle589711143136[[#This Row],[spez. StV kWh/t]]/10^6</f>
        <v>1.040424</v>
      </c>
      <c r="T17" s="19">
        <f>$U15*Tabelle589711143136[[#This Row],[Stromverbrauch in TWh MIN]]/$R15</f>
        <v>170.88452620188593</v>
      </c>
      <c r="U17" s="19">
        <f>$U15*Tabelle589711143136[[#This Row],[Stromverbrauch in TWh REF]]/$R15</f>
        <v>180</v>
      </c>
      <c r="V17" s="19">
        <f>$U15*Tabelle589711143136[[#This Row],[Stromverbrauch in TWh MAX]]/$R15</f>
        <v>206.78435616014843</v>
      </c>
      <c r="W17" s="19"/>
      <c r="X17" s="19"/>
      <c r="Y17" s="19"/>
      <c r="Z17" s="19"/>
      <c r="AA17" s="19">
        <f>IF(AND(Tabelle589711143136[[#This Row],[Lastverschiebung]]=1,Tabelle589711143136[[#This Row],[Potenzial pos. min MW]]&lt;&gt;""),Tabelle589711143136[[#This Row],[Potenzial pos. min MW]],"")</f>
        <v>170.88452620188593</v>
      </c>
      <c r="AB17" s="19">
        <f>IF(AND(Tabelle589711143136[[#This Row],[Lastverschiebung]]=1,Tabelle589711143136[[#This Row],[Potenzial pos. MW Durchschnitt]]&lt;&gt;""),Tabelle589711143136[[#This Row],[Potenzial pos. MW Durchschnitt]],"")</f>
        <v>180</v>
      </c>
      <c r="AC17" s="19">
        <f>IF(AND(Tabelle589711143136[[#This Row],[Lastverschiebung]]=1,Tabelle589711143136[[#This Row],[Potenzial pos. max MW]]&lt;&gt;""),Tabelle589711143136[[#This Row],[Potenzial pos. max MW]],"")</f>
        <v>206.78435616014843</v>
      </c>
      <c r="AD17" s="19"/>
      <c r="AE17" s="64"/>
      <c r="AF17" s="64"/>
      <c r="AG17" s="46"/>
      <c r="AH17" s="69" t="str">
        <f>IF(Tabelle589711143136[[#This Row],[Vollbenutzungsstunden h/a]]&lt;&gt;"",Tabelle589711143136[[#This Row],[Vollbenutzungsstunden h/a]]/8760,"")</f>
        <v/>
      </c>
      <c r="AI17" s="20"/>
      <c r="AJ17" s="19"/>
      <c r="AK17" s="1">
        <v>3</v>
      </c>
      <c r="AL17" s="1"/>
      <c r="AM17" s="1"/>
      <c r="AN17" s="1">
        <v>24</v>
      </c>
      <c r="AO17" s="1"/>
      <c r="AP17" s="1">
        <f>8*7</f>
        <v>56</v>
      </c>
      <c r="AQ17" s="1">
        <v>40</v>
      </c>
      <c r="AR17" s="1"/>
      <c r="AS17" s="19"/>
      <c r="AT17" s="19"/>
      <c r="AU17" s="8"/>
      <c r="AV17" s="8"/>
      <c r="AW17" s="8"/>
      <c r="AX17" s="8"/>
      <c r="AY17" s="34"/>
      <c r="AZ17" s="34"/>
      <c r="BA17" s="1">
        <v>0</v>
      </c>
      <c r="BB17" s="1"/>
      <c r="BC17" s="1" t="s">
        <v>903</v>
      </c>
      <c r="BD17" s="1"/>
      <c r="BE17" s="1"/>
      <c r="BF17" s="30">
        <v>202</v>
      </c>
      <c r="BG17" s="30"/>
      <c r="BH17" s="30"/>
      <c r="BI17" s="30">
        <v>202</v>
      </c>
      <c r="BJ17" s="30"/>
      <c r="BK17" s="35">
        <v>205</v>
      </c>
      <c r="BL17" s="30"/>
      <c r="BM17" s="30"/>
      <c r="BN17" s="13"/>
      <c r="BO17" s="13"/>
      <c r="BP17" s="30"/>
      <c r="BQ17" s="30"/>
      <c r="BR17" s="30"/>
      <c r="BS17" s="30"/>
      <c r="BT17" s="30"/>
      <c r="BU17" s="30"/>
      <c r="BV17" s="30"/>
      <c r="BW17" s="30">
        <v>117</v>
      </c>
      <c r="BX17" s="1"/>
    </row>
    <row r="18" spans="1:76" x14ac:dyDescent="0.35">
      <c r="A18" s="66" t="s">
        <v>389</v>
      </c>
      <c r="B18" s="66" t="s">
        <v>127</v>
      </c>
      <c r="C18" s="30">
        <v>2013</v>
      </c>
      <c r="D18" s="1">
        <v>1</v>
      </c>
      <c r="E18" s="1">
        <v>0</v>
      </c>
      <c r="F18" s="30">
        <v>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>
        <v>9.9890000000000008</v>
      </c>
      <c r="S18" s="30"/>
      <c r="T18" s="19"/>
      <c r="U18" s="19">
        <v>1400</v>
      </c>
      <c r="V18" s="19"/>
      <c r="W18" s="19"/>
      <c r="X18" s="19"/>
      <c r="Y18" s="19"/>
      <c r="Z18" s="67">
        <f>Tabelle589711143136[[#This Row],[Stromverbrauch in TWh REF]]/Tabelle589711143136[[#This Row],[Vollbenutzungsstunden h/a]]*10^6</f>
        <v>1962.4754420432223</v>
      </c>
      <c r="AA18" s="67" t="str">
        <f>IF(AND(Tabelle589711143136[[#This Row],[Lastverschiebung]]=1,Tabelle589711143136[[#This Row],[Potenzial pos. min MW]]&lt;&gt;""),Tabelle589711143136[[#This Row],[Potenzial pos. min MW]],"")</f>
        <v/>
      </c>
      <c r="AB18" s="67">
        <f>IF(AND(Tabelle589711143136[[#This Row],[Lastverschiebung]]=1,Tabelle589711143136[[#This Row],[Potenzial pos. MW Durchschnitt]]&lt;&gt;""),Tabelle589711143136[[#This Row],[Potenzial pos. MW Durchschnitt]],"")</f>
        <v>1400</v>
      </c>
      <c r="AC18" s="67" t="str">
        <f>IF(AND(Tabelle589711143136[[#This Row],[Lastverschiebung]]=1,Tabelle589711143136[[#This Row],[Potenzial pos. max MW]]&lt;&gt;""),Tabelle589711143136[[#This Row],[Potenzial pos. max MW]],"")</f>
        <v/>
      </c>
      <c r="AD18" s="67"/>
      <c r="AE18" s="64"/>
      <c r="AF18" s="69">
        <v>0.71</v>
      </c>
      <c r="AG18" s="73">
        <v>5090</v>
      </c>
      <c r="AH18" s="69">
        <f>IF(Tabelle589711143136[[#This Row],[Vollbenutzungsstunden h/a]]&lt;&gt;"",Tabelle589711143136[[#This Row],[Vollbenutzungsstunden h/a]]/8760,"")</f>
        <v>0.58105022831050224</v>
      </c>
      <c r="AI18" s="68"/>
      <c r="AJ18" s="67"/>
      <c r="AK18" s="66">
        <v>1</v>
      </c>
      <c r="AL18" s="66"/>
      <c r="AM18" s="66">
        <v>1</v>
      </c>
      <c r="AN18" s="66">
        <v>1</v>
      </c>
      <c r="AO18" s="1" t="s">
        <v>881</v>
      </c>
      <c r="AP18" s="66">
        <f>8*7</f>
        <v>56</v>
      </c>
      <c r="AQ18" s="66"/>
      <c r="AR18" s="66"/>
      <c r="AS18" s="19">
        <v>40</v>
      </c>
      <c r="AT18" s="19">
        <v>1200</v>
      </c>
      <c r="AU18" s="70"/>
      <c r="AV18" s="70"/>
      <c r="AW18" s="70"/>
      <c r="AX18" s="70"/>
      <c r="AY18" s="70">
        <v>25</v>
      </c>
      <c r="AZ18" s="70">
        <v>90</v>
      </c>
      <c r="BA18" s="1">
        <v>0</v>
      </c>
      <c r="BB18" s="66"/>
      <c r="BC18" s="1" t="s">
        <v>903</v>
      </c>
      <c r="BD18" s="66">
        <v>23</v>
      </c>
      <c r="BE18" s="66">
        <v>23</v>
      </c>
      <c r="BF18" s="66"/>
      <c r="BG18" s="66"/>
      <c r="BH18" s="66"/>
      <c r="BI18" s="66">
        <v>197</v>
      </c>
      <c r="BJ18" s="66">
        <v>197</v>
      </c>
      <c r="BK18" s="35">
        <v>206</v>
      </c>
      <c r="BL18" s="71">
        <v>197</v>
      </c>
      <c r="BM18" s="71">
        <v>197</v>
      </c>
      <c r="BN18" s="71"/>
      <c r="BO18" s="71"/>
      <c r="BP18" s="30">
        <v>23</v>
      </c>
      <c r="BQ18" s="30">
        <v>23</v>
      </c>
      <c r="BR18" s="30">
        <v>23</v>
      </c>
      <c r="BS18" s="30">
        <v>23</v>
      </c>
      <c r="BT18" s="30">
        <v>30</v>
      </c>
      <c r="BU18" s="30">
        <v>30</v>
      </c>
      <c r="BV18" s="30">
        <v>30</v>
      </c>
      <c r="BW18" s="30">
        <v>117</v>
      </c>
      <c r="BX18" s="66"/>
    </row>
    <row r="19" spans="1:76" x14ac:dyDescent="0.35">
      <c r="A19" s="66" t="s">
        <v>389</v>
      </c>
      <c r="B19" s="66" t="s">
        <v>127</v>
      </c>
      <c r="C19" s="30">
        <v>2030</v>
      </c>
      <c r="D19" s="1">
        <v>1</v>
      </c>
      <c r="E19" s="1">
        <v>0</v>
      </c>
      <c r="F19" s="30">
        <v>0</v>
      </c>
      <c r="G19" s="30"/>
      <c r="H19" s="30"/>
      <c r="I19" s="30"/>
      <c r="J19" s="30"/>
      <c r="K19" s="30"/>
      <c r="L19" s="30"/>
      <c r="M19" s="30"/>
      <c r="N19">
        <v>0.95</v>
      </c>
      <c r="O19">
        <v>1</v>
      </c>
      <c r="P19">
        <v>1.05</v>
      </c>
      <c r="Q19">
        <v>9.5</v>
      </c>
      <c r="R19">
        <v>10</v>
      </c>
      <c r="S19">
        <v>10.5</v>
      </c>
      <c r="T19" s="19">
        <f>$U18*Tabelle589711143136[[#This Row],[Stromverbrauch in TWh MIN]]/$R18</f>
        <v>1331.4646110721792</v>
      </c>
      <c r="U19" s="19">
        <f>$U18*Tabelle589711143136[[#This Row],[Stromverbrauch in TWh REF]]/$R18</f>
        <v>1401.5416958654519</v>
      </c>
      <c r="V19" s="19">
        <f>$U18*Tabelle589711143136[[#This Row],[Stromverbrauch in TWh MAX]]/$R18</f>
        <v>1471.6187806587245</v>
      </c>
      <c r="W19" s="19"/>
      <c r="X19" s="19"/>
      <c r="Y19" s="19"/>
      <c r="Z19" s="67"/>
      <c r="AA19" s="67">
        <f>IF(AND(Tabelle589711143136[[#This Row],[Lastverschiebung]]=1,Tabelle589711143136[[#This Row],[Potenzial pos. min MW]]&lt;&gt;""),Tabelle589711143136[[#This Row],[Potenzial pos. min MW]],"")</f>
        <v>1331.4646110721792</v>
      </c>
      <c r="AB19" s="67">
        <f>IF(AND(Tabelle589711143136[[#This Row],[Lastverschiebung]]=1,Tabelle589711143136[[#This Row],[Potenzial pos. MW Durchschnitt]]&lt;&gt;""),Tabelle589711143136[[#This Row],[Potenzial pos. MW Durchschnitt]],"")</f>
        <v>1401.5416958654519</v>
      </c>
      <c r="AC19" s="67">
        <f>IF(AND(Tabelle589711143136[[#This Row],[Lastverschiebung]]=1,Tabelle589711143136[[#This Row],[Potenzial pos. max MW]]&lt;&gt;""),Tabelle589711143136[[#This Row],[Potenzial pos. max MW]],"")</f>
        <v>1471.6187806587245</v>
      </c>
      <c r="AD19" s="67"/>
      <c r="AE19" s="64"/>
      <c r="AF19" s="69"/>
      <c r="AG19" s="73"/>
      <c r="AH19" s="69" t="str">
        <f>IF(Tabelle589711143136[[#This Row],[Vollbenutzungsstunden h/a]]&lt;&gt;"",Tabelle589711143136[[#This Row],[Vollbenutzungsstunden h/a]]/8760,"")</f>
        <v/>
      </c>
      <c r="AI19" s="68"/>
      <c r="AJ19" s="67"/>
      <c r="AK19" s="66">
        <v>1</v>
      </c>
      <c r="AL19" s="66"/>
      <c r="AM19" s="66"/>
      <c r="AN19" s="66">
        <v>1</v>
      </c>
      <c r="AO19" s="1"/>
      <c r="AP19" s="66">
        <f>8*7</f>
        <v>56</v>
      </c>
      <c r="AQ19" s="66"/>
      <c r="AR19" s="66"/>
      <c r="AS19" s="19"/>
      <c r="AT19" s="19"/>
      <c r="AU19" s="70"/>
      <c r="AV19" s="70"/>
      <c r="AW19" s="70"/>
      <c r="AX19" s="70"/>
      <c r="AY19" s="70"/>
      <c r="AZ19" s="70"/>
      <c r="BA19" s="1">
        <v>0</v>
      </c>
      <c r="BB19" s="66"/>
      <c r="BC19" s="1" t="s">
        <v>903</v>
      </c>
      <c r="BD19" s="66"/>
      <c r="BE19" s="66"/>
      <c r="BF19" s="66"/>
      <c r="BG19" s="66"/>
      <c r="BH19" s="66">
        <v>203</v>
      </c>
      <c r="BI19" s="66">
        <v>203</v>
      </c>
      <c r="BJ19" s="66"/>
      <c r="BK19" s="35">
        <v>206</v>
      </c>
      <c r="BL19" s="71"/>
      <c r="BM19" s="71"/>
      <c r="BN19" s="71"/>
      <c r="BO19" s="71"/>
      <c r="BP19" s="30"/>
      <c r="BQ19" s="30"/>
      <c r="BR19" s="30"/>
      <c r="BS19" s="30"/>
      <c r="BT19" s="30"/>
      <c r="BU19" s="30"/>
      <c r="BV19" s="30"/>
      <c r="BW19" s="30">
        <v>117</v>
      </c>
      <c r="BX19" s="66"/>
    </row>
    <row r="20" spans="1:76" x14ac:dyDescent="0.35">
      <c r="A20" s="66" t="s">
        <v>389</v>
      </c>
      <c r="B20" s="66" t="s">
        <v>127</v>
      </c>
      <c r="C20" s="30">
        <v>2050</v>
      </c>
      <c r="D20" s="1">
        <v>1</v>
      </c>
      <c r="E20" s="1">
        <v>0</v>
      </c>
      <c r="F20" s="30">
        <v>0</v>
      </c>
      <c r="G20" s="30"/>
      <c r="H20" s="30"/>
      <c r="I20" s="30"/>
      <c r="J20" s="30"/>
      <c r="K20" s="30"/>
      <c r="L20" s="30"/>
      <c r="M20" s="30"/>
      <c r="N20">
        <v>0.9</v>
      </c>
      <c r="O20">
        <v>1</v>
      </c>
      <c r="P20">
        <v>1.1000000000000001</v>
      </c>
      <c r="Q20">
        <v>9</v>
      </c>
      <c r="R20">
        <v>10</v>
      </c>
      <c r="S20">
        <v>11</v>
      </c>
      <c r="T20" s="19">
        <f>$U18*Tabelle589711143136[[#This Row],[Stromverbrauch in TWh MIN]]/$R18</f>
        <v>1261.3875262789068</v>
      </c>
      <c r="U20" s="19">
        <f>$U18*Tabelle589711143136[[#This Row],[Stromverbrauch in TWh REF]]/$R18</f>
        <v>1401.5416958654519</v>
      </c>
      <c r="V20" s="19">
        <f>$U18*Tabelle589711143136[[#This Row],[Stromverbrauch in TWh MAX]]/$R18</f>
        <v>1541.6958654519972</v>
      </c>
      <c r="W20" s="19"/>
      <c r="X20" s="19"/>
      <c r="Y20" s="19"/>
      <c r="Z20" s="67"/>
      <c r="AA20" s="67">
        <f>IF(AND(Tabelle589711143136[[#This Row],[Lastverschiebung]]=1,Tabelle589711143136[[#This Row],[Potenzial pos. min MW]]&lt;&gt;""),Tabelle589711143136[[#This Row],[Potenzial pos. min MW]],"")</f>
        <v>1261.3875262789068</v>
      </c>
      <c r="AB20" s="67">
        <f>IF(AND(Tabelle589711143136[[#This Row],[Lastverschiebung]]=1,Tabelle589711143136[[#This Row],[Potenzial pos. MW Durchschnitt]]&lt;&gt;""),Tabelle589711143136[[#This Row],[Potenzial pos. MW Durchschnitt]],"")</f>
        <v>1401.5416958654519</v>
      </c>
      <c r="AC20" s="67">
        <f>IF(AND(Tabelle589711143136[[#This Row],[Lastverschiebung]]=1,Tabelle589711143136[[#This Row],[Potenzial pos. max MW]]&lt;&gt;""),Tabelle589711143136[[#This Row],[Potenzial pos. max MW]],"")</f>
        <v>1541.6958654519972</v>
      </c>
      <c r="AD20" s="67"/>
      <c r="AE20" s="64"/>
      <c r="AF20" s="69"/>
      <c r="AG20" s="73"/>
      <c r="AH20" s="69" t="str">
        <f>IF(Tabelle589711143136[[#This Row],[Vollbenutzungsstunden h/a]]&lt;&gt;"",Tabelle589711143136[[#This Row],[Vollbenutzungsstunden h/a]]/8760,"")</f>
        <v/>
      </c>
      <c r="AI20" s="68"/>
      <c r="AJ20" s="67"/>
      <c r="AK20" s="66">
        <v>1</v>
      </c>
      <c r="AL20" s="66"/>
      <c r="AM20" s="66"/>
      <c r="AN20" s="66">
        <v>1</v>
      </c>
      <c r="AO20" s="1"/>
      <c r="AP20" s="66">
        <f>8*7</f>
        <v>56</v>
      </c>
      <c r="AQ20" s="66"/>
      <c r="AR20" s="66"/>
      <c r="AS20" s="19"/>
      <c r="AT20" s="19"/>
      <c r="AU20" s="70"/>
      <c r="AV20" s="70"/>
      <c r="AW20" s="70"/>
      <c r="AX20" s="70"/>
      <c r="AY20" s="70"/>
      <c r="AZ20" s="70"/>
      <c r="BA20" s="1">
        <v>0</v>
      </c>
      <c r="BB20" s="66"/>
      <c r="BC20" s="1" t="s">
        <v>903</v>
      </c>
      <c r="BD20" s="66"/>
      <c r="BE20" s="66"/>
      <c r="BF20" s="66"/>
      <c r="BG20" s="66"/>
      <c r="BH20" s="66">
        <v>203</v>
      </c>
      <c r="BI20" s="66">
        <v>203</v>
      </c>
      <c r="BJ20" s="66"/>
      <c r="BK20" s="35">
        <v>206</v>
      </c>
      <c r="BL20" s="71"/>
      <c r="BM20" s="71"/>
      <c r="BN20" s="71"/>
      <c r="BO20" s="71"/>
      <c r="BP20" s="30"/>
      <c r="BQ20" s="30"/>
      <c r="BR20" s="30"/>
      <c r="BS20" s="30"/>
      <c r="BT20" s="30"/>
      <c r="BU20" s="30"/>
      <c r="BV20" s="30"/>
      <c r="BW20" s="30">
        <v>117</v>
      </c>
      <c r="BX20" s="66"/>
    </row>
    <row r="21" spans="1:76" x14ac:dyDescent="0.35">
      <c r="A21" s="66" t="s">
        <v>135</v>
      </c>
      <c r="B21" s="66" t="s">
        <v>139</v>
      </c>
      <c r="C21" s="30">
        <v>2013</v>
      </c>
      <c r="D21" s="1">
        <v>1</v>
      </c>
      <c r="E21" s="1">
        <v>0</v>
      </c>
      <c r="F21" s="30">
        <v>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>
        <v>18.89</v>
      </c>
      <c r="S21" s="30"/>
      <c r="T21" s="19"/>
      <c r="U21" s="19">
        <v>3400</v>
      </c>
      <c r="V21" s="19"/>
      <c r="W21" s="19"/>
      <c r="X21" s="19"/>
      <c r="Y21" s="19"/>
      <c r="Z21" s="67">
        <f>Tabelle589711143136[[#This Row],[Stromverbrauch in TWh REF]]/Tabelle589711143136[[#This Row],[Vollbenutzungsstunden h/a]]*10^6</f>
        <v>12187.096774193549</v>
      </c>
      <c r="AA21" s="67" t="str">
        <f>IF(AND(Tabelle589711143136[[#This Row],[Lastverschiebung]]=1,Tabelle589711143136[[#This Row],[Potenzial pos. min MW]]&lt;&gt;""),Tabelle589711143136[[#This Row],[Potenzial pos. min MW]],"")</f>
        <v/>
      </c>
      <c r="AB21" s="67">
        <f>IF(AND(Tabelle589711143136[[#This Row],[Lastverschiebung]]=1,Tabelle589711143136[[#This Row],[Potenzial pos. MW Durchschnitt]]&lt;&gt;""),Tabelle589711143136[[#This Row],[Potenzial pos. MW Durchschnitt]],"")</f>
        <v>3400</v>
      </c>
      <c r="AC21" s="67" t="str">
        <f>IF(AND(Tabelle589711143136[[#This Row],[Lastverschiebung]]=1,Tabelle589711143136[[#This Row],[Potenzial pos. max MW]]&lt;&gt;""),Tabelle589711143136[[#This Row],[Potenzial pos. max MW]],"")</f>
        <v/>
      </c>
      <c r="AD21" s="67"/>
      <c r="AE21" s="64"/>
      <c r="AF21" s="69">
        <v>0.25</v>
      </c>
      <c r="AG21" s="73">
        <v>1550</v>
      </c>
      <c r="AH21" s="69">
        <f>IF(Tabelle589711143136[[#This Row],[Vollbenutzungsstunden h/a]]&lt;&gt;"",Tabelle589711143136[[#This Row],[Vollbenutzungsstunden h/a]]/8760,"")</f>
        <v>0.1769406392694064</v>
      </c>
      <c r="AI21" s="68"/>
      <c r="AJ21" s="67"/>
      <c r="AK21" s="66">
        <v>12</v>
      </c>
      <c r="AL21" s="66"/>
      <c r="AM21" s="66">
        <v>12</v>
      </c>
      <c r="AN21" s="66">
        <v>12</v>
      </c>
      <c r="AO21" s="1" t="s">
        <v>880</v>
      </c>
      <c r="AP21" s="66">
        <f t="shared" ref="AP21:AP26" si="0">12*7</f>
        <v>84</v>
      </c>
      <c r="AQ21" s="66"/>
      <c r="AR21" s="66"/>
      <c r="AS21" s="19">
        <v>40</v>
      </c>
      <c r="AT21" s="19">
        <v>1200</v>
      </c>
      <c r="AU21" s="70"/>
      <c r="AV21" s="70"/>
      <c r="AW21" s="70"/>
      <c r="AX21" s="70"/>
      <c r="AY21" s="70">
        <v>25</v>
      </c>
      <c r="AZ21" s="70">
        <v>90</v>
      </c>
      <c r="BA21" s="1">
        <v>0</v>
      </c>
      <c r="BB21" s="1" t="s">
        <v>905</v>
      </c>
      <c r="BC21" s="1" t="s">
        <v>903</v>
      </c>
      <c r="BD21" s="66">
        <v>23</v>
      </c>
      <c r="BE21" s="66">
        <v>23</v>
      </c>
      <c r="BF21" s="66"/>
      <c r="BG21" s="66"/>
      <c r="BH21" s="66"/>
      <c r="BI21" s="1" t="s">
        <v>888</v>
      </c>
      <c r="BJ21" s="66">
        <v>197</v>
      </c>
      <c r="BK21" s="35">
        <v>206</v>
      </c>
      <c r="BL21" s="1" t="s">
        <v>888</v>
      </c>
      <c r="BM21" s="1" t="s">
        <v>888</v>
      </c>
      <c r="BN21" s="71"/>
      <c r="BO21" s="71"/>
      <c r="BP21" s="30">
        <v>23</v>
      </c>
      <c r="BQ21" s="30">
        <v>23</v>
      </c>
      <c r="BR21" s="30">
        <v>23</v>
      </c>
      <c r="BS21" s="30">
        <v>23</v>
      </c>
      <c r="BT21" s="30">
        <v>30</v>
      </c>
      <c r="BU21" s="30">
        <v>30</v>
      </c>
      <c r="BV21" s="30">
        <v>30</v>
      </c>
      <c r="BW21" s="30">
        <v>117</v>
      </c>
      <c r="BX21" s="66">
        <v>204</v>
      </c>
    </row>
    <row r="22" spans="1:76" x14ac:dyDescent="0.35">
      <c r="A22" s="66" t="s">
        <v>135</v>
      </c>
      <c r="B22" s="66" t="s">
        <v>139</v>
      </c>
      <c r="C22" s="30">
        <v>2030</v>
      </c>
      <c r="D22" s="1">
        <v>1</v>
      </c>
      <c r="E22" s="1">
        <v>0</v>
      </c>
      <c r="F22" s="30">
        <v>0</v>
      </c>
      <c r="G22" s="30"/>
      <c r="H22" s="30"/>
      <c r="I22" s="30"/>
      <c r="J22" s="30"/>
      <c r="K22" s="30"/>
      <c r="L22" s="30"/>
      <c r="M22" s="30"/>
      <c r="N22">
        <v>0.75</v>
      </c>
      <c r="O22">
        <v>1</v>
      </c>
      <c r="P22">
        <v>0.8</v>
      </c>
      <c r="Q22">
        <v>14.17</v>
      </c>
      <c r="R22">
        <v>18.89</v>
      </c>
      <c r="S22">
        <v>16.62</v>
      </c>
      <c r="T22" s="19">
        <f>$U21*Tabelle589711143136[[#This Row],[Stromverbrauch in TWh MIN]]/$R21</f>
        <v>2550.4499735309687</v>
      </c>
      <c r="U22" s="19">
        <f>$U21*Tabelle589711143136[[#This Row],[Stromverbrauch in TWh REF]]/$R21</f>
        <v>3400</v>
      </c>
      <c r="V22" s="19">
        <f>$U21*Tabelle589711143136[[#This Row],[Stromverbrauch in TWh MAX]]/$R21</f>
        <v>2991.4240338803597</v>
      </c>
      <c r="W22" s="19"/>
      <c r="X22" s="19"/>
      <c r="Y22" s="19"/>
      <c r="Z22" s="67"/>
      <c r="AA22" s="67">
        <f>IF(AND(Tabelle589711143136[[#This Row],[Lastverschiebung]]=1,Tabelle589711143136[[#This Row],[Potenzial pos. min MW]]&lt;&gt;""),Tabelle589711143136[[#This Row],[Potenzial pos. min MW]],"")</f>
        <v>2550.4499735309687</v>
      </c>
      <c r="AB22" s="67">
        <f>IF(AND(Tabelle589711143136[[#This Row],[Lastverschiebung]]=1,Tabelle589711143136[[#This Row],[Potenzial pos. MW Durchschnitt]]&lt;&gt;""),Tabelle589711143136[[#This Row],[Potenzial pos. MW Durchschnitt]],"")</f>
        <v>3400</v>
      </c>
      <c r="AC22" s="67">
        <f>IF(AND(Tabelle589711143136[[#This Row],[Lastverschiebung]]=1,Tabelle589711143136[[#This Row],[Potenzial pos. max MW]]&lt;&gt;""),Tabelle589711143136[[#This Row],[Potenzial pos. max MW]],"")</f>
        <v>2991.4240338803597</v>
      </c>
      <c r="AD22" s="67"/>
      <c r="AE22" s="64"/>
      <c r="AF22" s="69"/>
      <c r="AG22" s="73"/>
      <c r="AH22" s="69" t="str">
        <f>IF(Tabelle589711143136[[#This Row],[Vollbenutzungsstunden h/a]]&lt;&gt;"",Tabelle589711143136[[#This Row],[Vollbenutzungsstunden h/a]]/8760,"")</f>
        <v/>
      </c>
      <c r="AI22" s="68"/>
      <c r="AJ22" s="67"/>
      <c r="AK22" s="66">
        <v>12</v>
      </c>
      <c r="AL22" s="66"/>
      <c r="AM22" s="66"/>
      <c r="AN22" s="66">
        <v>12</v>
      </c>
      <c r="AO22" s="1"/>
      <c r="AP22" s="66">
        <f t="shared" si="0"/>
        <v>84</v>
      </c>
      <c r="AQ22" s="66"/>
      <c r="AR22" s="66"/>
      <c r="AS22" s="19"/>
      <c r="AT22" s="19"/>
      <c r="AU22" s="70"/>
      <c r="AV22" s="70"/>
      <c r="AW22" s="70"/>
      <c r="AX22" s="70"/>
      <c r="AY22" s="70"/>
      <c r="AZ22" s="70"/>
      <c r="BA22" s="1">
        <v>0</v>
      </c>
      <c r="BB22" s="1" t="s">
        <v>905</v>
      </c>
      <c r="BC22" s="1" t="s">
        <v>903</v>
      </c>
      <c r="BD22" s="66"/>
      <c r="BE22" s="66"/>
      <c r="BF22" s="66"/>
      <c r="BG22" s="66"/>
      <c r="BH22" s="66">
        <v>203</v>
      </c>
      <c r="BI22" s="66">
        <v>203</v>
      </c>
      <c r="BJ22" s="66"/>
      <c r="BK22" s="35">
        <v>206</v>
      </c>
      <c r="BL22" s="1"/>
      <c r="BM22" s="1"/>
      <c r="BN22" s="71"/>
      <c r="BO22" s="71"/>
      <c r="BP22" s="30"/>
      <c r="BQ22" s="30"/>
      <c r="BR22" s="30"/>
      <c r="BS22" s="30"/>
      <c r="BT22" s="30"/>
      <c r="BU22" s="30"/>
      <c r="BV22" s="30"/>
      <c r="BW22" s="30">
        <v>117</v>
      </c>
      <c r="BX22" s="66">
        <v>204</v>
      </c>
    </row>
    <row r="23" spans="1:76" x14ac:dyDescent="0.35">
      <c r="A23" s="66" t="s">
        <v>135</v>
      </c>
      <c r="B23" s="66" t="s">
        <v>139</v>
      </c>
      <c r="C23" s="30">
        <v>2050</v>
      </c>
      <c r="D23" s="1">
        <v>1</v>
      </c>
      <c r="E23" s="1">
        <v>0</v>
      </c>
      <c r="F23" s="30">
        <v>0</v>
      </c>
      <c r="G23" s="30"/>
      <c r="H23" s="30"/>
      <c r="I23" s="30"/>
      <c r="J23" s="30"/>
      <c r="K23" s="30"/>
      <c r="L23" s="30"/>
      <c r="M23" s="30"/>
      <c r="N23">
        <v>0.5</v>
      </c>
      <c r="O23">
        <v>1</v>
      </c>
      <c r="P23">
        <v>0.75</v>
      </c>
      <c r="Q23">
        <v>9.44</v>
      </c>
      <c r="R23">
        <v>18.89</v>
      </c>
      <c r="S23">
        <v>14.17</v>
      </c>
      <c r="T23" s="19">
        <f>$U21*Tabelle589711143136[[#This Row],[Stromverbrauch in TWh MIN]]/$R21</f>
        <v>1699.1000529380624</v>
      </c>
      <c r="U23" s="19">
        <f>$U21*Tabelle589711143136[[#This Row],[Stromverbrauch in TWh REF]]/$R21</f>
        <v>3400</v>
      </c>
      <c r="V23" s="19">
        <f>$U21*Tabelle589711143136[[#This Row],[Stromverbrauch in TWh MAX]]/$R21</f>
        <v>2550.4499735309687</v>
      </c>
      <c r="W23" s="19"/>
      <c r="X23" s="19"/>
      <c r="Y23" s="19"/>
      <c r="Z23" s="67"/>
      <c r="AA23" s="67">
        <f>IF(AND(Tabelle589711143136[[#This Row],[Lastverschiebung]]=1,Tabelle589711143136[[#This Row],[Potenzial pos. min MW]]&lt;&gt;""),Tabelle589711143136[[#This Row],[Potenzial pos. min MW]],"")</f>
        <v>1699.1000529380624</v>
      </c>
      <c r="AB23" s="67">
        <f>IF(AND(Tabelle589711143136[[#This Row],[Lastverschiebung]]=1,Tabelle589711143136[[#This Row],[Potenzial pos. MW Durchschnitt]]&lt;&gt;""),Tabelle589711143136[[#This Row],[Potenzial pos. MW Durchschnitt]],"")</f>
        <v>3400</v>
      </c>
      <c r="AC23" s="67">
        <f>IF(AND(Tabelle589711143136[[#This Row],[Lastverschiebung]]=1,Tabelle589711143136[[#This Row],[Potenzial pos. max MW]]&lt;&gt;""),Tabelle589711143136[[#This Row],[Potenzial pos. max MW]],"")</f>
        <v>2550.4499735309687</v>
      </c>
      <c r="AD23" s="67"/>
      <c r="AE23" s="64"/>
      <c r="AF23" s="69"/>
      <c r="AG23" s="73"/>
      <c r="AH23" s="69" t="str">
        <f>IF(Tabelle589711143136[[#This Row],[Vollbenutzungsstunden h/a]]&lt;&gt;"",Tabelle589711143136[[#This Row],[Vollbenutzungsstunden h/a]]/8760,"")</f>
        <v/>
      </c>
      <c r="AI23" s="68"/>
      <c r="AJ23" s="67"/>
      <c r="AK23" s="66">
        <v>12</v>
      </c>
      <c r="AL23" s="66"/>
      <c r="AM23" s="66"/>
      <c r="AN23" s="66">
        <v>12</v>
      </c>
      <c r="AO23" s="1"/>
      <c r="AP23" s="66">
        <f t="shared" si="0"/>
        <v>84</v>
      </c>
      <c r="AQ23" s="66"/>
      <c r="AR23" s="66"/>
      <c r="AS23" s="19"/>
      <c r="AT23" s="19"/>
      <c r="AU23" s="70"/>
      <c r="AV23" s="70"/>
      <c r="AW23" s="70"/>
      <c r="AX23" s="70"/>
      <c r="AY23" s="70"/>
      <c r="AZ23" s="70"/>
      <c r="BA23" s="1">
        <v>0</v>
      </c>
      <c r="BB23" s="1" t="s">
        <v>905</v>
      </c>
      <c r="BC23" s="1" t="s">
        <v>903</v>
      </c>
      <c r="BD23" s="66"/>
      <c r="BE23" s="66"/>
      <c r="BF23" s="66"/>
      <c r="BG23" s="66"/>
      <c r="BH23" s="66">
        <v>203</v>
      </c>
      <c r="BI23" s="66">
        <v>203</v>
      </c>
      <c r="BJ23" s="66"/>
      <c r="BK23" s="35">
        <v>206</v>
      </c>
      <c r="BL23" s="1"/>
      <c r="BM23" s="1"/>
      <c r="BN23" s="71"/>
      <c r="BO23" s="71"/>
      <c r="BP23" s="30"/>
      <c r="BQ23" s="30"/>
      <c r="BR23" s="30"/>
      <c r="BS23" s="30"/>
      <c r="BT23" s="30"/>
      <c r="BU23" s="30"/>
      <c r="BV23" s="30"/>
      <c r="BW23" s="30">
        <v>117</v>
      </c>
      <c r="BX23" s="66">
        <v>204</v>
      </c>
    </row>
    <row r="24" spans="1:76" x14ac:dyDescent="0.35">
      <c r="A24" s="66" t="s">
        <v>137</v>
      </c>
      <c r="B24" s="66" t="s">
        <v>876</v>
      </c>
      <c r="C24" s="30">
        <v>2013</v>
      </c>
      <c r="D24" s="1">
        <v>1</v>
      </c>
      <c r="E24" s="1">
        <v>0</v>
      </c>
      <c r="F24" s="30">
        <v>0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>
        <v>13.2</v>
      </c>
      <c r="S24" s="30"/>
      <c r="T24" s="19"/>
      <c r="U24" s="19">
        <v>11000</v>
      </c>
      <c r="V24" s="19"/>
      <c r="W24" s="19"/>
      <c r="X24" s="19"/>
      <c r="Y24" s="19"/>
      <c r="Z24" s="67">
        <f>Tabelle589711143136[[#This Row],[Stromverbrauch in TWh REF]]/Tabelle589711143136[[#This Row],[Vollbenutzungsstunden h/a]]*10^6</f>
        <v>11000</v>
      </c>
      <c r="AA24" s="67" t="str">
        <f>IF(AND(Tabelle589711143136[[#This Row],[Lastverschiebung]]=1,Tabelle589711143136[[#This Row],[Potenzial pos. min MW]]&lt;&gt;""),Tabelle589711143136[[#This Row],[Potenzial pos. min MW]],"")</f>
        <v/>
      </c>
      <c r="AB24" s="67">
        <f>IF(AND(Tabelle589711143136[[#This Row],[Lastverschiebung]]=1,Tabelle589711143136[[#This Row],[Potenzial pos. MW Durchschnitt]]&lt;&gt;""),Tabelle589711143136[[#This Row],[Potenzial pos. MW Durchschnitt]],"")</f>
        <v>11000</v>
      </c>
      <c r="AC24" s="67" t="str">
        <f>IF(AND(Tabelle589711143136[[#This Row],[Lastverschiebung]]=1,Tabelle589711143136[[#This Row],[Potenzial pos. max MW]]&lt;&gt;""),Tabelle589711143136[[#This Row],[Potenzial pos. max MW]],"")</f>
        <v/>
      </c>
      <c r="AD24" s="67"/>
      <c r="AE24" s="64">
        <f>1-Tabelle589711143136[[#This Row],[flexibilisierbarer Anteil]]</f>
        <v>0</v>
      </c>
      <c r="AF24" s="69">
        <v>1</v>
      </c>
      <c r="AG24" s="73">
        <v>1200</v>
      </c>
      <c r="AH24" s="69">
        <f>IF(Tabelle589711143136[[#This Row],[Vollbenutzungsstunden h/a]]&lt;&gt;"",Tabelle589711143136[[#This Row],[Vollbenutzungsstunden h/a]]/8760,"")</f>
        <v>0.13698630136986301</v>
      </c>
      <c r="AI24" s="68"/>
      <c r="AJ24" s="67"/>
      <c r="AK24" s="66">
        <v>12</v>
      </c>
      <c r="AL24" s="66"/>
      <c r="AM24" s="66">
        <v>12</v>
      </c>
      <c r="AN24" s="66">
        <v>12</v>
      </c>
      <c r="AO24" s="1" t="s">
        <v>882</v>
      </c>
      <c r="AP24" s="66">
        <f t="shared" si="0"/>
        <v>84</v>
      </c>
      <c r="AQ24" s="66"/>
      <c r="AR24" s="66"/>
      <c r="AS24" s="19">
        <v>40</v>
      </c>
      <c r="AT24" s="19">
        <v>1200</v>
      </c>
      <c r="AU24" s="70"/>
      <c r="AV24" s="70"/>
      <c r="AW24" s="70"/>
      <c r="AX24" s="70"/>
      <c r="AY24" s="70">
        <v>25</v>
      </c>
      <c r="AZ24" s="70">
        <v>90</v>
      </c>
      <c r="BA24" s="1">
        <v>0</v>
      </c>
      <c r="BB24" s="1" t="s">
        <v>907</v>
      </c>
      <c r="BC24" s="1" t="s">
        <v>903</v>
      </c>
      <c r="BD24" s="66">
        <v>23</v>
      </c>
      <c r="BE24" s="66">
        <v>23</v>
      </c>
      <c r="BF24" s="66"/>
      <c r="BG24" s="66"/>
      <c r="BH24" s="66"/>
      <c r="BI24" s="1" t="s">
        <v>889</v>
      </c>
      <c r="BJ24" s="66">
        <v>197</v>
      </c>
      <c r="BK24" s="35">
        <v>206</v>
      </c>
      <c r="BL24" s="71">
        <v>197</v>
      </c>
      <c r="BM24" s="71">
        <v>197</v>
      </c>
      <c r="BN24" s="71"/>
      <c r="BO24" s="71"/>
      <c r="BP24" s="30">
        <v>23</v>
      </c>
      <c r="BQ24" s="30">
        <v>23</v>
      </c>
      <c r="BR24" s="30">
        <v>23</v>
      </c>
      <c r="BS24" s="30">
        <v>23</v>
      </c>
      <c r="BT24" s="30">
        <v>30</v>
      </c>
      <c r="BU24" s="30">
        <v>30</v>
      </c>
      <c r="BV24" s="30">
        <v>30</v>
      </c>
      <c r="BW24" s="30">
        <v>117</v>
      </c>
      <c r="BX24" s="66">
        <v>66</v>
      </c>
    </row>
    <row r="25" spans="1:76" x14ac:dyDescent="0.35">
      <c r="A25" s="66" t="s">
        <v>137</v>
      </c>
      <c r="B25" s="66" t="s">
        <v>876</v>
      </c>
      <c r="C25" s="30">
        <v>2030</v>
      </c>
      <c r="D25" s="1">
        <v>1</v>
      </c>
      <c r="E25" s="1">
        <v>0</v>
      </c>
      <c r="F25" s="30">
        <v>0</v>
      </c>
      <c r="G25" s="30"/>
      <c r="H25" s="30"/>
      <c r="I25" s="30"/>
      <c r="J25" s="30"/>
      <c r="K25">
        <v>0</v>
      </c>
      <c r="L25">
        <v>206</v>
      </c>
      <c r="M25">
        <v>286</v>
      </c>
      <c r="N25" s="30"/>
      <c r="O25" s="30"/>
      <c r="P25" s="30"/>
      <c r="Q25">
        <v>0</v>
      </c>
      <c r="R25">
        <v>4.4000000000000004</v>
      </c>
      <c r="S25">
        <v>6.09</v>
      </c>
      <c r="T25" s="19">
        <f>$U24*Tabelle589711143136[[#This Row],[Stromverbrauch in TWh MIN]]/$R24</f>
        <v>0</v>
      </c>
      <c r="U25" s="19">
        <f>$U24*Tabelle589711143136[[#This Row],[Stromverbrauch in TWh REF]]/$R24</f>
        <v>3666.6666666666674</v>
      </c>
      <c r="V25" s="19">
        <f>$U24*Tabelle589711143136[[#This Row],[Stromverbrauch in TWh MAX]]/$R24</f>
        <v>5075</v>
      </c>
      <c r="W25" s="19"/>
      <c r="X25" s="19"/>
      <c r="Y25" s="19"/>
      <c r="Z25" s="67"/>
      <c r="AA25" s="67">
        <f>IF(AND(Tabelle589711143136[[#This Row],[Lastverschiebung]]=1,Tabelle589711143136[[#This Row],[Potenzial pos. min MW]]&lt;&gt;""),Tabelle589711143136[[#This Row],[Potenzial pos. min MW]],"")</f>
        <v>0</v>
      </c>
      <c r="AB25" s="67">
        <f>IF(AND(Tabelle589711143136[[#This Row],[Lastverschiebung]]=1,Tabelle589711143136[[#This Row],[Potenzial pos. MW Durchschnitt]]&lt;&gt;""),Tabelle589711143136[[#This Row],[Potenzial pos. MW Durchschnitt]],"")</f>
        <v>3666.6666666666674</v>
      </c>
      <c r="AC25" s="67">
        <f>IF(AND(Tabelle589711143136[[#This Row],[Lastverschiebung]]=1,Tabelle589711143136[[#This Row],[Potenzial pos. max MW]]&lt;&gt;""),Tabelle589711143136[[#This Row],[Potenzial pos. max MW]],"")</f>
        <v>5075</v>
      </c>
      <c r="AD25" s="67"/>
      <c r="AE25" s="64"/>
      <c r="AF25" s="69"/>
      <c r="AG25" s="73"/>
      <c r="AH25" s="69" t="str">
        <f>IF(Tabelle589711143136[[#This Row],[Vollbenutzungsstunden h/a]]&lt;&gt;"",Tabelle589711143136[[#This Row],[Vollbenutzungsstunden h/a]]/8760,"")</f>
        <v/>
      </c>
      <c r="AI25" s="68"/>
      <c r="AJ25" s="67"/>
      <c r="AK25" s="66">
        <v>12</v>
      </c>
      <c r="AL25" s="66"/>
      <c r="AM25" s="66"/>
      <c r="AN25" s="66">
        <v>12</v>
      </c>
      <c r="AO25" s="1"/>
      <c r="AP25" s="66">
        <f t="shared" si="0"/>
        <v>84</v>
      </c>
      <c r="AQ25" s="66"/>
      <c r="AR25" s="66"/>
      <c r="AS25" s="19"/>
      <c r="AT25" s="19"/>
      <c r="AU25" s="70"/>
      <c r="AV25" s="70"/>
      <c r="AW25" s="70"/>
      <c r="AX25" s="70"/>
      <c r="AY25" s="70"/>
      <c r="AZ25" s="70"/>
      <c r="BA25" s="1">
        <v>0</v>
      </c>
      <c r="BB25" s="66"/>
      <c r="BC25" s="1" t="s">
        <v>903</v>
      </c>
      <c r="BD25" s="66"/>
      <c r="BE25" s="66"/>
      <c r="BF25" s="66"/>
      <c r="BG25" s="66">
        <v>203</v>
      </c>
      <c r="BH25" s="66"/>
      <c r="BI25" s="66">
        <v>203</v>
      </c>
      <c r="BJ25" s="66"/>
      <c r="BK25" s="35">
        <v>206</v>
      </c>
      <c r="BL25" s="71"/>
      <c r="BM25" s="71"/>
      <c r="BN25" s="71"/>
      <c r="BO25" s="71"/>
      <c r="BP25" s="30"/>
      <c r="BQ25" s="30"/>
      <c r="BR25" s="30"/>
      <c r="BS25" s="30"/>
      <c r="BT25" s="30"/>
      <c r="BU25" s="30"/>
      <c r="BV25" s="30"/>
      <c r="BW25" s="30">
        <v>117</v>
      </c>
      <c r="BX25" s="66"/>
    </row>
    <row r="26" spans="1:76" x14ac:dyDescent="0.35">
      <c r="A26" s="66" t="s">
        <v>137</v>
      </c>
      <c r="B26" s="66" t="s">
        <v>876</v>
      </c>
      <c r="C26" s="30">
        <v>2050</v>
      </c>
      <c r="D26" s="1">
        <v>1</v>
      </c>
      <c r="E26" s="1">
        <v>0</v>
      </c>
      <c r="F26" s="30">
        <v>0</v>
      </c>
      <c r="G26" s="30"/>
      <c r="H26" s="30"/>
      <c r="I26" s="30"/>
      <c r="J26" s="30"/>
      <c r="K26">
        <v>0</v>
      </c>
      <c r="L26">
        <v>0</v>
      </c>
      <c r="M26">
        <v>0</v>
      </c>
      <c r="N26" s="30"/>
      <c r="O26" s="30"/>
      <c r="P26" s="30"/>
      <c r="Q26">
        <v>0</v>
      </c>
      <c r="R26">
        <v>0</v>
      </c>
      <c r="S26">
        <v>0</v>
      </c>
      <c r="T26" s="19">
        <f>$U24*Tabelle589711143136[[#This Row],[Stromverbrauch in TWh MIN]]/$R24</f>
        <v>0</v>
      </c>
      <c r="U26" s="19">
        <f>$U24*Tabelle589711143136[[#This Row],[Stromverbrauch in TWh REF]]/$R24</f>
        <v>0</v>
      </c>
      <c r="V26" s="19">
        <f>$U24*Tabelle589711143136[[#This Row],[Stromverbrauch in TWh MAX]]/$R24</f>
        <v>0</v>
      </c>
      <c r="W26" s="19"/>
      <c r="X26" s="19"/>
      <c r="Y26" s="19"/>
      <c r="Z26" s="67"/>
      <c r="AA26" s="67">
        <f>IF(AND(Tabelle589711143136[[#This Row],[Lastverschiebung]]=1,Tabelle589711143136[[#This Row],[Potenzial pos. min MW]]&lt;&gt;""),Tabelle589711143136[[#This Row],[Potenzial pos. min MW]],"")</f>
        <v>0</v>
      </c>
      <c r="AB26" s="67">
        <f>IF(AND(Tabelle589711143136[[#This Row],[Lastverschiebung]]=1,Tabelle589711143136[[#This Row],[Potenzial pos. MW Durchschnitt]]&lt;&gt;""),Tabelle589711143136[[#This Row],[Potenzial pos. MW Durchschnitt]],"")</f>
        <v>0</v>
      </c>
      <c r="AC26" s="67">
        <f>IF(AND(Tabelle589711143136[[#This Row],[Lastverschiebung]]=1,Tabelle589711143136[[#This Row],[Potenzial pos. max MW]]&lt;&gt;""),Tabelle589711143136[[#This Row],[Potenzial pos. max MW]],"")</f>
        <v>0</v>
      </c>
      <c r="AD26" s="67"/>
      <c r="AE26" s="64"/>
      <c r="AF26" s="69"/>
      <c r="AG26" s="73"/>
      <c r="AH26" s="69" t="str">
        <f>IF(Tabelle589711143136[[#This Row],[Vollbenutzungsstunden h/a]]&lt;&gt;"",Tabelle589711143136[[#This Row],[Vollbenutzungsstunden h/a]]/8760,"")</f>
        <v/>
      </c>
      <c r="AI26" s="68"/>
      <c r="AJ26" s="67"/>
      <c r="AK26" s="66">
        <v>12</v>
      </c>
      <c r="AL26" s="66"/>
      <c r="AM26" s="66"/>
      <c r="AN26" s="66">
        <v>12</v>
      </c>
      <c r="AO26" s="1"/>
      <c r="AP26" s="66">
        <f t="shared" si="0"/>
        <v>84</v>
      </c>
      <c r="AQ26" s="66"/>
      <c r="AR26" s="66"/>
      <c r="AS26" s="19"/>
      <c r="AT26" s="19"/>
      <c r="AU26" s="70"/>
      <c r="AV26" s="70"/>
      <c r="AW26" s="70"/>
      <c r="AX26" s="70"/>
      <c r="AY26" s="70"/>
      <c r="AZ26" s="70"/>
      <c r="BA26" s="1">
        <v>0</v>
      </c>
      <c r="BB26" s="66"/>
      <c r="BC26" s="1" t="s">
        <v>903</v>
      </c>
      <c r="BD26" s="66"/>
      <c r="BE26" s="66"/>
      <c r="BF26" s="66"/>
      <c r="BG26" s="66">
        <v>203</v>
      </c>
      <c r="BH26" s="66"/>
      <c r="BI26" s="66">
        <v>203</v>
      </c>
      <c r="BJ26" s="66"/>
      <c r="BK26" s="35">
        <v>206</v>
      </c>
      <c r="BL26" s="71"/>
      <c r="BM26" s="71"/>
      <c r="BN26" s="71"/>
      <c r="BO26" s="71"/>
      <c r="BP26" s="30"/>
      <c r="BQ26" s="30"/>
      <c r="BR26" s="30"/>
      <c r="BS26" s="30"/>
      <c r="BT26" s="30"/>
      <c r="BU26" s="30"/>
      <c r="BV26" s="30"/>
      <c r="BW26" s="30">
        <v>117</v>
      </c>
      <c r="BX26" s="66"/>
    </row>
    <row r="27" spans="1:76" x14ac:dyDescent="0.35">
      <c r="A27" s="66" t="s">
        <v>208</v>
      </c>
      <c r="B27" s="66" t="s">
        <v>127</v>
      </c>
      <c r="C27" s="30">
        <v>2013</v>
      </c>
      <c r="D27" s="1">
        <v>1</v>
      </c>
      <c r="E27" s="1">
        <v>0</v>
      </c>
      <c r="F27" s="30">
        <v>0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>
        <v>7.577</v>
      </c>
      <c r="S27" s="30"/>
      <c r="T27" s="19"/>
      <c r="U27" s="19">
        <v>870</v>
      </c>
      <c r="V27" s="19"/>
      <c r="W27" s="19"/>
      <c r="X27" s="19"/>
      <c r="Y27" s="19"/>
      <c r="Z27" s="67">
        <f>Tabelle589711143136[[#This Row],[Stromverbrauch in TWh REF]]/Tabelle589711143136[[#This Row],[Vollbenutzungsstunden h/a]]*10^6</f>
        <v>1722.0454545454545</v>
      </c>
      <c r="AA27" s="67" t="str">
        <f>IF(AND(Tabelle589711143136[[#This Row],[Lastverschiebung]]=1,Tabelle589711143136[[#This Row],[Potenzial pos. min MW]]&lt;&gt;""),Tabelle589711143136[[#This Row],[Potenzial pos. min MW]],"")</f>
        <v/>
      </c>
      <c r="AB27" s="67">
        <f>IF(AND(Tabelle589711143136[[#This Row],[Lastverschiebung]]=1,Tabelle589711143136[[#This Row],[Potenzial pos. MW Durchschnitt]]&lt;&gt;""),Tabelle589711143136[[#This Row],[Potenzial pos. MW Durchschnitt]],"")</f>
        <v>870</v>
      </c>
      <c r="AC27" s="67" t="str">
        <f>IF(AND(Tabelle589711143136[[#This Row],[Lastverschiebung]]=1,Tabelle589711143136[[#This Row],[Potenzial pos. max MW]]&lt;&gt;""),Tabelle589711143136[[#This Row],[Potenzial pos. max MW]],"")</f>
        <v/>
      </c>
      <c r="AD27" s="67"/>
      <c r="AE27" s="64"/>
      <c r="AF27" s="69">
        <v>0.5</v>
      </c>
      <c r="AG27" s="73">
        <v>4400</v>
      </c>
      <c r="AH27" s="69">
        <f>IF(Tabelle589711143136[[#This Row],[Vollbenutzungsstunden h/a]]&lt;&gt;"",Tabelle589711143136[[#This Row],[Vollbenutzungsstunden h/a]]/8760,"")</f>
        <v>0.50228310502283102</v>
      </c>
      <c r="AI27" s="68"/>
      <c r="AJ27" s="67"/>
      <c r="AK27" s="66">
        <v>1</v>
      </c>
      <c r="AL27" s="66"/>
      <c r="AM27" s="66">
        <v>1</v>
      </c>
      <c r="AN27" s="66">
        <v>1</v>
      </c>
      <c r="AO27" s="1" t="s">
        <v>882</v>
      </c>
      <c r="AP27" s="66">
        <f t="shared" ref="AP27:AP32" si="1">8*7</f>
        <v>56</v>
      </c>
      <c r="AQ27" s="66"/>
      <c r="AR27" s="66"/>
      <c r="AS27" s="19">
        <v>40</v>
      </c>
      <c r="AT27" s="19">
        <v>1200</v>
      </c>
      <c r="AU27" s="70"/>
      <c r="AV27" s="70"/>
      <c r="AW27" s="70"/>
      <c r="AX27" s="70"/>
      <c r="AY27" s="70">
        <v>25</v>
      </c>
      <c r="AZ27" s="70">
        <v>90</v>
      </c>
      <c r="BA27" s="1">
        <v>0</v>
      </c>
      <c r="BB27" s="66"/>
      <c r="BC27" s="1" t="s">
        <v>903</v>
      </c>
      <c r="BD27" s="66">
        <v>23</v>
      </c>
      <c r="BE27" s="66">
        <v>23</v>
      </c>
      <c r="BF27" s="66"/>
      <c r="BG27" s="66"/>
      <c r="BH27" s="66"/>
      <c r="BI27" s="1" t="s">
        <v>890</v>
      </c>
      <c r="BJ27" s="66">
        <v>197</v>
      </c>
      <c r="BK27" s="35">
        <v>206</v>
      </c>
      <c r="BL27" s="71">
        <v>197</v>
      </c>
      <c r="BM27" s="71">
        <v>197</v>
      </c>
      <c r="BN27" s="71"/>
      <c r="BO27" s="71"/>
      <c r="BP27" s="30">
        <v>23</v>
      </c>
      <c r="BQ27" s="30">
        <v>23</v>
      </c>
      <c r="BR27" s="30">
        <v>23</v>
      </c>
      <c r="BS27" s="30">
        <v>23</v>
      </c>
      <c r="BT27" s="30">
        <v>30</v>
      </c>
      <c r="BU27" s="30">
        <v>30</v>
      </c>
      <c r="BV27" s="30">
        <v>30</v>
      </c>
      <c r="BW27" s="30">
        <v>117</v>
      </c>
      <c r="BX27" s="66"/>
    </row>
    <row r="28" spans="1:76" x14ac:dyDescent="0.35">
      <c r="A28" s="66" t="s">
        <v>208</v>
      </c>
      <c r="B28" s="66" t="s">
        <v>127</v>
      </c>
      <c r="C28" s="30">
        <v>2030</v>
      </c>
      <c r="D28" s="1">
        <v>1</v>
      </c>
      <c r="E28" s="1">
        <v>0</v>
      </c>
      <c r="F28" s="30">
        <v>0</v>
      </c>
      <c r="G28" s="30"/>
      <c r="H28" s="30"/>
      <c r="I28" s="30"/>
      <c r="J28" s="30"/>
      <c r="K28" s="30"/>
      <c r="L28" s="30"/>
      <c r="M28" s="30"/>
      <c r="N28">
        <v>1</v>
      </c>
      <c r="O28">
        <v>1.05</v>
      </c>
      <c r="P28">
        <v>1.5</v>
      </c>
      <c r="Q28">
        <v>7.58</v>
      </c>
      <c r="R28">
        <v>7.96</v>
      </c>
      <c r="S28">
        <v>11.37</v>
      </c>
      <c r="T28" s="19">
        <f>$U27*Tabelle589711143136[[#This Row],[Stromverbrauch in TWh MIN]]/$R27</f>
        <v>870.34446350798476</v>
      </c>
      <c r="U28" s="19">
        <f>$U27*Tabelle589711143136[[#This Row],[Stromverbrauch in TWh REF]]/$R27</f>
        <v>913.97650785271219</v>
      </c>
      <c r="V28" s="19">
        <f>$U27*Tabelle589711143136[[#This Row],[Stromverbrauch in TWh MAX]]/$R27</f>
        <v>1305.516695261977</v>
      </c>
      <c r="W28" s="19"/>
      <c r="X28" s="19"/>
      <c r="Y28" s="19"/>
      <c r="Z28" s="67"/>
      <c r="AA28" s="67">
        <f>IF(AND(Tabelle589711143136[[#This Row],[Lastverschiebung]]=1,Tabelle589711143136[[#This Row],[Potenzial pos. min MW]]&lt;&gt;""),Tabelle589711143136[[#This Row],[Potenzial pos. min MW]],"")</f>
        <v>870.34446350798476</v>
      </c>
      <c r="AB28" s="67">
        <f>IF(AND(Tabelle589711143136[[#This Row],[Lastverschiebung]]=1,Tabelle589711143136[[#This Row],[Potenzial pos. MW Durchschnitt]]&lt;&gt;""),Tabelle589711143136[[#This Row],[Potenzial pos. MW Durchschnitt]],"")</f>
        <v>913.97650785271219</v>
      </c>
      <c r="AC28" s="67">
        <f>IF(AND(Tabelle589711143136[[#This Row],[Lastverschiebung]]=1,Tabelle589711143136[[#This Row],[Potenzial pos. max MW]]&lt;&gt;""),Tabelle589711143136[[#This Row],[Potenzial pos. max MW]],"")</f>
        <v>1305.516695261977</v>
      </c>
      <c r="AD28" s="67"/>
      <c r="AE28" s="64"/>
      <c r="AF28" s="69"/>
      <c r="AG28" s="73"/>
      <c r="AH28" s="69" t="str">
        <f>IF(Tabelle589711143136[[#This Row],[Vollbenutzungsstunden h/a]]&lt;&gt;"",Tabelle589711143136[[#This Row],[Vollbenutzungsstunden h/a]]/8760,"")</f>
        <v/>
      </c>
      <c r="AI28" s="68"/>
      <c r="AJ28" s="67"/>
      <c r="AK28" s="66">
        <v>1</v>
      </c>
      <c r="AL28" s="66"/>
      <c r="AM28" s="66"/>
      <c r="AN28" s="66">
        <v>1</v>
      </c>
      <c r="AO28" s="1"/>
      <c r="AP28" s="66">
        <f t="shared" si="1"/>
        <v>56</v>
      </c>
      <c r="AQ28" s="66"/>
      <c r="AR28" s="66"/>
      <c r="AS28" s="19"/>
      <c r="AT28" s="19"/>
      <c r="AU28" s="70"/>
      <c r="AV28" s="70"/>
      <c r="AW28" s="70"/>
      <c r="AX28" s="70"/>
      <c r="AY28" s="70"/>
      <c r="AZ28" s="70"/>
      <c r="BA28" s="1">
        <v>0</v>
      </c>
      <c r="BB28" s="66"/>
      <c r="BC28" s="1" t="s">
        <v>903</v>
      </c>
      <c r="BD28" s="66"/>
      <c r="BE28" s="66"/>
      <c r="BF28" s="66"/>
      <c r="BG28" s="66"/>
      <c r="BH28" s="66">
        <v>203</v>
      </c>
      <c r="BI28" s="66">
        <v>203</v>
      </c>
      <c r="BJ28" s="66"/>
      <c r="BK28" s="35">
        <v>206</v>
      </c>
      <c r="BL28" s="71"/>
      <c r="BM28" s="71"/>
      <c r="BN28" s="71"/>
      <c r="BO28" s="71"/>
      <c r="BP28" s="30"/>
      <c r="BQ28" s="30"/>
      <c r="BR28" s="30"/>
      <c r="BS28" s="30"/>
      <c r="BT28" s="30"/>
      <c r="BU28" s="30"/>
      <c r="BV28" s="30"/>
      <c r="BW28" s="30">
        <v>117</v>
      </c>
      <c r="BX28" s="66"/>
    </row>
    <row r="29" spans="1:76" x14ac:dyDescent="0.35">
      <c r="A29" s="66" t="s">
        <v>208</v>
      </c>
      <c r="B29" s="66" t="s">
        <v>127</v>
      </c>
      <c r="C29" s="30">
        <v>2050</v>
      </c>
      <c r="D29" s="1">
        <v>1</v>
      </c>
      <c r="E29" s="1">
        <v>0</v>
      </c>
      <c r="F29" s="30">
        <v>0</v>
      </c>
      <c r="G29" s="30"/>
      <c r="H29" s="30"/>
      <c r="I29" s="30"/>
      <c r="J29" s="30"/>
      <c r="K29" s="30"/>
      <c r="L29" s="30"/>
      <c r="M29" s="30"/>
      <c r="N29">
        <v>1</v>
      </c>
      <c r="O29">
        <v>1.1000000000000001</v>
      </c>
      <c r="P29">
        <v>2</v>
      </c>
      <c r="Q29">
        <v>7.58</v>
      </c>
      <c r="R29">
        <v>8.33</v>
      </c>
      <c r="S29">
        <v>15.15</v>
      </c>
      <c r="T29" s="19">
        <f>$U27*Tabelle589711143136[[#This Row],[Stromverbrauch in TWh MIN]]/$R27</f>
        <v>870.34446350798476</v>
      </c>
      <c r="U29" s="19">
        <f>$U27*Tabelle589711143136[[#This Row],[Stromverbrauch in TWh REF]]/$R27</f>
        <v>956.46034050415733</v>
      </c>
      <c r="V29" s="19">
        <f>$U27*Tabelle589711143136[[#This Row],[Stromverbrauch in TWh MAX]]/$R27</f>
        <v>1739.540715322687</v>
      </c>
      <c r="W29" s="19"/>
      <c r="X29" s="19"/>
      <c r="Y29" s="19"/>
      <c r="Z29" s="67"/>
      <c r="AA29" s="67">
        <f>IF(AND(Tabelle589711143136[[#This Row],[Lastverschiebung]]=1,Tabelle589711143136[[#This Row],[Potenzial pos. min MW]]&lt;&gt;""),Tabelle589711143136[[#This Row],[Potenzial pos. min MW]],"")</f>
        <v>870.34446350798476</v>
      </c>
      <c r="AB29" s="67">
        <f>IF(AND(Tabelle589711143136[[#This Row],[Lastverschiebung]]=1,Tabelle589711143136[[#This Row],[Potenzial pos. MW Durchschnitt]]&lt;&gt;""),Tabelle589711143136[[#This Row],[Potenzial pos. MW Durchschnitt]],"")</f>
        <v>956.46034050415733</v>
      </c>
      <c r="AC29" s="67">
        <f>IF(AND(Tabelle589711143136[[#This Row],[Lastverschiebung]]=1,Tabelle589711143136[[#This Row],[Potenzial pos. max MW]]&lt;&gt;""),Tabelle589711143136[[#This Row],[Potenzial pos. max MW]],"")</f>
        <v>1739.540715322687</v>
      </c>
      <c r="AD29" s="67"/>
      <c r="AE29" s="64"/>
      <c r="AF29" s="69"/>
      <c r="AG29" s="73"/>
      <c r="AH29" s="69" t="str">
        <f>IF(Tabelle589711143136[[#This Row],[Vollbenutzungsstunden h/a]]&lt;&gt;"",Tabelle589711143136[[#This Row],[Vollbenutzungsstunden h/a]]/8760,"")</f>
        <v/>
      </c>
      <c r="AI29" s="68"/>
      <c r="AJ29" s="67"/>
      <c r="AK29" s="66">
        <v>1</v>
      </c>
      <c r="AL29" s="66"/>
      <c r="AM29" s="66"/>
      <c r="AN29" s="66">
        <v>1</v>
      </c>
      <c r="AO29" s="1"/>
      <c r="AP29" s="66">
        <f t="shared" si="1"/>
        <v>56</v>
      </c>
      <c r="AQ29" s="66"/>
      <c r="AR29" s="66"/>
      <c r="AS29" s="19"/>
      <c r="AT29" s="19"/>
      <c r="AU29" s="70"/>
      <c r="AV29" s="70"/>
      <c r="AW29" s="70"/>
      <c r="AX29" s="70"/>
      <c r="AY29" s="70"/>
      <c r="AZ29" s="70"/>
      <c r="BA29" s="1">
        <v>0</v>
      </c>
      <c r="BB29" s="66"/>
      <c r="BC29" s="1" t="s">
        <v>903</v>
      </c>
      <c r="BD29" s="66"/>
      <c r="BE29" s="66"/>
      <c r="BF29" s="66"/>
      <c r="BG29" s="66"/>
      <c r="BH29" s="66">
        <v>203</v>
      </c>
      <c r="BI29" s="66">
        <v>203</v>
      </c>
      <c r="BJ29" s="66"/>
      <c r="BK29" s="35">
        <v>206</v>
      </c>
      <c r="BL29" s="71"/>
      <c r="BM29" s="71"/>
      <c r="BN29" s="71"/>
      <c r="BO29" s="71"/>
      <c r="BP29" s="30"/>
      <c r="BQ29" s="30"/>
      <c r="BR29" s="30"/>
      <c r="BS29" s="30"/>
      <c r="BT29" s="30"/>
      <c r="BU29" s="30"/>
      <c r="BV29" s="30"/>
      <c r="BW29" s="30">
        <v>117</v>
      </c>
      <c r="BX29" s="66"/>
    </row>
    <row r="30" spans="1:76" x14ac:dyDescent="0.35">
      <c r="A30" s="66" t="s">
        <v>362</v>
      </c>
      <c r="B30" s="66" t="s">
        <v>127</v>
      </c>
      <c r="C30" s="30">
        <v>2013</v>
      </c>
      <c r="D30" s="1">
        <v>1</v>
      </c>
      <c r="E30" s="1">
        <v>0</v>
      </c>
      <c r="F30" s="30">
        <v>0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>
        <v>3.1162999999999998</v>
      </c>
      <c r="S30" s="30"/>
      <c r="T30" s="19"/>
      <c r="U30" s="19">
        <v>4600</v>
      </c>
      <c r="V30" s="19"/>
      <c r="W30" s="19"/>
      <c r="X30" s="19"/>
      <c r="Y30" s="19"/>
      <c r="Z30" s="67">
        <f>Tabelle589711143136[[#This Row],[Stromverbrauch in TWh REF]]/Tabelle589711143136[[#This Row],[Vollbenutzungsstunden h/a]]*10^6</f>
        <v>6110.3921568627447</v>
      </c>
      <c r="AA30" s="67" t="str">
        <f>IF(AND(Tabelle589711143136[[#This Row],[Lastverschiebung]]=1,Tabelle589711143136[[#This Row],[Potenzial pos. min MW]]&lt;&gt;""),Tabelle589711143136[[#This Row],[Potenzial pos. min MW]],"")</f>
        <v/>
      </c>
      <c r="AB30" s="67">
        <f>IF(AND(Tabelle589711143136[[#This Row],[Lastverschiebung]]=1,Tabelle589711143136[[#This Row],[Potenzial pos. MW Durchschnitt]]&lt;&gt;""),Tabelle589711143136[[#This Row],[Potenzial pos. MW Durchschnitt]],"")</f>
        <v>4600</v>
      </c>
      <c r="AC30" s="67" t="str">
        <f>IF(AND(Tabelle589711143136[[#This Row],[Lastverschiebung]]=1,Tabelle589711143136[[#This Row],[Potenzial pos. max MW]]&lt;&gt;""),Tabelle589711143136[[#This Row],[Potenzial pos. max MW]],"")</f>
        <v/>
      </c>
      <c r="AD30" s="67"/>
      <c r="AE30" s="64"/>
      <c r="AF30" s="69">
        <v>0.75</v>
      </c>
      <c r="AG30" s="73">
        <v>510</v>
      </c>
      <c r="AH30" s="69">
        <f>IF(Tabelle589711143136[[#This Row],[Vollbenutzungsstunden h/a]]&lt;&gt;"",Tabelle589711143136[[#This Row],[Vollbenutzungsstunden h/a]]/8760,"")</f>
        <v>5.8219178082191778E-2</v>
      </c>
      <c r="AI30" s="68"/>
      <c r="AJ30" s="67"/>
      <c r="AK30" s="66">
        <v>1</v>
      </c>
      <c r="AL30" s="66"/>
      <c r="AM30" s="66">
        <v>1</v>
      </c>
      <c r="AN30" s="66">
        <v>1</v>
      </c>
      <c r="AO30" s="1" t="s">
        <v>882</v>
      </c>
      <c r="AP30" s="66">
        <f t="shared" si="1"/>
        <v>56</v>
      </c>
      <c r="AQ30" s="66"/>
      <c r="AR30" s="66"/>
      <c r="AS30" s="19">
        <v>40</v>
      </c>
      <c r="AT30" s="19">
        <v>1200</v>
      </c>
      <c r="AU30" s="70"/>
      <c r="AV30" s="70"/>
      <c r="AW30" s="70"/>
      <c r="AX30" s="70"/>
      <c r="AY30" s="70">
        <v>25</v>
      </c>
      <c r="AZ30" s="70">
        <v>90</v>
      </c>
      <c r="BA30" s="1">
        <v>0</v>
      </c>
      <c r="BB30" s="66"/>
      <c r="BC30" s="1" t="s">
        <v>903</v>
      </c>
      <c r="BD30" s="66">
        <v>23</v>
      </c>
      <c r="BE30" s="66">
        <v>23</v>
      </c>
      <c r="BF30" s="66"/>
      <c r="BG30" s="66"/>
      <c r="BH30" s="66"/>
      <c r="BI30" s="66">
        <v>197</v>
      </c>
      <c r="BJ30" s="66">
        <v>197</v>
      </c>
      <c r="BK30" s="35">
        <v>206</v>
      </c>
      <c r="BL30" s="71">
        <v>197</v>
      </c>
      <c r="BM30" s="71">
        <v>197</v>
      </c>
      <c r="BN30" s="71"/>
      <c r="BO30" s="71"/>
      <c r="BP30" s="30">
        <v>23</v>
      </c>
      <c r="BQ30" s="30">
        <v>23</v>
      </c>
      <c r="BR30" s="30">
        <v>23</v>
      </c>
      <c r="BS30" s="30">
        <v>23</v>
      </c>
      <c r="BT30" s="30">
        <v>30</v>
      </c>
      <c r="BU30" s="30">
        <v>30</v>
      </c>
      <c r="BV30" s="30">
        <v>30</v>
      </c>
      <c r="BW30" s="30">
        <v>117</v>
      </c>
      <c r="BX30" s="66"/>
    </row>
    <row r="31" spans="1:76" x14ac:dyDescent="0.35">
      <c r="A31" s="66" t="s">
        <v>362</v>
      </c>
      <c r="B31" s="66" t="s">
        <v>127</v>
      </c>
      <c r="C31" s="30">
        <v>2030</v>
      </c>
      <c r="D31" s="1">
        <v>1</v>
      </c>
      <c r="E31" s="1">
        <v>0</v>
      </c>
      <c r="F31" s="30">
        <v>0</v>
      </c>
      <c r="G31" s="30"/>
      <c r="H31" s="30"/>
      <c r="I31" s="30"/>
      <c r="J31" s="30"/>
      <c r="K31" s="30"/>
      <c r="L31" s="30"/>
      <c r="M31" s="30"/>
      <c r="N31">
        <v>1</v>
      </c>
      <c r="O31">
        <v>1.3</v>
      </c>
      <c r="P31">
        <v>2</v>
      </c>
      <c r="Q31">
        <v>3.12</v>
      </c>
      <c r="R31">
        <v>4.05</v>
      </c>
      <c r="S31">
        <v>6.23</v>
      </c>
      <c r="T31" s="19">
        <f>$U30*Tabelle589711143136[[#This Row],[Stromverbrauch in TWh MIN]]/$R30</f>
        <v>4605.4616051086223</v>
      </c>
      <c r="U31" s="19">
        <f>$U30*Tabelle589711143136[[#This Row],[Stromverbrauch in TWh REF]]/$R30</f>
        <v>5978.2434297083082</v>
      </c>
      <c r="V31" s="19">
        <f>$U30*Tabelle589711143136[[#This Row],[Stromverbrauch in TWh MAX]]/$R30</f>
        <v>9196.162115329078</v>
      </c>
      <c r="W31" s="19"/>
      <c r="X31" s="19"/>
      <c r="Y31" s="19"/>
      <c r="Z31" s="67"/>
      <c r="AA31" s="67">
        <f>IF(AND(Tabelle589711143136[[#This Row],[Lastverschiebung]]=1,Tabelle589711143136[[#This Row],[Potenzial pos. min MW]]&lt;&gt;""),Tabelle589711143136[[#This Row],[Potenzial pos. min MW]],"")</f>
        <v>4605.4616051086223</v>
      </c>
      <c r="AB31" s="67">
        <f>IF(AND(Tabelle589711143136[[#This Row],[Lastverschiebung]]=1,Tabelle589711143136[[#This Row],[Potenzial pos. MW Durchschnitt]]&lt;&gt;""),Tabelle589711143136[[#This Row],[Potenzial pos. MW Durchschnitt]],"")</f>
        <v>5978.2434297083082</v>
      </c>
      <c r="AC31" s="67">
        <f>IF(AND(Tabelle589711143136[[#This Row],[Lastverschiebung]]=1,Tabelle589711143136[[#This Row],[Potenzial pos. max MW]]&lt;&gt;""),Tabelle589711143136[[#This Row],[Potenzial pos. max MW]],"")</f>
        <v>9196.162115329078</v>
      </c>
      <c r="AD31" s="67"/>
      <c r="AE31" s="64"/>
      <c r="AF31" s="69"/>
      <c r="AG31" s="73"/>
      <c r="AH31" s="69" t="str">
        <f>IF(Tabelle589711143136[[#This Row],[Vollbenutzungsstunden h/a]]&lt;&gt;"",Tabelle589711143136[[#This Row],[Vollbenutzungsstunden h/a]]/8760,"")</f>
        <v/>
      </c>
      <c r="AI31" s="68"/>
      <c r="AJ31" s="67"/>
      <c r="AK31" s="66">
        <v>1</v>
      </c>
      <c r="AL31" s="66"/>
      <c r="AM31" s="66"/>
      <c r="AN31" s="66">
        <v>1</v>
      </c>
      <c r="AO31" s="1"/>
      <c r="AP31" s="66">
        <f t="shared" si="1"/>
        <v>56</v>
      </c>
      <c r="AQ31" s="66"/>
      <c r="AR31" s="66"/>
      <c r="AS31" s="19"/>
      <c r="AT31" s="19"/>
      <c r="AU31" s="70"/>
      <c r="AV31" s="70"/>
      <c r="AW31" s="70"/>
      <c r="AX31" s="70"/>
      <c r="AY31" s="70"/>
      <c r="AZ31" s="70"/>
      <c r="BA31" s="1">
        <v>0</v>
      </c>
      <c r="BB31" s="66"/>
      <c r="BC31" s="1" t="s">
        <v>903</v>
      </c>
      <c r="BD31" s="66"/>
      <c r="BE31" s="66"/>
      <c r="BF31" s="66"/>
      <c r="BG31" s="66"/>
      <c r="BH31" s="66">
        <v>203</v>
      </c>
      <c r="BI31" s="66">
        <v>203</v>
      </c>
      <c r="BJ31" s="66"/>
      <c r="BK31" s="35">
        <v>206</v>
      </c>
      <c r="BL31" s="71"/>
      <c r="BM31" s="71"/>
      <c r="BN31" s="71"/>
      <c r="BO31" s="71"/>
      <c r="BP31" s="30"/>
      <c r="BQ31" s="30"/>
      <c r="BR31" s="30"/>
      <c r="BS31" s="30"/>
      <c r="BT31" s="30"/>
      <c r="BU31" s="30"/>
      <c r="BV31" s="30"/>
      <c r="BW31" s="30">
        <v>117</v>
      </c>
      <c r="BX31" s="66"/>
    </row>
    <row r="32" spans="1:76" x14ac:dyDescent="0.35">
      <c r="A32" s="66" t="s">
        <v>362</v>
      </c>
      <c r="B32" s="66" t="s">
        <v>127</v>
      </c>
      <c r="C32" s="30">
        <v>2050</v>
      </c>
      <c r="D32" s="1">
        <v>1</v>
      </c>
      <c r="E32" s="1">
        <v>0</v>
      </c>
      <c r="F32" s="30">
        <v>0</v>
      </c>
      <c r="G32" s="30"/>
      <c r="H32" s="30"/>
      <c r="I32" s="30"/>
      <c r="J32" s="30"/>
      <c r="K32" s="30"/>
      <c r="L32" s="30"/>
      <c r="M32" s="30"/>
      <c r="N32">
        <v>1</v>
      </c>
      <c r="O32">
        <v>1.5</v>
      </c>
      <c r="P32">
        <v>3</v>
      </c>
      <c r="Q32">
        <v>3.12</v>
      </c>
      <c r="R32">
        <v>4.67</v>
      </c>
      <c r="S32">
        <v>9.35</v>
      </c>
      <c r="T32" s="19">
        <f>$U30*Tabelle589711143136[[#This Row],[Stromverbrauch in TWh MIN]]/$R30</f>
        <v>4605.4616051086223</v>
      </c>
      <c r="U32" s="19">
        <f>$U30*Tabelle589711143136[[#This Row],[Stromverbrauch in TWh REF]]/$R30</f>
        <v>6893.4313127747655</v>
      </c>
      <c r="V32" s="19">
        <f>$U30*Tabelle589711143136[[#This Row],[Stromverbrauch in TWh MAX]]/$R30</f>
        <v>13801.623720437699</v>
      </c>
      <c r="W32" s="19"/>
      <c r="X32" s="19"/>
      <c r="Y32" s="19"/>
      <c r="Z32" s="67"/>
      <c r="AA32" s="67">
        <f>IF(AND(Tabelle589711143136[[#This Row],[Lastverschiebung]]=1,Tabelle589711143136[[#This Row],[Potenzial pos. min MW]]&lt;&gt;""),Tabelle589711143136[[#This Row],[Potenzial pos. min MW]],"")</f>
        <v>4605.4616051086223</v>
      </c>
      <c r="AB32" s="67">
        <f>IF(AND(Tabelle589711143136[[#This Row],[Lastverschiebung]]=1,Tabelle589711143136[[#This Row],[Potenzial pos. MW Durchschnitt]]&lt;&gt;""),Tabelle589711143136[[#This Row],[Potenzial pos. MW Durchschnitt]],"")</f>
        <v>6893.4313127747655</v>
      </c>
      <c r="AC32" s="67">
        <f>IF(AND(Tabelle589711143136[[#This Row],[Lastverschiebung]]=1,Tabelle589711143136[[#This Row],[Potenzial pos. max MW]]&lt;&gt;""),Tabelle589711143136[[#This Row],[Potenzial pos. max MW]],"")</f>
        <v>13801.623720437699</v>
      </c>
      <c r="AD32" s="67"/>
      <c r="AE32" s="64"/>
      <c r="AF32" s="69"/>
      <c r="AG32" s="73"/>
      <c r="AH32" s="69" t="str">
        <f>IF(Tabelle589711143136[[#This Row],[Vollbenutzungsstunden h/a]]&lt;&gt;"",Tabelle589711143136[[#This Row],[Vollbenutzungsstunden h/a]]/8760,"")</f>
        <v/>
      </c>
      <c r="AI32" s="68"/>
      <c r="AJ32" s="67"/>
      <c r="AK32" s="66">
        <v>1</v>
      </c>
      <c r="AL32" s="66"/>
      <c r="AM32" s="66"/>
      <c r="AN32" s="66">
        <v>1</v>
      </c>
      <c r="AO32" s="1"/>
      <c r="AP32" s="66">
        <f t="shared" si="1"/>
        <v>56</v>
      </c>
      <c r="AQ32" s="66"/>
      <c r="AR32" s="66"/>
      <c r="AS32" s="19"/>
      <c r="AT32" s="19"/>
      <c r="AU32" s="70"/>
      <c r="AV32" s="70"/>
      <c r="AW32" s="70"/>
      <c r="AX32" s="70"/>
      <c r="AY32" s="70"/>
      <c r="AZ32" s="70"/>
      <c r="BA32" s="1">
        <v>0</v>
      </c>
      <c r="BB32" s="66"/>
      <c r="BC32" s="1" t="s">
        <v>903</v>
      </c>
      <c r="BD32" s="66"/>
      <c r="BE32" s="66"/>
      <c r="BF32" s="66"/>
      <c r="BG32" s="66"/>
      <c r="BH32" s="66">
        <v>203</v>
      </c>
      <c r="BI32" s="66">
        <v>203</v>
      </c>
      <c r="BJ32" s="66"/>
      <c r="BK32" s="35">
        <v>206</v>
      </c>
      <c r="BL32" s="71"/>
      <c r="BM32" s="71"/>
      <c r="BN32" s="71"/>
      <c r="BO32" s="71"/>
      <c r="BP32" s="30"/>
      <c r="BQ32" s="30"/>
      <c r="BR32" s="30"/>
      <c r="BS32" s="30"/>
      <c r="BT32" s="30"/>
      <c r="BU32" s="30"/>
      <c r="BV32" s="30"/>
      <c r="BW32" s="30">
        <v>117</v>
      </c>
      <c r="BX32" s="66"/>
    </row>
    <row r="33" spans="1:76" x14ac:dyDescent="0.35">
      <c r="A33" s="66" t="s">
        <v>134</v>
      </c>
      <c r="B33" s="66" t="s">
        <v>876</v>
      </c>
      <c r="C33" s="30">
        <v>2013</v>
      </c>
      <c r="D33" s="1">
        <v>1</v>
      </c>
      <c r="E33" s="1">
        <v>0</v>
      </c>
      <c r="F33" s="30">
        <v>0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>
        <f>ROUND(Tabelle589711143136[[#This Row],[Vollbenutzungsstunden h/a]]*Tabelle589711143136[[#This Row],[installierte Leistung MW]]/10^6,3)</f>
        <v>3.1859999999999999</v>
      </c>
      <c r="S33" s="30"/>
      <c r="T33" s="19"/>
      <c r="U33" s="19">
        <v>2000</v>
      </c>
      <c r="V33" s="19"/>
      <c r="W33" s="19"/>
      <c r="X33" s="19"/>
      <c r="Y33" s="19"/>
      <c r="Z33" s="67">
        <f>Tabelle589711143136[[#This Row],[Stromverbrauch in TWh REF]]/Tabelle589711143136[[#This Row],[Vollbenutzungsstunden h/a]]*10^6</f>
        <v>1769.9999999999998</v>
      </c>
      <c r="AA33" s="67" t="str">
        <f>IF(AND(Tabelle589711143136[[#This Row],[Lastverschiebung]]=1,Tabelle589711143136[[#This Row],[Potenzial pos. min MW]]&lt;&gt;""),Tabelle589711143136[[#This Row],[Potenzial pos. min MW]],"")</f>
        <v/>
      </c>
      <c r="AB33" s="67">
        <f>IF(AND(Tabelle589711143136[[#This Row],[Lastverschiebung]]=1,Tabelle589711143136[[#This Row],[Potenzial pos. MW Durchschnitt]]&lt;&gt;""),Tabelle589711143136[[#This Row],[Potenzial pos. MW Durchschnitt]],"")</f>
        <v>2000</v>
      </c>
      <c r="AC33" s="67" t="str">
        <f>IF(AND(Tabelle589711143136[[#This Row],[Lastverschiebung]]=1,Tabelle589711143136[[#This Row],[Potenzial pos. max MW]]&lt;&gt;""),Tabelle589711143136[[#This Row],[Potenzial pos. max MW]],"")</f>
        <v/>
      </c>
      <c r="AD33" s="67">
        <v>0</v>
      </c>
      <c r="AE33" s="64">
        <f>1-Tabelle589711143136[[#This Row],[flexibilisierbarer Anteil]]</f>
        <v>0</v>
      </c>
      <c r="AF33" s="69">
        <v>1</v>
      </c>
      <c r="AG33" s="73">
        <v>1800</v>
      </c>
      <c r="AH33" s="69">
        <f>IF(Tabelle589711143136[[#This Row],[Vollbenutzungsstunden h/a]]&lt;&gt;"",Tabelle589711143136[[#This Row],[Vollbenutzungsstunden h/a]]/8760,"")</f>
        <v>0.20547945205479451</v>
      </c>
      <c r="AI33" s="68">
        <f>Tabelle589711143136[[#This Row],[Durchschnittsauslastung]]*Tabelle589711143136[[#This Row],[installierte Leistung MW]]</f>
        <v>363.69863013698625</v>
      </c>
      <c r="AJ33" s="67">
        <v>1770</v>
      </c>
      <c r="AK33" s="66">
        <v>12</v>
      </c>
      <c r="AL33" s="66"/>
      <c r="AM33" s="66">
        <v>12</v>
      </c>
      <c r="AN33" s="66">
        <v>12</v>
      </c>
      <c r="AO33" s="1" t="s">
        <v>882</v>
      </c>
      <c r="AP33" s="66">
        <f>12*7</f>
        <v>84</v>
      </c>
      <c r="AQ33" s="66"/>
      <c r="AR33" s="66"/>
      <c r="AS33" s="19">
        <v>40</v>
      </c>
      <c r="AT33" s="19">
        <v>1200</v>
      </c>
      <c r="AU33" s="70"/>
      <c r="AV33" s="70"/>
      <c r="AW33" s="70"/>
      <c r="AX33" s="70"/>
      <c r="AY33" s="70">
        <v>25</v>
      </c>
      <c r="AZ33" s="70">
        <v>90</v>
      </c>
      <c r="BA33" s="1">
        <v>0</v>
      </c>
      <c r="BB33" s="66"/>
      <c r="BC33" s="1" t="s">
        <v>903</v>
      </c>
      <c r="BD33" s="66">
        <v>23</v>
      </c>
      <c r="BE33" s="66">
        <v>23</v>
      </c>
      <c r="BF33" s="66"/>
      <c r="BG33" s="66"/>
      <c r="BH33" s="66"/>
      <c r="BI33" s="1" t="s">
        <v>891</v>
      </c>
      <c r="BJ33" s="1" t="s">
        <v>891</v>
      </c>
      <c r="BK33" s="35">
        <v>206</v>
      </c>
      <c r="BL33" s="71">
        <v>197</v>
      </c>
      <c r="BM33" s="71">
        <v>197</v>
      </c>
      <c r="BN33" s="71"/>
      <c r="BO33" s="1" t="s">
        <v>887</v>
      </c>
      <c r="BP33" s="30">
        <v>23</v>
      </c>
      <c r="BQ33" s="30">
        <v>23</v>
      </c>
      <c r="BR33" s="30">
        <v>23</v>
      </c>
      <c r="BS33" s="30">
        <v>23</v>
      </c>
      <c r="BT33" s="30">
        <v>30</v>
      </c>
      <c r="BU33" s="30">
        <v>30</v>
      </c>
      <c r="BV33" s="30">
        <v>30</v>
      </c>
      <c r="BW33" s="30">
        <v>117</v>
      </c>
      <c r="BX33" s="66"/>
    </row>
    <row r="34" spans="1:76" x14ac:dyDescent="0.35">
      <c r="A34" s="66" t="s">
        <v>134</v>
      </c>
      <c r="B34" s="66" t="s">
        <v>876</v>
      </c>
      <c r="C34" s="30">
        <v>2030</v>
      </c>
      <c r="D34" s="1">
        <v>1</v>
      </c>
      <c r="E34" s="1">
        <v>0</v>
      </c>
      <c r="F34" s="30">
        <v>0</v>
      </c>
      <c r="G34" s="30"/>
      <c r="H34" s="30"/>
      <c r="I34" s="30"/>
      <c r="J34" s="30"/>
      <c r="K34">
        <v>1420</v>
      </c>
      <c r="L34">
        <v>1750</v>
      </c>
      <c r="M34">
        <v>3000</v>
      </c>
      <c r="N34" s="30"/>
      <c r="O34" s="30"/>
      <c r="P34" s="30"/>
      <c r="Q34">
        <v>12.07</v>
      </c>
      <c r="R34">
        <v>14.87</v>
      </c>
      <c r="S34">
        <v>25.49</v>
      </c>
      <c r="T34" s="19">
        <f>$U33*Tabelle589711143136[[#This Row],[Stromverbrauch in TWh MIN]]/$R33</f>
        <v>7576.8989328311363</v>
      </c>
      <c r="U34" s="19">
        <f>$U33*Tabelle589711143136[[#This Row],[Stromverbrauch in TWh REF]]/$R33</f>
        <v>9334.58882611425</v>
      </c>
      <c r="V34" s="19">
        <f>$U33*Tabelle589711143136[[#This Row],[Stromverbrauch in TWh MAX]]/$R33</f>
        <v>16001.255492780916</v>
      </c>
      <c r="W34" s="19"/>
      <c r="X34" s="19"/>
      <c r="Y34" s="19"/>
      <c r="Z34" s="67"/>
      <c r="AA34" s="67">
        <f>IF(AND(Tabelle589711143136[[#This Row],[Lastverschiebung]]=1,Tabelle589711143136[[#This Row],[Potenzial pos. min MW]]&lt;&gt;""),Tabelle589711143136[[#This Row],[Potenzial pos. min MW]],"")</f>
        <v>7576.8989328311363</v>
      </c>
      <c r="AB34" s="67">
        <f>IF(AND(Tabelle589711143136[[#This Row],[Lastverschiebung]]=1,Tabelle589711143136[[#This Row],[Potenzial pos. MW Durchschnitt]]&lt;&gt;""),Tabelle589711143136[[#This Row],[Potenzial pos. MW Durchschnitt]],"")</f>
        <v>9334.58882611425</v>
      </c>
      <c r="AC34" s="67">
        <f>IF(AND(Tabelle589711143136[[#This Row],[Lastverschiebung]]=1,Tabelle589711143136[[#This Row],[Potenzial pos. max MW]]&lt;&gt;""),Tabelle589711143136[[#This Row],[Potenzial pos. max MW]],"")</f>
        <v>16001.255492780916</v>
      </c>
      <c r="AD34" s="67"/>
      <c r="AE34" s="64"/>
      <c r="AF34" s="69"/>
      <c r="AG34" s="73"/>
      <c r="AH34" s="69" t="str">
        <f>IF(Tabelle589711143136[[#This Row],[Vollbenutzungsstunden h/a]]&lt;&gt;"",Tabelle589711143136[[#This Row],[Vollbenutzungsstunden h/a]]/8760,"")</f>
        <v/>
      </c>
      <c r="AI34" s="68"/>
      <c r="AJ34" s="67"/>
      <c r="AK34" s="66">
        <v>12</v>
      </c>
      <c r="AL34" s="66"/>
      <c r="AM34" s="66"/>
      <c r="AN34" s="66">
        <v>12</v>
      </c>
      <c r="AO34" s="1"/>
      <c r="AP34" s="66">
        <f>12*7</f>
        <v>84</v>
      </c>
      <c r="AQ34" s="66"/>
      <c r="AR34" s="66"/>
      <c r="AS34" s="19"/>
      <c r="AT34" s="19"/>
      <c r="AU34" s="70"/>
      <c r="AV34" s="70"/>
      <c r="AW34" s="70"/>
      <c r="AX34" s="70"/>
      <c r="AY34" s="70"/>
      <c r="AZ34" s="70"/>
      <c r="BA34" s="1">
        <v>0</v>
      </c>
      <c r="BB34" s="66"/>
      <c r="BC34" s="1" t="s">
        <v>903</v>
      </c>
      <c r="BD34" s="66"/>
      <c r="BE34" s="66"/>
      <c r="BF34" s="66"/>
      <c r="BG34" s="66">
        <v>203</v>
      </c>
      <c r="BH34" s="66"/>
      <c r="BI34" s="66">
        <v>203</v>
      </c>
      <c r="BJ34" s="1"/>
      <c r="BK34" s="35">
        <v>206</v>
      </c>
      <c r="BL34" s="71"/>
      <c r="BM34" s="71"/>
      <c r="BN34" s="71"/>
      <c r="BO34" s="1"/>
      <c r="BP34" s="30"/>
      <c r="BQ34" s="30"/>
      <c r="BR34" s="30"/>
      <c r="BS34" s="30"/>
      <c r="BT34" s="30"/>
      <c r="BU34" s="30"/>
      <c r="BV34" s="30"/>
      <c r="BW34" s="30">
        <v>117</v>
      </c>
      <c r="BX34" s="66"/>
    </row>
    <row r="35" spans="1:76" x14ac:dyDescent="0.35">
      <c r="A35" s="66" t="s">
        <v>134</v>
      </c>
      <c r="B35" s="66" t="s">
        <v>876</v>
      </c>
      <c r="C35" s="30">
        <v>2050</v>
      </c>
      <c r="D35" s="1">
        <v>1</v>
      </c>
      <c r="E35" s="1">
        <v>0</v>
      </c>
      <c r="F35" s="30">
        <v>0</v>
      </c>
      <c r="G35" s="30"/>
      <c r="H35" s="30"/>
      <c r="I35" s="30"/>
      <c r="J35" s="30"/>
      <c r="K35">
        <v>2400</v>
      </c>
      <c r="L35">
        <v>3188</v>
      </c>
      <c r="M35">
        <v>5000</v>
      </c>
      <c r="N35" s="30"/>
      <c r="O35" s="30"/>
      <c r="P35" s="30"/>
      <c r="Q35">
        <v>20.39</v>
      </c>
      <c r="R35">
        <v>27.08</v>
      </c>
      <c r="S35">
        <v>42.48</v>
      </c>
      <c r="T35" s="19">
        <f>$U33*Tabelle589711143136[[#This Row],[Stromverbrauch in TWh MIN]]/$R33</f>
        <v>12799.748901443816</v>
      </c>
      <c r="U35" s="19">
        <f>$U33*Tabelle589711143136[[#This Row],[Stromverbrauch in TWh REF]]/$R33</f>
        <v>16999.372253609541</v>
      </c>
      <c r="V35" s="19">
        <f>$U33*Tabelle589711143136[[#This Row],[Stromverbrauch in TWh MAX]]/$R33</f>
        <v>26666.666666666668</v>
      </c>
      <c r="W35" s="19"/>
      <c r="X35" s="19"/>
      <c r="Y35" s="19"/>
      <c r="Z35" s="67"/>
      <c r="AA35" s="67">
        <f>IF(AND(Tabelle589711143136[[#This Row],[Lastverschiebung]]=1,Tabelle589711143136[[#This Row],[Potenzial pos. min MW]]&lt;&gt;""),Tabelle589711143136[[#This Row],[Potenzial pos. min MW]],"")</f>
        <v>12799.748901443816</v>
      </c>
      <c r="AB35" s="67">
        <f>IF(AND(Tabelle589711143136[[#This Row],[Lastverschiebung]]=1,Tabelle589711143136[[#This Row],[Potenzial pos. MW Durchschnitt]]&lt;&gt;""),Tabelle589711143136[[#This Row],[Potenzial pos. MW Durchschnitt]],"")</f>
        <v>16999.372253609541</v>
      </c>
      <c r="AC35" s="67">
        <f>IF(AND(Tabelle589711143136[[#This Row],[Lastverschiebung]]=1,Tabelle589711143136[[#This Row],[Potenzial pos. max MW]]&lt;&gt;""),Tabelle589711143136[[#This Row],[Potenzial pos. max MW]],"")</f>
        <v>26666.666666666668</v>
      </c>
      <c r="AD35" s="67"/>
      <c r="AE35" s="64"/>
      <c r="AF35" s="69"/>
      <c r="AG35" s="73"/>
      <c r="AH35" s="69" t="str">
        <f>IF(Tabelle589711143136[[#This Row],[Vollbenutzungsstunden h/a]]&lt;&gt;"",Tabelle589711143136[[#This Row],[Vollbenutzungsstunden h/a]]/8760,"")</f>
        <v/>
      </c>
      <c r="AI35" s="68"/>
      <c r="AJ35" s="67"/>
      <c r="AK35" s="66">
        <v>12</v>
      </c>
      <c r="AL35" s="66"/>
      <c r="AM35" s="66"/>
      <c r="AN35" s="66">
        <v>12</v>
      </c>
      <c r="AO35" s="1"/>
      <c r="AP35" s="66">
        <f>12*7</f>
        <v>84</v>
      </c>
      <c r="AQ35" s="66"/>
      <c r="AR35" s="66"/>
      <c r="AS35" s="19"/>
      <c r="AT35" s="19"/>
      <c r="AU35" s="70"/>
      <c r="AV35" s="70"/>
      <c r="AW35" s="70"/>
      <c r="AX35" s="70"/>
      <c r="AY35" s="70"/>
      <c r="AZ35" s="70"/>
      <c r="BA35" s="1">
        <v>0</v>
      </c>
      <c r="BB35" s="66"/>
      <c r="BC35" s="1" t="s">
        <v>903</v>
      </c>
      <c r="BD35" s="66"/>
      <c r="BE35" s="66"/>
      <c r="BF35" s="66"/>
      <c r="BG35" s="66">
        <v>203</v>
      </c>
      <c r="BH35" s="66"/>
      <c r="BI35" s="66">
        <v>203</v>
      </c>
      <c r="BJ35" s="1"/>
      <c r="BK35" s="35">
        <v>206</v>
      </c>
      <c r="BL35" s="71"/>
      <c r="BM35" s="71"/>
      <c r="BN35" s="71"/>
      <c r="BO35" s="1"/>
      <c r="BP35" s="30"/>
      <c r="BQ35" s="30"/>
      <c r="BR35" s="30"/>
      <c r="BS35" s="30"/>
      <c r="BT35" s="30"/>
      <c r="BU35" s="30"/>
      <c r="BV35" s="30"/>
      <c r="BW35" s="30">
        <v>117</v>
      </c>
      <c r="BX35" s="66"/>
    </row>
    <row r="36" spans="1:76" x14ac:dyDescent="0.35">
      <c r="A36" s="66" t="s">
        <v>829</v>
      </c>
      <c r="B36" s="66" t="s">
        <v>877</v>
      </c>
      <c r="C36" s="30">
        <v>2013</v>
      </c>
      <c r="D36" s="1">
        <v>1</v>
      </c>
      <c r="E36" s="1">
        <v>0</v>
      </c>
      <c r="F36" s="30">
        <v>0</v>
      </c>
      <c r="G36" s="30"/>
      <c r="H36" s="30"/>
      <c r="I36" s="30"/>
      <c r="J36" s="30"/>
      <c r="K36" s="1"/>
      <c r="L36" s="1"/>
      <c r="M36" s="30"/>
      <c r="N36" s="30"/>
      <c r="O36" s="30"/>
      <c r="P36" s="30"/>
      <c r="Q36" s="30"/>
      <c r="R36" s="30"/>
      <c r="S36" s="30"/>
      <c r="T36" s="67"/>
      <c r="U36" s="67"/>
      <c r="V36" s="67"/>
      <c r="W36" s="67"/>
      <c r="X36" s="67"/>
      <c r="Y36" s="67"/>
      <c r="Z36" s="67"/>
      <c r="AA36" s="67" t="str">
        <f>IF(AND(Tabelle589711143136[[#This Row],[Lastverschiebung]]=1,Tabelle589711143136[[#This Row],[Potenzial pos. min MW]]&lt;&gt;""),Tabelle589711143136[[#This Row],[Potenzial pos. min MW]],"")</f>
        <v/>
      </c>
      <c r="AB36" s="67" t="str">
        <f>IF(AND(Tabelle589711143136[[#This Row],[Lastverschiebung]]=1,Tabelle589711143136[[#This Row],[Potenzial pos. MW Durchschnitt]]&lt;&gt;""),Tabelle589711143136[[#This Row],[Potenzial pos. MW Durchschnitt]],"")</f>
        <v/>
      </c>
      <c r="AC36" s="67" t="str">
        <f>IF(AND(Tabelle589711143136[[#This Row],[Lastverschiebung]]=1,Tabelle589711143136[[#This Row],[Potenzial pos. max MW]]&lt;&gt;""),Tabelle589711143136[[#This Row],[Potenzial pos. max MW]],"")</f>
        <v/>
      </c>
      <c r="AD36" s="67"/>
      <c r="AE36" s="69"/>
      <c r="AF36" s="69"/>
      <c r="AG36" s="73"/>
      <c r="AH36" s="69" t="str">
        <f>IF(Tabelle589711143136[[#This Row],[Vollbenutzungsstunden h/a]]&lt;&gt;"",Tabelle589711143136[[#This Row],[Vollbenutzungsstunden h/a]]/8760,"")</f>
        <v/>
      </c>
      <c r="AI36" s="68"/>
      <c r="AJ36" s="67"/>
      <c r="AK36" s="66">
        <v>24</v>
      </c>
      <c r="AL36" s="66"/>
      <c r="AM36" s="66">
        <v>24</v>
      </c>
      <c r="AN36" s="66">
        <v>24</v>
      </c>
      <c r="AO36" s="1" t="s">
        <v>880</v>
      </c>
      <c r="AP36" s="66">
        <f>12*7</f>
        <v>84</v>
      </c>
      <c r="AQ36" s="66"/>
      <c r="AR36" s="66"/>
      <c r="AS36" s="19">
        <v>40</v>
      </c>
      <c r="AT36" s="19">
        <v>1200</v>
      </c>
      <c r="AU36" s="70"/>
      <c r="AV36" s="70"/>
      <c r="AW36" s="70"/>
      <c r="AX36" s="70"/>
      <c r="AY36" s="70">
        <v>25</v>
      </c>
      <c r="AZ36" s="70">
        <v>90</v>
      </c>
      <c r="BA36" s="1">
        <v>0</v>
      </c>
      <c r="BB36" s="66"/>
      <c r="BC36" s="1" t="s">
        <v>903</v>
      </c>
      <c r="BD36" s="66">
        <v>23</v>
      </c>
      <c r="BE36" s="66">
        <v>23</v>
      </c>
      <c r="BF36" s="66"/>
      <c r="BG36" s="66"/>
      <c r="BH36" s="66"/>
      <c r="BI36" s="66"/>
      <c r="BJ36" s="66"/>
      <c r="BK36" s="35"/>
      <c r="BL36" s="71"/>
      <c r="BM36" s="71"/>
      <c r="BN36" s="71"/>
      <c r="BO36" s="71"/>
      <c r="BP36" s="30">
        <v>23</v>
      </c>
      <c r="BQ36" s="30">
        <v>23</v>
      </c>
      <c r="BR36" s="30">
        <v>23</v>
      </c>
      <c r="BS36" s="30">
        <v>23</v>
      </c>
      <c r="BT36" s="30">
        <v>30</v>
      </c>
      <c r="BU36" s="30">
        <v>30</v>
      </c>
      <c r="BV36" s="30">
        <v>30</v>
      </c>
      <c r="BW36" s="30">
        <v>117</v>
      </c>
      <c r="BX36" s="66"/>
    </row>
    <row r="37" spans="1:76" x14ac:dyDescent="0.35">
      <c r="A37" s="66" t="s">
        <v>829</v>
      </c>
      <c r="B37" s="66" t="s">
        <v>877</v>
      </c>
      <c r="C37" s="30">
        <v>2030</v>
      </c>
      <c r="D37" s="1">
        <v>1</v>
      </c>
      <c r="E37" s="1">
        <v>0</v>
      </c>
      <c r="F37" s="30">
        <v>0</v>
      </c>
      <c r="G37" s="30"/>
      <c r="H37" s="30"/>
      <c r="I37" s="30"/>
      <c r="J37" s="30"/>
      <c r="K37" s="30">
        <v>1700</v>
      </c>
      <c r="L37" s="30">
        <v>5100</v>
      </c>
      <c r="M37" s="30">
        <v>9000</v>
      </c>
      <c r="N37" s="30"/>
      <c r="O37" s="30"/>
      <c r="P37" s="30"/>
      <c r="Q37" s="30">
        <v>4.4000000000000004</v>
      </c>
      <c r="R37" s="30">
        <v>13.6</v>
      </c>
      <c r="S37" s="30">
        <v>35.4</v>
      </c>
      <c r="T37" s="67"/>
      <c r="U37" s="67"/>
      <c r="V37" s="67"/>
      <c r="W37" s="67"/>
      <c r="X37" s="67"/>
      <c r="Y37" s="67"/>
      <c r="Z37" s="67"/>
      <c r="AA37" s="67" t="str">
        <f>IF(AND(Tabelle589711143136[[#This Row],[Lastverschiebung]]=1,Tabelle589711143136[[#This Row],[Potenzial pos. min MW]]&lt;&gt;""),Tabelle589711143136[[#This Row],[Potenzial pos. min MW]],"")</f>
        <v/>
      </c>
      <c r="AB37" s="67" t="str">
        <f>IF(AND(Tabelle589711143136[[#This Row],[Lastverschiebung]]=1,Tabelle589711143136[[#This Row],[Potenzial pos. MW Durchschnitt]]&lt;&gt;""),Tabelle589711143136[[#This Row],[Potenzial pos. MW Durchschnitt]],"")</f>
        <v/>
      </c>
      <c r="AC37" s="67" t="str">
        <f>IF(AND(Tabelle589711143136[[#This Row],[Lastverschiebung]]=1,Tabelle589711143136[[#This Row],[Potenzial pos. max MW]]&lt;&gt;""),Tabelle589711143136[[#This Row],[Potenzial pos. max MW]],"")</f>
        <v/>
      </c>
      <c r="AD37" s="67"/>
      <c r="AE37" s="69"/>
      <c r="AF37" s="69"/>
      <c r="AG37" s="73"/>
      <c r="AH37" s="69" t="str">
        <f>IF(Tabelle589711143136[[#This Row],[Vollbenutzungsstunden h/a]]&lt;&gt;"",Tabelle589711143136[[#This Row],[Vollbenutzungsstunden h/a]]/8760,"")</f>
        <v/>
      </c>
      <c r="AI37" s="68"/>
      <c r="AJ37" s="67"/>
      <c r="AK37" s="66">
        <v>24</v>
      </c>
      <c r="AL37" s="66"/>
      <c r="AM37" s="66"/>
      <c r="AN37" s="66">
        <v>24</v>
      </c>
      <c r="AO37" s="1"/>
      <c r="AP37" s="66">
        <f>8*7</f>
        <v>56</v>
      </c>
      <c r="AQ37" s="66"/>
      <c r="AR37" s="66"/>
      <c r="AS37" s="19"/>
      <c r="AT37" s="19"/>
      <c r="AU37" s="70"/>
      <c r="AV37" s="70"/>
      <c r="AW37" s="70"/>
      <c r="AX37" s="70"/>
      <c r="AY37" s="70"/>
      <c r="AZ37" s="70"/>
      <c r="BA37" s="1">
        <v>0</v>
      </c>
      <c r="BB37" s="66"/>
      <c r="BC37" s="1" t="s">
        <v>903</v>
      </c>
      <c r="BD37" s="66"/>
      <c r="BE37" s="66"/>
      <c r="BF37" s="66"/>
      <c r="BG37" s="66">
        <v>204</v>
      </c>
      <c r="BH37" s="66"/>
      <c r="BI37" s="66">
        <v>204</v>
      </c>
      <c r="BJ37" s="66"/>
      <c r="BK37" s="35"/>
      <c r="BL37" s="71"/>
      <c r="BM37" s="71"/>
      <c r="BN37" s="71"/>
      <c r="BO37" s="71"/>
      <c r="BP37" s="30"/>
      <c r="BQ37" s="30"/>
      <c r="BR37" s="30"/>
      <c r="BS37" s="30"/>
      <c r="BT37" s="30"/>
      <c r="BU37" s="30"/>
      <c r="BV37" s="30"/>
      <c r="BW37" s="30">
        <v>117</v>
      </c>
      <c r="BX37" s="66"/>
    </row>
    <row r="38" spans="1:76" x14ac:dyDescent="0.35">
      <c r="A38" s="66" t="s">
        <v>829</v>
      </c>
      <c r="B38" s="66" t="s">
        <v>877</v>
      </c>
      <c r="C38" s="30">
        <v>2050</v>
      </c>
      <c r="D38" s="1">
        <v>1</v>
      </c>
      <c r="E38" s="1">
        <v>0</v>
      </c>
      <c r="F38" s="30">
        <v>0</v>
      </c>
      <c r="G38" s="30"/>
      <c r="H38" s="30"/>
      <c r="I38" s="30"/>
      <c r="J38" s="30"/>
      <c r="K38" s="30">
        <v>4400</v>
      </c>
      <c r="L38" s="30">
        <v>13200</v>
      </c>
      <c r="M38" s="30">
        <v>22000</v>
      </c>
      <c r="N38" s="30"/>
      <c r="O38" s="30"/>
      <c r="P38" s="30"/>
      <c r="Q38" s="1">
        <v>11.8</v>
      </c>
      <c r="R38" s="30">
        <v>24.3</v>
      </c>
      <c r="S38" s="30">
        <v>59</v>
      </c>
      <c r="T38" s="67"/>
      <c r="U38" s="67"/>
      <c r="V38" s="67"/>
      <c r="W38" s="67"/>
      <c r="X38" s="67"/>
      <c r="Y38" s="67"/>
      <c r="Z38" s="67"/>
      <c r="AA38" s="67" t="str">
        <f>IF(AND(Tabelle589711143136[[#This Row],[Lastverschiebung]]=1,Tabelle589711143136[[#This Row],[Potenzial pos. min MW]]&lt;&gt;""),Tabelle589711143136[[#This Row],[Potenzial pos. min MW]],"")</f>
        <v/>
      </c>
      <c r="AB38" s="67" t="str">
        <f>IF(AND(Tabelle589711143136[[#This Row],[Lastverschiebung]]=1,Tabelle589711143136[[#This Row],[Potenzial pos. MW Durchschnitt]]&lt;&gt;""),Tabelle589711143136[[#This Row],[Potenzial pos. MW Durchschnitt]],"")</f>
        <v/>
      </c>
      <c r="AC38" s="67" t="str">
        <f>IF(AND(Tabelle589711143136[[#This Row],[Lastverschiebung]]=1,Tabelle589711143136[[#This Row],[Potenzial pos. max MW]]&lt;&gt;""),Tabelle589711143136[[#This Row],[Potenzial pos. max MW]],"")</f>
        <v/>
      </c>
      <c r="AD38" s="67"/>
      <c r="AE38" s="69"/>
      <c r="AF38" s="69"/>
      <c r="AG38" s="73"/>
      <c r="AH38" s="69" t="str">
        <f>IF(Tabelle589711143136[[#This Row],[Vollbenutzungsstunden h/a]]&lt;&gt;"",Tabelle589711143136[[#This Row],[Vollbenutzungsstunden h/a]]/8760,"")</f>
        <v/>
      </c>
      <c r="AI38" s="68"/>
      <c r="AJ38" s="67"/>
      <c r="AK38" s="66">
        <v>24</v>
      </c>
      <c r="AL38" s="66"/>
      <c r="AM38" s="66"/>
      <c r="AN38" s="66">
        <v>24</v>
      </c>
      <c r="AO38" s="1"/>
      <c r="AP38" s="66">
        <f>8*7</f>
        <v>56</v>
      </c>
      <c r="AQ38" s="66"/>
      <c r="AR38" s="66"/>
      <c r="AS38" s="19"/>
      <c r="AT38" s="19"/>
      <c r="AU38" s="70"/>
      <c r="AV38" s="70"/>
      <c r="AW38" s="70"/>
      <c r="AX38" s="70"/>
      <c r="AY38" s="70"/>
      <c r="AZ38" s="70"/>
      <c r="BA38" s="1">
        <v>0</v>
      </c>
      <c r="BB38" s="66"/>
      <c r="BC38" s="1" t="s">
        <v>903</v>
      </c>
      <c r="BD38" s="66"/>
      <c r="BE38" s="66"/>
      <c r="BF38" s="66"/>
      <c r="BG38" s="66">
        <v>204</v>
      </c>
      <c r="BH38" s="66"/>
      <c r="BI38" s="66">
        <v>204</v>
      </c>
      <c r="BJ38" s="66"/>
      <c r="BK38" s="35"/>
      <c r="BL38" s="71"/>
      <c r="BM38" s="71"/>
      <c r="BN38" s="71"/>
      <c r="BO38" s="71"/>
      <c r="BP38" s="30"/>
      <c r="BQ38" s="30"/>
      <c r="BR38" s="30"/>
      <c r="BS38" s="30"/>
      <c r="BT38" s="30"/>
      <c r="BU38" s="30"/>
      <c r="BV38" s="30"/>
      <c r="BW38" s="30">
        <v>117</v>
      </c>
      <c r="BX38" s="66"/>
    </row>
    <row r="39" spans="1:76" x14ac:dyDescent="0.35">
      <c r="A39" s="66" t="s">
        <v>878</v>
      </c>
      <c r="B39" s="66" t="s">
        <v>877</v>
      </c>
      <c r="C39" s="30">
        <v>2013</v>
      </c>
      <c r="D39" s="1">
        <v>0</v>
      </c>
      <c r="E39" s="1">
        <v>0</v>
      </c>
      <c r="F39" s="30">
        <v>1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67"/>
      <c r="U39" s="67"/>
      <c r="V39" s="67"/>
      <c r="W39" s="67"/>
      <c r="X39" s="67"/>
      <c r="Y39" s="67"/>
      <c r="Z39" s="67"/>
      <c r="AA39" s="67" t="str">
        <f>IF(AND(Tabelle589711143136[[#This Row],[Lastverschiebung]]=1,Tabelle589711143136[[#This Row],[Potenzial pos. min MW]]&lt;&gt;""),Tabelle589711143136[[#This Row],[Potenzial pos. min MW]],"")</f>
        <v/>
      </c>
      <c r="AB39" s="67" t="str">
        <f>IF(AND(Tabelle589711143136[[#This Row],[Lastverschiebung]]=1,Tabelle589711143136[[#This Row],[Potenzial pos. MW Durchschnitt]]&lt;&gt;""),Tabelle589711143136[[#This Row],[Potenzial pos. MW Durchschnitt]],"")</f>
        <v/>
      </c>
      <c r="AC39" s="67" t="str">
        <f>IF(AND(Tabelle589711143136[[#This Row],[Lastverschiebung]]=1,Tabelle589711143136[[#This Row],[Potenzial pos. max MW]]&lt;&gt;""),Tabelle589711143136[[#This Row],[Potenzial pos. max MW]],"")</f>
        <v/>
      </c>
      <c r="AD39" s="67"/>
      <c r="AE39" s="69"/>
      <c r="AF39" s="69"/>
      <c r="AG39" s="73"/>
      <c r="AH39" s="69" t="str">
        <f>IF(Tabelle589711143136[[#This Row],[Vollbenutzungsstunden h/a]]&lt;&gt;"",Tabelle589711143136[[#This Row],[Vollbenutzungsstunden h/a]]/8760,"")</f>
        <v/>
      </c>
      <c r="AI39" s="68"/>
      <c r="AJ39" s="67"/>
      <c r="AK39" s="66"/>
      <c r="AL39" s="66"/>
      <c r="AM39" s="66"/>
      <c r="AN39" s="66"/>
      <c r="AO39" s="1"/>
      <c r="AP39" s="66">
        <v>8760</v>
      </c>
      <c r="AQ39" s="66"/>
      <c r="AR39" s="66"/>
      <c r="AS39" s="19">
        <v>500</v>
      </c>
      <c r="AT39" s="19">
        <v>1000</v>
      </c>
      <c r="AU39" s="70">
        <v>-16.53</v>
      </c>
      <c r="AV39" s="70">
        <v>-44.9</v>
      </c>
      <c r="AW39" s="70"/>
      <c r="AX39" s="70"/>
      <c r="AY39" s="70">
        <v>20</v>
      </c>
      <c r="AZ39" s="70">
        <v>40</v>
      </c>
      <c r="BA39" s="1"/>
      <c r="BB39" s="1" t="s">
        <v>911</v>
      </c>
      <c r="BC39" s="1" t="s">
        <v>903</v>
      </c>
      <c r="BD39" s="66">
        <v>23</v>
      </c>
      <c r="BE39" s="66">
        <v>23</v>
      </c>
      <c r="BF39" s="66"/>
      <c r="BG39" s="66"/>
      <c r="BH39" s="66"/>
      <c r="BI39" s="66"/>
      <c r="BJ39" s="66"/>
      <c r="BK39" s="35"/>
      <c r="BL39" s="71"/>
      <c r="BM39" s="71"/>
      <c r="BN39" s="71"/>
      <c r="BO39" s="71"/>
      <c r="BP39" s="30">
        <v>23</v>
      </c>
      <c r="BQ39" s="30">
        <v>23</v>
      </c>
      <c r="BR39" s="30">
        <v>23</v>
      </c>
      <c r="BS39" s="30">
        <v>23</v>
      </c>
      <c r="BT39" s="30">
        <v>30</v>
      </c>
      <c r="BU39" s="30">
        <v>30</v>
      </c>
      <c r="BV39" s="30">
        <v>30</v>
      </c>
      <c r="BW39" s="30"/>
      <c r="BX39" s="66">
        <v>31</v>
      </c>
    </row>
    <row r="40" spans="1:76" x14ac:dyDescent="0.35">
      <c r="A40" s="66" t="s">
        <v>879</v>
      </c>
      <c r="B40" s="66" t="s">
        <v>877</v>
      </c>
      <c r="C40" s="30">
        <v>2013</v>
      </c>
      <c r="D40" s="1">
        <v>0</v>
      </c>
      <c r="E40" s="1">
        <v>0</v>
      </c>
      <c r="F40" s="30">
        <v>1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67"/>
      <c r="U40" s="67"/>
      <c r="V40" s="67"/>
      <c r="W40" s="67"/>
      <c r="X40" s="67"/>
      <c r="Y40" s="67"/>
      <c r="Z40" s="67"/>
      <c r="AA40" s="67" t="str">
        <f>IF(AND(Tabelle589711143136[[#This Row],[Lastverschiebung]]=1,Tabelle589711143136[[#This Row],[Potenzial pos. min MW]]&lt;&gt;""),Tabelle589711143136[[#This Row],[Potenzial pos. min MW]],"")</f>
        <v/>
      </c>
      <c r="AB40" s="67" t="str">
        <f>IF(AND(Tabelle589711143136[[#This Row],[Lastverschiebung]]=1,Tabelle589711143136[[#This Row],[Potenzial pos. MW Durchschnitt]]&lt;&gt;""),Tabelle589711143136[[#This Row],[Potenzial pos. MW Durchschnitt]],"")</f>
        <v/>
      </c>
      <c r="AC40" s="67" t="str">
        <f>IF(AND(Tabelle589711143136[[#This Row],[Lastverschiebung]]=1,Tabelle589711143136[[#This Row],[Potenzial pos. max MW]]&lt;&gt;""),Tabelle589711143136[[#This Row],[Potenzial pos. max MW]],"")</f>
        <v/>
      </c>
      <c r="AD40" s="67"/>
      <c r="AE40" s="69"/>
      <c r="AF40" s="69"/>
      <c r="AG40" s="73"/>
      <c r="AH40" s="69" t="str">
        <f>IF(Tabelle589711143136[[#This Row],[Vollbenutzungsstunden h/a]]&lt;&gt;"",Tabelle589711143136[[#This Row],[Vollbenutzungsstunden h/a]]/8760,"")</f>
        <v/>
      </c>
      <c r="AI40" s="68"/>
      <c r="AJ40" s="67"/>
      <c r="AK40" s="66"/>
      <c r="AL40" s="66"/>
      <c r="AM40" s="66"/>
      <c r="AN40" s="66"/>
      <c r="AO40" s="1"/>
      <c r="AP40" s="66">
        <v>8760</v>
      </c>
      <c r="AQ40" s="66"/>
      <c r="AR40" s="66"/>
      <c r="AS40" s="19">
        <v>100</v>
      </c>
      <c r="AT40" s="19">
        <v>200</v>
      </c>
      <c r="AU40" s="70">
        <v>-30.31</v>
      </c>
      <c r="AV40" s="70">
        <v>-82.4</v>
      </c>
      <c r="AW40" s="70"/>
      <c r="AX40" s="70"/>
      <c r="AY40" s="70">
        <v>4</v>
      </c>
      <c r="AZ40" s="70">
        <v>8</v>
      </c>
      <c r="BA40" s="1"/>
      <c r="BB40" s="1" t="s">
        <v>910</v>
      </c>
      <c r="BC40" s="1" t="s">
        <v>903</v>
      </c>
      <c r="BD40" s="66">
        <v>23</v>
      </c>
      <c r="BE40" s="66">
        <v>23</v>
      </c>
      <c r="BF40" s="66"/>
      <c r="BG40" s="66"/>
      <c r="BH40" s="66"/>
      <c r="BI40" s="66"/>
      <c r="BJ40" s="66"/>
      <c r="BK40" s="35"/>
      <c r="BL40" s="71"/>
      <c r="BM40" s="71"/>
      <c r="BN40" s="71"/>
      <c r="BO40" s="71"/>
      <c r="BP40" s="30">
        <v>23</v>
      </c>
      <c r="BQ40" s="30">
        <v>23</v>
      </c>
      <c r="BR40" s="30">
        <v>23</v>
      </c>
      <c r="BS40" s="30">
        <v>23</v>
      </c>
      <c r="BT40" s="30">
        <v>30</v>
      </c>
      <c r="BU40" s="30">
        <v>30</v>
      </c>
      <c r="BV40" s="30">
        <v>30</v>
      </c>
      <c r="BW40" s="30"/>
      <c r="BX40" s="1" t="s">
        <v>908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76D5339-A27A-4F4B-91C9-F3BE6D89EB3B}">
          <x14:formula1>
            <xm:f>Dropdown!$C$2:$C$7</xm:f>
          </x14:formula1>
          <xm:sqref>B2:B40</xm:sqref>
        </x14:dataValidation>
        <x14:dataValidation type="list" allowBlank="1" showInputMessage="1" showErrorMessage="1" xr:uid="{B7F2651A-797C-47D6-B27A-633B9A81BCA8}">
          <x14:formula1>
            <xm:f>Dropdown!$A$2:$A$99</xm:f>
          </x14:formula1>
          <xm:sqref>A2:A40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7"/>
  <dimension ref="A1:BI8"/>
  <sheetViews>
    <sheetView zoomScale="85" zoomScaleNormal="85" workbookViewId="0">
      <pane xSplit="3" ySplit="1" topLeftCell="AM2" activePane="bottomRight" state="frozen"/>
      <selection pane="topRight" activeCell="D1" sqref="D1"/>
      <selection pane="bottomLeft" activeCell="A2" sqref="A2"/>
      <selection pane="bottomRight" activeCell="AO6" sqref="AO6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8" width="17.7265625" style="1" customWidth="1"/>
    <col min="9" max="9" width="29.26953125" style="1" bestFit="1" customWidth="1"/>
    <col min="10" max="12" width="24.54296875" style="1" customWidth="1"/>
    <col min="13" max="18" width="24.453125" style="1" customWidth="1"/>
    <col min="19" max="19" width="37.7265625" style="1" bestFit="1" customWidth="1"/>
    <col min="20" max="22" width="28.453125" style="1" customWidth="1"/>
    <col min="23" max="23" width="27.453125" style="1" bestFit="1" customWidth="1"/>
    <col min="24" max="25" width="27.453125" style="1" customWidth="1"/>
    <col min="26" max="26" width="20.7265625" style="1" bestFit="1" customWidth="1"/>
    <col min="27" max="30" width="20.7265625" style="1" customWidth="1"/>
    <col min="31" max="31" width="24" style="1" bestFit="1" customWidth="1"/>
    <col min="32" max="34" width="38.26953125" style="1" customWidth="1"/>
    <col min="35" max="35" width="38.26953125" style="1" bestFit="1" customWidth="1"/>
    <col min="36" max="37" width="38.26953125" style="1" customWidth="1"/>
    <col min="38" max="39" width="33.453125" style="1" customWidth="1"/>
    <col min="40" max="40" width="25.7265625" style="1" bestFit="1" customWidth="1"/>
    <col min="41" max="41" width="56.7265625" style="1" bestFit="1" customWidth="1"/>
    <col min="42" max="42" width="56.7265625" style="1" customWidth="1"/>
    <col min="43" max="44" width="35.54296875" style="1" customWidth="1"/>
    <col min="45" max="45" width="31.7265625" style="1" bestFit="1" customWidth="1"/>
    <col min="46" max="46" width="31.54296875" style="1" bestFit="1" customWidth="1"/>
    <col min="47" max="49" width="31.54296875" style="1" customWidth="1"/>
    <col min="50" max="50" width="37.453125" style="1" bestFit="1" customWidth="1"/>
    <col min="51" max="51" width="35.7265625" style="1" bestFit="1" customWidth="1"/>
    <col min="52" max="52" width="28.81640625" style="1" bestFit="1" customWidth="1"/>
    <col min="53" max="53" width="34.453125" style="1" bestFit="1" customWidth="1"/>
    <col min="54" max="54" width="38.1796875" style="1" bestFit="1" customWidth="1"/>
    <col min="55" max="55" width="22.81640625" style="1" bestFit="1" customWidth="1"/>
    <col min="56" max="56" width="28.54296875" style="1" bestFit="1" customWidth="1"/>
    <col min="57" max="57" width="28.26953125" style="1" bestFit="1" customWidth="1"/>
    <col min="58" max="58" width="28.26953125" style="1" customWidth="1"/>
    <col min="59" max="59" width="31" style="1" bestFit="1" customWidth="1"/>
    <col min="60" max="60" width="31" style="1" customWidth="1"/>
    <col min="61" max="61" width="28.81640625" style="1" bestFit="1" customWidth="1"/>
    <col min="62" max="16384" width="11.453125" style="1"/>
  </cols>
  <sheetData>
    <row r="1" spans="1:61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419</v>
      </c>
      <c r="H1" s="2" t="s">
        <v>989</v>
      </c>
      <c r="I1" s="2" t="s">
        <v>541</v>
      </c>
      <c r="J1" s="2" t="s">
        <v>420</v>
      </c>
      <c r="K1" s="2" t="s">
        <v>421</v>
      </c>
      <c r="L1" s="2" t="s">
        <v>422</v>
      </c>
      <c r="M1" s="2" t="s">
        <v>53</v>
      </c>
      <c r="N1" s="2" t="s">
        <v>52</v>
      </c>
      <c r="O1" s="2" t="s">
        <v>854</v>
      </c>
      <c r="P1" s="2" t="s">
        <v>557</v>
      </c>
      <c r="Q1" s="2" t="s">
        <v>1115</v>
      </c>
      <c r="R1" s="2" t="s">
        <v>232</v>
      </c>
      <c r="S1" s="2" t="s">
        <v>113</v>
      </c>
      <c r="T1" s="2" t="s">
        <v>55</v>
      </c>
      <c r="U1" s="2" t="s">
        <v>984</v>
      </c>
      <c r="V1" s="2" t="s">
        <v>417</v>
      </c>
      <c r="W1" s="2" t="s">
        <v>9</v>
      </c>
      <c r="X1" s="2" t="s">
        <v>426</v>
      </c>
      <c r="Y1" s="2" t="s">
        <v>222</v>
      </c>
      <c r="Z1" s="2" t="s">
        <v>156</v>
      </c>
      <c r="AA1" s="2" t="s">
        <v>1131</v>
      </c>
      <c r="AB1" s="2" t="s">
        <v>224</v>
      </c>
      <c r="AC1" s="2" t="s">
        <v>225</v>
      </c>
      <c r="AD1" s="2" t="s">
        <v>157</v>
      </c>
      <c r="AE1" s="2" t="s">
        <v>14</v>
      </c>
      <c r="AF1" s="2" t="s">
        <v>96</v>
      </c>
      <c r="AG1" s="2" t="s">
        <v>1251</v>
      </c>
      <c r="AH1" s="2" t="s">
        <v>1252</v>
      </c>
      <c r="AI1" s="2" t="s">
        <v>1246</v>
      </c>
      <c r="AJ1" s="2" t="s">
        <v>1244</v>
      </c>
      <c r="AK1" s="2" t="s">
        <v>1264</v>
      </c>
      <c r="AL1" s="2" t="s">
        <v>1249</v>
      </c>
      <c r="AM1" s="2" t="s">
        <v>1265</v>
      </c>
      <c r="AN1" s="2" t="s">
        <v>1250</v>
      </c>
      <c r="AO1" s="2" t="s">
        <v>20</v>
      </c>
      <c r="AP1" s="2" t="s">
        <v>446</v>
      </c>
      <c r="AQ1" s="2" t="s">
        <v>161</v>
      </c>
      <c r="AR1" s="2" t="s">
        <v>162</v>
      </c>
      <c r="AS1" s="2" t="s">
        <v>1</v>
      </c>
      <c r="AT1" s="2" t="s">
        <v>2</v>
      </c>
      <c r="AU1" s="2" t="s">
        <v>56</v>
      </c>
      <c r="AV1" s="2" t="s">
        <v>233</v>
      </c>
      <c r="AW1" s="2" t="s">
        <v>114</v>
      </c>
      <c r="AX1" s="2" t="s">
        <v>58</v>
      </c>
      <c r="AY1" s="2" t="s">
        <v>95</v>
      </c>
      <c r="AZ1" s="2" t="s">
        <v>5</v>
      </c>
      <c r="BA1" s="2" t="s">
        <v>16</v>
      </c>
      <c r="BB1" s="2" t="s">
        <v>7</v>
      </c>
      <c r="BC1" s="2" t="s">
        <v>17</v>
      </c>
      <c r="BD1" s="2" t="s">
        <v>18</v>
      </c>
      <c r="BE1" s="2" t="s">
        <v>19</v>
      </c>
      <c r="BF1" s="2" t="s">
        <v>145</v>
      </c>
      <c r="BG1" s="2" t="s">
        <v>21</v>
      </c>
      <c r="BH1" s="2" t="s">
        <v>447</v>
      </c>
      <c r="BI1" s="2" t="s">
        <v>49</v>
      </c>
    </row>
    <row r="2" spans="1:61" x14ac:dyDescent="0.25">
      <c r="A2" s="1" t="s">
        <v>415</v>
      </c>
      <c r="B2" s="1" t="s">
        <v>126</v>
      </c>
      <c r="C2" s="1">
        <v>2013</v>
      </c>
      <c r="D2" s="1">
        <v>1</v>
      </c>
      <c r="E2" s="1">
        <v>1</v>
      </c>
      <c r="F2" s="1">
        <v>0</v>
      </c>
      <c r="G2" s="1">
        <v>25</v>
      </c>
      <c r="H2" s="1">
        <v>1060</v>
      </c>
      <c r="I2" s="1">
        <v>1400</v>
      </c>
      <c r="J2" s="1">
        <v>29</v>
      </c>
      <c r="M2" s="19"/>
      <c r="O2" s="11">
        <v>7790</v>
      </c>
      <c r="P2" s="11">
        <v>8760</v>
      </c>
      <c r="Q2" s="9">
        <f>Tabelle58971116[[#This Row],[Vollbenutzungsstunden h/a]]/8760</f>
        <v>0.88926940639269403</v>
      </c>
      <c r="R2" s="9">
        <f>Tabelle58971116[[#This Row],[Vollbenutzungsstunden h/a]]/Tabelle58971116[[#This Row],[Betriebsstunden p.a.]]</f>
        <v>0.88926940639269403</v>
      </c>
      <c r="S2" s="19"/>
      <c r="U2" s="1">
        <f>5/3600</f>
        <v>1.3888888888888889E-3</v>
      </c>
      <c r="V2" s="1">
        <v>1</v>
      </c>
      <c r="W2" s="1">
        <f>30/3600</f>
        <v>8.3333333333333332E-3</v>
      </c>
      <c r="X2" s="1">
        <f>20/60</f>
        <v>0.33333333333333331</v>
      </c>
      <c r="Y2" s="1">
        <v>16</v>
      </c>
      <c r="Z2" s="1">
        <v>3</v>
      </c>
      <c r="AA2" s="1">
        <v>1</v>
      </c>
      <c r="AF2" s="1">
        <f>AVERAGE(119, 354)</f>
        <v>236.5</v>
      </c>
      <c r="AG2" s="8">
        <f>370/10^3*Umrechnungsfaktoren!$B$15/Umrechnungsfaktoren!$B$12</f>
        <v>0.38406000000000001</v>
      </c>
      <c r="AH2" s="8">
        <f>20833/10^3*Umrechnungsfaktoren!$B$15/Umrechnungsfaktoren!$B$12</f>
        <v>21.624654</v>
      </c>
      <c r="AI2" s="8">
        <f>7697/10^3*Umrechnungsfaktoren!$B$15/Umrechnungsfaktoren!$B$12</f>
        <v>7.9894860000000003</v>
      </c>
      <c r="AJ2" s="8">
        <f>10*Umrechnungsfaktoren!$B$15/Umrechnungsfaktoren!$B$12</f>
        <v>10.38</v>
      </c>
      <c r="AK2" s="8">
        <f>350*Umrechnungsfaktoren!$B$15/Umrechnungsfaktoren!$B$12</f>
        <v>363.3</v>
      </c>
      <c r="AL2" s="8">
        <f>0/10^3*Umrechnungsfaktoren!$B$15/Umrechnungsfaktoren!$B$12</f>
        <v>0</v>
      </c>
      <c r="AM2" s="8">
        <f>6250/10^3*Umrechnungsfaktoren!$B$15/Umrechnungsfaktoren!$B$12</f>
        <v>6.4875000000000007</v>
      </c>
      <c r="AN2" s="8">
        <f>2025/10^3*Umrechnungsfaktoren!$B$15/Umrechnungsfaktoren!$B$12</f>
        <v>2.10195</v>
      </c>
      <c r="AO2" s="1" t="s">
        <v>441</v>
      </c>
      <c r="AQ2" s="1">
        <v>100</v>
      </c>
      <c r="AR2" s="1">
        <v>100</v>
      </c>
      <c r="AS2" s="1" t="s">
        <v>445</v>
      </c>
      <c r="AT2" s="1" t="s">
        <v>445</v>
      </c>
      <c r="AV2" s="1" t="s">
        <v>416</v>
      </c>
      <c r="AY2" s="1">
        <v>146</v>
      </c>
      <c r="AZ2" s="1" t="s">
        <v>442</v>
      </c>
      <c r="BB2" s="1" t="s">
        <v>443</v>
      </c>
      <c r="BD2" s="1" t="s">
        <v>444</v>
      </c>
      <c r="BE2" s="1">
        <v>148</v>
      </c>
      <c r="BF2" s="1">
        <v>148</v>
      </c>
      <c r="BG2" s="1">
        <v>145</v>
      </c>
    </row>
    <row r="3" spans="1:61" x14ac:dyDescent="0.25">
      <c r="A3" s="1" t="s">
        <v>27</v>
      </c>
      <c r="B3" s="1" t="s">
        <v>126</v>
      </c>
      <c r="C3" s="1">
        <v>2013</v>
      </c>
      <c r="D3" s="1">
        <v>1</v>
      </c>
      <c r="E3" s="1">
        <v>1</v>
      </c>
      <c r="F3" s="1">
        <v>0</v>
      </c>
      <c r="G3" s="1">
        <v>100</v>
      </c>
      <c r="H3" s="1">
        <v>500</v>
      </c>
      <c r="I3" s="19">
        <v>530</v>
      </c>
      <c r="J3" s="19"/>
      <c r="K3" s="19"/>
      <c r="L3" s="19">
        <v>100</v>
      </c>
      <c r="M3" s="19">
        <f>Tabelle58971116[[#This Row],[Mindestauslastung]]*Tabelle58971116[[#This Row],[installierte Leistung MW]]</f>
        <v>513.75</v>
      </c>
      <c r="N3" s="9">
        <f>(25%+50%)/2</f>
        <v>0.375</v>
      </c>
      <c r="O3" s="46">
        <v>7520</v>
      </c>
      <c r="P3" s="46">
        <v>8580</v>
      </c>
      <c r="Q3" s="9">
        <f>Tabelle58971116[[#This Row],[Vollbenutzungsstunden h/a]]/8760</f>
        <v>0.85844748858447484</v>
      </c>
      <c r="R3" s="9">
        <f>Tabelle58971116[[#This Row],[Vollbenutzungsstunden h/a]]/Tabelle58971116[[#This Row],[Betriebsstunden p.a.]]</f>
        <v>0.87645687645687642</v>
      </c>
      <c r="S3" s="20">
        <f>Tabelle58971116[[#This Row],[Durchschnittsauslastung]]*Tabelle58971116[[#This Row],[installierte Leistung MW]]</f>
        <v>1200.7459207459208</v>
      </c>
      <c r="T3" s="19">
        <v>1370</v>
      </c>
      <c r="U3" s="19">
        <f>5/3600</f>
        <v>1.3888888888888889E-3</v>
      </c>
      <c r="V3" s="19">
        <v>1</v>
      </c>
      <c r="W3" s="1">
        <v>0.25</v>
      </c>
      <c r="X3" s="1">
        <v>1</v>
      </c>
      <c r="Y3" s="1">
        <v>5</v>
      </c>
      <c r="AA3" s="1">
        <v>5</v>
      </c>
      <c r="AF3" s="1">
        <f>AVERAGE(51, 97)</f>
        <v>74</v>
      </c>
      <c r="AG3" s="8">
        <f>50/10^3*Umrechnungsfaktoren!$B$15/Umrechnungsfaktoren!$B$12</f>
        <v>5.1900000000000009E-2</v>
      </c>
      <c r="AH3" s="8">
        <f>769/10^3*Umrechnungsfaktoren!$B$15/Umrechnungsfaktoren!$B$12</f>
        <v>0.79822199999999999</v>
      </c>
      <c r="AI3" s="19">
        <f>232/10^3*Umrechnungsfaktoren!$B$15/Umrechnungsfaktoren!$B$12</f>
        <v>0.24081600000000003</v>
      </c>
      <c r="AJ3" s="8">
        <f>48*Umrechnungsfaktoren!$B$15/Umrechnungsfaktoren!$B$12</f>
        <v>49.823999999999998</v>
      </c>
      <c r="AK3" s="8">
        <f>316*Umrechnungsfaktoren!$B$15/Umrechnungsfaktoren!$B$12</f>
        <v>328.00799999999998</v>
      </c>
      <c r="AL3" s="8">
        <f>0/10^3*Umrechnungsfaktoren!$B$15/Umrechnungsfaktoren!$B$12</f>
        <v>0</v>
      </c>
      <c r="AM3" s="8">
        <f>625/10^3*Umrechnungsfaktoren!$B$15/Umrechnungsfaktoren!$B$12</f>
        <v>0.64875000000000005</v>
      </c>
      <c r="AN3" s="8">
        <f>104/10^3*Umrechnungsfaktoren!$B$15/Umrechnungsfaktoren!$B$12</f>
        <v>0.10795199999999999</v>
      </c>
      <c r="AO3" s="1" t="s">
        <v>429</v>
      </c>
      <c r="AP3" s="1" t="s">
        <v>449</v>
      </c>
      <c r="AQ3" s="1">
        <v>100</v>
      </c>
      <c r="AR3" s="1">
        <v>100</v>
      </c>
      <c r="AS3" s="13">
        <v>123</v>
      </c>
      <c r="AT3" s="1">
        <v>123</v>
      </c>
      <c r="AU3" s="13" t="s">
        <v>424</v>
      </c>
      <c r="AV3" s="1" t="s">
        <v>416</v>
      </c>
      <c r="AW3" s="13" t="s">
        <v>430</v>
      </c>
      <c r="AX3" s="13">
        <v>124</v>
      </c>
      <c r="AY3" s="13"/>
      <c r="AZ3" s="1">
        <v>120</v>
      </c>
      <c r="BB3" s="1" t="s">
        <v>428</v>
      </c>
      <c r="BC3" s="1" t="s">
        <v>427</v>
      </c>
      <c r="BD3" s="1" t="s">
        <v>427</v>
      </c>
      <c r="BE3" s="1" t="s">
        <v>427</v>
      </c>
      <c r="BH3" s="1" t="s">
        <v>451</v>
      </c>
    </row>
    <row r="4" spans="1:61" x14ac:dyDescent="0.25">
      <c r="A4" s="1" t="s">
        <v>185</v>
      </c>
      <c r="B4" s="1" t="s">
        <v>126</v>
      </c>
      <c r="C4" s="1">
        <v>2013</v>
      </c>
      <c r="D4" s="1">
        <v>1</v>
      </c>
      <c r="E4" s="1">
        <v>1</v>
      </c>
      <c r="F4" s="1">
        <v>0</v>
      </c>
      <c r="G4" s="1">
        <v>200</v>
      </c>
      <c r="H4" s="1">
        <v>1100</v>
      </c>
      <c r="I4" s="19">
        <v>2600</v>
      </c>
      <c r="J4" s="19"/>
      <c r="K4" s="19"/>
      <c r="L4" s="19">
        <v>200</v>
      </c>
      <c r="M4" s="19"/>
      <c r="N4" s="9">
        <v>0.7</v>
      </c>
      <c r="O4" s="46">
        <v>7110</v>
      </c>
      <c r="P4" s="46">
        <v>8510</v>
      </c>
      <c r="Q4" s="9">
        <f>Tabelle58971116[[#This Row],[Vollbenutzungsstunden h/a]]/8760</f>
        <v>0.81164383561643838</v>
      </c>
      <c r="R4" s="9">
        <f>Tabelle58971116[[#This Row],[Vollbenutzungsstunden h/a]]/Tabelle58971116[[#This Row],[Betriebsstunden p.a.]]</f>
        <v>0.83548766157461807</v>
      </c>
      <c r="S4" s="20"/>
      <c r="T4" s="19"/>
      <c r="U4" s="27">
        <v>0.25</v>
      </c>
      <c r="V4" s="19">
        <v>1</v>
      </c>
      <c r="W4" s="1">
        <v>0.5</v>
      </c>
      <c r="Z4" s="1">
        <v>5</v>
      </c>
      <c r="AA4" s="1">
        <v>168</v>
      </c>
      <c r="AB4" s="1">
        <v>4</v>
      </c>
      <c r="AC4" s="1">
        <v>8</v>
      </c>
      <c r="AD4" s="1">
        <v>6</v>
      </c>
      <c r="AF4" s="1">
        <v>513</v>
      </c>
      <c r="AG4" s="19">
        <v>0</v>
      </c>
      <c r="AH4" s="19">
        <f>10101/10^3*Umrechnungsfaktoren!$B$15/Umrechnungsfaktoren!$B$12</f>
        <v>10.484838</v>
      </c>
      <c r="AI4" s="19">
        <f>4387/10^3*Umrechnungsfaktoren!$B$15/Umrechnungsfaktoren!$B$12</f>
        <v>4.5537059999999991</v>
      </c>
      <c r="AJ4" s="8">
        <v>0</v>
      </c>
      <c r="AK4" s="8">
        <f>2000*Umrechnungsfaktoren!$B$15/Umrechnungsfaktoren!$B$12</f>
        <v>2076</v>
      </c>
      <c r="AL4" s="8">
        <f>0/10^3*Umrechnungsfaktoren!$B$15/Umrechnungsfaktoren!$B$12</f>
        <v>0</v>
      </c>
      <c r="AM4" s="8">
        <f>869/10^3*Umrechnungsfaktoren!$B$15/Umrechnungsfaktoren!$B$12</f>
        <v>0.90202199999999999</v>
      </c>
      <c r="AN4" s="8"/>
      <c r="AO4" s="1" t="s">
        <v>425</v>
      </c>
      <c r="AP4" s="1" t="s">
        <v>448</v>
      </c>
      <c r="AQ4" s="1">
        <v>100</v>
      </c>
      <c r="AR4" s="1">
        <v>100</v>
      </c>
      <c r="AS4" s="13" t="s">
        <v>423</v>
      </c>
      <c r="AT4" s="1">
        <v>112</v>
      </c>
      <c r="AU4" s="13">
        <v>104</v>
      </c>
      <c r="AV4" s="1" t="s">
        <v>416</v>
      </c>
      <c r="AW4" s="13"/>
      <c r="AX4" s="13"/>
      <c r="AY4" s="13">
        <v>106</v>
      </c>
      <c r="AZ4" s="1" t="s">
        <v>418</v>
      </c>
      <c r="BB4" s="1">
        <v>107</v>
      </c>
      <c r="BC4" s="1">
        <v>107</v>
      </c>
      <c r="BD4" s="1">
        <v>108</v>
      </c>
      <c r="BE4" s="1">
        <v>108</v>
      </c>
      <c r="BG4" s="1">
        <v>109</v>
      </c>
      <c r="BH4" s="1">
        <v>175</v>
      </c>
    </row>
    <row r="5" spans="1:61" x14ac:dyDescent="0.25">
      <c r="A5" s="1" t="s">
        <v>81</v>
      </c>
      <c r="B5" s="1" t="s">
        <v>126</v>
      </c>
      <c r="C5" s="1">
        <v>2013</v>
      </c>
      <c r="D5" s="21">
        <v>1</v>
      </c>
      <c r="E5" s="21">
        <v>1</v>
      </c>
      <c r="F5" s="1">
        <v>0</v>
      </c>
      <c r="G5" s="21">
        <v>344</v>
      </c>
      <c r="H5" s="21">
        <v>589</v>
      </c>
      <c r="I5" s="22">
        <v>1450</v>
      </c>
      <c r="J5" s="22"/>
      <c r="K5" s="22"/>
      <c r="L5" s="22">
        <v>25</v>
      </c>
      <c r="M5" s="22"/>
      <c r="N5" s="23"/>
      <c r="O5" s="47">
        <v>4120</v>
      </c>
      <c r="P5" s="47">
        <v>6080</v>
      </c>
      <c r="Q5" s="9">
        <f>Tabelle58971116[[#This Row],[Vollbenutzungsstunden h/a]]/8760</f>
        <v>0.47031963470319632</v>
      </c>
      <c r="R5" s="9">
        <f>Tabelle58971116[[#This Row],[Vollbenutzungsstunden h/a]]/Tabelle58971116[[#This Row],[Betriebsstunden p.a.]]</f>
        <v>0.67763157894736847</v>
      </c>
      <c r="S5" s="19"/>
      <c r="U5" s="1">
        <f>0.5/3600</f>
        <v>1.3888888888888889E-4</v>
      </c>
      <c r="V5" s="1">
        <v>1</v>
      </c>
      <c r="X5" s="1">
        <v>0</v>
      </c>
      <c r="Y5" s="1">
        <v>7</v>
      </c>
      <c r="Z5" s="1">
        <v>3</v>
      </c>
      <c r="AA5" s="1">
        <v>7</v>
      </c>
      <c r="AF5" s="1">
        <v>156</v>
      </c>
      <c r="AG5" s="19">
        <f>167/10^3*Umrechnungsfaktoren!$B$15/Umrechnungsfaktoren!$B$12</f>
        <v>0.17334600000000003</v>
      </c>
      <c r="AH5" s="19">
        <f>1071/10^3*Umrechnungsfaktoren!$B$15/Umrechnungsfaktoren!$B$12</f>
        <v>1.1116979999999999</v>
      </c>
      <c r="AI5" s="19">
        <f>619/10^3*Umrechnungsfaktoren!$B$15/Umrechnungsfaktoren!$B$12</f>
        <v>0.64252200000000004</v>
      </c>
      <c r="AJ5" s="1">
        <v>0</v>
      </c>
      <c r="AK5" s="8"/>
      <c r="AL5" s="8">
        <f>0/10^3*Umrechnungsfaktoren!$B$15/Umrechnungsfaktoren!$B$12</f>
        <v>0</v>
      </c>
      <c r="AM5" s="8">
        <f>5500/10^3*Umrechnungsfaktoren!$B$15/Umrechnungsfaktoren!$B$12</f>
        <v>5.7089999999999996</v>
      </c>
      <c r="AN5" s="8">
        <f>2750/10^3*Umrechnungsfaktoren!$B$15/Umrechnungsfaktoren!$B$12</f>
        <v>2.8544999999999998</v>
      </c>
      <c r="AO5" s="1" t="s">
        <v>432</v>
      </c>
      <c r="AP5" s="1" t="s">
        <v>450</v>
      </c>
      <c r="AQ5" s="1">
        <v>100</v>
      </c>
      <c r="AR5" s="1">
        <v>100</v>
      </c>
      <c r="AS5" s="1" t="s">
        <v>433</v>
      </c>
      <c r="AT5" s="1" t="s">
        <v>433</v>
      </c>
      <c r="AV5" s="1" t="s">
        <v>416</v>
      </c>
      <c r="AZ5" s="1" t="s">
        <v>431</v>
      </c>
      <c r="BA5" s="21"/>
      <c r="BB5" s="21">
        <v>129</v>
      </c>
      <c r="BC5" s="21">
        <v>130</v>
      </c>
      <c r="BD5" s="21">
        <v>130</v>
      </c>
      <c r="BE5" s="21">
        <v>130</v>
      </c>
      <c r="BF5" s="21"/>
      <c r="BG5" s="21"/>
      <c r="BH5" s="21">
        <v>176</v>
      </c>
      <c r="BI5" s="21"/>
    </row>
    <row r="6" spans="1:61" x14ac:dyDescent="0.25">
      <c r="A6" s="1" t="s">
        <v>414</v>
      </c>
      <c r="B6" s="1" t="s">
        <v>126</v>
      </c>
      <c r="C6" s="1">
        <v>2013</v>
      </c>
      <c r="D6" s="21">
        <v>1</v>
      </c>
      <c r="E6" s="21">
        <v>1</v>
      </c>
      <c r="F6" s="1">
        <v>0</v>
      </c>
      <c r="G6" s="21">
        <v>1.4</v>
      </c>
      <c r="H6" s="21">
        <v>22</v>
      </c>
      <c r="I6" s="22">
        <v>419</v>
      </c>
      <c r="J6" s="22">
        <v>0</v>
      </c>
      <c r="K6" s="22">
        <v>11</v>
      </c>
      <c r="L6" s="22"/>
      <c r="M6" s="22"/>
      <c r="N6" s="23"/>
      <c r="O6" s="47">
        <v>6490</v>
      </c>
      <c r="P6" s="47">
        <v>7850</v>
      </c>
      <c r="Q6" s="9">
        <f>Tabelle58971116[[#This Row],[Vollbenutzungsstunden h/a]]/8760</f>
        <v>0.7408675799086758</v>
      </c>
      <c r="R6" s="9">
        <f>Tabelle58971116[[#This Row],[Vollbenutzungsstunden h/a]]/Tabelle58971116[[#This Row],[Betriebsstunden p.a.]]</f>
        <v>0.82675159235668794</v>
      </c>
      <c r="S6" s="23">
        <f>Tabelle58971116[[#This Row],[Durchschnittsauslastung]]*Tabelle58971116[[#This Row],[installierte Leistung MW]]</f>
        <v>636.59872611464971</v>
      </c>
      <c r="T6" s="22">
        <v>770</v>
      </c>
      <c r="U6" s="22">
        <f>5/60</f>
        <v>8.3333333333333329E-2</v>
      </c>
      <c r="V6" s="22">
        <f>0.25</f>
        <v>0.25</v>
      </c>
      <c r="W6" s="21"/>
      <c r="X6" s="21"/>
      <c r="Y6" s="21"/>
      <c r="Z6" s="21">
        <v>16</v>
      </c>
      <c r="AA6" s="21">
        <v>16</v>
      </c>
      <c r="AB6" s="21">
        <v>12</v>
      </c>
      <c r="AC6" s="21">
        <v>20</v>
      </c>
      <c r="AD6" s="21"/>
      <c r="AE6" s="1" t="s">
        <v>437</v>
      </c>
      <c r="AF6" s="21">
        <f>AVERAGE(1492,580,91)</f>
        <v>721</v>
      </c>
      <c r="AG6" s="19">
        <f>0/10^3*Umrechnungsfaktoren!$B$15/Umrechnungsfaktoren!$B$12</f>
        <v>0</v>
      </c>
      <c r="AH6" s="19">
        <f>12500/10^3*Umrechnungsfaktoren!$B$15/Umrechnungsfaktoren!$B$12</f>
        <v>12.975000000000001</v>
      </c>
      <c r="AI6" s="19">
        <f>1505/10^3*Umrechnungsfaktoren!$B$15/Umrechnungsfaktoren!$B$12</f>
        <v>1.56219</v>
      </c>
      <c r="AJ6" s="8">
        <f>6*Umrechnungsfaktoren!$B$15/Umrechnungsfaktoren!$B$12</f>
        <v>6.2279999999999998</v>
      </c>
      <c r="AK6" s="25"/>
      <c r="AL6" s="19">
        <f>0/10^3*Umrechnungsfaktoren!$B$15/Umrechnungsfaktoren!$B$12</f>
        <v>0</v>
      </c>
      <c r="AM6" s="19">
        <f>22989/10^3*Umrechnungsfaktoren!$B$15/Umrechnungsfaktoren!$B$12</f>
        <v>23.862582</v>
      </c>
      <c r="AN6" s="19">
        <f>19157/10^3*Umrechnungsfaktoren!$B$15/Umrechnungsfaktoren!$B$12</f>
        <v>19.884965999999999</v>
      </c>
      <c r="AO6" s="1" t="s">
        <v>438</v>
      </c>
      <c r="AP6" s="1" t="s">
        <v>452</v>
      </c>
      <c r="AQ6" s="1">
        <v>100</v>
      </c>
      <c r="AR6" s="1">
        <v>100</v>
      </c>
      <c r="AS6" s="13" t="s">
        <v>436</v>
      </c>
      <c r="AT6" s="21">
        <v>143</v>
      </c>
      <c r="AU6" s="26"/>
      <c r="AV6" s="1" t="s">
        <v>416</v>
      </c>
      <c r="AW6" s="26"/>
      <c r="AX6" s="26"/>
      <c r="AY6" s="26">
        <v>137</v>
      </c>
      <c r="AZ6" s="1" t="s">
        <v>434</v>
      </c>
      <c r="BA6" s="1" t="s">
        <v>435</v>
      </c>
      <c r="BB6" s="21">
        <v>138</v>
      </c>
      <c r="BC6" s="21">
        <v>139</v>
      </c>
      <c r="BD6" s="21">
        <v>139</v>
      </c>
      <c r="BE6" s="21">
        <v>139</v>
      </c>
      <c r="BF6" s="21"/>
      <c r="BG6" s="1" t="s">
        <v>439</v>
      </c>
      <c r="BH6" s="1">
        <v>176</v>
      </c>
      <c r="BI6" s="1" t="s">
        <v>440</v>
      </c>
    </row>
    <row r="7" spans="1:61" x14ac:dyDescent="0.25"/>
    <row r="8" spans="1:61" ht="13" x14ac:dyDescent="0.3">
      <c r="A8" s="36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Dropdown!$C$2:$C$4</xm:f>
          </x14:formula1>
          <xm:sqref>B2:B6</xm:sqref>
        </x14:dataValidation>
        <x14:dataValidation type="list" allowBlank="1" showInputMessage="1" showErrorMessage="1" xr:uid="{00000000-0002-0000-0D00-000001000000}">
          <x14:formula1>
            <xm:f>Dropdown!$A$2:$A$91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F411-FBC0-4254-9A7F-C55D55D05EA4}">
  <sheetPr codeName="Tabelle2"/>
  <dimension ref="A1:O26"/>
  <sheetViews>
    <sheetView topLeftCell="E1" workbookViewId="0">
      <selection activeCell="I1" sqref="I1"/>
    </sheetView>
  </sheetViews>
  <sheetFormatPr baseColWidth="10" defaultRowHeight="14.5" x14ac:dyDescent="0.35"/>
  <cols>
    <col min="1" max="1" width="28.1796875" bestFit="1" customWidth="1"/>
    <col min="2" max="2" width="21.26953125" bestFit="1" customWidth="1"/>
    <col min="3" max="3" width="12.26953125" bestFit="1" customWidth="1"/>
    <col min="4" max="4" width="7.26953125" bestFit="1" customWidth="1"/>
    <col min="5" max="5" width="19.26953125" bestFit="1" customWidth="1"/>
    <col min="6" max="6" width="14.1796875" bestFit="1" customWidth="1"/>
    <col min="7" max="7" width="15.7265625" bestFit="1" customWidth="1"/>
    <col min="8" max="8" width="28.7265625" bestFit="1" customWidth="1"/>
    <col min="9" max="9" width="24.453125" bestFit="1" customWidth="1"/>
    <col min="10" max="10" width="26.453125" customWidth="1"/>
    <col min="11" max="11" width="34" bestFit="1" customWidth="1"/>
    <col min="12" max="12" width="16" bestFit="1" customWidth="1"/>
    <col min="13" max="13" width="28.1796875" bestFit="1" customWidth="1"/>
    <col min="14" max="14" width="30.81640625" bestFit="1" customWidth="1"/>
    <col min="15" max="15" width="29.1796875" bestFit="1" customWidth="1"/>
  </cols>
  <sheetData>
    <row r="1" spans="1:15" s="1" customFormat="1" ht="13" x14ac:dyDescent="0.3">
      <c r="A1" s="2" t="s">
        <v>0</v>
      </c>
      <c r="B1" s="2" t="s">
        <v>128</v>
      </c>
      <c r="C1" s="2" t="s">
        <v>883</v>
      </c>
      <c r="D1" s="2" t="s">
        <v>8</v>
      </c>
      <c r="E1" s="2" t="s">
        <v>158</v>
      </c>
      <c r="F1" s="2" t="s">
        <v>159</v>
      </c>
      <c r="G1" s="2" t="s">
        <v>310</v>
      </c>
      <c r="H1" s="2" t="s">
        <v>833</v>
      </c>
      <c r="I1" s="2" t="s">
        <v>84</v>
      </c>
      <c r="J1" s="2" t="s">
        <v>930</v>
      </c>
      <c r="K1" s="2" t="s">
        <v>929</v>
      </c>
      <c r="L1" s="2" t="s">
        <v>20</v>
      </c>
      <c r="M1" s="2" t="s">
        <v>867</v>
      </c>
      <c r="N1" s="2" t="s">
        <v>1123</v>
      </c>
      <c r="O1" s="2" t="s">
        <v>6</v>
      </c>
    </row>
    <row r="2" spans="1:15" s="1" customFormat="1" ht="12.5" x14ac:dyDescent="0.25">
      <c r="A2" s="1" t="s">
        <v>129</v>
      </c>
      <c r="B2" s="1" t="s">
        <v>139</v>
      </c>
      <c r="D2" s="30">
        <v>2017</v>
      </c>
      <c r="E2" s="1">
        <v>1</v>
      </c>
      <c r="F2" s="1">
        <v>0</v>
      </c>
      <c r="G2" s="1">
        <v>0</v>
      </c>
      <c r="H2" s="30">
        <v>6</v>
      </c>
      <c r="I2" s="33">
        <v>0.94</v>
      </c>
      <c r="J2" s="30"/>
      <c r="K2" s="30">
        <v>0.1</v>
      </c>
      <c r="L2" s="1" t="s">
        <v>931</v>
      </c>
      <c r="M2" s="30">
        <v>752</v>
      </c>
      <c r="N2" s="30">
        <v>752</v>
      </c>
      <c r="O2" s="30">
        <v>752</v>
      </c>
    </row>
    <row r="3" spans="1:15" x14ac:dyDescent="0.35">
      <c r="A3" s="1" t="s">
        <v>130</v>
      </c>
      <c r="B3" s="1" t="s">
        <v>139</v>
      </c>
      <c r="C3" s="1"/>
      <c r="D3" s="30">
        <v>2017</v>
      </c>
      <c r="E3" s="1">
        <v>1</v>
      </c>
      <c r="F3" s="1">
        <v>0</v>
      </c>
      <c r="G3" s="1">
        <v>0</v>
      </c>
      <c r="H3" s="65">
        <v>4.5</v>
      </c>
      <c r="I3" s="33">
        <v>0.94</v>
      </c>
      <c r="J3" s="1"/>
      <c r="K3" s="1">
        <f>10/60</f>
        <v>0.16666666666666666</v>
      </c>
      <c r="L3" s="1" t="s">
        <v>931</v>
      </c>
      <c r="M3" s="30">
        <v>752</v>
      </c>
      <c r="N3" s="30">
        <v>752</v>
      </c>
      <c r="O3" s="30">
        <v>752</v>
      </c>
    </row>
    <row r="4" spans="1:15" x14ac:dyDescent="0.35">
      <c r="A4" s="1" t="s">
        <v>283</v>
      </c>
      <c r="B4" s="1" t="s">
        <v>139</v>
      </c>
      <c r="C4" s="1"/>
      <c r="D4" s="30">
        <v>2017</v>
      </c>
      <c r="E4" s="1">
        <v>1</v>
      </c>
      <c r="F4" s="1">
        <v>0</v>
      </c>
      <c r="G4" s="1">
        <v>0</v>
      </c>
      <c r="H4" s="65">
        <v>6</v>
      </c>
      <c r="I4" s="64">
        <v>0.93</v>
      </c>
      <c r="J4" s="1"/>
      <c r="K4" s="1">
        <f>6/60</f>
        <v>0.1</v>
      </c>
      <c r="L4" s="1" t="s">
        <v>931</v>
      </c>
      <c r="M4" s="30">
        <v>752</v>
      </c>
      <c r="N4" s="30">
        <v>752</v>
      </c>
      <c r="O4" s="30">
        <v>752</v>
      </c>
    </row>
    <row r="5" spans="1:15" x14ac:dyDescent="0.35">
      <c r="A5" s="1" t="s">
        <v>926</v>
      </c>
      <c r="B5" s="1" t="s">
        <v>139</v>
      </c>
      <c r="C5" s="1"/>
      <c r="D5" s="30">
        <v>2017</v>
      </c>
      <c r="E5" s="1">
        <v>1</v>
      </c>
      <c r="F5" s="1">
        <v>0</v>
      </c>
      <c r="G5" s="1">
        <v>0</v>
      </c>
      <c r="H5" s="65">
        <v>16.399999999999999</v>
      </c>
      <c r="I5" s="64">
        <v>0.9</v>
      </c>
      <c r="J5" s="1">
        <f>1/60</f>
        <v>1.6666666666666666E-2</v>
      </c>
      <c r="K5" s="1">
        <f>1/60</f>
        <v>1.6666666666666666E-2</v>
      </c>
      <c r="L5" s="1"/>
      <c r="M5" s="30">
        <v>752</v>
      </c>
      <c r="N5" s="30">
        <v>752</v>
      </c>
      <c r="O5" s="30">
        <v>752</v>
      </c>
    </row>
    <row r="6" spans="1:15" x14ac:dyDescent="0.35">
      <c r="A6" s="1" t="s">
        <v>132</v>
      </c>
      <c r="B6" s="1" t="s">
        <v>139</v>
      </c>
      <c r="C6" s="1"/>
      <c r="D6" s="30">
        <v>2017</v>
      </c>
      <c r="E6" s="1">
        <v>1</v>
      </c>
      <c r="F6" s="1">
        <v>0</v>
      </c>
      <c r="G6" s="1">
        <v>0</v>
      </c>
      <c r="H6" s="65">
        <v>14.9</v>
      </c>
      <c r="I6" s="64">
        <v>0.97</v>
      </c>
      <c r="J6" s="1">
        <v>0.5</v>
      </c>
      <c r="K6" s="1">
        <v>0.5</v>
      </c>
      <c r="L6" s="1"/>
      <c r="M6" s="30">
        <v>752</v>
      </c>
      <c r="N6" s="30">
        <v>752</v>
      </c>
      <c r="O6" s="30">
        <v>752</v>
      </c>
    </row>
    <row r="7" spans="1:15" x14ac:dyDescent="0.35">
      <c r="A7" s="1" t="s">
        <v>133</v>
      </c>
      <c r="B7" s="1" t="s">
        <v>139</v>
      </c>
      <c r="C7" s="1"/>
      <c r="D7" s="30">
        <v>2017</v>
      </c>
      <c r="E7" s="1">
        <v>1</v>
      </c>
      <c r="F7" s="1">
        <v>0</v>
      </c>
      <c r="G7" s="1">
        <v>0</v>
      </c>
      <c r="H7" s="65">
        <v>13.4</v>
      </c>
      <c r="I7" s="64">
        <v>0.97</v>
      </c>
      <c r="J7" s="1">
        <v>0.5</v>
      </c>
      <c r="K7" s="1">
        <v>0.5</v>
      </c>
      <c r="L7" s="1"/>
      <c r="M7" s="30">
        <v>752</v>
      </c>
      <c r="N7" s="30">
        <v>752</v>
      </c>
      <c r="O7" s="30">
        <v>752</v>
      </c>
    </row>
    <row r="8" spans="1:15" x14ac:dyDescent="0.35">
      <c r="A8" s="1" t="s">
        <v>135</v>
      </c>
      <c r="B8" s="1" t="s">
        <v>139</v>
      </c>
      <c r="C8" s="1"/>
      <c r="D8" s="30">
        <v>2017</v>
      </c>
      <c r="E8" s="1">
        <v>1</v>
      </c>
      <c r="F8" s="1">
        <v>0</v>
      </c>
      <c r="G8" s="1">
        <v>0</v>
      </c>
      <c r="H8" s="65">
        <v>14.1</v>
      </c>
      <c r="I8" s="64">
        <v>0.9</v>
      </c>
      <c r="J8" s="1"/>
      <c r="K8" s="1">
        <v>0.5</v>
      </c>
      <c r="L8" s="1" t="s">
        <v>931</v>
      </c>
      <c r="M8" s="30">
        <v>752</v>
      </c>
      <c r="N8" s="30">
        <v>752</v>
      </c>
      <c r="O8" s="30">
        <v>752</v>
      </c>
    </row>
    <row r="9" spans="1:15" x14ac:dyDescent="0.35">
      <c r="A9" s="1" t="s">
        <v>927</v>
      </c>
      <c r="B9" s="1" t="s">
        <v>139</v>
      </c>
      <c r="C9" s="1"/>
      <c r="D9" s="30">
        <v>2017</v>
      </c>
      <c r="E9" s="1">
        <v>1</v>
      </c>
      <c r="F9" s="1">
        <v>0</v>
      </c>
      <c r="G9" s="1">
        <v>0</v>
      </c>
      <c r="H9" s="65">
        <v>4.5</v>
      </c>
      <c r="I9" s="64">
        <v>0.93</v>
      </c>
      <c r="J9" s="1">
        <v>0.25</v>
      </c>
      <c r="K9" s="1">
        <v>0.25</v>
      </c>
      <c r="L9" s="1"/>
      <c r="M9" s="30">
        <v>752</v>
      </c>
      <c r="N9" s="30">
        <v>752</v>
      </c>
      <c r="O9" s="30">
        <v>752</v>
      </c>
    </row>
    <row r="10" spans="1:15" x14ac:dyDescent="0.35">
      <c r="A10" s="1" t="s">
        <v>138</v>
      </c>
      <c r="B10" s="1" t="s">
        <v>139</v>
      </c>
      <c r="C10" s="1"/>
      <c r="D10" s="30">
        <v>2017</v>
      </c>
      <c r="E10" s="1">
        <v>1</v>
      </c>
      <c r="F10" s="1">
        <v>0</v>
      </c>
      <c r="G10" s="1">
        <v>0</v>
      </c>
      <c r="H10" s="65">
        <v>20.9</v>
      </c>
      <c r="I10" s="64">
        <v>0.93</v>
      </c>
      <c r="J10" s="1"/>
      <c r="K10" s="1">
        <v>0.25</v>
      </c>
      <c r="L10" s="1" t="s">
        <v>931</v>
      </c>
      <c r="M10" s="30">
        <v>752</v>
      </c>
      <c r="N10" s="30">
        <v>752</v>
      </c>
      <c r="O10" s="30">
        <v>752</v>
      </c>
    </row>
    <row r="11" spans="1:15" x14ac:dyDescent="0.35">
      <c r="A11" s="1" t="s">
        <v>150</v>
      </c>
      <c r="B11" s="1" t="s">
        <v>139</v>
      </c>
      <c r="C11" s="1"/>
      <c r="D11" s="30">
        <v>2017</v>
      </c>
      <c r="E11" s="1">
        <v>1</v>
      </c>
      <c r="F11" s="1">
        <v>0</v>
      </c>
      <c r="G11" s="1">
        <v>0</v>
      </c>
      <c r="H11" s="65">
        <v>10.6</v>
      </c>
      <c r="I11" s="64">
        <v>0.93</v>
      </c>
      <c r="J11" s="1">
        <v>0.25</v>
      </c>
      <c r="K11" s="1">
        <v>0.25</v>
      </c>
      <c r="L11" s="1"/>
      <c r="M11" s="30">
        <v>752</v>
      </c>
      <c r="N11" s="30">
        <v>752</v>
      </c>
      <c r="O11" s="30">
        <v>752</v>
      </c>
    </row>
    <row r="12" spans="1:15" x14ac:dyDescent="0.35">
      <c r="A12" s="1" t="s">
        <v>206</v>
      </c>
      <c r="B12" s="1" t="s">
        <v>127</v>
      </c>
      <c r="C12" s="1"/>
      <c r="D12" s="30">
        <v>2017</v>
      </c>
      <c r="E12" s="1">
        <v>1</v>
      </c>
      <c r="F12" s="1">
        <v>0</v>
      </c>
      <c r="G12" s="1">
        <v>0</v>
      </c>
      <c r="H12" s="65">
        <v>7.4</v>
      </c>
      <c r="I12" s="64">
        <v>1</v>
      </c>
      <c r="J12" s="1">
        <v>0.5</v>
      </c>
      <c r="K12" s="1">
        <v>0.5</v>
      </c>
      <c r="L12" s="1"/>
      <c r="M12" s="30">
        <v>752</v>
      </c>
      <c r="N12" s="30">
        <v>752</v>
      </c>
      <c r="O12" s="30">
        <v>752</v>
      </c>
    </row>
    <row r="13" spans="1:15" x14ac:dyDescent="0.35">
      <c r="A13" s="1" t="s">
        <v>209</v>
      </c>
      <c r="B13" s="1" t="s">
        <v>127</v>
      </c>
      <c r="C13" s="1"/>
      <c r="D13" s="30">
        <v>2017</v>
      </c>
      <c r="E13" s="1">
        <v>1</v>
      </c>
      <c r="F13" s="1">
        <v>0</v>
      </c>
      <c r="G13" s="1">
        <v>0</v>
      </c>
      <c r="H13" s="65">
        <v>3</v>
      </c>
      <c r="I13" s="64">
        <v>0.7</v>
      </c>
      <c r="J13" s="1">
        <v>0.25</v>
      </c>
      <c r="K13" s="1">
        <v>0.25</v>
      </c>
      <c r="L13" s="1"/>
      <c r="M13" s="30">
        <v>752</v>
      </c>
      <c r="N13" s="30">
        <v>752</v>
      </c>
      <c r="O13" s="30">
        <v>752</v>
      </c>
    </row>
    <row r="14" spans="1:15" x14ac:dyDescent="0.35">
      <c r="A14" s="1" t="s">
        <v>208</v>
      </c>
      <c r="B14" s="1" t="s">
        <v>127</v>
      </c>
      <c r="C14" s="1"/>
      <c r="D14" s="30">
        <v>2017</v>
      </c>
      <c r="E14" s="1">
        <v>1</v>
      </c>
      <c r="F14" s="1">
        <v>0</v>
      </c>
      <c r="G14" s="1">
        <v>0</v>
      </c>
      <c r="H14" s="65">
        <v>2.6</v>
      </c>
      <c r="I14" s="64">
        <v>0.75</v>
      </c>
      <c r="J14" s="1">
        <v>0.25</v>
      </c>
      <c r="K14" s="1">
        <v>0.25</v>
      </c>
      <c r="L14" s="1"/>
      <c r="M14" s="30">
        <v>752</v>
      </c>
      <c r="N14" s="30">
        <v>752</v>
      </c>
      <c r="O14" s="30">
        <v>752</v>
      </c>
    </row>
    <row r="15" spans="1:15" x14ac:dyDescent="0.35">
      <c r="A15" s="1" t="s">
        <v>136</v>
      </c>
      <c r="B15" s="1" t="s">
        <v>127</v>
      </c>
      <c r="C15" s="1"/>
      <c r="D15" s="30">
        <v>2017</v>
      </c>
      <c r="E15" s="1">
        <v>1</v>
      </c>
      <c r="F15" s="1">
        <v>0</v>
      </c>
      <c r="G15" s="1">
        <v>0</v>
      </c>
      <c r="H15" s="65">
        <v>3.4</v>
      </c>
      <c r="I15" s="64">
        <v>0.25</v>
      </c>
      <c r="J15" s="1">
        <v>2</v>
      </c>
      <c r="K15" s="1">
        <v>0.75</v>
      </c>
      <c r="L15" s="1"/>
      <c r="M15" s="30">
        <v>752</v>
      </c>
      <c r="N15" s="30">
        <v>752</v>
      </c>
      <c r="O15" s="30">
        <v>752</v>
      </c>
    </row>
    <row r="16" spans="1:15" x14ac:dyDescent="0.35">
      <c r="A16" s="1" t="s">
        <v>928</v>
      </c>
      <c r="B16" s="1" t="s">
        <v>127</v>
      </c>
      <c r="C16" s="1"/>
      <c r="D16" s="30">
        <v>2017</v>
      </c>
      <c r="E16" s="1">
        <v>1</v>
      </c>
      <c r="F16" s="1">
        <v>0</v>
      </c>
      <c r="G16" s="1">
        <v>0</v>
      </c>
      <c r="H16" s="65">
        <v>4.2</v>
      </c>
      <c r="I16" s="64">
        <v>1</v>
      </c>
      <c r="J16" s="1">
        <v>8</v>
      </c>
      <c r="K16" s="1">
        <v>0.25</v>
      </c>
      <c r="L16" s="1"/>
      <c r="M16" s="30">
        <v>752</v>
      </c>
      <c r="N16" s="30">
        <v>752</v>
      </c>
      <c r="O16" s="30">
        <v>752</v>
      </c>
    </row>
    <row r="17" spans="1:15" x14ac:dyDescent="0.35">
      <c r="A17" s="1" t="s">
        <v>27</v>
      </c>
      <c r="B17" s="1" t="s">
        <v>126</v>
      </c>
      <c r="C17" s="1"/>
      <c r="D17" s="30">
        <v>2017</v>
      </c>
      <c r="E17" s="1">
        <v>1</v>
      </c>
      <c r="F17" s="1">
        <v>0</v>
      </c>
      <c r="G17" s="1">
        <v>0</v>
      </c>
      <c r="H17" s="65">
        <v>5.3</v>
      </c>
      <c r="I17" s="64">
        <v>0.4</v>
      </c>
      <c r="J17" s="1">
        <v>2</v>
      </c>
      <c r="K17" s="1">
        <v>0</v>
      </c>
      <c r="L17" s="1"/>
      <c r="M17" s="30">
        <v>752</v>
      </c>
      <c r="N17" s="30">
        <v>752</v>
      </c>
      <c r="O17" s="30">
        <v>752</v>
      </c>
    </row>
    <row r="18" spans="1:15" x14ac:dyDescent="0.35">
      <c r="A18" s="1" t="s">
        <v>39</v>
      </c>
      <c r="B18" s="1" t="s">
        <v>126</v>
      </c>
      <c r="C18" s="1"/>
      <c r="D18" s="30">
        <v>2017</v>
      </c>
      <c r="E18" s="1">
        <v>1</v>
      </c>
      <c r="F18" s="1">
        <v>0</v>
      </c>
      <c r="G18" s="1">
        <v>0</v>
      </c>
      <c r="H18" s="65">
        <v>5</v>
      </c>
      <c r="I18" s="64">
        <v>0.3</v>
      </c>
      <c r="J18" s="1">
        <v>4</v>
      </c>
      <c r="K18" s="1">
        <v>0</v>
      </c>
      <c r="L18" s="1"/>
      <c r="M18" s="30">
        <v>752</v>
      </c>
      <c r="N18" s="30">
        <v>752</v>
      </c>
      <c r="O18" s="30">
        <v>752</v>
      </c>
    </row>
    <row r="19" spans="1:15" x14ac:dyDescent="0.35">
      <c r="A19" s="1" t="s">
        <v>51</v>
      </c>
      <c r="B19" s="1" t="s">
        <v>126</v>
      </c>
      <c r="C19" s="1"/>
      <c r="D19" s="30">
        <v>2017</v>
      </c>
      <c r="E19" s="1">
        <v>1</v>
      </c>
      <c r="F19" s="1">
        <v>0</v>
      </c>
      <c r="G19" s="1">
        <v>0</v>
      </c>
      <c r="H19" s="65">
        <v>7.8</v>
      </c>
      <c r="I19" s="64">
        <v>0.25</v>
      </c>
      <c r="J19" s="1">
        <v>4</v>
      </c>
      <c r="K19" s="1">
        <v>0</v>
      </c>
      <c r="L19" s="1"/>
      <c r="M19" s="30">
        <v>752</v>
      </c>
      <c r="N19" s="30">
        <v>752</v>
      </c>
      <c r="O19" s="30">
        <v>752</v>
      </c>
    </row>
    <row r="20" spans="1:15" x14ac:dyDescent="0.35">
      <c r="A20" s="1" t="s">
        <v>277</v>
      </c>
      <c r="B20" s="1" t="s">
        <v>126</v>
      </c>
      <c r="C20" s="1"/>
      <c r="D20" s="30">
        <v>2017</v>
      </c>
      <c r="E20" s="1">
        <v>1</v>
      </c>
      <c r="F20" s="1">
        <v>0</v>
      </c>
      <c r="G20" s="1">
        <v>0</v>
      </c>
      <c r="H20" s="65">
        <v>1.1000000000000001</v>
      </c>
      <c r="I20" s="64">
        <v>0.25</v>
      </c>
      <c r="J20" s="1">
        <v>4</v>
      </c>
      <c r="K20" s="1">
        <v>0</v>
      </c>
      <c r="L20" s="1"/>
      <c r="M20" s="30">
        <v>752</v>
      </c>
      <c r="N20" s="30">
        <v>752</v>
      </c>
      <c r="O20" s="30">
        <v>752</v>
      </c>
    </row>
    <row r="21" spans="1:15" x14ac:dyDescent="0.35">
      <c r="A21" s="1" t="s">
        <v>185</v>
      </c>
      <c r="B21" s="1" t="s">
        <v>126</v>
      </c>
      <c r="C21" s="1"/>
      <c r="D21" s="30">
        <v>2017</v>
      </c>
      <c r="E21" s="1">
        <v>1</v>
      </c>
      <c r="F21" s="1">
        <v>0</v>
      </c>
      <c r="G21" s="1">
        <v>0</v>
      </c>
      <c r="H21" s="65">
        <v>20.8</v>
      </c>
      <c r="I21" s="64">
        <v>1</v>
      </c>
      <c r="J21" s="1">
        <v>1.5</v>
      </c>
      <c r="K21" s="1">
        <v>0</v>
      </c>
      <c r="L21" s="1"/>
      <c r="M21" s="30">
        <v>752</v>
      </c>
      <c r="N21" s="30">
        <v>752</v>
      </c>
      <c r="O21" s="30">
        <v>752</v>
      </c>
    </row>
    <row r="22" spans="1:15" x14ac:dyDescent="0.35">
      <c r="A22" s="1" t="s">
        <v>81</v>
      </c>
      <c r="B22" s="1" t="s">
        <v>126</v>
      </c>
      <c r="C22" s="1"/>
      <c r="D22" s="30">
        <v>2017</v>
      </c>
      <c r="E22" s="1">
        <v>1</v>
      </c>
      <c r="F22" s="1">
        <v>0</v>
      </c>
      <c r="G22" s="1">
        <v>0</v>
      </c>
      <c r="H22" s="65">
        <v>5.3</v>
      </c>
      <c r="I22" s="64">
        <v>1</v>
      </c>
      <c r="J22" s="1">
        <v>0.5</v>
      </c>
      <c r="K22" s="1">
        <v>0</v>
      </c>
      <c r="L22" s="1"/>
      <c r="M22" s="30">
        <v>752</v>
      </c>
      <c r="N22" s="30">
        <v>752</v>
      </c>
      <c r="O22" s="30">
        <v>752</v>
      </c>
    </row>
    <row r="23" spans="1:15" x14ac:dyDescent="0.35">
      <c r="A23" s="1" t="s">
        <v>938</v>
      </c>
      <c r="B23" s="1" t="s">
        <v>126</v>
      </c>
      <c r="C23" s="1"/>
      <c r="D23" s="30">
        <v>2017</v>
      </c>
      <c r="E23" s="1">
        <v>1</v>
      </c>
      <c r="F23" s="1">
        <v>0</v>
      </c>
      <c r="G23" s="1">
        <v>0</v>
      </c>
      <c r="H23" s="65">
        <v>2.2000000000000002</v>
      </c>
      <c r="I23" s="64">
        <v>1</v>
      </c>
      <c r="J23" s="1">
        <v>3</v>
      </c>
      <c r="K23" s="1">
        <v>0</v>
      </c>
      <c r="L23" s="1"/>
      <c r="M23" s="30">
        <v>752</v>
      </c>
      <c r="N23" s="30">
        <v>752</v>
      </c>
      <c r="O23" s="30">
        <v>752</v>
      </c>
    </row>
    <row r="24" spans="1:15" x14ac:dyDescent="0.35">
      <c r="A24" s="1" t="s">
        <v>990</v>
      </c>
      <c r="B24" s="1" t="s">
        <v>126</v>
      </c>
      <c r="C24" s="1"/>
      <c r="D24" s="30">
        <v>2017</v>
      </c>
      <c r="E24" s="1">
        <v>1</v>
      </c>
      <c r="F24" s="1">
        <v>0</v>
      </c>
      <c r="G24" s="1">
        <v>0</v>
      </c>
      <c r="H24" s="65"/>
      <c r="I24" s="64"/>
      <c r="J24" s="1"/>
      <c r="K24" s="1"/>
      <c r="L24" s="1"/>
      <c r="M24" s="1"/>
      <c r="N24" s="13"/>
      <c r="O24" s="1"/>
    </row>
    <row r="25" spans="1:15" x14ac:dyDescent="0.35">
      <c r="A25" s="1" t="s">
        <v>398</v>
      </c>
      <c r="B25" s="1" t="s">
        <v>127</v>
      </c>
      <c r="C25" s="1"/>
      <c r="D25" s="30">
        <v>2017</v>
      </c>
      <c r="E25" s="1">
        <v>1</v>
      </c>
      <c r="F25" s="1">
        <v>0</v>
      </c>
      <c r="G25" s="1">
        <v>0</v>
      </c>
      <c r="H25" s="65"/>
      <c r="I25" s="64"/>
      <c r="J25" s="1"/>
      <c r="K25" s="1"/>
      <c r="L25" s="1"/>
      <c r="M25" s="1"/>
      <c r="N25" s="13"/>
      <c r="O25" s="1"/>
    </row>
    <row r="26" spans="1:15" x14ac:dyDescent="0.35">
      <c r="A26" s="1" t="s">
        <v>823</v>
      </c>
      <c r="B26" s="1" t="s">
        <v>139</v>
      </c>
      <c r="C26" s="1"/>
      <c r="D26" s="30">
        <v>2017</v>
      </c>
      <c r="E26" s="1">
        <v>1</v>
      </c>
      <c r="F26" s="1">
        <v>0</v>
      </c>
      <c r="G26" s="1">
        <v>0</v>
      </c>
      <c r="H26" s="65"/>
      <c r="I26" s="64"/>
      <c r="J26" s="1"/>
      <c r="K26" s="1"/>
      <c r="L26" s="1"/>
      <c r="M26" s="1"/>
      <c r="N26" s="13"/>
      <c r="O26" s="1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CB1BD7-CDB6-4C66-BC4B-233F90D4CB7B}">
          <x14:formula1>
            <xm:f>Dropdown!$B$2:$B$6</xm:f>
          </x14:formula1>
          <xm:sqref>C2:C26</xm:sqref>
        </x14:dataValidation>
        <x14:dataValidation type="list" allowBlank="1" showInputMessage="1" showErrorMessage="1" xr:uid="{89D2651D-A42B-4435-807F-A20786DDA62D}">
          <x14:formula1>
            <xm:f>Dropdown!$C$2:$C$7</xm:f>
          </x14:formula1>
          <xm:sqref>B2:B26</xm:sqref>
        </x14:dataValidation>
        <x14:dataValidation type="list" allowBlank="1" showInputMessage="1" showErrorMessage="1" xr:uid="{CE87E104-EDC3-4339-B619-D466AA40AD1C}">
          <x14:formula1>
            <xm:f>Dropdown!$A$2:$A$103</xm:f>
          </x14:formula1>
          <xm:sqref>A2:A26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8"/>
  <dimension ref="A1:S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9" sqref="F9:S9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7" width="17.7265625" style="1" customWidth="1"/>
    <col min="8" max="8" width="28.81640625" style="1" bestFit="1" customWidth="1"/>
    <col min="9" max="9" width="29.26953125" style="1" bestFit="1" customWidth="1"/>
    <col min="10" max="10" width="24.54296875" style="1" customWidth="1"/>
    <col min="11" max="11" width="24.453125" style="1" bestFit="1" customWidth="1"/>
    <col min="12" max="13" width="27.453125" style="1" customWidth="1"/>
    <col min="14" max="14" width="24" style="1" bestFit="1" customWidth="1"/>
    <col min="15" max="15" width="35.54296875" style="1" customWidth="1"/>
    <col min="16" max="16" width="31.7265625" style="1" bestFit="1" customWidth="1"/>
    <col min="17" max="17" width="31.54296875" style="1" bestFit="1" customWidth="1"/>
    <col min="18" max="18" width="28.81640625" style="1" bestFit="1" customWidth="1"/>
    <col min="19" max="19" width="34.453125" style="1" bestFit="1" customWidth="1"/>
    <col min="20" max="16384" width="11.453125" style="1"/>
  </cols>
  <sheetData>
    <row r="1" spans="1:19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833</v>
      </c>
      <c r="H1" s="2" t="s">
        <v>47</v>
      </c>
      <c r="I1" s="2" t="s">
        <v>48</v>
      </c>
      <c r="J1" s="2" t="s">
        <v>153</v>
      </c>
      <c r="K1" s="2" t="s">
        <v>154</v>
      </c>
      <c r="L1" s="2" t="s">
        <v>426</v>
      </c>
      <c r="M1" s="2" t="s">
        <v>222</v>
      </c>
      <c r="N1" s="2" t="s">
        <v>14</v>
      </c>
      <c r="O1" s="2" t="s">
        <v>161</v>
      </c>
      <c r="P1" s="2" t="s">
        <v>1</v>
      </c>
      <c r="Q1" s="2" t="s">
        <v>2</v>
      </c>
      <c r="R1" s="2" t="s">
        <v>5</v>
      </c>
      <c r="S1" s="2" t="s">
        <v>16</v>
      </c>
    </row>
    <row r="2" spans="1:19" x14ac:dyDescent="0.25">
      <c r="A2" s="1" t="s">
        <v>829</v>
      </c>
      <c r="B2" s="1" t="s">
        <v>139</v>
      </c>
      <c r="C2" s="1">
        <v>2020</v>
      </c>
      <c r="D2" s="1">
        <v>1</v>
      </c>
      <c r="E2" s="1">
        <v>0</v>
      </c>
      <c r="F2" s="1">
        <v>0</v>
      </c>
      <c r="H2" s="1">
        <v>0</v>
      </c>
      <c r="I2" s="1">
        <f>75+43</f>
        <v>118</v>
      </c>
      <c r="J2" s="1">
        <f>44+29</f>
        <v>73</v>
      </c>
      <c r="K2" s="1">
        <f>197+190</f>
        <v>387</v>
      </c>
      <c r="O2" s="1">
        <v>15</v>
      </c>
      <c r="P2" s="1">
        <v>19</v>
      </c>
      <c r="Q2" s="1">
        <v>19</v>
      </c>
    </row>
    <row r="3" spans="1:19" x14ac:dyDescent="0.25">
      <c r="A3" s="1" t="s">
        <v>829</v>
      </c>
      <c r="B3" s="1" t="s">
        <v>139</v>
      </c>
      <c r="C3" s="1">
        <v>2030</v>
      </c>
      <c r="D3" s="1">
        <v>1</v>
      </c>
      <c r="E3" s="1">
        <v>0</v>
      </c>
      <c r="F3" s="1">
        <v>0</v>
      </c>
      <c r="H3" s="1">
        <v>5</v>
      </c>
      <c r="I3" s="1">
        <f>316+551</f>
        <v>867</v>
      </c>
      <c r="J3" s="1">
        <f>109+44</f>
        <v>153</v>
      </c>
      <c r="K3" s="1">
        <f>205+195</f>
        <v>400</v>
      </c>
      <c r="O3" s="1">
        <v>15</v>
      </c>
      <c r="P3" s="1">
        <v>19</v>
      </c>
      <c r="Q3" s="1">
        <v>19</v>
      </c>
    </row>
    <row r="4" spans="1:19" x14ac:dyDescent="0.25">
      <c r="A4" s="1" t="s">
        <v>134</v>
      </c>
      <c r="B4" s="30" t="s">
        <v>139</v>
      </c>
      <c r="C4" s="30">
        <v>2015</v>
      </c>
      <c r="D4" s="1">
        <v>1</v>
      </c>
      <c r="E4" s="1">
        <v>0</v>
      </c>
      <c r="F4" s="1">
        <v>0</v>
      </c>
      <c r="H4" s="31">
        <v>47</v>
      </c>
      <c r="I4" s="31"/>
      <c r="J4" s="60"/>
      <c r="K4" s="60"/>
      <c r="L4" s="60">
        <v>1</v>
      </c>
      <c r="M4" s="60">
        <v>2</v>
      </c>
      <c r="N4" s="1" t="s">
        <v>830</v>
      </c>
      <c r="O4" s="1" t="s">
        <v>831</v>
      </c>
      <c r="P4" s="35">
        <v>22</v>
      </c>
      <c r="Q4" s="30">
        <v>22</v>
      </c>
      <c r="R4" s="1" t="s">
        <v>457</v>
      </c>
      <c r="S4" s="1" t="s">
        <v>457</v>
      </c>
    </row>
    <row r="5" spans="1:19" x14ac:dyDescent="0.25">
      <c r="A5" s="55" t="s">
        <v>150</v>
      </c>
      <c r="B5" s="55" t="s">
        <v>139</v>
      </c>
      <c r="C5" s="55">
        <v>2015</v>
      </c>
      <c r="D5" s="1">
        <v>1</v>
      </c>
      <c r="E5" s="1">
        <v>0</v>
      </c>
      <c r="F5" s="1">
        <v>0</v>
      </c>
      <c r="H5" s="56"/>
      <c r="I5" s="56">
        <v>2316</v>
      </c>
      <c r="J5" s="60"/>
      <c r="K5" s="60"/>
      <c r="L5" s="60"/>
      <c r="M5" s="60"/>
      <c r="N5" s="55" t="s">
        <v>832</v>
      </c>
      <c r="O5" s="55">
        <v>15</v>
      </c>
      <c r="P5" s="62">
        <v>23</v>
      </c>
      <c r="Q5" s="55"/>
      <c r="R5" s="55"/>
      <c r="S5" s="55">
        <v>23</v>
      </c>
    </row>
    <row r="6" spans="1:19" x14ac:dyDescent="0.25">
      <c r="A6" s="55" t="s">
        <v>362</v>
      </c>
      <c r="B6" s="55" t="s">
        <v>139</v>
      </c>
      <c r="C6" s="55">
        <v>2015</v>
      </c>
      <c r="D6" s="1">
        <v>1</v>
      </c>
      <c r="E6" s="1">
        <v>0</v>
      </c>
      <c r="F6" s="1">
        <v>0</v>
      </c>
      <c r="H6" s="56"/>
      <c r="I6" s="56"/>
      <c r="J6" s="60"/>
      <c r="K6" s="60"/>
      <c r="L6" s="60"/>
      <c r="M6" s="60"/>
      <c r="N6" s="55"/>
      <c r="O6" s="55"/>
      <c r="P6" s="62"/>
      <c r="Q6" s="55"/>
      <c r="R6" s="55"/>
      <c r="S6" s="55"/>
    </row>
    <row r="7" spans="1:19" x14ac:dyDescent="0.25">
      <c r="A7" s="55" t="s">
        <v>138</v>
      </c>
      <c r="B7" s="55" t="s">
        <v>139</v>
      </c>
      <c r="C7" s="55">
        <v>2015</v>
      </c>
      <c r="D7" s="55">
        <v>1</v>
      </c>
      <c r="E7" s="55">
        <v>0</v>
      </c>
      <c r="F7" s="1">
        <v>0</v>
      </c>
      <c r="G7" s="55">
        <v>13.2</v>
      </c>
      <c r="H7" s="56"/>
      <c r="I7" s="56">
        <v>6000</v>
      </c>
      <c r="J7" s="60"/>
      <c r="K7" s="60">
        <v>26000</v>
      </c>
      <c r="L7" s="60"/>
      <c r="M7" s="60"/>
      <c r="N7" s="55"/>
      <c r="O7" s="55"/>
      <c r="P7" s="62">
        <v>27</v>
      </c>
      <c r="Q7" s="55">
        <v>27</v>
      </c>
      <c r="R7" s="55"/>
      <c r="S7" s="55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1000000}">
          <x14:formula1>
            <xm:f>Dropdown!$C$2:$C$4</xm:f>
          </x14:formula1>
          <xm:sqref>B2:B7</xm:sqref>
        </x14:dataValidation>
        <x14:dataValidation type="list" allowBlank="1" showInputMessage="1" showErrorMessage="1" xr:uid="{0FCCB5EC-ABF0-4008-B3B6-3741A1E3359C}">
          <x14:formula1>
            <xm:f>Dropdown!$A$2:$A$92</xm:f>
          </x14:formula1>
          <xm:sqref>A2:A7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2C54-AFC3-4DA1-9340-70D6E0876403}">
  <dimension ref="A1:Y5"/>
  <sheetViews>
    <sheetView zoomScale="90" zoomScaleNormal="9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2" sqref="H12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38.81640625" style="1" bestFit="1" customWidth="1"/>
    <col min="8" max="8" width="29.26953125" style="1" bestFit="1" customWidth="1"/>
    <col min="9" max="14" width="29.26953125" style="1" customWidth="1"/>
    <col min="15" max="15" width="25.81640625" style="1" bestFit="1" customWidth="1"/>
    <col min="16" max="16" width="24" style="1" bestFit="1" customWidth="1"/>
    <col min="17" max="17" width="56.7265625" style="1" bestFit="1" customWidth="1"/>
    <col min="18" max="19" width="35.54296875" style="1" customWidth="1"/>
    <col min="20" max="20" width="31.7265625" style="1" bestFit="1" customWidth="1"/>
    <col min="21" max="21" width="31.54296875" style="1" bestFit="1" customWidth="1"/>
    <col min="22" max="22" width="34" style="1" bestFit="1" customWidth="1"/>
    <col min="23" max="23" width="34.453125" style="1" bestFit="1" customWidth="1"/>
    <col min="24" max="24" width="31" style="1" bestFit="1" customWidth="1"/>
    <col min="25" max="25" width="28.81640625" style="1" bestFit="1" customWidth="1"/>
    <col min="26" max="16384" width="11.453125" style="1"/>
  </cols>
  <sheetData>
    <row r="1" spans="1:25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47</v>
      </c>
      <c r="H1" s="2" t="s">
        <v>146</v>
      </c>
      <c r="I1" s="2" t="s">
        <v>48</v>
      </c>
      <c r="J1" s="2" t="s">
        <v>153</v>
      </c>
      <c r="K1" s="2" t="s">
        <v>155</v>
      </c>
      <c r="L1" s="2" t="s">
        <v>154</v>
      </c>
      <c r="M1" s="2" t="s">
        <v>211</v>
      </c>
      <c r="N1" s="2" t="s">
        <v>3</v>
      </c>
      <c r="O1" s="2" t="s">
        <v>212</v>
      </c>
      <c r="P1" s="2" t="s">
        <v>14</v>
      </c>
      <c r="Q1" s="2" t="s">
        <v>20</v>
      </c>
      <c r="R1" s="2" t="s">
        <v>161</v>
      </c>
      <c r="S1" s="2" t="s">
        <v>162</v>
      </c>
      <c r="T1" s="2" t="s">
        <v>1</v>
      </c>
      <c r="U1" s="2" t="s">
        <v>2</v>
      </c>
      <c r="V1" s="2" t="s">
        <v>6</v>
      </c>
      <c r="W1" s="2" t="s">
        <v>16</v>
      </c>
      <c r="X1" s="2" t="s">
        <v>21</v>
      </c>
      <c r="Y1" s="2" t="s">
        <v>49</v>
      </c>
    </row>
    <row r="2" spans="1:25" x14ac:dyDescent="0.25">
      <c r="A2" s="6" t="s">
        <v>296</v>
      </c>
      <c r="B2" s="1" t="s">
        <v>126</v>
      </c>
      <c r="C2" s="1">
        <v>2018</v>
      </c>
      <c r="D2" s="1">
        <v>1</v>
      </c>
      <c r="E2" s="1">
        <v>0</v>
      </c>
      <c r="F2" s="1">
        <v>0</v>
      </c>
      <c r="G2" s="19">
        <v>198</v>
      </c>
      <c r="H2" s="19">
        <v>198</v>
      </c>
      <c r="I2" s="19">
        <v>440</v>
      </c>
      <c r="J2" s="19">
        <v>198</v>
      </c>
      <c r="K2" s="19">
        <v>198</v>
      </c>
      <c r="L2" s="19">
        <v>440</v>
      </c>
      <c r="M2" s="19">
        <v>2</v>
      </c>
      <c r="N2" s="19">
        <v>3</v>
      </c>
      <c r="O2" s="1">
        <v>4</v>
      </c>
      <c r="R2" s="112">
        <v>1292</v>
      </c>
      <c r="S2" s="1">
        <v>1292</v>
      </c>
      <c r="T2" s="13">
        <v>1292</v>
      </c>
      <c r="U2" s="1">
        <v>1292</v>
      </c>
      <c r="V2" s="1">
        <v>1292</v>
      </c>
      <c r="Y2" s="1" t="s">
        <v>1236</v>
      </c>
    </row>
    <row r="3" spans="1:25" x14ac:dyDescent="0.25">
      <c r="A3" s="112" t="s">
        <v>164</v>
      </c>
      <c r="B3" s="112" t="s">
        <v>139</v>
      </c>
      <c r="C3" s="112">
        <v>2018</v>
      </c>
      <c r="D3" s="112">
        <v>1</v>
      </c>
      <c r="E3" s="112">
        <v>0</v>
      </c>
      <c r="F3" s="1">
        <v>0</v>
      </c>
      <c r="G3" s="113"/>
      <c r="H3" s="113">
        <v>399</v>
      </c>
      <c r="I3" s="19"/>
      <c r="J3" s="19"/>
      <c r="K3" s="19">
        <v>399</v>
      </c>
      <c r="L3" s="19"/>
      <c r="M3" s="19"/>
      <c r="N3" s="19">
        <v>24</v>
      </c>
      <c r="O3" s="112"/>
      <c r="P3" s="112"/>
      <c r="Q3" s="112"/>
      <c r="R3" s="112">
        <v>1292</v>
      </c>
      <c r="S3" s="1">
        <v>1292</v>
      </c>
      <c r="T3" s="13">
        <v>1292</v>
      </c>
      <c r="U3" s="1">
        <v>1292</v>
      </c>
      <c r="V3" s="1">
        <v>1292</v>
      </c>
      <c r="W3" s="112"/>
      <c r="X3" s="112"/>
      <c r="Y3" s="1" t="s">
        <v>1236</v>
      </c>
    </row>
    <row r="4" spans="1:25" x14ac:dyDescent="0.25">
      <c r="A4" s="112" t="s">
        <v>362</v>
      </c>
      <c r="B4" s="112" t="s">
        <v>139</v>
      </c>
      <c r="C4" s="112">
        <v>2018</v>
      </c>
      <c r="D4" s="112">
        <v>1</v>
      </c>
      <c r="E4" s="112">
        <v>0</v>
      </c>
      <c r="F4" s="1">
        <v>0</v>
      </c>
      <c r="G4" s="113">
        <v>511</v>
      </c>
      <c r="H4" s="113">
        <v>989</v>
      </c>
      <c r="I4" s="19">
        <v>1102</v>
      </c>
      <c r="J4" s="113">
        <v>511</v>
      </c>
      <c r="K4" s="113">
        <v>989</v>
      </c>
      <c r="L4" s="19">
        <v>1102</v>
      </c>
      <c r="M4" s="19">
        <v>1</v>
      </c>
      <c r="N4" s="19">
        <v>2</v>
      </c>
      <c r="O4" s="112">
        <v>12</v>
      </c>
      <c r="P4" s="112"/>
      <c r="Q4" s="112"/>
      <c r="R4" s="112">
        <v>1292</v>
      </c>
      <c r="S4" s="1">
        <v>1292</v>
      </c>
      <c r="T4" s="13">
        <v>1292</v>
      </c>
      <c r="U4" s="1">
        <v>1292</v>
      </c>
      <c r="V4" s="1">
        <v>1292</v>
      </c>
      <c r="W4" s="112"/>
      <c r="X4" s="112"/>
      <c r="Y4" s="1" t="s">
        <v>1236</v>
      </c>
    </row>
    <row r="5" spans="1:25" x14ac:dyDescent="0.25">
      <c r="A5" s="112" t="s">
        <v>88</v>
      </c>
      <c r="B5" s="112" t="s">
        <v>126</v>
      </c>
      <c r="C5" s="112">
        <v>2018</v>
      </c>
      <c r="D5" s="112">
        <v>1</v>
      </c>
      <c r="E5" s="112">
        <v>0</v>
      </c>
      <c r="F5" s="1">
        <v>0</v>
      </c>
      <c r="G5" s="113">
        <v>1122</v>
      </c>
      <c r="H5" s="113"/>
      <c r="I5" s="19">
        <v>1276</v>
      </c>
      <c r="J5" s="113">
        <v>1122</v>
      </c>
      <c r="K5" s="113"/>
      <c r="L5" s="19">
        <v>1276</v>
      </c>
      <c r="M5" s="19">
        <v>1</v>
      </c>
      <c r="N5" s="19">
        <v>2</v>
      </c>
      <c r="O5" s="112"/>
      <c r="P5" s="112"/>
      <c r="Q5" s="112"/>
      <c r="R5" s="112">
        <v>1292</v>
      </c>
      <c r="S5" s="1">
        <v>1292</v>
      </c>
      <c r="T5" s="13">
        <v>1292</v>
      </c>
      <c r="U5" s="1">
        <v>1292</v>
      </c>
      <c r="V5" s="1">
        <v>1292</v>
      </c>
      <c r="W5" s="112"/>
      <c r="X5" s="112"/>
      <c r="Y5" s="1" t="s">
        <v>1236</v>
      </c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CBFF9F-B09F-4F5B-9D3C-B9EDD84E17FF}">
          <x14:formula1>
            <xm:f>Dropdown!$C$2:$C$4</xm:f>
          </x14:formula1>
          <xm:sqref>B2:B5</xm:sqref>
        </x14:dataValidation>
        <x14:dataValidation type="list" allowBlank="1" showInputMessage="1" showErrorMessage="1" xr:uid="{5E5DA32B-AEBE-43CA-84BE-3DA81AEE047B}">
          <x14:formula1>
            <xm:f>Dropdown!$A$2:$A$100</xm:f>
          </x14:formula1>
          <xm:sqref>A2:A5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9"/>
  <dimension ref="A1:BB45"/>
  <sheetViews>
    <sheetView zoomScale="90" zoomScaleNormal="90" workbookViewId="0">
      <pane xSplit="6" ySplit="1" topLeftCell="AH2" activePane="bottomRight" state="frozen"/>
      <selection pane="topRight" activeCell="G1" sqref="G1"/>
      <selection pane="bottomLeft" activeCell="A2" sqref="A2"/>
      <selection pane="bottomRight" activeCell="AI64" sqref="AI64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38.81640625" style="1" bestFit="1" customWidth="1"/>
    <col min="8" max="8" width="29.26953125" style="1" bestFit="1" customWidth="1"/>
    <col min="9" max="9" width="29.26953125" style="1" customWidth="1"/>
    <col min="10" max="11" width="24.54296875" style="1" customWidth="1"/>
    <col min="12" max="12" width="24.453125" style="1" bestFit="1" customWidth="1"/>
    <col min="13" max="14" width="24.453125" style="1" customWidth="1"/>
    <col min="15" max="15" width="28.453125" style="1" customWidth="1"/>
    <col min="16" max="16" width="27.453125" style="1" bestFit="1" customWidth="1"/>
    <col min="17" max="18" width="27.453125" style="1" customWidth="1"/>
    <col min="19" max="19" width="20.7265625" style="1" bestFit="1" customWidth="1"/>
    <col min="20" max="26" width="20.7265625" style="1" customWidth="1"/>
    <col min="27" max="27" width="25.81640625" style="1" bestFit="1" customWidth="1"/>
    <col min="28" max="28" width="24" style="1" bestFit="1" customWidth="1"/>
    <col min="29" max="31" width="38.26953125" style="1" customWidth="1"/>
    <col min="32" max="32" width="38.26953125" style="1" bestFit="1" customWidth="1"/>
    <col min="33" max="34" width="38.26953125" style="1" customWidth="1"/>
    <col min="35" max="35" width="33.453125" style="1" bestFit="1" customWidth="1"/>
    <col min="36" max="36" width="33.453125" style="1" customWidth="1"/>
    <col min="37" max="37" width="25.7265625" style="1" bestFit="1" customWidth="1"/>
    <col min="38" max="38" width="56.7265625" style="1" bestFit="1" customWidth="1"/>
    <col min="39" max="40" width="35.54296875" style="1" customWidth="1"/>
    <col min="41" max="41" width="31.7265625" style="1" bestFit="1" customWidth="1"/>
    <col min="42" max="42" width="31.54296875" style="1" bestFit="1" customWidth="1"/>
    <col min="43" max="43" width="31.54296875" style="1" customWidth="1"/>
    <col min="44" max="44" width="37.453125" style="1" bestFit="1" customWidth="1"/>
    <col min="45" max="45" width="35.7265625" style="1" bestFit="1" customWidth="1"/>
    <col min="46" max="46" width="28.81640625" style="1" bestFit="1" customWidth="1"/>
    <col min="47" max="47" width="34" style="1" bestFit="1" customWidth="1"/>
    <col min="48" max="48" width="34.453125" style="1" bestFit="1" customWidth="1"/>
    <col min="49" max="49" width="38.1796875" style="1" bestFit="1" customWidth="1"/>
    <col min="50" max="50" width="22.81640625" style="1" bestFit="1" customWidth="1"/>
    <col min="51" max="51" width="28.54296875" style="1" bestFit="1" customWidth="1"/>
    <col min="52" max="52" width="28.26953125" style="1" bestFit="1" customWidth="1"/>
    <col min="53" max="53" width="31" style="1" bestFit="1" customWidth="1"/>
    <col min="54" max="54" width="28.81640625" style="1" bestFit="1" customWidth="1"/>
    <col min="55" max="16384" width="11.453125" style="1"/>
  </cols>
  <sheetData>
    <row r="1" spans="1:54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146</v>
      </c>
      <c r="H1" s="2" t="s">
        <v>48</v>
      </c>
      <c r="I1" s="2" t="s">
        <v>541</v>
      </c>
      <c r="J1" s="2" t="s">
        <v>94</v>
      </c>
      <c r="K1" s="2" t="s">
        <v>155</v>
      </c>
      <c r="L1" s="2" t="s">
        <v>154</v>
      </c>
      <c r="M1" s="2" t="s">
        <v>1117</v>
      </c>
      <c r="N1" s="2" t="s">
        <v>555</v>
      </c>
      <c r="O1" s="2" t="s">
        <v>55</v>
      </c>
      <c r="P1" s="2" t="s">
        <v>9</v>
      </c>
      <c r="Q1" s="2" t="s">
        <v>426</v>
      </c>
      <c r="R1" s="2" t="s">
        <v>222</v>
      </c>
      <c r="S1" s="2" t="s">
        <v>156</v>
      </c>
      <c r="T1" s="2" t="s">
        <v>1128</v>
      </c>
      <c r="U1" s="2" t="s">
        <v>1129</v>
      </c>
      <c r="V1" s="2" t="s">
        <v>224</v>
      </c>
      <c r="W1" s="2" t="s">
        <v>225</v>
      </c>
      <c r="X1" s="2" t="s">
        <v>157</v>
      </c>
      <c r="Y1" s="2" t="s">
        <v>211</v>
      </c>
      <c r="Z1" s="2" t="s">
        <v>212</v>
      </c>
      <c r="AA1" s="2" t="s">
        <v>3</v>
      </c>
      <c r="AB1" s="2" t="s">
        <v>14</v>
      </c>
      <c r="AC1" s="2" t="s">
        <v>96</v>
      </c>
      <c r="AD1" s="2" t="s">
        <v>1251</v>
      </c>
      <c r="AE1" s="2" t="s">
        <v>1252</v>
      </c>
      <c r="AF1" s="2" t="s">
        <v>1246</v>
      </c>
      <c r="AG1" s="2" t="s">
        <v>1266</v>
      </c>
      <c r="AH1" s="2" t="s">
        <v>1267</v>
      </c>
      <c r="AI1" s="2" t="s">
        <v>1247</v>
      </c>
      <c r="AJ1" s="2" t="s">
        <v>1249</v>
      </c>
      <c r="AK1" s="2" t="s">
        <v>1250</v>
      </c>
      <c r="AL1" s="2" t="s">
        <v>20</v>
      </c>
      <c r="AM1" s="2" t="s">
        <v>161</v>
      </c>
      <c r="AN1" s="2" t="s">
        <v>162</v>
      </c>
      <c r="AO1" s="2" t="s">
        <v>1</v>
      </c>
      <c r="AP1" s="2" t="s">
        <v>2</v>
      </c>
      <c r="AQ1" s="2" t="s">
        <v>1123</v>
      </c>
      <c r="AR1" s="2" t="s">
        <v>58</v>
      </c>
      <c r="AS1" s="2" t="s">
        <v>95</v>
      </c>
      <c r="AT1" s="2" t="s">
        <v>5</v>
      </c>
      <c r="AU1" s="2" t="s">
        <v>6</v>
      </c>
      <c r="AV1" s="2" t="s">
        <v>16</v>
      </c>
      <c r="AW1" s="2" t="s">
        <v>7</v>
      </c>
      <c r="AX1" s="2" t="s">
        <v>17</v>
      </c>
      <c r="AY1" s="2" t="s">
        <v>18</v>
      </c>
      <c r="AZ1" s="2" t="s">
        <v>19</v>
      </c>
      <c r="BA1" s="2" t="s">
        <v>21</v>
      </c>
      <c r="BB1" s="2" t="s">
        <v>49</v>
      </c>
    </row>
    <row r="2" spans="1:54" x14ac:dyDescent="0.25">
      <c r="A2" s="6" t="s">
        <v>138</v>
      </c>
      <c r="B2" s="1" t="s">
        <v>139</v>
      </c>
      <c r="C2" s="1">
        <v>2010</v>
      </c>
      <c r="D2" s="1">
        <v>1</v>
      </c>
      <c r="E2" s="1">
        <v>0</v>
      </c>
      <c r="F2" s="1">
        <v>0</v>
      </c>
      <c r="G2" s="19">
        <v>2000</v>
      </c>
      <c r="H2" s="19">
        <v>5864</v>
      </c>
      <c r="I2" s="19"/>
      <c r="J2" s="19"/>
      <c r="K2" s="19">
        <v>21000</v>
      </c>
      <c r="L2" s="19">
        <v>25692</v>
      </c>
      <c r="M2" s="20"/>
      <c r="N2" s="9"/>
      <c r="O2" s="19">
        <v>35000</v>
      </c>
      <c r="AD2" s="19">
        <f>2*Umrechnungsfaktoren!$B$15/Umrechnungsfaktoren!$B$7</f>
        <v>2.2274678111587982</v>
      </c>
      <c r="AE2" s="19">
        <f>42*Umrechnungsfaktoren!$B$15/Umrechnungsfaktoren!$B$7</f>
        <v>46.776824034334759</v>
      </c>
      <c r="AF2" s="8">
        <f>38*Umrechnungsfaktoren!$B$15/Umrechnungsfaktoren!$B$7</f>
        <v>42.321888412017167</v>
      </c>
      <c r="AG2" s="8"/>
      <c r="AH2" s="8"/>
      <c r="AI2" s="8">
        <f>1*Umrechnungsfaktoren!$B$15/Umrechnungsfaktoren!$B$7</f>
        <v>1.1137339055793991</v>
      </c>
      <c r="AJ2" s="8">
        <v>0</v>
      </c>
      <c r="AK2" s="8">
        <f>25.4*Umrechnungsfaktoren!$B$15/Umrechnungsfaktoren!$B$7</f>
        <v>28.288841201716735</v>
      </c>
      <c r="AL2" s="1" t="s">
        <v>149</v>
      </c>
      <c r="AM2" s="1">
        <v>427</v>
      </c>
      <c r="AN2" s="1">
        <v>427</v>
      </c>
      <c r="AO2" s="13">
        <v>414</v>
      </c>
      <c r="AP2" s="13">
        <v>414</v>
      </c>
      <c r="AQ2" s="13"/>
      <c r="AR2" s="13">
        <v>414</v>
      </c>
      <c r="AS2" s="13"/>
      <c r="AT2" s="13"/>
      <c r="AW2" s="13"/>
      <c r="AX2" s="1" t="s">
        <v>230</v>
      </c>
      <c r="AY2" s="1" t="s">
        <v>226</v>
      </c>
      <c r="AZ2" s="13" t="s">
        <v>226</v>
      </c>
    </row>
    <row r="3" spans="1:54" x14ac:dyDescent="0.25">
      <c r="A3" s="1" t="s">
        <v>138</v>
      </c>
      <c r="B3" s="1" t="s">
        <v>139</v>
      </c>
      <c r="C3" s="1">
        <v>2020</v>
      </c>
      <c r="D3" s="1">
        <v>1</v>
      </c>
      <c r="E3" s="1">
        <v>0</v>
      </c>
      <c r="F3" s="1">
        <v>0</v>
      </c>
      <c r="G3" s="19">
        <v>2000</v>
      </c>
      <c r="H3" s="19">
        <v>5864</v>
      </c>
      <c r="I3" s="19"/>
      <c r="J3" s="19"/>
      <c r="K3" s="19">
        <v>21000</v>
      </c>
      <c r="L3" s="19">
        <v>25692</v>
      </c>
      <c r="M3" s="20"/>
      <c r="N3" s="9"/>
      <c r="O3" s="19">
        <v>35000</v>
      </c>
      <c r="AD3" s="19"/>
      <c r="AE3" s="19">
        <f>1*Umrechnungsfaktoren!$B$15/Umrechnungsfaktoren!$B$7</f>
        <v>1.1137339055793991</v>
      </c>
      <c r="AF3" s="8">
        <f>13*Umrechnungsfaktoren!$B$15/Umrechnungsfaktoren!$B$7</f>
        <v>14.478540772532188</v>
      </c>
      <c r="AG3" s="8"/>
      <c r="AH3" s="8"/>
      <c r="AI3" s="8">
        <f>1*Umrechnungsfaktoren!$B$15/Umrechnungsfaktoren!$B$7</f>
        <v>1.1137339055793991</v>
      </c>
      <c r="AJ3" s="8">
        <v>0</v>
      </c>
      <c r="AK3" s="8">
        <f>25.4*Umrechnungsfaktoren!$B$15/Umrechnungsfaktoren!$B$7</f>
        <v>28.288841201716735</v>
      </c>
      <c r="AL3" s="1" t="s">
        <v>149</v>
      </c>
      <c r="AM3" s="1">
        <v>427</v>
      </c>
      <c r="AN3" s="1">
        <v>427</v>
      </c>
      <c r="AO3" s="13">
        <v>414</v>
      </c>
      <c r="AP3" s="13">
        <v>414</v>
      </c>
      <c r="AQ3" s="13"/>
      <c r="AR3" s="13">
        <v>414</v>
      </c>
      <c r="AS3" s="13"/>
      <c r="AT3" s="13"/>
      <c r="AW3" s="13"/>
      <c r="AX3" s="1" t="s">
        <v>230</v>
      </c>
      <c r="AY3" s="1" t="s">
        <v>226</v>
      </c>
      <c r="AZ3" s="13" t="s">
        <v>226</v>
      </c>
      <c r="BB3" s="1" t="s">
        <v>179</v>
      </c>
    </row>
    <row r="4" spans="1:54" x14ac:dyDescent="0.25">
      <c r="A4" s="6" t="s">
        <v>150</v>
      </c>
      <c r="B4" s="1" t="s">
        <v>139</v>
      </c>
      <c r="C4" s="1">
        <v>2010</v>
      </c>
      <c r="D4" s="1">
        <v>0</v>
      </c>
      <c r="E4" s="1">
        <v>1</v>
      </c>
      <c r="F4" s="1">
        <v>0</v>
      </c>
      <c r="G4" s="19"/>
      <c r="H4" s="19"/>
      <c r="I4" s="19">
        <v>2316</v>
      </c>
      <c r="J4" s="19"/>
      <c r="K4" s="19"/>
      <c r="L4" s="19"/>
      <c r="M4" s="20"/>
      <c r="N4" s="9"/>
      <c r="O4" s="19"/>
      <c r="AD4" s="19">
        <f>779*Umrechnungsfaktoren!$B$15/Umrechnungsfaktoren!$B$7</f>
        <v>867.5987124463519</v>
      </c>
      <c r="AE4" s="19">
        <f>3850*Umrechnungsfaktoren!$B$15/Umrechnungsfaktoren!$B$7</f>
        <v>4287.8755364806866</v>
      </c>
      <c r="AF4" s="8">
        <f>7070*Umrechnungsfaktoren!$B$15/Umrechnungsfaktoren!$B$7</f>
        <v>7874.0987124463518</v>
      </c>
      <c r="AG4" s="8"/>
      <c r="AH4" s="8"/>
      <c r="AI4" s="8">
        <f>1*Umrechnungsfaktoren!$B$15/Umrechnungsfaktoren!$B$7</f>
        <v>1.1137339055793991</v>
      </c>
      <c r="AJ4" s="8">
        <v>0</v>
      </c>
      <c r="AK4" s="8">
        <f>68*Umrechnungsfaktoren!$B$15/Umrechnungsfaktoren!$B$7</f>
        <v>75.733905579399135</v>
      </c>
      <c r="AL4" s="1" t="s">
        <v>151</v>
      </c>
      <c r="AM4" s="1">
        <v>427</v>
      </c>
      <c r="AN4" s="13" t="s">
        <v>178</v>
      </c>
      <c r="AO4" s="13">
        <v>415</v>
      </c>
      <c r="AP4" s="13"/>
      <c r="AQ4" s="13"/>
      <c r="AR4" s="13"/>
      <c r="AS4" s="13"/>
      <c r="AX4" s="1" t="s">
        <v>230</v>
      </c>
      <c r="AY4" s="1" t="s">
        <v>226</v>
      </c>
      <c r="AZ4" s="13" t="s">
        <v>226</v>
      </c>
    </row>
    <row r="5" spans="1:54" x14ac:dyDescent="0.25">
      <c r="A5" s="1" t="s">
        <v>150</v>
      </c>
      <c r="B5" s="1" t="s">
        <v>139</v>
      </c>
      <c r="C5" s="1">
        <v>2020</v>
      </c>
      <c r="D5" s="1">
        <v>0</v>
      </c>
      <c r="E5" s="1">
        <v>1</v>
      </c>
      <c r="F5" s="1">
        <v>0</v>
      </c>
      <c r="G5" s="19"/>
      <c r="H5" s="19"/>
      <c r="I5" s="19">
        <v>2316</v>
      </c>
      <c r="J5" s="19"/>
      <c r="K5" s="19"/>
      <c r="L5" s="19"/>
      <c r="M5" s="20"/>
      <c r="N5" s="9"/>
      <c r="O5" s="19"/>
      <c r="AD5" s="19">
        <f>16*Umrechnungsfaktoren!$B$15/Umrechnungsfaktoren!$B$7</f>
        <v>17.819742489270386</v>
      </c>
      <c r="AE5" s="19">
        <f>77*Umrechnungsfaktoren!$B$15/Umrechnungsfaktoren!$B$7</f>
        <v>85.757510729613728</v>
      </c>
      <c r="AF5" s="8">
        <f>2360*Umrechnungsfaktoren!$B$15/Umrechnungsfaktoren!$B$7</f>
        <v>2628.4120171673821</v>
      </c>
      <c r="AG5" s="8"/>
      <c r="AH5" s="8"/>
      <c r="AI5" s="8">
        <f>1*Umrechnungsfaktoren!$B$15/Umrechnungsfaktoren!$B$7</f>
        <v>1.1137339055793991</v>
      </c>
      <c r="AJ5" s="8">
        <v>0</v>
      </c>
      <c r="AK5" s="8">
        <f>68*Umrechnungsfaktoren!$B$15/Umrechnungsfaktoren!$B$7</f>
        <v>75.733905579399135</v>
      </c>
      <c r="AL5" s="1" t="s">
        <v>151</v>
      </c>
      <c r="AM5" s="1">
        <v>427</v>
      </c>
      <c r="AN5" s="13" t="s">
        <v>178</v>
      </c>
      <c r="AO5" s="13">
        <v>415</v>
      </c>
      <c r="AP5" s="13"/>
      <c r="AQ5" s="13"/>
      <c r="AR5" s="13"/>
      <c r="AS5" s="13"/>
      <c r="AX5" s="1" t="s">
        <v>230</v>
      </c>
      <c r="AY5" s="1">
        <v>530</v>
      </c>
      <c r="AZ5" s="13">
        <v>530</v>
      </c>
      <c r="BB5" s="1" t="s">
        <v>179</v>
      </c>
    </row>
    <row r="6" spans="1:54" x14ac:dyDescent="0.25">
      <c r="A6" s="6" t="s">
        <v>134</v>
      </c>
      <c r="B6" s="1" t="s">
        <v>139</v>
      </c>
      <c r="C6" s="1">
        <v>2010</v>
      </c>
      <c r="D6" s="1">
        <v>1</v>
      </c>
      <c r="E6" s="1">
        <v>0</v>
      </c>
      <c r="F6" s="1">
        <v>0</v>
      </c>
      <c r="G6" s="19"/>
      <c r="H6" s="19">
        <v>722</v>
      </c>
      <c r="I6" s="19"/>
      <c r="J6" s="19"/>
      <c r="K6" s="19"/>
      <c r="L6" s="19">
        <v>1333</v>
      </c>
      <c r="M6" s="20"/>
      <c r="N6" s="9"/>
      <c r="O6" s="19">
        <v>4100</v>
      </c>
      <c r="AD6" s="19">
        <f>8*Umrechnungsfaktoren!$B$15/Umrechnungsfaktoren!$B$7</f>
        <v>8.9098712446351929</v>
      </c>
      <c r="AE6" s="19">
        <f>153*Umrechnungsfaktoren!$B$15/Umrechnungsfaktoren!$B$7</f>
        <v>170.40128755364807</v>
      </c>
      <c r="AF6" s="8"/>
      <c r="AG6" s="8"/>
      <c r="AH6" s="8"/>
      <c r="AI6" s="8"/>
      <c r="AJ6" s="8">
        <v>0</v>
      </c>
      <c r="AK6" s="8"/>
      <c r="AM6" s="1">
        <v>427</v>
      </c>
      <c r="AN6" s="1">
        <v>427</v>
      </c>
      <c r="AO6" s="13">
        <v>415</v>
      </c>
      <c r="AP6" s="13">
        <v>415</v>
      </c>
      <c r="AQ6" s="13"/>
      <c r="AR6" s="13">
        <v>415</v>
      </c>
      <c r="AS6" s="13"/>
      <c r="AX6" s="1" t="s">
        <v>230</v>
      </c>
      <c r="AY6" s="1">
        <v>530</v>
      </c>
      <c r="AZ6" s="13">
        <v>530</v>
      </c>
    </row>
    <row r="7" spans="1:54" x14ac:dyDescent="0.25">
      <c r="A7" s="1" t="s">
        <v>134</v>
      </c>
      <c r="B7" s="1" t="s">
        <v>139</v>
      </c>
      <c r="C7" s="1">
        <v>2020</v>
      </c>
      <c r="D7" s="1">
        <v>1</v>
      </c>
      <c r="E7" s="1">
        <v>0</v>
      </c>
      <c r="F7" s="1">
        <v>0</v>
      </c>
      <c r="G7" s="19"/>
      <c r="H7" s="19">
        <f>H6*Tabelle589[[#This Row],[installierte Leistung MW]]/O6</f>
        <v>2817.560975609756</v>
      </c>
      <c r="I7" s="19"/>
      <c r="J7" s="19"/>
      <c r="K7" s="19"/>
      <c r="L7" s="19">
        <f>L6*Tabelle589[[#This Row],[installierte Leistung MW]]/O6</f>
        <v>5201.9512195121952</v>
      </c>
      <c r="M7" s="20"/>
      <c r="N7" s="9"/>
      <c r="O7" s="19">
        <v>16000</v>
      </c>
      <c r="AD7" s="19">
        <f>1*Umrechnungsfaktoren!$B$15/Umrechnungsfaktoren!$B$7</f>
        <v>1.1137339055793991</v>
      </c>
      <c r="AE7" s="19">
        <f>4*Umrechnungsfaktoren!$B$15/Umrechnungsfaktoren!$B$7</f>
        <v>4.4549356223175964</v>
      </c>
      <c r="AF7" s="8"/>
      <c r="AG7" s="8"/>
      <c r="AH7" s="8"/>
      <c r="AI7" s="8"/>
      <c r="AJ7" s="8">
        <v>0</v>
      </c>
      <c r="AK7" s="8"/>
      <c r="AM7" s="1">
        <v>427</v>
      </c>
      <c r="AN7" s="1">
        <v>427</v>
      </c>
      <c r="AO7" s="13" t="s">
        <v>152</v>
      </c>
      <c r="AP7" s="13" t="s">
        <v>152</v>
      </c>
      <c r="AQ7" s="13"/>
      <c r="AR7" s="13">
        <v>415</v>
      </c>
      <c r="AS7" s="13"/>
      <c r="AX7" s="1" t="s">
        <v>230</v>
      </c>
      <c r="AY7" s="1" t="s">
        <v>226</v>
      </c>
      <c r="AZ7" s="13" t="s">
        <v>226</v>
      </c>
      <c r="BB7" s="1" t="s">
        <v>180</v>
      </c>
    </row>
    <row r="8" spans="1:54" x14ac:dyDescent="0.25">
      <c r="A8" s="6" t="s">
        <v>135</v>
      </c>
      <c r="B8" s="1" t="s">
        <v>139</v>
      </c>
      <c r="C8" s="1">
        <v>2010</v>
      </c>
      <c r="D8" s="1">
        <v>1</v>
      </c>
      <c r="E8" s="1">
        <v>0</v>
      </c>
      <c r="F8" s="1">
        <v>0</v>
      </c>
      <c r="G8" s="19">
        <v>449</v>
      </c>
      <c r="H8" s="19"/>
      <c r="I8" s="19"/>
      <c r="J8" s="19"/>
      <c r="K8" s="19">
        <v>2024</v>
      </c>
      <c r="L8" s="19"/>
      <c r="M8" s="20"/>
      <c r="N8" s="9"/>
      <c r="O8" s="19">
        <v>11000</v>
      </c>
      <c r="AA8" s="1">
        <v>24</v>
      </c>
      <c r="AD8" s="19">
        <f>24*Umrechnungsfaktoren!$B$15/Umrechnungsfaktoren!$B$7</f>
        <v>26.729613733905577</v>
      </c>
      <c r="AE8" s="19">
        <f>475</f>
        <v>475</v>
      </c>
      <c r="AF8" s="8">
        <f>450*Umrechnungsfaktoren!$B$15/Umrechnungsfaktoren!$B$7</f>
        <v>501.18025751072963</v>
      </c>
      <c r="AG8" s="8"/>
      <c r="AH8" s="8"/>
      <c r="AI8" s="8">
        <f>1*Umrechnungsfaktoren!$B$15/Umrechnungsfaktoren!$B$7</f>
        <v>1.1137339055793991</v>
      </c>
      <c r="AJ8" s="8">
        <v>0</v>
      </c>
      <c r="AK8" s="8">
        <f>53.7*Umrechnungsfaktoren!$B$15/Umrechnungsfaktoren!$B$7</f>
        <v>59.807510729613739</v>
      </c>
      <c r="AM8" s="1">
        <v>427</v>
      </c>
      <c r="AN8" s="1">
        <v>427</v>
      </c>
      <c r="AO8" s="13">
        <v>416</v>
      </c>
      <c r="AP8" s="1">
        <v>416</v>
      </c>
      <c r="AQ8" s="13"/>
      <c r="AR8" s="13">
        <v>416</v>
      </c>
      <c r="AS8" s="13"/>
      <c r="AU8" s="1">
        <v>416</v>
      </c>
      <c r="AX8" s="1" t="s">
        <v>230</v>
      </c>
      <c r="AY8" s="1" t="s">
        <v>226</v>
      </c>
      <c r="AZ8" s="13" t="s">
        <v>226</v>
      </c>
    </row>
    <row r="9" spans="1:54" x14ac:dyDescent="0.25">
      <c r="A9" s="1" t="s">
        <v>135</v>
      </c>
      <c r="B9" s="1" t="s">
        <v>139</v>
      </c>
      <c r="C9" s="1">
        <v>2020</v>
      </c>
      <c r="D9" s="1">
        <v>1</v>
      </c>
      <c r="E9" s="1">
        <v>0</v>
      </c>
      <c r="F9" s="1">
        <v>0</v>
      </c>
      <c r="G9" s="19">
        <v>449</v>
      </c>
      <c r="H9" s="19"/>
      <c r="I9" s="19"/>
      <c r="J9" s="19"/>
      <c r="K9" s="19">
        <v>2024</v>
      </c>
      <c r="L9" s="19"/>
      <c r="M9" s="20"/>
      <c r="N9" s="9"/>
      <c r="O9" s="19">
        <v>11000</v>
      </c>
      <c r="AA9" s="1">
        <v>24</v>
      </c>
      <c r="AD9" s="19">
        <f>1*Umrechnungsfaktoren!$B$15/Umrechnungsfaktoren!$B$7</f>
        <v>1.1137339055793991</v>
      </c>
      <c r="AE9" s="19">
        <f>10*Umrechnungsfaktoren!$B$15/Umrechnungsfaktoren!$B$7</f>
        <v>11.137339055793991</v>
      </c>
      <c r="AF9" s="8">
        <f>150*Umrechnungsfaktoren!$B$15/Umrechnungsfaktoren!$B$7</f>
        <v>167.06008583690988</v>
      </c>
      <c r="AG9" s="8"/>
      <c r="AH9" s="8"/>
      <c r="AI9" s="8">
        <f>1*Umrechnungsfaktoren!$B$15/Umrechnungsfaktoren!$B$7</f>
        <v>1.1137339055793991</v>
      </c>
      <c r="AJ9" s="8">
        <v>0</v>
      </c>
      <c r="AK9" s="8">
        <f>53.7*Umrechnungsfaktoren!$B$15/Umrechnungsfaktoren!$B$7</f>
        <v>59.807510729613739</v>
      </c>
      <c r="AM9" s="1">
        <v>427</v>
      </c>
      <c r="AN9" s="1">
        <v>427</v>
      </c>
      <c r="AO9" s="13">
        <v>416</v>
      </c>
      <c r="AP9" s="1">
        <v>416</v>
      </c>
      <c r="AQ9" s="13"/>
      <c r="AR9" s="13">
        <v>416</v>
      </c>
      <c r="AS9" s="13"/>
      <c r="AU9" s="1">
        <v>416</v>
      </c>
      <c r="AX9" s="1" t="s">
        <v>230</v>
      </c>
      <c r="AY9" s="1" t="s">
        <v>226</v>
      </c>
      <c r="AZ9" s="13" t="s">
        <v>226</v>
      </c>
      <c r="BB9" s="1" t="s">
        <v>179</v>
      </c>
    </row>
    <row r="10" spans="1:54" x14ac:dyDescent="0.25">
      <c r="A10" s="6" t="s">
        <v>132</v>
      </c>
      <c r="B10" s="1" t="s">
        <v>139</v>
      </c>
      <c r="C10" s="1">
        <v>2010</v>
      </c>
      <c r="D10" s="1">
        <v>1</v>
      </c>
      <c r="E10" s="1">
        <v>0</v>
      </c>
      <c r="F10" s="1">
        <v>0</v>
      </c>
      <c r="G10" s="19">
        <v>554</v>
      </c>
      <c r="H10" s="19">
        <v>1550</v>
      </c>
      <c r="I10" s="19"/>
      <c r="J10" s="19"/>
      <c r="K10" s="19">
        <v>1368</v>
      </c>
      <c r="L10" s="19">
        <v>4240</v>
      </c>
      <c r="M10" s="20"/>
      <c r="N10" s="9"/>
      <c r="O10" s="19"/>
      <c r="Q10" s="1">
        <v>10</v>
      </c>
      <c r="R10" s="1">
        <v>12</v>
      </c>
      <c r="S10" s="1">
        <v>10</v>
      </c>
      <c r="V10" s="1">
        <v>4</v>
      </c>
      <c r="W10" s="1">
        <v>7</v>
      </c>
      <c r="X10" s="1">
        <v>4</v>
      </c>
      <c r="AD10" s="19"/>
      <c r="AE10" s="19">
        <f>3000*Umrechnungsfaktoren!$B$15/Umrechnungsfaktoren!$B$7</f>
        <v>3341.2017167381973</v>
      </c>
      <c r="AF10" s="8">
        <f>1190*Umrechnungsfaktoren!$B$15/Umrechnungsfaktoren!$B$7</f>
        <v>1325.343347639485</v>
      </c>
      <c r="AG10" s="8"/>
      <c r="AH10" s="8"/>
      <c r="AI10" s="8">
        <f>1*Umrechnungsfaktoren!$B$15/Umrechnungsfaktoren!$B$7</f>
        <v>1.1137339055793991</v>
      </c>
      <c r="AJ10" s="8">
        <v>0</v>
      </c>
      <c r="AK10" s="8">
        <f>63.2*Umrechnungsfaktoren!$B$15/Umrechnungsfaktoren!$B$7</f>
        <v>70.387982832618022</v>
      </c>
      <c r="AM10" s="1">
        <v>416</v>
      </c>
      <c r="AN10" s="1">
        <v>427</v>
      </c>
      <c r="AO10" s="13">
        <v>417</v>
      </c>
      <c r="AP10" s="1">
        <v>417</v>
      </c>
      <c r="AQ10" s="13"/>
      <c r="AR10" s="13"/>
      <c r="AS10" s="13"/>
      <c r="AX10" s="1" t="s">
        <v>230</v>
      </c>
      <c r="AY10" s="1" t="s">
        <v>226</v>
      </c>
      <c r="AZ10" s="13" t="s">
        <v>226</v>
      </c>
    </row>
    <row r="11" spans="1:54" x14ac:dyDescent="0.25">
      <c r="A11" s="1" t="s">
        <v>132</v>
      </c>
      <c r="B11" s="1" t="s">
        <v>139</v>
      </c>
      <c r="C11" s="1">
        <v>2020</v>
      </c>
      <c r="D11" s="1">
        <v>1</v>
      </c>
      <c r="E11" s="1">
        <v>0</v>
      </c>
      <c r="F11" s="1">
        <v>0</v>
      </c>
      <c r="G11" s="19">
        <v>554</v>
      </c>
      <c r="H11" s="19">
        <v>1550</v>
      </c>
      <c r="I11" s="19"/>
      <c r="J11" s="19"/>
      <c r="K11" s="19">
        <v>1368</v>
      </c>
      <c r="L11" s="19">
        <v>4240</v>
      </c>
      <c r="M11" s="20"/>
      <c r="N11" s="9"/>
      <c r="O11" s="19"/>
      <c r="Q11" s="1">
        <v>10</v>
      </c>
      <c r="R11" s="1">
        <v>12</v>
      </c>
      <c r="S11" s="1">
        <v>10</v>
      </c>
      <c r="V11" s="1">
        <v>4</v>
      </c>
      <c r="W11" s="1">
        <v>7</v>
      </c>
      <c r="X11" s="1">
        <v>4</v>
      </c>
      <c r="AD11" s="19"/>
      <c r="AE11" s="19">
        <f>600*Umrechnungsfaktoren!$B$15/Umrechnungsfaktoren!$B$7</f>
        <v>668.24034334763951</v>
      </c>
      <c r="AF11" s="8">
        <f>280*Umrechnungsfaktoren!$B$15/Umrechnungsfaktoren!$B$7</f>
        <v>311.84549356223175</v>
      </c>
      <c r="AG11" s="8"/>
      <c r="AH11" s="8"/>
      <c r="AI11" s="8">
        <f>1*Umrechnungsfaktoren!$B$15/Umrechnungsfaktoren!$B$7</f>
        <v>1.1137339055793991</v>
      </c>
      <c r="AJ11" s="8">
        <v>0</v>
      </c>
      <c r="AK11" s="8">
        <f>63.2*Umrechnungsfaktoren!$B$15/Umrechnungsfaktoren!$B$7</f>
        <v>70.387982832618022</v>
      </c>
      <c r="AM11" s="1">
        <v>416</v>
      </c>
      <c r="AN11" s="1">
        <v>427</v>
      </c>
      <c r="AO11" s="13">
        <v>417</v>
      </c>
      <c r="AP11" s="1">
        <v>417</v>
      </c>
      <c r="AQ11" s="13"/>
      <c r="AR11" s="13"/>
      <c r="AS11" s="13"/>
      <c r="AX11" s="1" t="s">
        <v>230</v>
      </c>
      <c r="AY11" s="1" t="s">
        <v>226</v>
      </c>
      <c r="AZ11" s="13" t="s">
        <v>226</v>
      </c>
      <c r="BB11" s="1" t="s">
        <v>179</v>
      </c>
    </row>
    <row r="12" spans="1:54" x14ac:dyDescent="0.25">
      <c r="A12" s="6" t="s">
        <v>133</v>
      </c>
      <c r="B12" s="1" t="s">
        <v>139</v>
      </c>
      <c r="C12" s="1">
        <v>2010</v>
      </c>
      <c r="D12" s="1">
        <v>1</v>
      </c>
      <c r="E12" s="1">
        <v>0</v>
      </c>
      <c r="F12" s="1">
        <v>0</v>
      </c>
      <c r="G12" s="19">
        <v>571</v>
      </c>
      <c r="H12" s="19">
        <v>1500</v>
      </c>
      <c r="I12" s="19"/>
      <c r="J12" s="19"/>
      <c r="K12" s="19">
        <v>530</v>
      </c>
      <c r="L12" s="19">
        <v>3500</v>
      </c>
      <c r="M12" s="20"/>
      <c r="N12" s="9"/>
      <c r="O12" s="19"/>
      <c r="Q12" s="1">
        <v>4</v>
      </c>
      <c r="R12" s="1">
        <v>7</v>
      </c>
      <c r="S12" s="1">
        <v>4</v>
      </c>
      <c r="V12" s="1">
        <v>1.5</v>
      </c>
      <c r="W12" s="1">
        <v>3</v>
      </c>
      <c r="X12" s="1">
        <v>1.5</v>
      </c>
      <c r="AD12" s="19"/>
      <c r="AE12" s="19"/>
      <c r="AF12" s="8">
        <f>1190*Umrechnungsfaktoren!$B$15/Umrechnungsfaktoren!$B$7</f>
        <v>1325.343347639485</v>
      </c>
      <c r="AG12" s="8"/>
      <c r="AH12" s="8"/>
      <c r="AI12" s="8">
        <f>1*Umrechnungsfaktoren!$B$15/Umrechnungsfaktoren!$B$7</f>
        <v>1.1137339055793991</v>
      </c>
      <c r="AJ12" s="8">
        <v>0</v>
      </c>
      <c r="AK12" s="8">
        <f>63.2*Umrechnungsfaktoren!$B$15/Umrechnungsfaktoren!$B$7</f>
        <v>70.387982832618022</v>
      </c>
      <c r="AM12" s="1">
        <v>416</v>
      </c>
      <c r="AN12" s="1">
        <v>427</v>
      </c>
      <c r="AO12" s="13" t="s">
        <v>163</v>
      </c>
      <c r="AP12" s="13" t="s">
        <v>163</v>
      </c>
      <c r="AQ12" s="13"/>
      <c r="AR12" s="13"/>
      <c r="AS12" s="13"/>
      <c r="AX12" s="1" t="s">
        <v>230</v>
      </c>
      <c r="AY12" s="1" t="s">
        <v>226</v>
      </c>
      <c r="AZ12" s="13" t="s">
        <v>226</v>
      </c>
    </row>
    <row r="13" spans="1:54" x14ac:dyDescent="0.25">
      <c r="A13" s="1" t="s">
        <v>133</v>
      </c>
      <c r="B13" s="1" t="s">
        <v>139</v>
      </c>
      <c r="C13" s="1">
        <v>2020</v>
      </c>
      <c r="D13" s="1">
        <v>1</v>
      </c>
      <c r="E13" s="1">
        <v>0</v>
      </c>
      <c r="F13" s="1">
        <v>0</v>
      </c>
      <c r="G13" s="19">
        <v>571</v>
      </c>
      <c r="H13" s="19">
        <v>1500</v>
      </c>
      <c r="I13" s="19"/>
      <c r="J13" s="19"/>
      <c r="K13" s="19">
        <v>530</v>
      </c>
      <c r="L13" s="19">
        <v>3500</v>
      </c>
      <c r="M13" s="20"/>
      <c r="N13" s="9"/>
      <c r="O13" s="19"/>
      <c r="Q13" s="1">
        <v>4</v>
      </c>
      <c r="R13" s="1">
        <v>7</v>
      </c>
      <c r="S13" s="1">
        <v>4</v>
      </c>
      <c r="V13" s="1">
        <v>1.5</v>
      </c>
      <c r="W13" s="1">
        <v>3</v>
      </c>
      <c r="X13" s="1">
        <v>1.5</v>
      </c>
      <c r="AD13" s="19"/>
      <c r="AE13" s="19"/>
      <c r="AF13" s="8">
        <f>280*Umrechnungsfaktoren!$B$15/Umrechnungsfaktoren!$B$7</f>
        <v>311.84549356223175</v>
      </c>
      <c r="AG13" s="8"/>
      <c r="AH13" s="8"/>
      <c r="AI13" s="8">
        <f>1*Umrechnungsfaktoren!$B$15/Umrechnungsfaktoren!$B$7</f>
        <v>1.1137339055793991</v>
      </c>
      <c r="AJ13" s="8">
        <v>0</v>
      </c>
      <c r="AK13" s="8">
        <f>63.2*Umrechnungsfaktoren!$B$15/Umrechnungsfaktoren!$B$7</f>
        <v>70.387982832618022</v>
      </c>
      <c r="AM13" s="1">
        <v>416</v>
      </c>
      <c r="AN13" s="1">
        <v>427</v>
      </c>
      <c r="AO13" s="13" t="s">
        <v>163</v>
      </c>
      <c r="AP13" s="13" t="s">
        <v>163</v>
      </c>
      <c r="AQ13" s="13"/>
      <c r="AR13" s="13"/>
      <c r="AS13" s="13"/>
      <c r="AX13" s="1" t="s">
        <v>230</v>
      </c>
      <c r="AY13" s="1" t="s">
        <v>226</v>
      </c>
      <c r="AZ13" s="13" t="s">
        <v>226</v>
      </c>
      <c r="BB13" s="1" t="s">
        <v>179</v>
      </c>
    </row>
    <row r="14" spans="1:54" x14ac:dyDescent="0.25">
      <c r="A14" s="6" t="s">
        <v>164</v>
      </c>
      <c r="B14" s="1" t="s">
        <v>139</v>
      </c>
      <c r="C14" s="1">
        <v>2010</v>
      </c>
      <c r="D14" s="1">
        <v>1</v>
      </c>
      <c r="E14" s="1">
        <v>0</v>
      </c>
      <c r="F14" s="1">
        <v>0</v>
      </c>
      <c r="G14" s="19">
        <v>1621</v>
      </c>
      <c r="H14" s="19">
        <v>3800</v>
      </c>
      <c r="I14" s="19"/>
      <c r="J14" s="19"/>
      <c r="K14" s="19">
        <v>2832</v>
      </c>
      <c r="L14" s="19">
        <v>20800</v>
      </c>
      <c r="M14" s="9"/>
      <c r="N14" s="9"/>
      <c r="O14" s="19">
        <v>20800</v>
      </c>
      <c r="S14" s="1">
        <v>2</v>
      </c>
      <c r="X14" s="1">
        <v>2</v>
      </c>
      <c r="AB14" s="1" t="s">
        <v>165</v>
      </c>
      <c r="AC14" s="1">
        <v>365</v>
      </c>
      <c r="AD14" s="19"/>
      <c r="AE14" s="19"/>
      <c r="AF14" s="8">
        <f>740*Umrechnungsfaktoren!$B$15/Umrechnungsfaktoren!$B$7</f>
        <v>824.16309012875536</v>
      </c>
      <c r="AG14" s="8"/>
      <c r="AH14" s="8"/>
      <c r="AI14" s="8">
        <f>1*Umrechnungsfaktoren!$B$15/Umrechnungsfaktoren!$B$7</f>
        <v>1.1137339055793991</v>
      </c>
      <c r="AJ14" s="8">
        <v>0</v>
      </c>
      <c r="AK14" s="8">
        <f>90.9*Umrechnungsfaktoren!$B$15/Umrechnungsfaktoren!$B$7</f>
        <v>101.23841201716738</v>
      </c>
      <c r="AL14" s="1" t="s">
        <v>166</v>
      </c>
      <c r="AM14" s="1">
        <v>427</v>
      </c>
      <c r="AN14" s="1">
        <v>427</v>
      </c>
      <c r="AO14" s="13">
        <v>418</v>
      </c>
      <c r="AP14" s="1">
        <v>418</v>
      </c>
      <c r="AQ14" s="13"/>
      <c r="AR14" s="13">
        <v>418</v>
      </c>
      <c r="AS14" s="13"/>
      <c r="AT14" s="1">
        <v>418</v>
      </c>
      <c r="AV14" s="1">
        <v>418</v>
      </c>
      <c r="AW14" s="1">
        <v>418</v>
      </c>
      <c r="AX14" s="1" t="s">
        <v>230</v>
      </c>
      <c r="AY14" s="1" t="s">
        <v>226</v>
      </c>
      <c r="AZ14" s="13" t="s">
        <v>226</v>
      </c>
    </row>
    <row r="15" spans="1:54" x14ac:dyDescent="0.25">
      <c r="A15" s="1" t="s">
        <v>164</v>
      </c>
      <c r="B15" s="1" t="s">
        <v>139</v>
      </c>
      <c r="C15" s="1">
        <v>2020</v>
      </c>
      <c r="D15" s="1">
        <v>1</v>
      </c>
      <c r="E15" s="1">
        <v>0</v>
      </c>
      <c r="F15" s="1">
        <v>0</v>
      </c>
      <c r="G15" s="19">
        <v>1621</v>
      </c>
      <c r="H15" s="19">
        <v>3800</v>
      </c>
      <c r="I15" s="19"/>
      <c r="J15" s="19"/>
      <c r="K15" s="19">
        <v>2832</v>
      </c>
      <c r="L15" s="19">
        <v>20800</v>
      </c>
      <c r="M15" s="9"/>
      <c r="N15" s="9"/>
      <c r="O15" s="19">
        <v>20800</v>
      </c>
      <c r="S15" s="1">
        <v>2</v>
      </c>
      <c r="X15" s="1">
        <v>2</v>
      </c>
      <c r="AB15" s="1" t="s">
        <v>165</v>
      </c>
      <c r="AC15" s="1">
        <v>365</v>
      </c>
      <c r="AD15" s="19"/>
      <c r="AE15" s="19"/>
      <c r="AF15" s="8">
        <f>176*Umrechnungsfaktoren!$B$15/Umrechnungsfaktoren!$B$7</f>
        <v>196.01716738197425</v>
      </c>
      <c r="AG15" s="8"/>
      <c r="AH15" s="8"/>
      <c r="AI15" s="8">
        <f>1*Umrechnungsfaktoren!$B$15/Umrechnungsfaktoren!$B$7</f>
        <v>1.1137339055793991</v>
      </c>
      <c r="AJ15" s="8">
        <v>0</v>
      </c>
      <c r="AK15" s="8">
        <f>90.9*Umrechnungsfaktoren!$B$15/Umrechnungsfaktoren!$B$7</f>
        <v>101.23841201716738</v>
      </c>
      <c r="AL15" s="1" t="s">
        <v>166</v>
      </c>
      <c r="AM15" s="1">
        <v>427</v>
      </c>
      <c r="AN15" s="1">
        <v>427</v>
      </c>
      <c r="AO15" s="13">
        <v>418</v>
      </c>
      <c r="AP15" s="1">
        <v>418</v>
      </c>
      <c r="AQ15" s="13"/>
      <c r="AR15" s="13">
        <v>418</v>
      </c>
      <c r="AS15" s="13"/>
      <c r="AT15" s="1">
        <v>418</v>
      </c>
      <c r="AV15" s="1">
        <v>418</v>
      </c>
      <c r="AW15" s="1">
        <v>418</v>
      </c>
      <c r="AX15" s="1" t="s">
        <v>230</v>
      </c>
      <c r="AY15" s="1" t="s">
        <v>226</v>
      </c>
      <c r="AZ15" s="13" t="s">
        <v>226</v>
      </c>
      <c r="BB15" s="1" t="s">
        <v>179</v>
      </c>
    </row>
    <row r="16" spans="1:54" x14ac:dyDescent="0.25">
      <c r="A16" s="6" t="s">
        <v>938</v>
      </c>
      <c r="B16" s="1" t="s">
        <v>126</v>
      </c>
      <c r="C16" s="1">
        <v>2010</v>
      </c>
      <c r="D16" s="1">
        <v>1</v>
      </c>
      <c r="E16" s="1">
        <v>1</v>
      </c>
      <c r="F16" s="1">
        <v>0</v>
      </c>
      <c r="G16" s="19">
        <v>45</v>
      </c>
      <c r="H16" s="19"/>
      <c r="I16" s="19">
        <v>314</v>
      </c>
      <c r="J16" s="19">
        <v>318</v>
      </c>
      <c r="K16" s="19">
        <v>269</v>
      </c>
      <c r="L16" s="19"/>
      <c r="M16" s="9"/>
      <c r="N16" s="9">
        <v>1</v>
      </c>
      <c r="O16" s="19">
        <v>314</v>
      </c>
      <c r="AB16" s="1" t="s">
        <v>169</v>
      </c>
      <c r="AD16" s="19"/>
      <c r="AE16" s="19"/>
      <c r="AF16" s="19">
        <f>7071*Umrechnungsfaktoren!$B$15/Umrechnungsfaktoren!$B$7</f>
        <v>7875.2124463519312</v>
      </c>
      <c r="AG16" s="8">
        <f>500*Umrechnungsfaktoren!$B$15/Umrechnungsfaktoren!$B$7</f>
        <v>556.86695278969955</v>
      </c>
      <c r="AH16" s="8">
        <f>1000*Umrechnungsfaktoren!$B$15/Umrechnungsfaktoren!$B$7</f>
        <v>1113.7339055793991</v>
      </c>
      <c r="AI16" s="8"/>
      <c r="AJ16" s="8">
        <f>1*Umrechnungsfaktoren!$B$15/Umrechnungsfaktoren!$B$7</f>
        <v>1.1137339055793991</v>
      </c>
      <c r="AK16" s="8">
        <f>90*Umrechnungsfaktoren!$B$15/Umrechnungsfaktoren!$B$7</f>
        <v>100.23605150214593</v>
      </c>
      <c r="AL16" s="1" t="s">
        <v>168</v>
      </c>
      <c r="AM16" s="1">
        <v>427</v>
      </c>
      <c r="AN16" s="1">
        <v>427</v>
      </c>
      <c r="AO16" s="13" t="s">
        <v>215</v>
      </c>
      <c r="AP16" s="1">
        <v>422</v>
      </c>
      <c r="AQ16" s="13">
        <v>425</v>
      </c>
      <c r="AR16" s="13">
        <v>421</v>
      </c>
      <c r="AS16" s="13"/>
      <c r="AV16" s="1">
        <v>419</v>
      </c>
      <c r="AX16" s="1" t="s">
        <v>230</v>
      </c>
      <c r="AY16" s="1">
        <v>427</v>
      </c>
      <c r="AZ16" s="1" t="s">
        <v>331</v>
      </c>
    </row>
    <row r="17" spans="1:54" x14ac:dyDescent="0.25">
      <c r="A17" s="1" t="s">
        <v>938</v>
      </c>
      <c r="B17" s="1" t="s">
        <v>126</v>
      </c>
      <c r="C17" s="1">
        <v>2020</v>
      </c>
      <c r="D17" s="1">
        <v>1</v>
      </c>
      <c r="E17" s="1">
        <v>1</v>
      </c>
      <c r="F17" s="1">
        <v>0</v>
      </c>
      <c r="G17" s="19">
        <v>45</v>
      </c>
      <c r="H17" s="19"/>
      <c r="I17" s="19">
        <v>383</v>
      </c>
      <c r="J17" s="19"/>
      <c r="K17" s="19">
        <v>269</v>
      </c>
      <c r="L17" s="19"/>
      <c r="M17" s="9"/>
      <c r="N17" s="9">
        <v>1</v>
      </c>
      <c r="O17" s="19">
        <v>314</v>
      </c>
      <c r="AB17" s="1" t="s">
        <v>169</v>
      </c>
      <c r="AD17" s="19"/>
      <c r="AE17" s="19"/>
      <c r="AF17" s="19">
        <f>14141*Umrechnungsfaktoren!$B$15/Umrechnungsfaktoren!$B$7</f>
        <v>15749.311158798282</v>
      </c>
      <c r="AG17" s="8">
        <f>500*Umrechnungsfaktoren!$B$15/Umrechnungsfaktoren!$B$7</f>
        <v>556.86695278969955</v>
      </c>
      <c r="AH17" s="8">
        <f>1000*Umrechnungsfaktoren!$B$15/Umrechnungsfaktoren!$B$7</f>
        <v>1113.7339055793991</v>
      </c>
      <c r="AI17" s="8"/>
      <c r="AJ17" s="8">
        <f>1*Umrechnungsfaktoren!$B$15/Umrechnungsfaktoren!$B$7</f>
        <v>1.1137339055793991</v>
      </c>
      <c r="AK17" s="8">
        <f>90*Umrechnungsfaktoren!$B$15/Umrechnungsfaktoren!$B$7</f>
        <v>100.23605150214593</v>
      </c>
      <c r="AL17" s="1" t="s">
        <v>168</v>
      </c>
      <c r="AM17" s="1">
        <v>427</v>
      </c>
      <c r="AN17" s="1">
        <v>427</v>
      </c>
      <c r="AO17" s="13" t="s">
        <v>202</v>
      </c>
      <c r="AP17" s="1">
        <v>422</v>
      </c>
      <c r="AQ17" s="13">
        <v>425</v>
      </c>
      <c r="AR17" s="13">
        <v>421</v>
      </c>
      <c r="AS17" s="13"/>
      <c r="AV17" s="1">
        <v>419</v>
      </c>
      <c r="AX17" s="1" t="s">
        <v>230</v>
      </c>
      <c r="AY17" s="1">
        <v>427</v>
      </c>
      <c r="AZ17" s="1" t="s">
        <v>331</v>
      </c>
      <c r="BB17" s="1" t="s">
        <v>179</v>
      </c>
    </row>
    <row r="18" spans="1:54" x14ac:dyDescent="0.25">
      <c r="A18" s="6" t="s">
        <v>27</v>
      </c>
      <c r="B18" s="1" t="s">
        <v>126</v>
      </c>
      <c r="C18" s="1">
        <v>2010</v>
      </c>
      <c r="D18" s="1">
        <v>1</v>
      </c>
      <c r="E18" s="1">
        <v>0</v>
      </c>
      <c r="F18" s="1">
        <v>0</v>
      </c>
      <c r="G18" s="19">
        <v>556</v>
      </c>
      <c r="H18" s="19">
        <f>263+160+246</f>
        <v>669</v>
      </c>
      <c r="I18" s="19"/>
      <c r="J18" s="19">
        <f>275+156+178</f>
        <v>609</v>
      </c>
      <c r="K18" s="19">
        <v>346</v>
      </c>
      <c r="L18" s="19"/>
      <c r="M18" s="9"/>
      <c r="N18" s="9">
        <v>0.3</v>
      </c>
      <c r="O18" s="19"/>
      <c r="S18" s="1">
        <v>2</v>
      </c>
      <c r="AD18" s="19"/>
      <c r="AE18" s="19"/>
      <c r="AF18" s="8">
        <f>1*Umrechnungsfaktoren!$B$15/Umrechnungsfaktoren!$B$7</f>
        <v>1.1137339055793991</v>
      </c>
      <c r="AG18" s="8"/>
      <c r="AH18" s="8"/>
      <c r="AI18" s="8">
        <f>100*Umrechnungsfaktoren!$B$15/Umrechnungsfaktoren!$B$7</f>
        <v>111.37339055793991</v>
      </c>
      <c r="AJ18" s="8"/>
      <c r="AK18" s="8">
        <f>1*Umrechnungsfaktoren!$B$15/Umrechnungsfaktoren!$B$7</f>
        <v>1.1137339055793991</v>
      </c>
      <c r="AL18" s="1" t="s">
        <v>170</v>
      </c>
      <c r="AM18" s="1">
        <v>427</v>
      </c>
      <c r="AN18" s="1">
        <v>427</v>
      </c>
      <c r="AO18" s="13" t="s">
        <v>216</v>
      </c>
      <c r="AP18" s="1">
        <v>423</v>
      </c>
      <c r="AQ18" s="13" t="s">
        <v>175</v>
      </c>
      <c r="AR18" s="13"/>
      <c r="AS18" s="13"/>
      <c r="AT18" s="1">
        <v>422</v>
      </c>
      <c r="AX18" s="1" t="s">
        <v>230</v>
      </c>
      <c r="AY18" s="1">
        <v>427</v>
      </c>
      <c r="AZ18" s="1">
        <v>427</v>
      </c>
      <c r="BA18" s="1">
        <v>422</v>
      </c>
    </row>
    <row r="19" spans="1:54" x14ac:dyDescent="0.25">
      <c r="A19" s="1" t="s">
        <v>27</v>
      </c>
      <c r="B19" s="1" t="s">
        <v>126</v>
      </c>
      <c r="C19" s="1">
        <v>2020</v>
      </c>
      <c r="D19" s="1">
        <v>1</v>
      </c>
      <c r="E19" s="1">
        <v>0</v>
      </c>
      <c r="F19" s="1">
        <v>0</v>
      </c>
      <c r="G19" s="19">
        <v>556</v>
      </c>
      <c r="H19" s="19">
        <v>618</v>
      </c>
      <c r="I19" s="19"/>
      <c r="J19" s="19">
        <f>275+156+178</f>
        <v>609</v>
      </c>
      <c r="K19" s="19">
        <v>346</v>
      </c>
      <c r="L19" s="19"/>
      <c r="M19" s="9"/>
      <c r="N19" s="9">
        <v>0.3</v>
      </c>
      <c r="O19" s="19"/>
      <c r="S19" s="1">
        <v>2</v>
      </c>
      <c r="AD19" s="19"/>
      <c r="AE19" s="19"/>
      <c r="AF19" s="8">
        <f>1*Umrechnungsfaktoren!$B$15/Umrechnungsfaktoren!$B$7</f>
        <v>1.1137339055793991</v>
      </c>
      <c r="AG19" s="8"/>
      <c r="AH19" s="8"/>
      <c r="AI19" s="8">
        <f>100*Umrechnungsfaktoren!$B$15/Umrechnungsfaktoren!$B$7</f>
        <v>111.37339055793991</v>
      </c>
      <c r="AJ19" s="8"/>
      <c r="AK19" s="8">
        <f>1*Umrechnungsfaktoren!$B$15/Umrechnungsfaktoren!$B$7</f>
        <v>1.1137339055793991</v>
      </c>
      <c r="AL19" s="1" t="s">
        <v>170</v>
      </c>
      <c r="AM19" s="1">
        <v>427</v>
      </c>
      <c r="AN19" s="1">
        <v>427</v>
      </c>
      <c r="AO19" s="13" t="s">
        <v>201</v>
      </c>
      <c r="AP19" s="1">
        <v>423</v>
      </c>
      <c r="AQ19" s="13" t="s">
        <v>175</v>
      </c>
      <c r="AR19" s="13"/>
      <c r="AS19" s="13"/>
      <c r="AT19" s="1">
        <v>422</v>
      </c>
      <c r="AX19" s="1" t="s">
        <v>230</v>
      </c>
      <c r="AY19" s="1">
        <v>427</v>
      </c>
      <c r="AZ19" s="1">
        <v>427</v>
      </c>
      <c r="BA19" s="1">
        <v>422</v>
      </c>
      <c r="BB19" s="1" t="s">
        <v>179</v>
      </c>
    </row>
    <row r="20" spans="1:54" x14ac:dyDescent="0.25">
      <c r="A20" s="6" t="s">
        <v>51</v>
      </c>
      <c r="B20" s="1" t="s">
        <v>126</v>
      </c>
      <c r="C20" s="1">
        <v>2010</v>
      </c>
      <c r="D20" s="1">
        <v>0</v>
      </c>
      <c r="E20" s="1">
        <v>1</v>
      </c>
      <c r="F20" s="1">
        <v>0</v>
      </c>
      <c r="G20" s="19"/>
      <c r="H20" s="19"/>
      <c r="I20" s="19">
        <v>277</v>
      </c>
      <c r="J20" s="19">
        <v>295</v>
      </c>
      <c r="K20" s="19"/>
      <c r="L20" s="19"/>
      <c r="M20" s="9"/>
      <c r="N20" s="9">
        <v>0.25</v>
      </c>
      <c r="O20" s="19"/>
      <c r="P20" s="1">
        <f>7.5/60</f>
        <v>0.125</v>
      </c>
      <c r="U20" s="1">
        <v>4</v>
      </c>
      <c r="AD20" s="19">
        <f>10*Umrechnungsfaktoren!$B$15/Umrechnungsfaktoren!$B$7</f>
        <v>11.137339055793991</v>
      </c>
      <c r="AE20" s="19">
        <f>20*Umrechnungsfaktoren!$B$15/Umrechnungsfaktoren!$B$7</f>
        <v>22.274678111587981</v>
      </c>
      <c r="AF20" s="8">
        <f>1*Umrechnungsfaktoren!$B$15/Umrechnungsfaktoren!$B$7</f>
        <v>1.1137339055793991</v>
      </c>
      <c r="AG20" s="8">
        <f>500*Umrechnungsfaktoren!$B$15/Umrechnungsfaktoren!$B$7</f>
        <v>556.86695278969955</v>
      </c>
      <c r="AH20" s="8">
        <f>1500*Umrechnungsfaktoren!$B$15/Umrechnungsfaktoren!$B$7</f>
        <v>1670.6008583690987</v>
      </c>
      <c r="AI20" s="8"/>
      <c r="AJ20" s="8"/>
      <c r="AK20" s="8">
        <f>1*Umrechnungsfaktoren!$B$15/Umrechnungsfaktoren!$B$7</f>
        <v>1.1137339055793991</v>
      </c>
      <c r="AM20" s="1">
        <v>427</v>
      </c>
      <c r="AN20" s="1">
        <v>423</v>
      </c>
      <c r="AO20" s="13" t="s">
        <v>217</v>
      </c>
      <c r="AQ20" s="13" t="s">
        <v>176</v>
      </c>
      <c r="AR20" s="13"/>
      <c r="AS20" s="13">
        <v>423</v>
      </c>
      <c r="AT20" s="1">
        <v>423</v>
      </c>
      <c r="AX20" s="1" t="s">
        <v>230</v>
      </c>
      <c r="AY20" s="1">
        <v>427</v>
      </c>
      <c r="AZ20" s="1">
        <v>427</v>
      </c>
    </row>
    <row r="21" spans="1:54" x14ac:dyDescent="0.25">
      <c r="A21" s="1" t="s">
        <v>51</v>
      </c>
      <c r="B21" s="1" t="s">
        <v>126</v>
      </c>
      <c r="C21" s="1">
        <v>2020</v>
      </c>
      <c r="D21" s="1">
        <v>0</v>
      </c>
      <c r="E21" s="1">
        <v>1</v>
      </c>
      <c r="F21" s="1">
        <v>0</v>
      </c>
      <c r="G21" s="19"/>
      <c r="H21" s="19"/>
      <c r="I21" s="19">
        <v>277</v>
      </c>
      <c r="J21" s="19">
        <v>295</v>
      </c>
      <c r="K21" s="19"/>
      <c r="L21" s="19"/>
      <c r="M21" s="9"/>
      <c r="N21" s="9">
        <v>0.25</v>
      </c>
      <c r="O21" s="19"/>
      <c r="P21" s="1">
        <f>7.5/60</f>
        <v>0.125</v>
      </c>
      <c r="U21" s="1">
        <v>4</v>
      </c>
      <c r="AD21" s="19">
        <f>10*Umrechnungsfaktoren!$B$15/Umrechnungsfaktoren!$B$7</f>
        <v>11.137339055793991</v>
      </c>
      <c r="AE21" s="19">
        <f>20*Umrechnungsfaktoren!$B$15/Umrechnungsfaktoren!$B$7</f>
        <v>22.274678111587981</v>
      </c>
      <c r="AF21" s="8">
        <f>2*Umrechnungsfaktoren!$B$15/Umrechnungsfaktoren!$B$7</f>
        <v>2.2274678111587982</v>
      </c>
      <c r="AG21" s="8">
        <f>500*Umrechnungsfaktoren!$B$15/Umrechnungsfaktoren!$B$7</f>
        <v>556.86695278969955</v>
      </c>
      <c r="AH21" s="8">
        <f>1500*Umrechnungsfaktoren!$B$15/Umrechnungsfaktoren!$B$7</f>
        <v>1670.6008583690987</v>
      </c>
      <c r="AI21" s="8"/>
      <c r="AJ21" s="8"/>
      <c r="AK21" s="8">
        <f>1*Umrechnungsfaktoren!$B$15/Umrechnungsfaktoren!$B$7</f>
        <v>1.1137339055793991</v>
      </c>
      <c r="AM21" s="1">
        <v>427</v>
      </c>
      <c r="AN21" s="1">
        <v>423</v>
      </c>
      <c r="AO21" s="13" t="s">
        <v>201</v>
      </c>
      <c r="AQ21" s="13" t="s">
        <v>176</v>
      </c>
      <c r="AR21" s="13"/>
      <c r="AS21" s="13">
        <v>423</v>
      </c>
      <c r="AT21" s="1">
        <v>423</v>
      </c>
      <c r="AX21" s="1" t="s">
        <v>230</v>
      </c>
      <c r="AY21" s="1">
        <v>427</v>
      </c>
      <c r="AZ21" s="1">
        <v>427</v>
      </c>
      <c r="BB21" s="1" t="s">
        <v>179</v>
      </c>
    </row>
    <row r="22" spans="1:54" x14ac:dyDescent="0.25">
      <c r="A22" s="1" t="s">
        <v>81</v>
      </c>
      <c r="B22" s="1" t="s">
        <v>126</v>
      </c>
      <c r="C22" s="1">
        <v>2010</v>
      </c>
      <c r="D22" s="1">
        <v>0</v>
      </c>
      <c r="E22" s="1">
        <v>1</v>
      </c>
      <c r="F22" s="1">
        <v>0</v>
      </c>
      <c r="G22" s="19"/>
      <c r="H22" s="19"/>
      <c r="I22" s="19">
        <v>1098</v>
      </c>
      <c r="J22" s="19">
        <v>775</v>
      </c>
      <c r="K22" s="19"/>
      <c r="L22" s="19"/>
      <c r="M22" s="9"/>
      <c r="N22" s="9">
        <v>0.7</v>
      </c>
      <c r="O22" s="19">
        <v>1107</v>
      </c>
      <c r="U22" s="1">
        <v>0.5</v>
      </c>
      <c r="AB22" s="1" t="s">
        <v>171</v>
      </c>
      <c r="AD22" s="19"/>
      <c r="AE22" s="19"/>
      <c r="AF22" s="8">
        <f>1*Umrechnungsfaktoren!$B$15/Umrechnungsfaktoren!$B$7</f>
        <v>1.1137339055793991</v>
      </c>
      <c r="AG22" s="8">
        <f>1000*Umrechnungsfaktoren!$B$15/Umrechnungsfaktoren!$B$7</f>
        <v>1113.7339055793991</v>
      </c>
      <c r="AH22" s="8"/>
      <c r="AI22" s="8"/>
      <c r="AJ22" s="8"/>
      <c r="AK22" s="8">
        <f>1*Umrechnungsfaktoren!$B$15/Umrechnungsfaktoren!$B$7</f>
        <v>1.1137339055793991</v>
      </c>
      <c r="AL22" s="1" t="s">
        <v>1116</v>
      </c>
      <c r="AM22" s="1">
        <v>427</v>
      </c>
      <c r="AN22" s="1">
        <v>424</v>
      </c>
      <c r="AO22" s="13" t="s">
        <v>218</v>
      </c>
      <c r="AQ22" s="13" t="s">
        <v>177</v>
      </c>
      <c r="AR22" s="13">
        <v>424</v>
      </c>
      <c r="AS22" s="13"/>
      <c r="AT22" s="1">
        <v>424</v>
      </c>
      <c r="AX22" s="1" t="s">
        <v>230</v>
      </c>
      <c r="AY22" s="1">
        <v>427</v>
      </c>
      <c r="AZ22" s="1">
        <v>427</v>
      </c>
      <c r="BA22" s="1">
        <v>424</v>
      </c>
    </row>
    <row r="23" spans="1:54" x14ac:dyDescent="0.25">
      <c r="A23" s="1" t="s">
        <v>81</v>
      </c>
      <c r="B23" s="1" t="s">
        <v>126</v>
      </c>
      <c r="C23" s="1">
        <v>2020</v>
      </c>
      <c r="D23" s="1">
        <v>0</v>
      </c>
      <c r="E23" s="1">
        <v>1</v>
      </c>
      <c r="F23" s="1">
        <v>0</v>
      </c>
      <c r="G23" s="19"/>
      <c r="H23" s="19"/>
      <c r="I23" s="19">
        <v>1098</v>
      </c>
      <c r="J23" s="19">
        <v>775</v>
      </c>
      <c r="K23" s="19"/>
      <c r="L23" s="19"/>
      <c r="M23" s="9"/>
      <c r="N23" s="9">
        <v>0.7</v>
      </c>
      <c r="O23" s="19">
        <v>1107</v>
      </c>
      <c r="U23" s="1">
        <v>0.5</v>
      </c>
      <c r="AB23" s="1" t="s">
        <v>171</v>
      </c>
      <c r="AD23" s="19"/>
      <c r="AE23" s="19"/>
      <c r="AF23" s="8">
        <f>1*Umrechnungsfaktoren!$B$15/Umrechnungsfaktoren!$B$7</f>
        <v>1.1137339055793991</v>
      </c>
      <c r="AG23" s="8">
        <f>1000*Umrechnungsfaktoren!$B$15/Umrechnungsfaktoren!$B$7</f>
        <v>1113.7339055793991</v>
      </c>
      <c r="AH23" s="8"/>
      <c r="AI23" s="8"/>
      <c r="AJ23" s="8"/>
      <c r="AK23" s="8">
        <f>1*Umrechnungsfaktoren!$B$15/Umrechnungsfaktoren!$B$7</f>
        <v>1.1137339055793991</v>
      </c>
      <c r="AL23" s="1" t="s">
        <v>1116</v>
      </c>
      <c r="AM23" s="1">
        <v>427</v>
      </c>
      <c r="AN23" s="1">
        <v>424</v>
      </c>
      <c r="AO23" s="13" t="s">
        <v>203</v>
      </c>
      <c r="AQ23" s="13" t="s">
        <v>177</v>
      </c>
      <c r="AR23" s="13">
        <v>424</v>
      </c>
      <c r="AS23" s="13"/>
      <c r="AT23" s="1">
        <v>424</v>
      </c>
      <c r="AX23" s="1" t="s">
        <v>230</v>
      </c>
      <c r="AY23" s="1">
        <v>427</v>
      </c>
      <c r="AZ23" s="1">
        <v>427</v>
      </c>
      <c r="BA23" s="1">
        <v>424</v>
      </c>
      <c r="BB23" s="1" t="s">
        <v>179</v>
      </c>
    </row>
    <row r="24" spans="1:54" x14ac:dyDescent="0.25">
      <c r="A24" s="1" t="s">
        <v>74</v>
      </c>
      <c r="B24" s="1" t="s">
        <v>126</v>
      </c>
      <c r="C24" s="1">
        <v>2010</v>
      </c>
      <c r="D24" s="1">
        <v>1</v>
      </c>
      <c r="E24" s="1">
        <v>0</v>
      </c>
      <c r="F24" s="1">
        <v>0</v>
      </c>
      <c r="G24" s="19">
        <v>217</v>
      </c>
      <c r="H24" s="19">
        <v>311</v>
      </c>
      <c r="I24" s="19"/>
      <c r="J24" s="19">
        <v>222</v>
      </c>
      <c r="K24" s="19">
        <v>94</v>
      </c>
      <c r="L24" s="19"/>
      <c r="M24" s="9"/>
      <c r="N24" s="9">
        <v>0.65</v>
      </c>
      <c r="O24" s="19"/>
      <c r="AA24" s="1">
        <v>1.5</v>
      </c>
      <c r="AD24" s="19">
        <f>5*Umrechnungsfaktoren!$B$15/Umrechnungsfaktoren!$B$7</f>
        <v>5.5686695278969953</v>
      </c>
      <c r="AE24" s="19">
        <f>20*Umrechnungsfaktoren!$B$15/Umrechnungsfaktoren!$B$7</f>
        <v>22.274678111587981</v>
      </c>
      <c r="AF24" s="8"/>
      <c r="AG24" s="8"/>
      <c r="AH24" s="8"/>
      <c r="AI24" s="8">
        <f>10*Umrechnungsfaktoren!$B$15/Umrechnungsfaktoren!$B$7</f>
        <v>11.137339055793991</v>
      </c>
      <c r="AJ24" s="8">
        <f>1*Umrechnungsfaktoren!$B$15/Umrechnungsfaktoren!$B$7</f>
        <v>1.1137339055793991</v>
      </c>
      <c r="AK24" s="8">
        <f>90*Umrechnungsfaktoren!$B$15/Umrechnungsfaktoren!$B$7</f>
        <v>100.23605150214593</v>
      </c>
      <c r="AL24" s="1" t="s">
        <v>205</v>
      </c>
      <c r="AM24" s="1">
        <v>424</v>
      </c>
      <c r="AN24" s="1">
        <v>427</v>
      </c>
      <c r="AO24" s="13" t="s">
        <v>218</v>
      </c>
      <c r="AP24" s="1">
        <v>424</v>
      </c>
      <c r="AQ24" s="13" t="s">
        <v>177</v>
      </c>
      <c r="AR24" s="13"/>
      <c r="AS24" s="13"/>
      <c r="AU24" s="1" t="s">
        <v>204</v>
      </c>
      <c r="AX24" s="1" t="s">
        <v>230</v>
      </c>
      <c r="AY24" s="1">
        <v>427</v>
      </c>
      <c r="AZ24" s="1" t="s">
        <v>331</v>
      </c>
    </row>
    <row r="25" spans="1:54" x14ac:dyDescent="0.25">
      <c r="A25" s="1" t="s">
        <v>74</v>
      </c>
      <c r="B25" s="1" t="s">
        <v>126</v>
      </c>
      <c r="C25" s="1">
        <v>2020</v>
      </c>
      <c r="D25" s="1">
        <v>1</v>
      </c>
      <c r="E25" s="1">
        <v>0</v>
      </c>
      <c r="F25" s="1">
        <v>0</v>
      </c>
      <c r="G25" s="19">
        <v>217</v>
      </c>
      <c r="H25" s="19">
        <v>311</v>
      </c>
      <c r="I25" s="19"/>
      <c r="J25" s="19">
        <v>222</v>
      </c>
      <c r="K25" s="19">
        <v>94</v>
      </c>
      <c r="L25" s="19"/>
      <c r="M25" s="9"/>
      <c r="N25" s="9">
        <v>0.65</v>
      </c>
      <c r="O25" s="19"/>
      <c r="AA25" s="1">
        <v>1.5</v>
      </c>
      <c r="AD25" s="19">
        <f>5*Umrechnungsfaktoren!$B$15/Umrechnungsfaktoren!$B$7</f>
        <v>5.5686695278969953</v>
      </c>
      <c r="AE25" s="19">
        <f>20*Umrechnungsfaktoren!$B$15/Umrechnungsfaktoren!$B$7</f>
        <v>22.274678111587981</v>
      </c>
      <c r="AF25" s="8"/>
      <c r="AG25" s="8"/>
      <c r="AH25" s="8"/>
      <c r="AI25" s="8">
        <f>10*Umrechnungsfaktoren!$B$15/Umrechnungsfaktoren!$B$7</f>
        <v>11.137339055793991</v>
      </c>
      <c r="AJ25" s="8">
        <f>1*Umrechnungsfaktoren!$B$15/Umrechnungsfaktoren!$B$7</f>
        <v>1.1137339055793991</v>
      </c>
      <c r="AK25" s="8">
        <f>90*Umrechnungsfaktoren!$B$15/Umrechnungsfaktoren!$B$7</f>
        <v>100.23605150214593</v>
      </c>
      <c r="AL25" s="1" t="s">
        <v>205</v>
      </c>
      <c r="AM25" s="1">
        <v>424</v>
      </c>
      <c r="AN25" s="1">
        <v>427</v>
      </c>
      <c r="AO25" s="13" t="s">
        <v>203</v>
      </c>
      <c r="AP25" s="1">
        <v>424</v>
      </c>
      <c r="AQ25" s="13" t="s">
        <v>177</v>
      </c>
      <c r="AR25" s="13"/>
      <c r="AS25" s="13"/>
      <c r="AU25" s="1" t="s">
        <v>204</v>
      </c>
      <c r="AX25" s="1" t="s">
        <v>230</v>
      </c>
      <c r="AY25" s="1">
        <v>427</v>
      </c>
      <c r="AZ25" s="1" t="s">
        <v>331</v>
      </c>
      <c r="BB25" s="1" t="s">
        <v>179</v>
      </c>
    </row>
    <row r="26" spans="1:54" x14ac:dyDescent="0.25">
      <c r="A26" s="1" t="s">
        <v>219</v>
      </c>
      <c r="B26" s="1" t="s">
        <v>126</v>
      </c>
      <c r="C26" s="1">
        <v>2010</v>
      </c>
      <c r="D26" s="1">
        <v>1</v>
      </c>
      <c r="E26" s="1">
        <v>0</v>
      </c>
      <c r="F26" s="1">
        <v>0</v>
      </c>
      <c r="G26" s="19">
        <v>1598</v>
      </c>
      <c r="H26" s="19"/>
      <c r="I26" s="19"/>
      <c r="J26" s="19"/>
      <c r="K26" s="19">
        <v>2680</v>
      </c>
      <c r="L26" s="19"/>
      <c r="M26" s="9"/>
      <c r="N26" s="9"/>
      <c r="O26" s="19">
        <v>4278</v>
      </c>
      <c r="AD26" s="19"/>
      <c r="AE26" s="19"/>
      <c r="AF26" s="1">
        <f>22*Umrechnungsfaktoren!$B$15/Umrechnungsfaktoren!$B$7</f>
        <v>24.502145922746781</v>
      </c>
      <c r="AG26" s="8"/>
      <c r="AH26" s="8"/>
      <c r="AI26" s="8"/>
      <c r="AJ26" s="8"/>
      <c r="AK26" s="8"/>
      <c r="AM26" s="13">
        <v>526</v>
      </c>
      <c r="AN26" s="1">
        <v>526</v>
      </c>
      <c r="AO26" s="13">
        <v>526</v>
      </c>
      <c r="AP26" s="1">
        <v>526</v>
      </c>
      <c r="AQ26" s="13"/>
      <c r="AR26" s="13">
        <v>526</v>
      </c>
      <c r="AS26" s="13"/>
      <c r="AX26" s="1">
        <v>532</v>
      </c>
    </row>
    <row r="27" spans="1:54" x14ac:dyDescent="0.25">
      <c r="A27" s="1" t="s">
        <v>219</v>
      </c>
      <c r="B27" s="1" t="s">
        <v>126</v>
      </c>
      <c r="C27" s="1">
        <v>2020</v>
      </c>
      <c r="D27" s="1">
        <v>1</v>
      </c>
      <c r="E27" s="1">
        <v>0</v>
      </c>
      <c r="F27" s="1">
        <v>0</v>
      </c>
      <c r="G27" s="19">
        <v>1598</v>
      </c>
      <c r="H27" s="19"/>
      <c r="I27" s="19"/>
      <c r="J27" s="19"/>
      <c r="K27" s="19">
        <v>2680</v>
      </c>
      <c r="L27" s="19"/>
      <c r="M27" s="9"/>
      <c r="N27" s="9"/>
      <c r="O27" s="19">
        <v>4278</v>
      </c>
      <c r="AD27" s="19"/>
      <c r="AE27" s="19"/>
      <c r="AF27" s="1">
        <f>2*Umrechnungsfaktoren!$B$15/Umrechnungsfaktoren!$B$7</f>
        <v>2.2274678111587982</v>
      </c>
      <c r="AG27" s="8"/>
      <c r="AH27" s="8"/>
      <c r="AI27" s="8"/>
      <c r="AJ27" s="8"/>
      <c r="AK27" s="8"/>
      <c r="AM27" s="13"/>
      <c r="AO27" s="13"/>
      <c r="AQ27" s="13"/>
      <c r="AR27" s="13"/>
      <c r="AS27" s="13"/>
      <c r="AX27" s="1">
        <v>532</v>
      </c>
    </row>
    <row r="28" spans="1:54" x14ac:dyDescent="0.25">
      <c r="A28" s="1" t="s">
        <v>208</v>
      </c>
      <c r="B28" s="1" t="s">
        <v>126</v>
      </c>
      <c r="C28" s="1">
        <v>2010</v>
      </c>
      <c r="D28" s="1">
        <v>1</v>
      </c>
      <c r="E28" s="1">
        <v>0</v>
      </c>
      <c r="F28" s="1">
        <v>0</v>
      </c>
      <c r="G28" s="19">
        <v>1075</v>
      </c>
      <c r="H28" s="19"/>
      <c r="I28" s="19"/>
      <c r="J28" s="19"/>
      <c r="K28" s="19">
        <v>141</v>
      </c>
      <c r="L28" s="19"/>
      <c r="M28" s="9"/>
      <c r="N28" s="9"/>
      <c r="O28" s="19">
        <v>1215</v>
      </c>
      <c r="AD28" s="19"/>
      <c r="AE28" s="19"/>
      <c r="AF28" s="1">
        <f>389*Umrechnungsfaktoren!$B$15/Umrechnungsfaktoren!$B$7</f>
        <v>433.24248927038622</v>
      </c>
      <c r="AG28" s="8"/>
      <c r="AH28" s="8"/>
      <c r="AI28" s="8"/>
      <c r="AJ28" s="8"/>
      <c r="AK28" s="8"/>
      <c r="AM28" s="1">
        <v>527</v>
      </c>
      <c r="AN28" s="1">
        <v>527</v>
      </c>
      <c r="AO28" s="13">
        <v>526</v>
      </c>
      <c r="AP28" s="1">
        <v>526</v>
      </c>
      <c r="AQ28" s="13"/>
      <c r="AR28" s="13">
        <v>526</v>
      </c>
      <c r="AS28" s="13"/>
      <c r="AX28" s="1">
        <v>532</v>
      </c>
    </row>
    <row r="29" spans="1:54" x14ac:dyDescent="0.25">
      <c r="A29" s="1" t="s">
        <v>208</v>
      </c>
      <c r="B29" s="1" t="s">
        <v>126</v>
      </c>
      <c r="C29" s="1">
        <v>2020</v>
      </c>
      <c r="D29" s="1">
        <v>1</v>
      </c>
      <c r="E29" s="1">
        <v>0</v>
      </c>
      <c r="F29" s="1">
        <v>0</v>
      </c>
      <c r="G29" s="19">
        <v>1075</v>
      </c>
      <c r="H29" s="19"/>
      <c r="I29" s="19"/>
      <c r="J29" s="19"/>
      <c r="K29" s="19">
        <v>141</v>
      </c>
      <c r="L29" s="19"/>
      <c r="M29" s="9"/>
      <c r="N29" s="9"/>
      <c r="O29" s="19">
        <v>1215</v>
      </c>
      <c r="AD29" s="19"/>
      <c r="AE29" s="19"/>
      <c r="AF29" s="1">
        <f>28*Umrechnungsfaktoren!$B$15/Umrechnungsfaktoren!$B$7</f>
        <v>31.184549356223172</v>
      </c>
      <c r="AG29" s="8"/>
      <c r="AH29" s="8"/>
      <c r="AI29" s="8"/>
      <c r="AJ29" s="8"/>
      <c r="AK29" s="8"/>
      <c r="AO29" s="13"/>
      <c r="AQ29" s="13"/>
      <c r="AR29" s="13"/>
      <c r="AS29" s="13"/>
      <c r="AX29" s="1">
        <v>532</v>
      </c>
    </row>
    <row r="30" spans="1:54" x14ac:dyDescent="0.25">
      <c r="A30" s="1" t="s">
        <v>206</v>
      </c>
      <c r="B30" s="1" t="s">
        <v>126</v>
      </c>
      <c r="C30" s="1">
        <v>2010</v>
      </c>
      <c r="D30" s="1">
        <v>1</v>
      </c>
      <c r="E30" s="1">
        <v>1</v>
      </c>
      <c r="F30" s="1">
        <v>0</v>
      </c>
      <c r="G30" s="19">
        <f>1478</f>
        <v>1478</v>
      </c>
      <c r="H30" s="19"/>
      <c r="I30" s="19">
        <v>572</v>
      </c>
      <c r="J30" s="19"/>
      <c r="K30" s="19">
        <f>703</f>
        <v>703</v>
      </c>
      <c r="L30" s="19">
        <f>Tabelle589[[#This Row],[Potenzial pos. MW Durchschnitt]]-572</f>
        <v>906</v>
      </c>
      <c r="M30" s="9"/>
      <c r="N30" s="9"/>
      <c r="O30" s="19">
        <f>2180+572</f>
        <v>2752</v>
      </c>
      <c r="AD30" s="19"/>
      <c r="AE30" s="19"/>
      <c r="AF30" s="1">
        <f>4*Umrechnungsfaktoren!$B$15/Umrechnungsfaktoren!$B$7</f>
        <v>4.4549356223175964</v>
      </c>
      <c r="AG30" s="8"/>
      <c r="AH30" s="8"/>
      <c r="AI30" s="8"/>
      <c r="AJ30" s="8"/>
      <c r="AK30" s="8"/>
      <c r="AL30" s="1" t="s">
        <v>220</v>
      </c>
      <c r="AM30" s="1">
        <v>527</v>
      </c>
      <c r="AN30" s="1">
        <v>527</v>
      </c>
      <c r="AO30" s="13">
        <v>527</v>
      </c>
      <c r="AP30" s="1">
        <v>527</v>
      </c>
      <c r="AQ30" s="13"/>
      <c r="AR30" s="13">
        <v>527</v>
      </c>
      <c r="AS30" s="13"/>
      <c r="AX30" s="1">
        <v>532</v>
      </c>
    </row>
    <row r="31" spans="1:54" x14ac:dyDescent="0.25">
      <c r="A31" s="1" t="s">
        <v>206</v>
      </c>
      <c r="B31" s="1" t="s">
        <v>126</v>
      </c>
      <c r="C31" s="1">
        <v>2020</v>
      </c>
      <c r="D31" s="1">
        <v>1</v>
      </c>
      <c r="E31" s="1">
        <v>1</v>
      </c>
      <c r="F31" s="1">
        <v>0</v>
      </c>
      <c r="G31" s="19">
        <f>1478</f>
        <v>1478</v>
      </c>
      <c r="H31" s="19"/>
      <c r="I31" s="19">
        <v>572</v>
      </c>
      <c r="J31" s="19"/>
      <c r="K31" s="19">
        <f>703</f>
        <v>703</v>
      </c>
      <c r="L31" s="19"/>
      <c r="M31" s="9"/>
      <c r="N31" s="9"/>
      <c r="O31" s="19">
        <f>2180+572</f>
        <v>2752</v>
      </c>
      <c r="AD31" s="19"/>
      <c r="AE31" s="19"/>
      <c r="AF31" s="1">
        <f>1*Umrechnungsfaktoren!$B$15/Umrechnungsfaktoren!$B$7</f>
        <v>1.1137339055793991</v>
      </c>
      <c r="AG31" s="8"/>
      <c r="AH31" s="8"/>
      <c r="AI31" s="8"/>
      <c r="AJ31" s="8"/>
      <c r="AK31" s="8"/>
      <c r="AL31" s="1" t="s">
        <v>220</v>
      </c>
      <c r="AO31" s="13"/>
      <c r="AQ31" s="13"/>
      <c r="AR31" s="13"/>
      <c r="AS31" s="13"/>
      <c r="AX31" s="1">
        <v>532</v>
      </c>
    </row>
    <row r="32" spans="1:54" x14ac:dyDescent="0.25">
      <c r="A32" s="1" t="s">
        <v>78</v>
      </c>
      <c r="B32" s="1" t="s">
        <v>126</v>
      </c>
      <c r="C32" s="1">
        <v>2010</v>
      </c>
      <c r="D32" s="1">
        <v>0</v>
      </c>
      <c r="E32" s="1">
        <v>0</v>
      </c>
      <c r="F32" s="1">
        <v>0</v>
      </c>
      <c r="G32" s="19"/>
      <c r="H32" s="19"/>
      <c r="I32" s="19"/>
      <c r="J32" s="19"/>
      <c r="K32" s="19"/>
      <c r="L32" s="19"/>
      <c r="M32" s="9"/>
      <c r="N32" s="9"/>
      <c r="O32" s="19"/>
      <c r="P32" s="1">
        <v>12</v>
      </c>
      <c r="AD32" s="19"/>
      <c r="AE32" s="19"/>
      <c r="AI32" s="8"/>
      <c r="AJ32" s="8"/>
      <c r="AK32" s="8"/>
      <c r="AL32" s="1" t="s">
        <v>174</v>
      </c>
      <c r="AO32" s="13"/>
      <c r="AQ32" s="13"/>
      <c r="AR32" s="13"/>
      <c r="AS32" s="13"/>
      <c r="BA32" s="1">
        <v>424</v>
      </c>
    </row>
    <row r="33" spans="1:53" x14ac:dyDescent="0.25">
      <c r="A33" s="1" t="s">
        <v>79</v>
      </c>
      <c r="B33" s="1" t="s">
        <v>126</v>
      </c>
      <c r="C33" s="1">
        <v>2010</v>
      </c>
      <c r="D33" s="1">
        <v>0</v>
      </c>
      <c r="E33" s="1">
        <v>0</v>
      </c>
      <c r="F33" s="1">
        <v>0</v>
      </c>
      <c r="G33" s="19"/>
      <c r="H33" s="19"/>
      <c r="I33" s="19"/>
      <c r="J33" s="19"/>
      <c r="K33" s="19"/>
      <c r="L33" s="19"/>
      <c r="M33" s="9"/>
      <c r="N33" s="9"/>
      <c r="O33" s="19"/>
      <c r="AD33" s="19"/>
      <c r="AE33" s="19"/>
      <c r="AI33" s="8"/>
      <c r="AJ33" s="8"/>
      <c r="AK33" s="8"/>
      <c r="AL33" s="1" t="s">
        <v>173</v>
      </c>
      <c r="AO33" s="13"/>
      <c r="AQ33" s="13"/>
      <c r="AR33" s="13"/>
      <c r="AS33" s="13"/>
      <c r="BA33" s="1">
        <v>424</v>
      </c>
    </row>
    <row r="34" spans="1:53" x14ac:dyDescent="0.25">
      <c r="A34" s="1" t="s">
        <v>206</v>
      </c>
      <c r="B34" s="1" t="s">
        <v>127</v>
      </c>
      <c r="C34" s="1">
        <v>2010</v>
      </c>
      <c r="D34" s="1">
        <v>1</v>
      </c>
      <c r="E34" s="1">
        <v>0</v>
      </c>
      <c r="F34" s="1">
        <v>0</v>
      </c>
      <c r="G34" s="19">
        <v>656</v>
      </c>
      <c r="H34" s="19">
        <v>1200</v>
      </c>
      <c r="I34" s="19"/>
      <c r="J34" s="19"/>
      <c r="K34" s="19">
        <v>367</v>
      </c>
      <c r="L34" s="19"/>
      <c r="M34" s="9"/>
      <c r="N34" s="9"/>
      <c r="O34" s="19">
        <v>2800</v>
      </c>
      <c r="Y34" s="1">
        <v>0.5</v>
      </c>
      <c r="Z34" s="1">
        <v>2</v>
      </c>
      <c r="AD34" s="19">
        <f>3*Umrechnungsfaktoren!$B$15/Umrechnungsfaktoren!$B$7</f>
        <v>3.3412017167381971</v>
      </c>
      <c r="AE34" s="19">
        <f>886*Umrechnungsfaktoren!$B$15/Umrechnungsfaktoren!$B$7</f>
        <v>986.76824034334754</v>
      </c>
      <c r="AG34" s="8"/>
      <c r="AH34" s="8"/>
      <c r="AI34" s="8">
        <f>1*Umrechnungsfaktoren!$B$15/Umrechnungsfaktoren!$B$7</f>
        <v>1.1137339055793991</v>
      </c>
      <c r="AJ34" s="8"/>
      <c r="AK34" s="8"/>
      <c r="AM34" s="13">
        <v>519</v>
      </c>
      <c r="AN34" s="1">
        <v>519</v>
      </c>
      <c r="AO34" s="13">
        <v>519</v>
      </c>
      <c r="AP34" s="1">
        <v>519</v>
      </c>
      <c r="AQ34" s="13"/>
      <c r="AR34" s="13">
        <v>519</v>
      </c>
      <c r="AS34" s="13"/>
      <c r="AU34" s="1">
        <v>519</v>
      </c>
      <c r="AX34" s="1">
        <v>532</v>
      </c>
      <c r="AY34" s="1">
        <v>530</v>
      </c>
    </row>
    <row r="35" spans="1:53" x14ac:dyDescent="0.25">
      <c r="A35" s="1" t="s">
        <v>206</v>
      </c>
      <c r="B35" s="1" t="s">
        <v>127</v>
      </c>
      <c r="C35" s="1">
        <v>2020</v>
      </c>
      <c r="D35" s="1">
        <v>1</v>
      </c>
      <c r="E35" s="1">
        <v>0</v>
      </c>
      <c r="F35" s="1">
        <v>0</v>
      </c>
      <c r="G35" s="19">
        <v>656</v>
      </c>
      <c r="H35" s="19">
        <v>1200</v>
      </c>
      <c r="I35" s="19"/>
      <c r="J35" s="19"/>
      <c r="K35" s="19">
        <v>367</v>
      </c>
      <c r="L35" s="19"/>
      <c r="M35" s="9"/>
      <c r="N35" s="9"/>
      <c r="O35" s="19">
        <v>2800</v>
      </c>
      <c r="Y35" s="1">
        <v>0.5</v>
      </c>
      <c r="Z35" s="1">
        <v>2</v>
      </c>
      <c r="AD35" s="19">
        <f>1*Umrechnungsfaktoren!$B$15/Umrechnungsfaktoren!$B$7</f>
        <v>1.1137339055793991</v>
      </c>
      <c r="AE35" s="19">
        <f>55*Umrechnungsfaktoren!$B$15/Umrechnungsfaktoren!$B$7</f>
        <v>61.25536480686695</v>
      </c>
      <c r="AG35" s="8"/>
      <c r="AH35" s="8"/>
      <c r="AI35" s="8">
        <f>1*Umrechnungsfaktoren!$B$15/Umrechnungsfaktoren!$B$7</f>
        <v>1.1137339055793991</v>
      </c>
      <c r="AJ35" s="8"/>
      <c r="AK35" s="8"/>
      <c r="AM35" s="13"/>
      <c r="AO35" s="13"/>
      <c r="AQ35" s="13"/>
      <c r="AR35" s="13"/>
      <c r="AS35" s="13"/>
      <c r="AX35" s="1">
        <v>532</v>
      </c>
    </row>
    <row r="36" spans="1:53" x14ac:dyDescent="0.25">
      <c r="A36" s="1" t="s">
        <v>207</v>
      </c>
      <c r="B36" s="1" t="s">
        <v>127</v>
      </c>
      <c r="C36" s="1">
        <v>2010</v>
      </c>
      <c r="D36" s="1">
        <v>1</v>
      </c>
      <c r="E36" s="1">
        <v>0</v>
      </c>
      <c r="F36" s="1">
        <v>0</v>
      </c>
      <c r="G36" s="19">
        <v>107</v>
      </c>
      <c r="H36" s="19"/>
      <c r="I36" s="19"/>
      <c r="J36" s="19"/>
      <c r="K36" s="19">
        <v>703</v>
      </c>
      <c r="L36" s="19"/>
      <c r="M36" s="9"/>
      <c r="N36" s="9">
        <v>0.25</v>
      </c>
      <c r="O36" s="19"/>
      <c r="AD36" s="19">
        <f>28*Umrechnungsfaktoren!$B$15/Umrechnungsfaktoren!$B$7</f>
        <v>31.184549356223172</v>
      </c>
      <c r="AE36" s="19">
        <f>179*Umrechnungsfaktoren!$B$15/Umrechnungsfaktoren!$B$7</f>
        <v>199.35836909871242</v>
      </c>
      <c r="AG36" s="8"/>
      <c r="AH36" s="8"/>
      <c r="AI36" s="8">
        <f>1*Umrechnungsfaktoren!$B$15/Umrechnungsfaktoren!$B$7</f>
        <v>1.1137339055793991</v>
      </c>
      <c r="AJ36" s="8"/>
      <c r="AK36" s="8"/>
      <c r="AM36" s="13">
        <v>520</v>
      </c>
      <c r="AN36" s="1">
        <v>520</v>
      </c>
      <c r="AO36" s="13">
        <v>520</v>
      </c>
      <c r="AP36" s="1">
        <v>520</v>
      </c>
      <c r="AQ36" s="13">
        <v>520</v>
      </c>
      <c r="AR36" s="13"/>
      <c r="AS36" s="13"/>
      <c r="AX36" s="1">
        <v>532</v>
      </c>
      <c r="AY36" s="1">
        <v>530</v>
      </c>
    </row>
    <row r="37" spans="1:53" x14ac:dyDescent="0.25">
      <c r="A37" s="1" t="s">
        <v>207</v>
      </c>
      <c r="B37" s="1" t="s">
        <v>127</v>
      </c>
      <c r="C37" s="1">
        <v>2020</v>
      </c>
      <c r="D37" s="1">
        <v>1</v>
      </c>
      <c r="E37" s="1">
        <v>0</v>
      </c>
      <c r="F37" s="1">
        <v>0</v>
      </c>
      <c r="G37" s="19">
        <v>107</v>
      </c>
      <c r="H37" s="19"/>
      <c r="I37" s="19"/>
      <c r="J37" s="19"/>
      <c r="K37" s="19">
        <v>703</v>
      </c>
      <c r="L37" s="19"/>
      <c r="M37" s="9"/>
      <c r="N37" s="9">
        <v>0.25</v>
      </c>
      <c r="O37" s="19"/>
      <c r="AD37" s="19">
        <f>2*Umrechnungsfaktoren!$B$15/Umrechnungsfaktoren!$B$7</f>
        <v>2.2274678111587982</v>
      </c>
      <c r="AE37" s="19">
        <f>13*Umrechnungsfaktoren!$B$15/Umrechnungsfaktoren!$B$7</f>
        <v>14.478540772532188</v>
      </c>
      <c r="AG37" s="8"/>
      <c r="AH37" s="8"/>
      <c r="AI37" s="8">
        <f>1*Umrechnungsfaktoren!$B$15/Umrechnungsfaktoren!$B$7</f>
        <v>1.1137339055793991</v>
      </c>
      <c r="AJ37" s="8"/>
      <c r="AK37" s="8"/>
      <c r="AM37" s="13"/>
      <c r="AO37" s="13"/>
      <c r="AQ37" s="13"/>
      <c r="AR37" s="13"/>
      <c r="AS37" s="13"/>
      <c r="AX37" s="1">
        <v>532</v>
      </c>
    </row>
    <row r="38" spans="1:53" x14ac:dyDescent="0.25">
      <c r="A38" s="1" t="s">
        <v>208</v>
      </c>
      <c r="B38" s="1" t="s">
        <v>127</v>
      </c>
      <c r="C38" s="1">
        <v>2010</v>
      </c>
      <c r="D38" s="1">
        <v>1</v>
      </c>
      <c r="E38" s="1">
        <v>0</v>
      </c>
      <c r="F38" s="1">
        <v>0</v>
      </c>
      <c r="G38" s="19">
        <v>476</v>
      </c>
      <c r="H38" s="19"/>
      <c r="I38" s="19"/>
      <c r="J38" s="19"/>
      <c r="K38" s="19">
        <v>1372</v>
      </c>
      <c r="L38" s="19"/>
      <c r="M38" s="9"/>
      <c r="N38" s="9"/>
      <c r="O38" s="19"/>
      <c r="AD38" s="19">
        <f>349*Umrechnungsfaktoren!$B$15/Umrechnungsfaktoren!$B$7</f>
        <v>388.69313304721032</v>
      </c>
      <c r="AE38" s="19">
        <f>1227*Umrechnungsfaktoren!$B$15/Umrechnungsfaktoren!$B$7</f>
        <v>1366.5515021459225</v>
      </c>
      <c r="AG38" s="8"/>
      <c r="AH38" s="8"/>
      <c r="AI38" s="8">
        <f>1*Umrechnungsfaktoren!$B$15/Umrechnungsfaktoren!$B$7</f>
        <v>1.1137339055793991</v>
      </c>
      <c r="AJ38" s="8"/>
      <c r="AK38" s="8"/>
      <c r="AM38" s="13">
        <v>520</v>
      </c>
      <c r="AN38" s="1">
        <v>520</v>
      </c>
      <c r="AO38" s="13">
        <v>520</v>
      </c>
      <c r="AP38" s="1">
        <v>520</v>
      </c>
      <c r="AQ38" s="13"/>
      <c r="AR38" s="13">
        <v>520</v>
      </c>
      <c r="AS38" s="13"/>
      <c r="AX38" s="1">
        <v>532</v>
      </c>
      <c r="AY38" s="1">
        <v>530</v>
      </c>
    </row>
    <row r="39" spans="1:53" x14ac:dyDescent="0.25">
      <c r="A39" s="1" t="s">
        <v>208</v>
      </c>
      <c r="B39" s="1" t="s">
        <v>127</v>
      </c>
      <c r="C39" s="1">
        <v>2020</v>
      </c>
      <c r="D39" s="1">
        <v>1</v>
      </c>
      <c r="E39" s="1">
        <v>0</v>
      </c>
      <c r="F39" s="1">
        <v>0</v>
      </c>
      <c r="G39" s="19">
        <v>476</v>
      </c>
      <c r="H39" s="19"/>
      <c r="I39" s="19"/>
      <c r="J39" s="19"/>
      <c r="K39" s="19">
        <v>1372</v>
      </c>
      <c r="L39" s="19"/>
      <c r="M39" s="9"/>
      <c r="N39" s="9"/>
      <c r="O39" s="19"/>
      <c r="AD39" s="19">
        <f>25*Umrechnungsfaktoren!$B$15/Umrechnungsfaktoren!$B$7</f>
        <v>27.843347639484978</v>
      </c>
      <c r="AE39" s="19">
        <f>87*Umrechnungsfaktoren!$B$15/Umrechnungsfaktoren!$B$7</f>
        <v>96.894849785407715</v>
      </c>
      <c r="AG39" s="8"/>
      <c r="AH39" s="8"/>
      <c r="AI39" s="8">
        <f>1*Umrechnungsfaktoren!$B$15/Umrechnungsfaktoren!$B$7</f>
        <v>1.1137339055793991</v>
      </c>
      <c r="AJ39" s="8"/>
      <c r="AK39" s="8"/>
      <c r="AM39" s="13"/>
      <c r="AO39" s="13"/>
      <c r="AQ39" s="13"/>
      <c r="AR39" s="13"/>
      <c r="AS39" s="13"/>
      <c r="AX39" s="1">
        <v>532</v>
      </c>
    </row>
    <row r="40" spans="1:53" x14ac:dyDescent="0.25">
      <c r="A40" s="1" t="s">
        <v>209</v>
      </c>
      <c r="B40" s="1" t="s">
        <v>127</v>
      </c>
      <c r="C40" s="1">
        <v>2010</v>
      </c>
      <c r="D40" s="1">
        <v>1</v>
      </c>
      <c r="E40" s="1">
        <v>0</v>
      </c>
      <c r="F40" s="1">
        <v>0</v>
      </c>
      <c r="G40" s="19">
        <v>436</v>
      </c>
      <c r="H40" s="19"/>
      <c r="I40" s="19"/>
      <c r="J40" s="19"/>
      <c r="K40" s="19">
        <v>2330</v>
      </c>
      <c r="L40" s="19"/>
      <c r="M40" s="9"/>
      <c r="N40" s="9">
        <v>0.75</v>
      </c>
      <c r="O40" s="19">
        <v>2700</v>
      </c>
      <c r="AB40" s="1" t="s">
        <v>213</v>
      </c>
      <c r="AD40" s="19">
        <f>15*Umrechnungsfaktoren!$B$15/Umrechnungsfaktoren!$B$7</f>
        <v>16.706008583690988</v>
      </c>
      <c r="AE40" s="19">
        <f>592*Umrechnungsfaktoren!$B$15/Umrechnungsfaktoren!$B$7</f>
        <v>659.33047210300424</v>
      </c>
      <c r="AG40" s="8"/>
      <c r="AH40" s="8"/>
      <c r="AI40" s="8">
        <f>1*Umrechnungsfaktoren!$B$15/Umrechnungsfaktoren!$B$7</f>
        <v>1.1137339055793991</v>
      </c>
      <c r="AJ40" s="8"/>
      <c r="AK40" s="8"/>
      <c r="AM40" s="13">
        <v>521</v>
      </c>
      <c r="AN40" s="1">
        <v>521</v>
      </c>
      <c r="AO40" s="13">
        <v>521</v>
      </c>
      <c r="AP40" s="1">
        <v>521</v>
      </c>
      <c r="AQ40" s="13">
        <v>521</v>
      </c>
      <c r="AR40" s="13">
        <v>521</v>
      </c>
      <c r="AS40" s="13"/>
      <c r="AV40" s="1">
        <v>521</v>
      </c>
      <c r="AX40" s="1">
        <v>532</v>
      </c>
      <c r="AY40" s="1">
        <v>530</v>
      </c>
    </row>
    <row r="41" spans="1:53" x14ac:dyDescent="0.25">
      <c r="A41" s="1" t="s">
        <v>209</v>
      </c>
      <c r="B41" s="1" t="s">
        <v>127</v>
      </c>
      <c r="C41" s="1">
        <v>2020</v>
      </c>
      <c r="D41" s="1">
        <v>1</v>
      </c>
      <c r="E41" s="1">
        <v>0</v>
      </c>
      <c r="F41" s="1">
        <v>0</v>
      </c>
      <c r="G41" s="19">
        <v>436</v>
      </c>
      <c r="H41" s="19"/>
      <c r="I41" s="19"/>
      <c r="J41" s="19"/>
      <c r="K41" s="19">
        <v>2330</v>
      </c>
      <c r="L41" s="19"/>
      <c r="M41" s="9"/>
      <c r="N41" s="9">
        <v>0.75</v>
      </c>
      <c r="O41" s="19">
        <v>2700</v>
      </c>
      <c r="AB41" s="1" t="s">
        <v>213</v>
      </c>
      <c r="AD41" s="19">
        <f>1*Umrechnungsfaktoren!$B$15/Umrechnungsfaktoren!$B$7</f>
        <v>1.1137339055793991</v>
      </c>
      <c r="AE41" s="19">
        <f>37*Umrechnungsfaktoren!$B$15/Umrechnungsfaktoren!$B$7</f>
        <v>41.208154506437765</v>
      </c>
      <c r="AG41" s="8"/>
      <c r="AH41" s="8"/>
      <c r="AI41" s="8">
        <f>1*Umrechnungsfaktoren!$B$15/Umrechnungsfaktoren!$B$7</f>
        <v>1.1137339055793991</v>
      </c>
      <c r="AJ41" s="8"/>
      <c r="AK41" s="8"/>
      <c r="AM41" s="13"/>
      <c r="AO41" s="13"/>
      <c r="AQ41" s="13"/>
      <c r="AR41" s="13"/>
      <c r="AS41" s="13"/>
      <c r="AX41" s="1">
        <v>532</v>
      </c>
    </row>
    <row r="42" spans="1:53" x14ac:dyDescent="0.25">
      <c r="A42" s="1" t="s">
        <v>137</v>
      </c>
      <c r="B42" s="1" t="s">
        <v>127</v>
      </c>
      <c r="C42" s="1">
        <v>2010</v>
      </c>
      <c r="D42" s="1">
        <v>1</v>
      </c>
      <c r="E42" s="1">
        <v>0</v>
      </c>
      <c r="F42" s="1">
        <v>0</v>
      </c>
      <c r="G42" s="19">
        <v>747</v>
      </c>
      <c r="H42" s="19"/>
      <c r="I42" s="19"/>
      <c r="J42" s="19"/>
      <c r="K42" s="19">
        <v>9475</v>
      </c>
      <c r="L42" s="19"/>
      <c r="M42" s="9"/>
      <c r="N42" s="9"/>
      <c r="O42" s="19"/>
      <c r="AD42" s="19">
        <f>8*Umrechnungsfaktoren!$B$15/Umrechnungsfaktoren!$B$7</f>
        <v>8.9098712446351929</v>
      </c>
      <c r="AE42" s="19">
        <f>46*Umrechnungsfaktoren!$B$15/Umrechnungsfaktoren!$B$7</f>
        <v>51.231759656652358</v>
      </c>
      <c r="AG42" s="8"/>
      <c r="AH42" s="8"/>
      <c r="AI42" s="8">
        <f>1*Umrechnungsfaktoren!$B$15/Umrechnungsfaktoren!$B$7</f>
        <v>1.1137339055793991</v>
      </c>
      <c r="AJ42" s="8"/>
      <c r="AK42" s="8"/>
      <c r="AM42" s="13">
        <v>521</v>
      </c>
      <c r="AN42" s="1">
        <v>521</v>
      </c>
      <c r="AO42" s="13">
        <v>521</v>
      </c>
      <c r="AP42" s="1">
        <v>521</v>
      </c>
      <c r="AQ42" s="13"/>
      <c r="AR42" s="13"/>
      <c r="AS42" s="13"/>
      <c r="AX42" s="1">
        <v>532</v>
      </c>
      <c r="AY42" s="1">
        <v>530</v>
      </c>
    </row>
    <row r="43" spans="1:53" x14ac:dyDescent="0.25">
      <c r="A43" s="1" t="s">
        <v>137</v>
      </c>
      <c r="B43" s="1" t="s">
        <v>127</v>
      </c>
      <c r="C43" s="1">
        <v>2020</v>
      </c>
      <c r="D43" s="1">
        <v>1</v>
      </c>
      <c r="E43" s="1">
        <v>0</v>
      </c>
      <c r="F43" s="1">
        <v>0</v>
      </c>
      <c r="G43" s="19">
        <v>747</v>
      </c>
      <c r="H43" s="19"/>
      <c r="I43" s="19"/>
      <c r="J43" s="19"/>
      <c r="K43" s="19">
        <v>9475</v>
      </c>
      <c r="L43" s="19"/>
      <c r="M43" s="9"/>
      <c r="N43" s="9"/>
      <c r="O43" s="19"/>
      <c r="AD43" s="19">
        <f>1*Umrechnungsfaktoren!$B$15/Umrechnungsfaktoren!$B$7</f>
        <v>1.1137339055793991</v>
      </c>
      <c r="AE43" s="19">
        <f>3*Umrechnungsfaktoren!$B$15/Umrechnungsfaktoren!$B$7</f>
        <v>3.3412017167381971</v>
      </c>
      <c r="AG43" s="8"/>
      <c r="AH43" s="8"/>
      <c r="AI43" s="8">
        <f>1*Umrechnungsfaktoren!$B$15/Umrechnungsfaktoren!$B$7</f>
        <v>1.1137339055793991</v>
      </c>
      <c r="AJ43" s="8"/>
      <c r="AK43" s="8"/>
      <c r="AM43" s="13"/>
      <c r="AO43" s="13"/>
      <c r="AQ43" s="13"/>
      <c r="AR43" s="13"/>
      <c r="AS43" s="13"/>
      <c r="AX43" s="1">
        <v>532</v>
      </c>
    </row>
    <row r="44" spans="1:53" x14ac:dyDescent="0.25">
      <c r="A44" s="1" t="s">
        <v>221</v>
      </c>
      <c r="B44" s="1" t="s">
        <v>127</v>
      </c>
      <c r="C44" s="1">
        <v>2010</v>
      </c>
      <c r="D44" s="1">
        <v>0</v>
      </c>
      <c r="E44" s="1">
        <v>1</v>
      </c>
      <c r="F44" s="1">
        <v>0</v>
      </c>
      <c r="G44" s="19"/>
      <c r="H44" s="19"/>
      <c r="I44" s="19">
        <v>131</v>
      </c>
      <c r="J44" s="19"/>
      <c r="K44" s="19"/>
      <c r="L44" s="19"/>
      <c r="M44" s="9">
        <v>0.48</v>
      </c>
      <c r="N44" s="9">
        <v>0.51</v>
      </c>
      <c r="O44" s="19"/>
      <c r="Q44" s="65"/>
      <c r="R44" s="65"/>
      <c r="T44" s="1">
        <v>0.5</v>
      </c>
      <c r="U44" s="1">
        <v>2</v>
      </c>
      <c r="AD44" s="19">
        <f>14*Umrechnungsfaktoren!$B$15/Umrechnungsfaktoren!$B$7</f>
        <v>15.592274678111586</v>
      </c>
      <c r="AE44" s="19">
        <f>746*Umrechnungsfaktoren!$B$15/Umrechnungsfaktoren!$B$7</f>
        <v>830.8454935622317</v>
      </c>
      <c r="AG44" s="8"/>
      <c r="AH44" s="8"/>
      <c r="AI44" s="8">
        <f>1*Umrechnungsfaktoren!$B$15/Umrechnungsfaktoren!$B$7</f>
        <v>1.1137339055793991</v>
      </c>
      <c r="AJ44" s="8">
        <v>7</v>
      </c>
      <c r="AK44" s="8">
        <v>418</v>
      </c>
      <c r="AM44" s="13">
        <v>528</v>
      </c>
      <c r="AN44" s="13">
        <v>528</v>
      </c>
      <c r="AO44" s="13">
        <v>528</v>
      </c>
      <c r="AP44" s="13">
        <v>528</v>
      </c>
      <c r="AQ44" s="13"/>
      <c r="AR44" s="13"/>
      <c r="AS44" s="13"/>
      <c r="AX44" s="1">
        <v>532</v>
      </c>
      <c r="AY44" s="1">
        <v>531</v>
      </c>
      <c r="AZ44" s="1">
        <v>531</v>
      </c>
    </row>
    <row r="45" spans="1:53" x14ac:dyDescent="0.25">
      <c r="A45" s="1" t="s">
        <v>221</v>
      </c>
      <c r="B45" s="1" t="s">
        <v>127</v>
      </c>
      <c r="C45" s="1">
        <v>2020</v>
      </c>
      <c r="D45" s="1">
        <v>0</v>
      </c>
      <c r="E45" s="1">
        <v>1</v>
      </c>
      <c r="F45" s="1">
        <v>0</v>
      </c>
      <c r="G45" s="19"/>
      <c r="H45" s="19"/>
      <c r="I45" s="19">
        <v>131</v>
      </c>
      <c r="J45" s="19"/>
      <c r="K45" s="19"/>
      <c r="L45" s="19"/>
      <c r="M45" s="9">
        <v>0.48</v>
      </c>
      <c r="N45" s="9">
        <v>0.51</v>
      </c>
      <c r="O45" s="19"/>
      <c r="Q45" s="65"/>
      <c r="R45" s="65"/>
      <c r="T45" s="1">
        <v>0.5</v>
      </c>
      <c r="U45" s="1">
        <v>2</v>
      </c>
      <c r="AD45" s="19">
        <f>14*Umrechnungsfaktoren!$B$15/Umrechnungsfaktoren!$B$7</f>
        <v>15.592274678111586</v>
      </c>
      <c r="AE45" s="19">
        <f>746*Umrechnungsfaktoren!$B$15/Umrechnungsfaktoren!$B$7</f>
        <v>830.8454935622317</v>
      </c>
      <c r="AG45" s="8"/>
      <c r="AH45" s="8"/>
      <c r="AI45" s="8">
        <f>1*Umrechnungsfaktoren!$B$15/Umrechnungsfaktoren!$B$7</f>
        <v>1.1137339055793991</v>
      </c>
      <c r="AJ45" s="8">
        <v>7</v>
      </c>
      <c r="AK45" s="8">
        <v>418</v>
      </c>
      <c r="AO45" s="13"/>
      <c r="AQ45" s="13"/>
      <c r="AR45" s="13"/>
      <c r="AS45" s="13"/>
      <c r="AX45" s="1">
        <v>532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Dropdown!$C$2:$C$4</xm:f>
          </x14:formula1>
          <xm:sqref>B2:B45</xm:sqref>
        </x14:dataValidation>
        <x14:dataValidation type="list" allowBlank="1" showInputMessage="1" showErrorMessage="1" xr:uid="{00000000-0002-0000-0200-000001000000}">
          <x14:formula1>
            <xm:f>Dropdown!$A$2:$A$54</xm:f>
          </x14:formula1>
          <xm:sqref>A2:A45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3383-EFA7-4343-AFD7-A60413624BDC}">
  <dimension ref="A1:AE3"/>
  <sheetViews>
    <sheetView zoomScale="90" zoomScaleNormal="9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9" sqref="C9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38.81640625" style="1" bestFit="1" customWidth="1"/>
    <col min="8" max="10" width="38.81640625" style="1" customWidth="1"/>
    <col min="11" max="11" width="29.26953125" style="1" bestFit="1" customWidth="1"/>
    <col min="12" max="12" width="24.54296875" style="1" customWidth="1"/>
    <col min="13" max="13" width="24.453125" style="1" bestFit="1" customWidth="1"/>
    <col min="14" max="22" width="24.453125" style="1" customWidth="1"/>
    <col min="23" max="24" width="20.7265625" style="1" customWidth="1"/>
    <col min="25" max="25" width="25.81640625" style="1" bestFit="1" customWidth="1"/>
    <col min="26" max="26" width="56.7265625" style="1" bestFit="1" customWidth="1"/>
    <col min="27" max="28" width="35.54296875" style="1" customWidth="1"/>
    <col min="29" max="29" width="31.7265625" style="1" bestFit="1" customWidth="1"/>
    <col min="30" max="30" width="31.54296875" style="1" bestFit="1" customWidth="1"/>
    <col min="31" max="31" width="28.81640625" style="1" bestFit="1" customWidth="1"/>
    <col min="32" max="16384" width="11.453125" style="1"/>
  </cols>
  <sheetData>
    <row r="1" spans="1:31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1205</v>
      </c>
      <c r="H1" s="2" t="s">
        <v>1206</v>
      </c>
      <c r="I1" s="2" t="s">
        <v>1207</v>
      </c>
      <c r="J1" s="2" t="s">
        <v>1208</v>
      </c>
      <c r="K1" s="2" t="s">
        <v>1209</v>
      </c>
      <c r="L1" s="2" t="s">
        <v>1210</v>
      </c>
      <c r="M1" s="2" t="s">
        <v>1211</v>
      </c>
      <c r="N1" s="2" t="s">
        <v>1212</v>
      </c>
      <c r="O1" s="2" t="s">
        <v>1215</v>
      </c>
      <c r="P1" s="2" t="s">
        <v>1216</v>
      </c>
      <c r="Q1" s="2" t="s">
        <v>1217</v>
      </c>
      <c r="R1" s="2" t="s">
        <v>1218</v>
      </c>
      <c r="S1" s="2" t="s">
        <v>1219</v>
      </c>
      <c r="T1" s="2" t="s">
        <v>1220</v>
      </c>
      <c r="U1" s="2" t="s">
        <v>1221</v>
      </c>
      <c r="V1" s="2" t="s">
        <v>1222</v>
      </c>
      <c r="W1" s="2" t="s">
        <v>211</v>
      </c>
      <c r="X1" s="2" t="s">
        <v>212</v>
      </c>
      <c r="Y1" s="2" t="s">
        <v>3</v>
      </c>
      <c r="Z1" s="2" t="s">
        <v>20</v>
      </c>
      <c r="AA1" s="2" t="s">
        <v>161</v>
      </c>
      <c r="AB1" s="2" t="s">
        <v>162</v>
      </c>
      <c r="AC1" s="2" t="s">
        <v>1</v>
      </c>
      <c r="AD1" s="2" t="s">
        <v>2</v>
      </c>
      <c r="AE1" s="2" t="s">
        <v>49</v>
      </c>
    </row>
    <row r="2" spans="1:31" x14ac:dyDescent="0.25">
      <c r="A2" s="1" t="s">
        <v>138</v>
      </c>
      <c r="B2" s="1" t="s">
        <v>139</v>
      </c>
      <c r="C2" s="1">
        <v>2019</v>
      </c>
      <c r="D2" s="1">
        <v>1</v>
      </c>
      <c r="E2" s="1">
        <v>0</v>
      </c>
      <c r="F2" s="1">
        <v>0</v>
      </c>
      <c r="G2" s="19">
        <v>5170</v>
      </c>
      <c r="H2" s="19">
        <v>10100</v>
      </c>
      <c r="I2" s="19">
        <v>16800</v>
      </c>
      <c r="J2" s="19">
        <v>17620</v>
      </c>
      <c r="K2" s="19">
        <v>4190</v>
      </c>
      <c r="L2" s="19">
        <v>6690</v>
      </c>
      <c r="M2" s="19">
        <v>12480</v>
      </c>
      <c r="N2" s="19">
        <v>13800</v>
      </c>
      <c r="O2" s="19">
        <v>0</v>
      </c>
      <c r="P2" s="19">
        <v>0</v>
      </c>
      <c r="Q2" s="19">
        <v>0</v>
      </c>
      <c r="R2" s="19">
        <v>0</v>
      </c>
      <c r="S2" s="19">
        <v>330</v>
      </c>
      <c r="T2" s="19">
        <v>1310</v>
      </c>
      <c r="U2" s="19">
        <v>3080</v>
      </c>
      <c r="V2" s="19">
        <v>3450</v>
      </c>
      <c r="W2" s="1">
        <v>0.25</v>
      </c>
      <c r="X2" s="1">
        <v>4</v>
      </c>
      <c r="Y2" s="1">
        <v>2</v>
      </c>
      <c r="Z2" s="1" t="s">
        <v>1213</v>
      </c>
      <c r="AA2" s="1" t="s">
        <v>1214</v>
      </c>
      <c r="AC2" s="1" t="s">
        <v>1214</v>
      </c>
      <c r="AD2" s="1" t="s">
        <v>1214</v>
      </c>
    </row>
    <row r="3" spans="1:31" x14ac:dyDescent="0.25">
      <c r="A3" s="1" t="s">
        <v>134</v>
      </c>
      <c r="B3" s="1" t="s">
        <v>139</v>
      </c>
      <c r="C3" s="1">
        <v>2019</v>
      </c>
      <c r="D3" s="1">
        <v>1</v>
      </c>
      <c r="E3" s="1">
        <v>0</v>
      </c>
      <c r="F3" s="1">
        <v>0</v>
      </c>
      <c r="G3" s="19">
        <v>820</v>
      </c>
      <c r="H3" s="19">
        <v>820</v>
      </c>
      <c r="I3" s="19">
        <v>820</v>
      </c>
      <c r="J3" s="19">
        <v>990</v>
      </c>
      <c r="K3" s="19">
        <v>900</v>
      </c>
      <c r="L3" s="19">
        <v>900</v>
      </c>
      <c r="M3" s="19">
        <v>900</v>
      </c>
      <c r="N3" s="19">
        <v>1150</v>
      </c>
      <c r="O3" s="19">
        <v>370</v>
      </c>
      <c r="P3" s="19">
        <v>370</v>
      </c>
      <c r="Q3" s="19">
        <v>370</v>
      </c>
      <c r="R3" s="19">
        <v>490</v>
      </c>
      <c r="S3" s="19">
        <v>210</v>
      </c>
      <c r="T3" s="19">
        <v>210</v>
      </c>
      <c r="U3" s="19">
        <v>210</v>
      </c>
      <c r="V3" s="19">
        <v>370</v>
      </c>
      <c r="W3" s="1">
        <v>0.25</v>
      </c>
      <c r="X3" s="1">
        <v>5</v>
      </c>
      <c r="Y3" s="1">
        <v>2</v>
      </c>
      <c r="Z3" s="1" t="s">
        <v>1213</v>
      </c>
      <c r="AA3" s="1" t="s">
        <v>1214</v>
      </c>
      <c r="AC3" s="1" t="s">
        <v>1214</v>
      </c>
      <c r="AD3" s="1" t="s">
        <v>1214</v>
      </c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FD2E70-8C97-4F45-8160-4C4D033E90B3}">
          <x14:formula1>
            <xm:f>Dropdown!$A$2:$A$54</xm:f>
          </x14:formula1>
          <xm:sqref>A2:A3</xm:sqref>
        </x14:dataValidation>
        <x14:dataValidation type="list" allowBlank="1" showInputMessage="1" showErrorMessage="1" xr:uid="{9307875A-4479-4BB5-A9D7-ED1A29CB11AD}">
          <x14:formula1>
            <xm:f>Dropdown!$C$2:$C$4</xm:f>
          </x14:formula1>
          <xm:sqref>B2:B3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0"/>
  <dimension ref="A1:D9"/>
  <sheetViews>
    <sheetView workbookViewId="0">
      <selection activeCell="D9" sqref="D9"/>
    </sheetView>
  </sheetViews>
  <sheetFormatPr baseColWidth="10" defaultColWidth="11.453125" defaultRowHeight="12.5" x14ac:dyDescent="0.25"/>
  <cols>
    <col min="1" max="1" width="24.1796875" style="1" bestFit="1" customWidth="1"/>
    <col min="2" max="2" width="16.7265625" style="1" customWidth="1"/>
    <col min="3" max="3" width="43.7265625" style="1" customWidth="1"/>
    <col min="4" max="4" width="47.54296875" style="1" bestFit="1" customWidth="1"/>
    <col min="5" max="16384" width="11.453125" style="1"/>
  </cols>
  <sheetData>
    <row r="1" spans="1:4" x14ac:dyDescent="0.25">
      <c r="A1" s="1" t="s">
        <v>194</v>
      </c>
      <c r="B1" s="1" t="s">
        <v>195</v>
      </c>
      <c r="C1" s="1" t="s">
        <v>193</v>
      </c>
      <c r="D1" s="1" t="s">
        <v>214</v>
      </c>
    </row>
    <row r="2" spans="1:4" x14ac:dyDescent="0.25">
      <c r="A2" s="1" t="s">
        <v>167</v>
      </c>
      <c r="C2" s="11">
        <v>314</v>
      </c>
      <c r="D2" s="11">
        <v>318</v>
      </c>
    </row>
    <row r="3" spans="1:4" x14ac:dyDescent="0.25">
      <c r="A3" s="1" t="s">
        <v>27</v>
      </c>
      <c r="B3" s="1" t="s">
        <v>197</v>
      </c>
      <c r="C3" s="11">
        <v>263</v>
      </c>
      <c r="D3" s="11">
        <v>275</v>
      </c>
    </row>
    <row r="4" spans="1:4" x14ac:dyDescent="0.25">
      <c r="A4" s="1" t="s">
        <v>27</v>
      </c>
      <c r="B4" s="1" t="s">
        <v>199</v>
      </c>
      <c r="C4" s="11">
        <v>160</v>
      </c>
      <c r="D4" s="11">
        <v>156</v>
      </c>
    </row>
    <row r="5" spans="1:4" x14ac:dyDescent="0.25">
      <c r="A5" s="1" t="s">
        <v>27</v>
      </c>
      <c r="B5" s="1" t="s">
        <v>200</v>
      </c>
      <c r="C5" s="11">
        <v>246</v>
      </c>
      <c r="D5" s="11">
        <v>178</v>
      </c>
    </row>
    <row r="6" spans="1:4" x14ac:dyDescent="0.25">
      <c r="A6" s="1" t="s">
        <v>51</v>
      </c>
      <c r="C6" s="11">
        <v>277</v>
      </c>
      <c r="D6" s="11">
        <v>295</v>
      </c>
    </row>
    <row r="7" spans="1:4" x14ac:dyDescent="0.25">
      <c r="A7" s="1" t="s">
        <v>81</v>
      </c>
      <c r="C7" s="11">
        <v>1098</v>
      </c>
      <c r="D7" s="11">
        <v>775</v>
      </c>
    </row>
    <row r="8" spans="1:4" x14ac:dyDescent="0.25">
      <c r="A8" s="1" t="s">
        <v>172</v>
      </c>
      <c r="C8" s="11">
        <v>311</v>
      </c>
      <c r="D8" s="11">
        <v>222</v>
      </c>
    </row>
    <row r="9" spans="1:4" x14ac:dyDescent="0.25">
      <c r="A9" s="1" t="s">
        <v>196</v>
      </c>
      <c r="C9" s="11">
        <f>SUBTOTAL(109,Tabelle3[Werte pos. Potenzial aus Tabelle (S. 425) in MW])</f>
        <v>2669</v>
      </c>
      <c r="D9" s="11">
        <f>SUBTOTAL(109,Tabelle3[Werte pos. Potenzial aus Tabelle (S. 525) in MW])</f>
        <v>2219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Dropdown!$B$2:$B$46</xm:f>
          </x14:formula1>
          <xm:sqref>B2:B8</xm:sqref>
        </x14:dataValidation>
        <x14:dataValidation type="list" allowBlank="1" showInputMessage="1" showErrorMessage="1" xr:uid="{00000000-0002-0000-0300-000000000000}">
          <x14:formula1>
            <xm:f>Dropdown!$A$2:$A$54</xm:f>
          </x14:formula1>
          <xm:sqref>A2:A8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21"/>
  <dimension ref="A1:AQ11"/>
  <sheetViews>
    <sheetView zoomScale="85" zoomScaleNormal="85" workbookViewId="0">
      <pane xSplit="6" ySplit="1" topLeftCell="Y2" activePane="bottomRight" state="frozen"/>
      <selection pane="topRight" activeCell="G1" sqref="G1"/>
      <selection pane="bottomLeft" activeCell="A2" sqref="A2"/>
      <selection pane="bottomRight" activeCell="F12" sqref="F12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38.81640625" style="1" bestFit="1" customWidth="1"/>
    <col min="8" max="8" width="29.26953125" style="1" bestFit="1" customWidth="1"/>
    <col min="9" max="9" width="29.26953125" style="1" customWidth="1"/>
    <col min="10" max="10" width="24.54296875" style="1" customWidth="1"/>
    <col min="11" max="13" width="24.453125" style="1" customWidth="1"/>
    <col min="14" max="14" width="37.7265625" style="1" bestFit="1" customWidth="1"/>
    <col min="15" max="15" width="24.7265625" style="1" customWidth="1"/>
    <col min="16" max="16" width="28.453125" style="1" customWidth="1"/>
    <col min="17" max="17" width="27.453125" style="1" bestFit="1" customWidth="1"/>
    <col min="18" max="19" width="20.7265625" style="1" customWidth="1"/>
    <col min="20" max="21" width="38.26953125" style="1" customWidth="1"/>
    <col min="22" max="22" width="38.26953125" style="1" bestFit="1" customWidth="1"/>
    <col min="23" max="25" width="38.26953125" style="1" customWidth="1"/>
    <col min="26" max="26" width="33.453125" style="1" bestFit="1" customWidth="1"/>
    <col min="27" max="27" width="33.453125" style="1" customWidth="1"/>
    <col min="28" max="28" width="56.7265625" style="1" bestFit="1" customWidth="1"/>
    <col min="29" max="30" width="35.54296875" style="1" customWidth="1"/>
    <col min="31" max="31" width="31.7265625" style="1" bestFit="1" customWidth="1"/>
    <col min="32" max="32" width="31.54296875" style="1" bestFit="1" customWidth="1"/>
    <col min="33" max="36" width="31.54296875" style="1" customWidth="1"/>
    <col min="37" max="37" width="37.453125" style="1" bestFit="1" customWidth="1"/>
    <col min="38" max="38" width="35.7265625" style="1" bestFit="1" customWidth="1"/>
    <col min="39" max="39" width="28.81640625" style="1" bestFit="1" customWidth="1"/>
    <col min="40" max="40" width="34" style="1" bestFit="1" customWidth="1"/>
    <col min="41" max="41" width="22.81640625" style="1" bestFit="1" customWidth="1"/>
    <col min="42" max="42" width="28.54296875" style="1" bestFit="1" customWidth="1"/>
    <col min="43" max="43" width="28.26953125" style="1" bestFit="1" customWidth="1"/>
    <col min="44" max="16384" width="11.453125" style="1"/>
  </cols>
  <sheetData>
    <row r="1" spans="1:43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146</v>
      </c>
      <c r="H1" s="2" t="s">
        <v>48</v>
      </c>
      <c r="I1" s="2" t="s">
        <v>541</v>
      </c>
      <c r="J1" s="2" t="s">
        <v>155</v>
      </c>
      <c r="K1" s="2" t="s">
        <v>52</v>
      </c>
      <c r="L1" s="2" t="s">
        <v>555</v>
      </c>
      <c r="M1" s="2" t="s">
        <v>232</v>
      </c>
      <c r="N1" s="2" t="s">
        <v>113</v>
      </c>
      <c r="O1" s="2" t="s">
        <v>120</v>
      </c>
      <c r="P1" s="2" t="s">
        <v>55</v>
      </c>
      <c r="Q1" s="2" t="s">
        <v>9</v>
      </c>
      <c r="R1" s="2" t="s">
        <v>1131</v>
      </c>
      <c r="S1" s="2" t="s">
        <v>211</v>
      </c>
      <c r="T1" s="2" t="s">
        <v>1251</v>
      </c>
      <c r="U1" s="2" t="s">
        <v>1252</v>
      </c>
      <c r="V1" s="2" t="s">
        <v>1246</v>
      </c>
      <c r="W1" s="2" t="s">
        <v>1260</v>
      </c>
      <c r="X1" s="2" t="s">
        <v>1261</v>
      </c>
      <c r="Y1" s="2" t="s">
        <v>1247</v>
      </c>
      <c r="Z1" s="2" t="s">
        <v>1248</v>
      </c>
      <c r="AA1" s="2" t="s">
        <v>1249</v>
      </c>
      <c r="AB1" s="2" t="s">
        <v>20</v>
      </c>
      <c r="AC1" s="2" t="s">
        <v>161</v>
      </c>
      <c r="AD1" s="2" t="s">
        <v>162</v>
      </c>
      <c r="AE1" s="2" t="s">
        <v>1</v>
      </c>
      <c r="AF1" s="2" t="s">
        <v>2</v>
      </c>
      <c r="AG1" s="2" t="s">
        <v>56</v>
      </c>
      <c r="AH1" s="2" t="s">
        <v>1123</v>
      </c>
      <c r="AI1" s="2" t="s">
        <v>233</v>
      </c>
      <c r="AJ1" s="2" t="s">
        <v>57</v>
      </c>
      <c r="AK1" s="2" t="s">
        <v>58</v>
      </c>
      <c r="AL1" s="2" t="s">
        <v>95</v>
      </c>
      <c r="AM1" s="2" t="s">
        <v>5</v>
      </c>
      <c r="AN1" s="2" t="s">
        <v>6</v>
      </c>
      <c r="AO1" s="2" t="s">
        <v>17</v>
      </c>
      <c r="AP1" s="2" t="s">
        <v>18</v>
      </c>
      <c r="AQ1" s="2" t="s">
        <v>19</v>
      </c>
    </row>
    <row r="2" spans="1:43" x14ac:dyDescent="0.25">
      <c r="A2" s="6" t="s">
        <v>938</v>
      </c>
      <c r="B2" s="1" t="s">
        <v>126</v>
      </c>
      <c r="C2" s="1">
        <v>2010</v>
      </c>
      <c r="D2" s="1">
        <v>1</v>
      </c>
      <c r="E2" s="1">
        <v>1</v>
      </c>
      <c r="F2" s="1">
        <v>0</v>
      </c>
      <c r="G2" s="19"/>
      <c r="H2" s="19">
        <v>314</v>
      </c>
      <c r="I2" s="19">
        <v>314</v>
      </c>
      <c r="J2" s="19"/>
      <c r="K2" s="9"/>
      <c r="L2" s="9"/>
      <c r="M2" s="9">
        <v>0.8</v>
      </c>
      <c r="N2" s="20"/>
      <c r="O2" s="9"/>
      <c r="P2" s="19"/>
      <c r="Q2" s="1">
        <v>0.25</v>
      </c>
      <c r="T2" s="19">
        <f>15*Umrechnungsfaktoren!$B$15/Umrechnungsfaktoren!$B$7</f>
        <v>16.706008583690988</v>
      </c>
      <c r="U2" s="19">
        <f>18*Umrechnungsfaktoren!$B$15/Umrechnungsfaktoren!$B$7</f>
        <v>20.047210300429182</v>
      </c>
      <c r="V2" s="19"/>
      <c r="W2" s="8">
        <f>400*Umrechnungsfaktoren!$B$15/Umrechnungsfaktoren!$B$7</f>
        <v>445.49356223175965</v>
      </c>
      <c r="X2" s="8">
        <f>1000*Umrechnungsfaktoren!$B$15/Umrechnungsfaktoren!$B$7</f>
        <v>1113.7339055793991</v>
      </c>
      <c r="Y2" s="8"/>
      <c r="Z2" s="19">
        <f>AVERAGE(Tabelle5897[[#This Row],[var. Kosten min. Lastverzicht €_2020/MWh]:[var. Kosten max. Lastverzicht €_2020/MWh]])</f>
        <v>779.61373390557935</v>
      </c>
      <c r="AA2" s="8">
        <f>0*Umrechnungsfaktoren!$B$15/Umrechnungsfaktoren!$B$7</f>
        <v>0</v>
      </c>
      <c r="AB2" s="1" t="s">
        <v>234</v>
      </c>
      <c r="AC2" s="1">
        <v>435</v>
      </c>
      <c r="AD2" s="1">
        <v>435</v>
      </c>
      <c r="AE2" s="13"/>
      <c r="AG2" s="13"/>
      <c r="AH2" s="13"/>
      <c r="AI2" s="13"/>
      <c r="AK2" s="13"/>
      <c r="AL2" s="13">
        <v>436</v>
      </c>
      <c r="AO2" s="1">
        <v>436</v>
      </c>
      <c r="AP2" s="1">
        <v>436</v>
      </c>
      <c r="AQ2" s="1">
        <v>436</v>
      </c>
    </row>
    <row r="3" spans="1:43" x14ac:dyDescent="0.25">
      <c r="A3" s="1" t="s">
        <v>938</v>
      </c>
      <c r="B3" s="1" t="s">
        <v>126</v>
      </c>
      <c r="C3" s="1">
        <v>2020</v>
      </c>
      <c r="D3" s="1">
        <v>1</v>
      </c>
      <c r="E3" s="1">
        <v>1</v>
      </c>
      <c r="F3" s="1">
        <v>0</v>
      </c>
      <c r="G3" s="19"/>
      <c r="H3" s="19">
        <v>314</v>
      </c>
      <c r="I3" s="19">
        <v>314</v>
      </c>
      <c r="J3" s="19"/>
      <c r="K3" s="9"/>
      <c r="L3" s="9"/>
      <c r="M3" s="9">
        <v>0.8</v>
      </c>
      <c r="N3" s="20"/>
      <c r="O3" s="9"/>
      <c r="P3" s="19"/>
      <c r="Q3" s="1">
        <v>0.25</v>
      </c>
      <c r="T3" s="19">
        <f>15*Umrechnungsfaktoren!$B$15/Umrechnungsfaktoren!$B$7</f>
        <v>16.706008583690988</v>
      </c>
      <c r="U3" s="19">
        <f>18*Umrechnungsfaktoren!$B$15/Umrechnungsfaktoren!$B$7</f>
        <v>20.047210300429182</v>
      </c>
      <c r="V3" s="19"/>
      <c r="W3" s="8">
        <f>400*Umrechnungsfaktoren!$B$15/Umrechnungsfaktoren!$B$7</f>
        <v>445.49356223175965</v>
      </c>
      <c r="X3" s="8">
        <f>1000*Umrechnungsfaktoren!$B$15/Umrechnungsfaktoren!$B$7</f>
        <v>1113.7339055793991</v>
      </c>
      <c r="Y3" s="8"/>
      <c r="Z3" s="19">
        <f>AVERAGE(Tabelle5897[[#This Row],[var. Kosten min. Lastverzicht €_2020/MWh]:[var. Kosten max. Lastverzicht €_2020/MWh]])</f>
        <v>779.61373390557935</v>
      </c>
      <c r="AA3" s="8">
        <f>0*Umrechnungsfaktoren!$B$15/Umrechnungsfaktoren!$B$7</f>
        <v>0</v>
      </c>
      <c r="AB3" s="1" t="s">
        <v>234</v>
      </c>
      <c r="AE3" s="13"/>
      <c r="AG3" s="13"/>
      <c r="AH3" s="13"/>
      <c r="AI3" s="13"/>
      <c r="AK3" s="13"/>
      <c r="AL3" s="13"/>
    </row>
    <row r="4" spans="1:43" x14ac:dyDescent="0.25">
      <c r="A4" s="6" t="s">
        <v>27</v>
      </c>
      <c r="B4" s="1" t="s">
        <v>126</v>
      </c>
      <c r="C4" s="1">
        <v>2010</v>
      </c>
      <c r="D4" s="1">
        <v>1</v>
      </c>
      <c r="E4" s="1">
        <v>1</v>
      </c>
      <c r="F4" s="1">
        <v>0</v>
      </c>
      <c r="G4" s="19"/>
      <c r="H4" s="19">
        <v>660</v>
      </c>
      <c r="I4" s="19">
        <v>660</v>
      </c>
      <c r="J4" s="19"/>
      <c r="K4" s="9">
        <v>0.8</v>
      </c>
      <c r="L4" s="9">
        <v>0.4</v>
      </c>
      <c r="M4" s="9"/>
      <c r="N4" s="20"/>
      <c r="O4" s="9">
        <v>0.9</v>
      </c>
      <c r="P4" s="19"/>
      <c r="Q4" s="1">
        <v>0.25</v>
      </c>
      <c r="R4" s="1">
        <v>2</v>
      </c>
      <c r="T4" s="19"/>
      <c r="U4" s="19"/>
      <c r="V4" s="8">
        <f>1*Umrechnungsfaktoren!$B$15/Umrechnungsfaktoren!$B$7</f>
        <v>1.1137339055793991</v>
      </c>
      <c r="W4" s="8"/>
      <c r="X4" s="8"/>
      <c r="Y4" s="8"/>
      <c r="Z4" s="8">
        <f>100*Umrechnungsfaktoren!$B$15/Umrechnungsfaktoren!$B$7</f>
        <v>111.37339055793991</v>
      </c>
      <c r="AA4" s="8">
        <f>0*Umrechnungsfaktoren!$B$15/Umrechnungsfaktoren!$B$7</f>
        <v>0</v>
      </c>
      <c r="AB4" s="1" t="s">
        <v>231</v>
      </c>
      <c r="AC4" s="1">
        <v>435</v>
      </c>
      <c r="AD4" s="1">
        <v>435</v>
      </c>
      <c r="AE4" s="13">
        <v>434</v>
      </c>
      <c r="AG4" s="13">
        <v>434</v>
      </c>
      <c r="AH4" s="13">
        <v>434</v>
      </c>
      <c r="AI4" s="13"/>
      <c r="AJ4" s="1">
        <v>434</v>
      </c>
      <c r="AK4" s="13"/>
      <c r="AL4" s="13">
        <v>436</v>
      </c>
      <c r="AM4" s="1">
        <v>434</v>
      </c>
      <c r="AO4" s="1">
        <v>436</v>
      </c>
      <c r="AP4" s="1">
        <v>436</v>
      </c>
      <c r="AQ4" s="1">
        <v>436</v>
      </c>
    </row>
    <row r="5" spans="1:43" x14ac:dyDescent="0.25">
      <c r="A5" s="1" t="s">
        <v>27</v>
      </c>
      <c r="B5" s="1" t="s">
        <v>126</v>
      </c>
      <c r="C5" s="1">
        <v>2020</v>
      </c>
      <c r="D5" s="1">
        <v>1</v>
      </c>
      <c r="E5" s="1">
        <v>1</v>
      </c>
      <c r="F5" s="1">
        <v>0</v>
      </c>
      <c r="G5" s="19"/>
      <c r="H5" s="19">
        <v>660</v>
      </c>
      <c r="I5" s="19">
        <v>660</v>
      </c>
      <c r="J5" s="19"/>
      <c r="K5" s="9">
        <v>0.8</v>
      </c>
      <c r="L5" s="9">
        <v>0.4</v>
      </c>
      <c r="M5" s="9"/>
      <c r="N5" s="20"/>
      <c r="O5" s="9">
        <v>0.9</v>
      </c>
      <c r="P5" s="19"/>
      <c r="Q5" s="1">
        <v>0.25</v>
      </c>
      <c r="R5" s="1">
        <v>2</v>
      </c>
      <c r="T5" s="19"/>
      <c r="U5" s="19"/>
      <c r="V5" s="8">
        <f>1*Umrechnungsfaktoren!$B$15/Umrechnungsfaktoren!$B$7</f>
        <v>1.1137339055793991</v>
      </c>
      <c r="W5" s="8"/>
      <c r="X5" s="8"/>
      <c r="Y5" s="8"/>
      <c r="Z5" s="8">
        <f>100*Umrechnungsfaktoren!$B$15/Umrechnungsfaktoren!$B$7</f>
        <v>111.37339055793991</v>
      </c>
      <c r="AA5" s="8">
        <f>0*Umrechnungsfaktoren!$B$15/Umrechnungsfaktoren!$B$7</f>
        <v>0</v>
      </c>
      <c r="AB5" s="1" t="s">
        <v>231</v>
      </c>
      <c r="AE5" s="13"/>
      <c r="AG5" s="13"/>
      <c r="AH5" s="13"/>
      <c r="AI5" s="13"/>
      <c r="AK5" s="13"/>
      <c r="AL5" s="13"/>
    </row>
    <row r="6" spans="1:43" x14ac:dyDescent="0.25">
      <c r="A6" s="6" t="s">
        <v>51</v>
      </c>
      <c r="B6" s="1" t="s">
        <v>126</v>
      </c>
      <c r="C6" s="1">
        <v>2010</v>
      </c>
      <c r="D6" s="1">
        <v>0</v>
      </c>
      <c r="E6" s="1">
        <v>1</v>
      </c>
      <c r="F6" s="1">
        <v>0</v>
      </c>
      <c r="G6" s="19"/>
      <c r="H6" s="19"/>
      <c r="I6" s="19">
        <v>227</v>
      </c>
      <c r="J6" s="19"/>
      <c r="K6" s="9">
        <v>0.95</v>
      </c>
      <c r="L6" s="9">
        <v>0.25</v>
      </c>
      <c r="M6" s="9"/>
      <c r="N6" s="20"/>
      <c r="O6" s="9">
        <v>0.98</v>
      </c>
      <c r="P6" s="19"/>
      <c r="Q6" s="1">
        <v>0.25</v>
      </c>
      <c r="R6" s="1">
        <v>4</v>
      </c>
      <c r="T6" s="19"/>
      <c r="U6" s="19"/>
      <c r="V6" s="8">
        <f>1*Umrechnungsfaktoren!$B$15/Umrechnungsfaktoren!$B$7</f>
        <v>1.1137339055793991</v>
      </c>
      <c r="W6" s="8">
        <f>500*Umrechnungsfaktoren!$B$15/Umrechnungsfaktoren!$B$7</f>
        <v>556.86695278969955</v>
      </c>
      <c r="X6" s="8">
        <f>1500*Umrechnungsfaktoren!$B$15/Umrechnungsfaktoren!$B$7</f>
        <v>1670.6008583690987</v>
      </c>
      <c r="Y6" s="8"/>
      <c r="Z6" s="19">
        <f>AVERAGE(Tabelle5897[[#This Row],[var. Kosten min. Lastverzicht €_2020/MWh]:[var. Kosten max. Lastverzicht €_2020/MWh]])</f>
        <v>1113.7339055793991</v>
      </c>
      <c r="AA6" s="8">
        <f>0*Umrechnungsfaktoren!$B$15/Umrechnungsfaktoren!$B$7</f>
        <v>0</v>
      </c>
      <c r="AC6" s="1">
        <v>435</v>
      </c>
      <c r="AD6" s="1">
        <v>435</v>
      </c>
      <c r="AE6" s="13">
        <v>435</v>
      </c>
      <c r="AG6" s="13">
        <v>435</v>
      </c>
      <c r="AH6" s="13">
        <v>435</v>
      </c>
      <c r="AI6" s="13"/>
      <c r="AJ6" s="1">
        <v>435</v>
      </c>
      <c r="AK6" s="13"/>
      <c r="AL6" s="13">
        <v>436</v>
      </c>
      <c r="AO6" s="1">
        <v>436</v>
      </c>
      <c r="AP6" s="1">
        <v>436</v>
      </c>
      <c r="AQ6" s="1">
        <v>436</v>
      </c>
    </row>
    <row r="7" spans="1:43" x14ac:dyDescent="0.25">
      <c r="A7" s="1" t="s">
        <v>51</v>
      </c>
      <c r="B7" s="1" t="s">
        <v>126</v>
      </c>
      <c r="C7" s="1">
        <v>2020</v>
      </c>
      <c r="D7" s="1">
        <v>0</v>
      </c>
      <c r="E7" s="1">
        <v>1</v>
      </c>
      <c r="F7" s="1">
        <v>0</v>
      </c>
      <c r="G7" s="19"/>
      <c r="H7" s="19"/>
      <c r="I7" s="19">
        <v>227</v>
      </c>
      <c r="J7" s="19"/>
      <c r="K7" s="9">
        <v>0.95</v>
      </c>
      <c r="L7" s="9">
        <v>0.25</v>
      </c>
      <c r="M7" s="9"/>
      <c r="N7" s="20"/>
      <c r="O7" s="9">
        <v>0.98</v>
      </c>
      <c r="P7" s="19"/>
      <c r="Q7" s="1">
        <v>0.25</v>
      </c>
      <c r="R7" s="1">
        <v>4</v>
      </c>
      <c r="T7" s="19"/>
      <c r="U7" s="19"/>
      <c r="V7" s="8">
        <f>1*Umrechnungsfaktoren!$B$15/Umrechnungsfaktoren!$B$7</f>
        <v>1.1137339055793991</v>
      </c>
      <c r="W7" s="8">
        <f>500*Umrechnungsfaktoren!$B$15/Umrechnungsfaktoren!$B$7</f>
        <v>556.86695278969955</v>
      </c>
      <c r="X7" s="8">
        <f>1500*Umrechnungsfaktoren!$B$15/Umrechnungsfaktoren!$B$7</f>
        <v>1670.6008583690987</v>
      </c>
      <c r="Y7" s="8"/>
      <c r="Z7" s="19">
        <f>AVERAGE(Tabelle5897[[#This Row],[var. Kosten min. Lastverzicht €_2020/MWh]:[var. Kosten max. Lastverzicht €_2020/MWh]])</f>
        <v>1113.7339055793991</v>
      </c>
      <c r="AA7" s="8">
        <f>0*Umrechnungsfaktoren!$B$15/Umrechnungsfaktoren!$B$7</f>
        <v>0</v>
      </c>
      <c r="AE7" s="13"/>
      <c r="AG7" s="13"/>
      <c r="AH7" s="13"/>
      <c r="AI7" s="13"/>
      <c r="AK7" s="13"/>
      <c r="AL7" s="13"/>
    </row>
    <row r="8" spans="1:43" x14ac:dyDescent="0.25">
      <c r="A8" s="1" t="s">
        <v>74</v>
      </c>
      <c r="B8" s="1" t="s">
        <v>126</v>
      </c>
      <c r="C8" s="1">
        <v>2010</v>
      </c>
      <c r="D8" s="1">
        <v>1</v>
      </c>
      <c r="E8" s="1">
        <v>0</v>
      </c>
      <c r="F8" s="1">
        <v>0</v>
      </c>
      <c r="G8" s="19">
        <v>250</v>
      </c>
      <c r="H8" s="19">
        <v>312</v>
      </c>
      <c r="I8" s="19"/>
      <c r="J8" s="19">
        <v>62</v>
      </c>
      <c r="K8" s="9"/>
      <c r="L8" s="9">
        <v>1</v>
      </c>
      <c r="M8" s="9">
        <v>0.9</v>
      </c>
      <c r="N8" s="20">
        <v>250</v>
      </c>
      <c r="O8" s="9"/>
      <c r="P8" s="19">
        <v>312</v>
      </c>
      <c r="Q8" s="1">
        <v>0.25</v>
      </c>
      <c r="S8" s="1">
        <v>1.5</v>
      </c>
      <c r="T8" s="19">
        <f>12*Umrechnungsfaktoren!$B$15/Umrechnungsfaktoren!$B$7</f>
        <v>13.364806866952788</v>
      </c>
      <c r="U8" s="19">
        <f>15*Umrechnungsfaktoren!$B$15/Umrechnungsfaktoren!$B$7</f>
        <v>16.706008583690988</v>
      </c>
      <c r="V8" s="19"/>
      <c r="W8" s="8"/>
      <c r="X8" s="8"/>
      <c r="Y8" s="8">
        <f>10*Umrechnungsfaktoren!$B$15/Umrechnungsfaktoren!$B$7</f>
        <v>11.137339055793991</v>
      </c>
      <c r="Z8" s="97"/>
      <c r="AA8" s="8">
        <f>0*Umrechnungsfaktoren!$B$15/Umrechnungsfaktoren!$B$7</f>
        <v>0</v>
      </c>
      <c r="AC8" s="1">
        <v>435</v>
      </c>
      <c r="AD8" s="1">
        <v>435</v>
      </c>
      <c r="AE8" s="13">
        <v>435</v>
      </c>
      <c r="AF8" s="1">
        <v>435</v>
      </c>
      <c r="AG8" s="13"/>
      <c r="AH8" s="13">
        <v>435</v>
      </c>
      <c r="AI8" s="13">
        <v>435</v>
      </c>
      <c r="AK8" s="13">
        <v>435</v>
      </c>
      <c r="AL8" s="13">
        <v>436</v>
      </c>
      <c r="AN8" s="1">
        <v>435</v>
      </c>
      <c r="AO8" s="1">
        <v>436</v>
      </c>
      <c r="AP8" s="1">
        <v>436</v>
      </c>
      <c r="AQ8" s="1">
        <v>436</v>
      </c>
    </row>
    <row r="9" spans="1:43" x14ac:dyDescent="0.25">
      <c r="A9" s="1" t="s">
        <v>74</v>
      </c>
      <c r="B9" s="1" t="s">
        <v>126</v>
      </c>
      <c r="C9" s="1">
        <v>2020</v>
      </c>
      <c r="D9" s="1">
        <v>1</v>
      </c>
      <c r="E9" s="1">
        <v>0</v>
      </c>
      <c r="F9" s="1">
        <v>0</v>
      </c>
      <c r="G9" s="19">
        <v>250</v>
      </c>
      <c r="H9" s="19">
        <v>312</v>
      </c>
      <c r="I9" s="19"/>
      <c r="J9" s="19">
        <v>62</v>
      </c>
      <c r="K9" s="9"/>
      <c r="L9" s="9">
        <v>1</v>
      </c>
      <c r="M9" s="9">
        <v>0.9</v>
      </c>
      <c r="N9" s="20">
        <v>250</v>
      </c>
      <c r="O9" s="9"/>
      <c r="P9" s="19">
        <v>312</v>
      </c>
      <c r="Q9" s="1">
        <v>0.25</v>
      </c>
      <c r="S9" s="1">
        <v>1.5</v>
      </c>
      <c r="T9" s="19">
        <f>12*Umrechnungsfaktoren!$B$15/Umrechnungsfaktoren!$B$7</f>
        <v>13.364806866952788</v>
      </c>
      <c r="U9" s="19">
        <f>15*Umrechnungsfaktoren!$B$15/Umrechnungsfaktoren!$B$7</f>
        <v>16.706008583690988</v>
      </c>
      <c r="V9" s="19"/>
      <c r="W9" s="8"/>
      <c r="X9" s="8"/>
      <c r="Y9" s="8">
        <f>10*Umrechnungsfaktoren!$B$15/Umrechnungsfaktoren!$B$7</f>
        <v>11.137339055793991</v>
      </c>
      <c r="Z9" s="97"/>
      <c r="AA9" s="8">
        <f>0*Umrechnungsfaktoren!$B$15/Umrechnungsfaktoren!$B$7</f>
        <v>0</v>
      </c>
      <c r="AE9" s="13"/>
      <c r="AG9" s="13"/>
      <c r="AH9" s="13"/>
      <c r="AI9" s="13"/>
      <c r="AK9" s="13"/>
      <c r="AL9" s="13"/>
    </row>
    <row r="10" spans="1:43" x14ac:dyDescent="0.25">
      <c r="A10" s="1" t="s">
        <v>81</v>
      </c>
      <c r="B10" s="1" t="s">
        <v>126</v>
      </c>
      <c r="C10" s="1">
        <v>2010</v>
      </c>
      <c r="D10" s="1">
        <v>0</v>
      </c>
      <c r="E10" s="1">
        <v>1</v>
      </c>
      <c r="F10" s="1">
        <v>0</v>
      </c>
      <c r="G10" s="19"/>
      <c r="H10" s="19"/>
      <c r="I10" s="19">
        <v>1097</v>
      </c>
      <c r="J10" s="19"/>
      <c r="K10" s="20"/>
      <c r="L10" s="9"/>
      <c r="M10" s="9">
        <v>0.75</v>
      </c>
      <c r="N10" s="19"/>
      <c r="O10" s="19"/>
      <c r="P10" s="19"/>
      <c r="Q10" s="1">
        <v>0.25</v>
      </c>
      <c r="R10" s="1">
        <v>0.5</v>
      </c>
      <c r="T10" s="19"/>
      <c r="U10" s="8"/>
      <c r="V10" s="8">
        <f>1*Umrechnungsfaktoren!$B$15/Umrechnungsfaktoren!$B$7</f>
        <v>1.1137339055793991</v>
      </c>
      <c r="W10" s="8"/>
      <c r="X10" s="8"/>
      <c r="Y10" s="8"/>
      <c r="Z10" s="8">
        <f>2000*Umrechnungsfaktoren!$B$15/Umrechnungsfaktoren!$B$7</f>
        <v>2227.4678111587982</v>
      </c>
      <c r="AA10" s="8">
        <f>0*Umrechnungsfaktoren!$B$15/Umrechnungsfaktoren!$B$7</f>
        <v>0</v>
      </c>
      <c r="AD10" s="13"/>
      <c r="AE10" s="13">
        <v>435</v>
      </c>
      <c r="AF10" s="13"/>
      <c r="AG10" s="13"/>
      <c r="AH10" s="13"/>
      <c r="AI10" s="13">
        <v>435</v>
      </c>
      <c r="AJ10" s="13"/>
      <c r="AL10" s="13">
        <v>436</v>
      </c>
      <c r="AM10" s="13">
        <v>435</v>
      </c>
      <c r="AO10" s="1">
        <v>436</v>
      </c>
      <c r="AP10" s="1">
        <v>436</v>
      </c>
      <c r="AQ10" s="1">
        <v>436</v>
      </c>
    </row>
    <row r="11" spans="1:43" x14ac:dyDescent="0.25">
      <c r="A11" s="1" t="s">
        <v>81</v>
      </c>
      <c r="B11" s="1" t="s">
        <v>126</v>
      </c>
      <c r="C11" s="1">
        <v>2020</v>
      </c>
      <c r="D11" s="1">
        <v>0</v>
      </c>
      <c r="E11" s="1">
        <v>1</v>
      </c>
      <c r="F11" s="1">
        <v>0</v>
      </c>
      <c r="G11" s="19"/>
      <c r="H11" s="19"/>
      <c r="I11" s="19">
        <v>1097</v>
      </c>
      <c r="J11" s="19"/>
      <c r="K11" s="20"/>
      <c r="L11" s="9"/>
      <c r="M11" s="9">
        <v>0.75</v>
      </c>
      <c r="N11" s="19"/>
      <c r="O11" s="19"/>
      <c r="P11" s="19"/>
      <c r="Q11" s="1">
        <v>0.25</v>
      </c>
      <c r="R11" s="1">
        <v>0.5</v>
      </c>
      <c r="T11" s="19"/>
      <c r="U11" s="8"/>
      <c r="V11" s="8">
        <f>1*Umrechnungsfaktoren!$B$15/Umrechnungsfaktoren!$B$7</f>
        <v>1.1137339055793991</v>
      </c>
      <c r="W11" s="8"/>
      <c r="X11" s="8"/>
      <c r="Y11" s="8"/>
      <c r="Z11" s="8">
        <f>2000*Umrechnungsfaktoren!$B$15/Umrechnungsfaktoren!$B$7</f>
        <v>2227.4678111587982</v>
      </c>
      <c r="AA11" s="8">
        <f>0*Umrechnungsfaktoren!$B$15/Umrechnungsfaktoren!$B$7</f>
        <v>0</v>
      </c>
      <c r="AD11" s="13"/>
      <c r="AF11" s="13"/>
      <c r="AG11" s="13"/>
      <c r="AH11" s="13"/>
      <c r="AJ11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Dropdown!$C$2:$C$4</xm:f>
          </x14:formula1>
          <xm:sqref>B2:B11</xm:sqref>
        </x14:dataValidation>
        <x14:dataValidation type="list" allowBlank="1" showInputMessage="1" showErrorMessage="1" xr:uid="{00000000-0002-0000-0500-000001000000}">
          <x14:formula1>
            <xm:f>Dropdown!$A$2:$A$54</xm:f>
          </x14:formula1>
          <xm:sqref>A2:A11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2"/>
  <dimension ref="A1:BN66"/>
  <sheetViews>
    <sheetView zoomScale="70" zoomScaleNormal="70" workbookViewId="0">
      <pane xSplit="6" ySplit="1" topLeftCell="AY2" activePane="bottomRight" state="frozen"/>
      <selection pane="topRight" activeCell="G1" sqref="G1"/>
      <selection pane="bottomLeft" activeCell="A2" sqref="A2"/>
      <selection pane="bottomRight" activeCell="AZ1" sqref="AZ1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9" width="29.26953125" style="1" customWidth="1"/>
    <col min="10" max="10" width="28.81640625" style="1" bestFit="1" customWidth="1"/>
    <col min="11" max="11" width="28.81640625" style="1" customWidth="1"/>
    <col min="12" max="12" width="29.26953125" style="1" bestFit="1" customWidth="1"/>
    <col min="13" max="13" width="29.26953125" style="1" customWidth="1"/>
    <col min="14" max="14" width="38.453125" style="1" bestFit="1" customWidth="1"/>
    <col min="15" max="16" width="24.54296875" style="1" customWidth="1"/>
    <col min="17" max="17" width="24.453125" style="1" bestFit="1" customWidth="1"/>
    <col min="18" max="21" width="24.453125" style="1" customWidth="1"/>
    <col min="22" max="22" width="37.7265625" style="1" bestFit="1" customWidth="1"/>
    <col min="23" max="23" width="28.453125" style="1" customWidth="1"/>
    <col min="24" max="24" width="27.453125" style="1" bestFit="1" customWidth="1"/>
    <col min="25" max="26" width="27.453125" style="1" customWidth="1"/>
    <col min="27" max="27" width="20.7265625" style="1" bestFit="1" customWidth="1"/>
    <col min="28" max="34" width="20.7265625" style="1" customWidth="1"/>
    <col min="35" max="35" width="25.81640625" style="1" bestFit="1" customWidth="1"/>
    <col min="36" max="36" width="24" style="1" bestFit="1" customWidth="1"/>
    <col min="37" max="40" width="38.26953125" style="1" customWidth="1"/>
    <col min="41" max="41" width="38.26953125" style="1" bestFit="1" customWidth="1"/>
    <col min="42" max="43" width="38.26953125" style="1" customWidth="1"/>
    <col min="44" max="44" width="25.7265625" style="1" bestFit="1" customWidth="1"/>
    <col min="45" max="46" width="25.7265625" style="1" customWidth="1"/>
    <col min="47" max="47" width="56.7265625" style="1" bestFit="1" customWidth="1"/>
    <col min="48" max="50" width="35.54296875" style="1" customWidth="1"/>
    <col min="51" max="51" width="31.7265625" style="1" bestFit="1" customWidth="1"/>
    <col min="52" max="52" width="31.54296875" style="1" bestFit="1" customWidth="1"/>
    <col min="53" max="56" width="31.54296875" style="1" customWidth="1"/>
    <col min="57" max="57" width="37.453125" style="1" customWidth="1"/>
    <col min="58" max="58" width="35.7265625" style="1" bestFit="1" customWidth="1"/>
    <col min="59" max="59" width="28.81640625" style="1" bestFit="1" customWidth="1"/>
    <col min="60" max="60" width="34" style="1" bestFit="1" customWidth="1"/>
    <col min="61" max="61" width="34.453125" style="1" bestFit="1" customWidth="1"/>
    <col min="62" max="62" width="38.1796875" style="1" bestFit="1" customWidth="1"/>
    <col min="63" max="63" width="22.81640625" style="1" bestFit="1" customWidth="1"/>
    <col min="64" max="64" width="28.54296875" style="1" bestFit="1" customWidth="1"/>
    <col min="65" max="65" width="28.26953125" style="1" bestFit="1" customWidth="1"/>
    <col min="66" max="66" width="28.26953125" style="1" customWidth="1"/>
    <col min="67" max="16384" width="11.453125" style="1"/>
  </cols>
  <sheetData>
    <row r="1" spans="1:66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865</v>
      </c>
      <c r="H1" s="2" t="s">
        <v>866</v>
      </c>
      <c r="I1" s="2" t="s">
        <v>833</v>
      </c>
      <c r="J1" s="2" t="s">
        <v>47</v>
      </c>
      <c r="K1" s="2" t="s">
        <v>508</v>
      </c>
      <c r="L1" s="2" t="s">
        <v>48</v>
      </c>
      <c r="M1" s="2" t="s">
        <v>541</v>
      </c>
      <c r="N1" s="2" t="s">
        <v>509</v>
      </c>
      <c r="O1" s="2" t="s">
        <v>153</v>
      </c>
      <c r="P1" s="2" t="s">
        <v>510</v>
      </c>
      <c r="Q1" s="2" t="s">
        <v>154</v>
      </c>
      <c r="R1" s="2" t="s">
        <v>511</v>
      </c>
      <c r="S1" s="2" t="s">
        <v>84</v>
      </c>
      <c r="T1" s="2" t="s">
        <v>232</v>
      </c>
      <c r="U1" s="2" t="s">
        <v>557</v>
      </c>
      <c r="V1" s="2" t="s">
        <v>113</v>
      </c>
      <c r="W1" s="2" t="s">
        <v>410</v>
      </c>
      <c r="X1" s="2" t="s">
        <v>9</v>
      </c>
      <c r="Y1" s="2" t="s">
        <v>426</v>
      </c>
      <c r="Z1" s="2" t="s">
        <v>222</v>
      </c>
      <c r="AA1" s="2" t="s">
        <v>156</v>
      </c>
      <c r="AB1" s="2" t="s">
        <v>1128</v>
      </c>
      <c r="AC1" s="2" t="s">
        <v>1131</v>
      </c>
      <c r="AD1" s="2" t="s">
        <v>224</v>
      </c>
      <c r="AE1" s="2" t="s">
        <v>225</v>
      </c>
      <c r="AF1" s="2" t="s">
        <v>157</v>
      </c>
      <c r="AG1" s="2" t="s">
        <v>211</v>
      </c>
      <c r="AH1" s="2" t="s">
        <v>212</v>
      </c>
      <c r="AI1" s="2" t="s">
        <v>3</v>
      </c>
      <c r="AJ1" s="2" t="s">
        <v>14</v>
      </c>
      <c r="AK1" s="2" t="s">
        <v>539</v>
      </c>
      <c r="AL1" s="2" t="s">
        <v>540</v>
      </c>
      <c r="AM1" s="2" t="s">
        <v>1136</v>
      </c>
      <c r="AN1" s="2" t="s">
        <v>1137</v>
      </c>
      <c r="AO1" s="2" t="s">
        <v>1246</v>
      </c>
      <c r="AP1" s="2" t="s">
        <v>1244</v>
      </c>
      <c r="AQ1" s="2" t="s">
        <v>1261</v>
      </c>
      <c r="AR1" s="2" t="s">
        <v>1250</v>
      </c>
      <c r="AS1" s="2" t="s">
        <v>1268</v>
      </c>
      <c r="AT1" s="2" t="s">
        <v>1255</v>
      </c>
      <c r="AU1" s="2" t="s">
        <v>20</v>
      </c>
      <c r="AV1" s="2" t="s">
        <v>161</v>
      </c>
      <c r="AW1" s="2" t="s">
        <v>162</v>
      </c>
      <c r="AX1" s="2" t="s">
        <v>867</v>
      </c>
      <c r="AY1" s="2" t="s">
        <v>1</v>
      </c>
      <c r="AZ1" s="2" t="s">
        <v>2</v>
      </c>
      <c r="BA1" s="2" t="s">
        <v>1123</v>
      </c>
      <c r="BB1" s="2" t="s">
        <v>233</v>
      </c>
      <c r="BC1" s="2" t="s">
        <v>517</v>
      </c>
      <c r="BD1" s="2" t="s">
        <v>114</v>
      </c>
      <c r="BE1" s="2" t="s">
        <v>411</v>
      </c>
      <c r="BF1" s="2" t="s">
        <v>95</v>
      </c>
      <c r="BG1" s="2" t="s">
        <v>5</v>
      </c>
      <c r="BH1" s="2" t="s">
        <v>6</v>
      </c>
      <c r="BI1" s="2" t="s">
        <v>16</v>
      </c>
      <c r="BJ1" s="2" t="s">
        <v>7</v>
      </c>
      <c r="BK1" s="2" t="s">
        <v>17</v>
      </c>
      <c r="BL1" s="2" t="s">
        <v>18</v>
      </c>
      <c r="BM1" s="2" t="s">
        <v>19</v>
      </c>
      <c r="BN1" s="2" t="s">
        <v>145</v>
      </c>
    </row>
    <row r="2" spans="1:66" x14ac:dyDescent="0.25">
      <c r="A2" s="1" t="s">
        <v>51</v>
      </c>
      <c r="B2" s="1" t="s">
        <v>126</v>
      </c>
      <c r="C2" s="1">
        <v>2015</v>
      </c>
      <c r="D2" s="1">
        <v>1</v>
      </c>
      <c r="E2" s="1">
        <v>1</v>
      </c>
      <c r="F2" s="1">
        <v>0</v>
      </c>
      <c r="G2" s="1">
        <v>6.8659999999999997</v>
      </c>
      <c r="J2" s="19"/>
      <c r="K2" s="19"/>
      <c r="L2" s="19">
        <v>281</v>
      </c>
      <c r="M2" s="19">
        <v>1126</v>
      </c>
      <c r="N2" s="19"/>
      <c r="O2" s="19"/>
      <c r="P2" s="19"/>
      <c r="Q2" s="19">
        <v>281</v>
      </c>
      <c r="R2" s="19"/>
      <c r="S2" s="9">
        <v>0.25</v>
      </c>
      <c r="T2" s="9"/>
      <c r="U2" s="46">
        <v>6100</v>
      </c>
      <c r="V2" s="20">
        <v>1126</v>
      </c>
      <c r="W2" s="9"/>
      <c r="X2" s="1">
        <f t="shared" ref="X2:X13" si="0">5/60</f>
        <v>8.3333333333333329E-2</v>
      </c>
      <c r="AA2" s="1">
        <v>1</v>
      </c>
      <c r="AC2" s="1">
        <v>1</v>
      </c>
      <c r="AF2" s="1">
        <v>1</v>
      </c>
      <c r="AI2" s="1">
        <v>2</v>
      </c>
      <c r="AK2" s="1">
        <v>20</v>
      </c>
      <c r="AL2" s="1">
        <v>50</v>
      </c>
      <c r="AM2" s="1">
        <v>20</v>
      </c>
      <c r="AN2" s="1">
        <v>50</v>
      </c>
      <c r="AO2" s="8">
        <f>0.5*Umrechnungsfaktoren!$B$15/Umrechnungsfaktoren!$B$13</f>
        <v>0.5164179104477612</v>
      </c>
      <c r="AP2" s="8">
        <v>0</v>
      </c>
      <c r="AQ2" s="8">
        <f>164*Umrechnungsfaktoren!$B$15/Umrechnungsfaktoren!$B$13</f>
        <v>169.38507462686565</v>
      </c>
      <c r="AR2" s="8">
        <f>0.05*Umrechnungsfaktoren!$B$15/Umrechnungsfaktoren!$B$13</f>
        <v>5.1641791044776127E-2</v>
      </c>
      <c r="AS2" s="8"/>
      <c r="AV2" s="1">
        <v>213</v>
      </c>
      <c r="AW2" s="1">
        <v>214</v>
      </c>
      <c r="AY2" s="13" t="s">
        <v>544</v>
      </c>
      <c r="AZ2" s="13" t="s">
        <v>543</v>
      </c>
      <c r="BA2" s="13">
        <v>213</v>
      </c>
      <c r="BB2" s="13"/>
      <c r="BC2" s="13">
        <v>213</v>
      </c>
      <c r="BD2" s="13"/>
      <c r="BE2" s="13"/>
      <c r="BF2" s="13">
        <v>242</v>
      </c>
      <c r="BG2" s="1">
        <v>213</v>
      </c>
      <c r="BH2" s="1">
        <v>213</v>
      </c>
      <c r="BJ2" s="1">
        <v>213</v>
      </c>
      <c r="BK2" s="1" t="s">
        <v>553</v>
      </c>
      <c r="BL2" s="1" t="s">
        <v>554</v>
      </c>
      <c r="BM2" s="1" t="s">
        <v>553</v>
      </c>
    </row>
    <row r="3" spans="1:66" x14ac:dyDescent="0.25">
      <c r="A3" s="1" t="s">
        <v>51</v>
      </c>
      <c r="B3" s="1" t="s">
        <v>126</v>
      </c>
      <c r="C3" s="1">
        <v>2020</v>
      </c>
      <c r="D3" s="1">
        <v>1</v>
      </c>
      <c r="E3" s="1">
        <v>1</v>
      </c>
      <c r="F3" s="1">
        <v>0</v>
      </c>
      <c r="J3" s="19"/>
      <c r="K3" s="19"/>
      <c r="L3" s="19">
        <v>277</v>
      </c>
      <c r="M3" s="19">
        <v>1107</v>
      </c>
      <c r="N3" s="19"/>
      <c r="O3" s="19"/>
      <c r="P3" s="19"/>
      <c r="Q3" s="19">
        <v>277</v>
      </c>
      <c r="R3" s="19"/>
      <c r="S3" s="9">
        <v>0.25</v>
      </c>
      <c r="T3" s="9"/>
      <c r="U3" s="46">
        <v>6100</v>
      </c>
      <c r="V3" s="20"/>
      <c r="W3" s="9"/>
      <c r="X3" s="1">
        <f t="shared" si="0"/>
        <v>8.3333333333333329E-2</v>
      </c>
      <c r="AA3" s="1">
        <v>1</v>
      </c>
      <c r="AC3" s="1">
        <v>1</v>
      </c>
      <c r="AF3" s="1">
        <v>1</v>
      </c>
      <c r="AI3" s="1">
        <v>2</v>
      </c>
      <c r="AK3" s="1">
        <v>20</v>
      </c>
      <c r="AL3" s="1">
        <v>50</v>
      </c>
      <c r="AM3" s="1">
        <v>20</v>
      </c>
      <c r="AN3" s="1">
        <v>50</v>
      </c>
      <c r="AO3" s="8">
        <f>0.5*Umrechnungsfaktoren!$B$15/Umrechnungsfaktoren!$B$13</f>
        <v>0.5164179104477612</v>
      </c>
      <c r="AP3" s="8">
        <v>0</v>
      </c>
      <c r="AQ3" s="8">
        <f>164*Umrechnungsfaktoren!$B$15/Umrechnungsfaktoren!$B$13</f>
        <v>169.38507462686565</v>
      </c>
      <c r="AR3" s="8">
        <f>0.05*Umrechnungsfaktoren!$B$15/Umrechnungsfaktoren!$B$13</f>
        <v>5.1641791044776127E-2</v>
      </c>
      <c r="AS3" s="8"/>
      <c r="AV3" s="1">
        <v>213</v>
      </c>
      <c r="AW3" s="1">
        <v>214</v>
      </c>
      <c r="AY3" s="13" t="s">
        <v>544</v>
      </c>
      <c r="AZ3" s="13" t="s">
        <v>543</v>
      </c>
      <c r="BA3" s="13">
        <v>213</v>
      </c>
      <c r="BB3" s="13"/>
      <c r="BC3" s="13">
        <v>213</v>
      </c>
      <c r="BD3" s="13"/>
      <c r="BE3" s="13"/>
      <c r="BF3" s="13">
        <v>242</v>
      </c>
      <c r="BG3" s="1">
        <v>213</v>
      </c>
      <c r="BH3" s="1">
        <v>213</v>
      </c>
      <c r="BJ3" s="1">
        <v>213</v>
      </c>
      <c r="BK3" s="1" t="s">
        <v>553</v>
      </c>
      <c r="BL3" s="1" t="s">
        <v>554</v>
      </c>
      <c r="BM3" s="1" t="s">
        <v>553</v>
      </c>
    </row>
    <row r="4" spans="1:66" x14ac:dyDescent="0.25">
      <c r="A4" s="1" t="s">
        <v>51</v>
      </c>
      <c r="B4" s="1" t="s">
        <v>126</v>
      </c>
      <c r="C4" s="1">
        <v>2025</v>
      </c>
      <c r="D4" s="1">
        <v>1</v>
      </c>
      <c r="E4" s="1">
        <v>1</v>
      </c>
      <c r="F4" s="1">
        <v>0</v>
      </c>
      <c r="J4" s="19"/>
      <c r="K4" s="19"/>
      <c r="L4" s="19">
        <v>257</v>
      </c>
      <c r="M4" s="19">
        <v>1029</v>
      </c>
      <c r="N4" s="19"/>
      <c r="O4" s="19"/>
      <c r="P4" s="19"/>
      <c r="Q4" s="19">
        <v>257</v>
      </c>
      <c r="R4" s="19"/>
      <c r="S4" s="9">
        <v>0.25</v>
      </c>
      <c r="T4" s="9"/>
      <c r="U4" s="46">
        <v>6100</v>
      </c>
      <c r="V4" s="20"/>
      <c r="W4" s="9"/>
      <c r="X4" s="1">
        <f t="shared" si="0"/>
        <v>8.3333333333333329E-2</v>
      </c>
      <c r="AA4" s="1">
        <v>1</v>
      </c>
      <c r="AC4" s="1">
        <v>1</v>
      </c>
      <c r="AF4" s="1">
        <v>1</v>
      </c>
      <c r="AI4" s="1">
        <v>2</v>
      </c>
      <c r="AK4" s="1">
        <v>20</v>
      </c>
      <c r="AL4" s="1">
        <v>50</v>
      </c>
      <c r="AM4" s="1">
        <v>20</v>
      </c>
      <c r="AN4" s="1">
        <v>50</v>
      </c>
      <c r="AO4" s="8">
        <f>0.5*Umrechnungsfaktoren!$B$15/Umrechnungsfaktoren!$B$13</f>
        <v>0.5164179104477612</v>
      </c>
      <c r="AP4" s="8">
        <v>0</v>
      </c>
      <c r="AQ4" s="8">
        <f>164*Umrechnungsfaktoren!$B$15/Umrechnungsfaktoren!$B$13</f>
        <v>169.38507462686565</v>
      </c>
      <c r="AR4" s="8">
        <f>0.05*Umrechnungsfaktoren!$B$15/Umrechnungsfaktoren!$B$13</f>
        <v>5.1641791044776127E-2</v>
      </c>
      <c r="AS4" s="8"/>
      <c r="AV4" s="1">
        <v>213</v>
      </c>
      <c r="AW4" s="1">
        <v>214</v>
      </c>
      <c r="AY4" s="13" t="s">
        <v>544</v>
      </c>
      <c r="AZ4" s="13" t="s">
        <v>543</v>
      </c>
      <c r="BA4" s="13">
        <v>213</v>
      </c>
      <c r="BB4" s="13"/>
      <c r="BC4" s="13">
        <v>213</v>
      </c>
      <c r="BD4" s="13"/>
      <c r="BE4" s="13"/>
      <c r="BF4" s="13">
        <v>242</v>
      </c>
      <c r="BG4" s="1">
        <v>213</v>
      </c>
      <c r="BH4" s="1">
        <v>213</v>
      </c>
      <c r="BJ4" s="1">
        <v>213</v>
      </c>
      <c r="BK4" s="1" t="s">
        <v>553</v>
      </c>
      <c r="BL4" s="1" t="s">
        <v>554</v>
      </c>
      <c r="BM4" s="1" t="s">
        <v>553</v>
      </c>
    </row>
    <row r="5" spans="1:66" x14ac:dyDescent="0.25">
      <c r="A5" s="1" t="s">
        <v>51</v>
      </c>
      <c r="B5" s="1" t="s">
        <v>126</v>
      </c>
      <c r="C5" s="1">
        <v>2030</v>
      </c>
      <c r="D5" s="1">
        <v>1</v>
      </c>
      <c r="E5" s="1">
        <v>1</v>
      </c>
      <c r="F5" s="1">
        <v>0</v>
      </c>
      <c r="J5" s="19"/>
      <c r="K5" s="19"/>
      <c r="L5" s="19">
        <v>238</v>
      </c>
      <c r="M5" s="19">
        <v>951</v>
      </c>
      <c r="N5" s="19"/>
      <c r="O5" s="19"/>
      <c r="P5" s="19"/>
      <c r="Q5" s="19">
        <v>238</v>
      </c>
      <c r="R5" s="19"/>
      <c r="S5" s="9">
        <v>0.25</v>
      </c>
      <c r="T5" s="9"/>
      <c r="U5" s="46">
        <v>6100</v>
      </c>
      <c r="V5" s="20"/>
      <c r="W5" s="9"/>
      <c r="X5" s="1">
        <f t="shared" si="0"/>
        <v>8.3333333333333329E-2</v>
      </c>
      <c r="AA5" s="1">
        <v>1</v>
      </c>
      <c r="AC5" s="1">
        <v>1</v>
      </c>
      <c r="AF5" s="1">
        <v>1</v>
      </c>
      <c r="AI5" s="1">
        <v>2</v>
      </c>
      <c r="AK5" s="1">
        <v>20</v>
      </c>
      <c r="AL5" s="1">
        <v>50</v>
      </c>
      <c r="AM5" s="1">
        <v>20</v>
      </c>
      <c r="AN5" s="1">
        <v>50</v>
      </c>
      <c r="AO5" s="8">
        <f>0.5*Umrechnungsfaktoren!$B$15/Umrechnungsfaktoren!$B$13</f>
        <v>0.5164179104477612</v>
      </c>
      <c r="AP5" s="8">
        <v>0</v>
      </c>
      <c r="AQ5" s="8">
        <f>164*Umrechnungsfaktoren!$B$15/Umrechnungsfaktoren!$B$13</f>
        <v>169.38507462686565</v>
      </c>
      <c r="AR5" s="8">
        <f>0.05*Umrechnungsfaktoren!$B$15/Umrechnungsfaktoren!$B$13</f>
        <v>5.1641791044776127E-2</v>
      </c>
      <c r="AS5" s="8"/>
      <c r="AV5" s="1">
        <v>213</v>
      </c>
      <c r="AW5" s="1">
        <v>214</v>
      </c>
      <c r="AY5" s="13" t="s">
        <v>544</v>
      </c>
      <c r="AZ5" s="13" t="s">
        <v>543</v>
      </c>
      <c r="BA5" s="13">
        <v>213</v>
      </c>
      <c r="BB5" s="13"/>
      <c r="BC5" s="13">
        <v>213</v>
      </c>
      <c r="BD5" s="13"/>
      <c r="BE5" s="13"/>
      <c r="BF5" s="13">
        <v>242</v>
      </c>
      <c r="BG5" s="1">
        <v>213</v>
      </c>
      <c r="BH5" s="1">
        <v>213</v>
      </c>
      <c r="BJ5" s="1">
        <v>213</v>
      </c>
      <c r="BK5" s="1" t="s">
        <v>553</v>
      </c>
      <c r="BL5" s="1" t="s">
        <v>554</v>
      </c>
      <c r="BM5" s="1" t="s">
        <v>553</v>
      </c>
    </row>
    <row r="6" spans="1:66" x14ac:dyDescent="0.25">
      <c r="A6" s="1" t="s">
        <v>27</v>
      </c>
      <c r="B6" s="1" t="s">
        <v>126</v>
      </c>
      <c r="C6" s="1">
        <v>2015</v>
      </c>
      <c r="D6" s="1">
        <v>1</v>
      </c>
      <c r="E6" s="1">
        <v>1</v>
      </c>
      <c r="F6" s="1">
        <v>0</v>
      </c>
      <c r="G6" s="1">
        <f>1.837+5.907</f>
        <v>7.7439999999999998</v>
      </c>
      <c r="J6" s="19"/>
      <c r="K6" s="19"/>
      <c r="L6" s="19">
        <f>603-10</f>
        <v>593</v>
      </c>
      <c r="M6" s="19">
        <v>988</v>
      </c>
      <c r="N6" s="19"/>
      <c r="O6" s="19"/>
      <c r="P6" s="19"/>
      <c r="Q6" s="19">
        <v>603</v>
      </c>
      <c r="R6" s="19"/>
      <c r="S6" s="9">
        <v>0.6</v>
      </c>
      <c r="T6" s="9"/>
      <c r="U6" s="46">
        <v>7700</v>
      </c>
      <c r="V6" s="20">
        <f>239+767</f>
        <v>1006</v>
      </c>
      <c r="W6" s="9"/>
      <c r="X6" s="1">
        <f t="shared" si="0"/>
        <v>8.3333333333333329E-2</v>
      </c>
      <c r="AA6" s="1">
        <v>1</v>
      </c>
      <c r="AC6" s="1">
        <v>1</v>
      </c>
      <c r="AF6" s="1">
        <v>1</v>
      </c>
      <c r="AI6" s="1">
        <v>2</v>
      </c>
      <c r="AK6" s="1">
        <v>20</v>
      </c>
      <c r="AL6" s="1">
        <v>50</v>
      </c>
      <c r="AM6" s="1">
        <v>20</v>
      </c>
      <c r="AN6" s="1">
        <v>50</v>
      </c>
      <c r="AO6" s="8">
        <f>0.5*Umrechnungsfaktoren!$B$15/Umrechnungsfaktoren!$B$13</f>
        <v>0.5164179104477612</v>
      </c>
      <c r="AP6" s="8">
        <v>0</v>
      </c>
      <c r="AQ6" s="8">
        <f>96*Umrechnungsfaktoren!$B$15/Umrechnungsfaktoren!$B$13</f>
        <v>99.152238805970143</v>
      </c>
      <c r="AR6" s="8">
        <f>0.05*Umrechnungsfaktoren!$B$15/Umrechnungsfaktoren!$B$13</f>
        <v>5.1641791044776127E-2</v>
      </c>
      <c r="AS6" s="8"/>
      <c r="AV6" s="1">
        <v>213</v>
      </c>
      <c r="AW6" s="1">
        <v>214</v>
      </c>
      <c r="AY6" s="13" t="s">
        <v>544</v>
      </c>
      <c r="AZ6" s="13" t="s">
        <v>543</v>
      </c>
      <c r="BA6" s="13">
        <v>213</v>
      </c>
      <c r="BB6" s="13"/>
      <c r="BC6" s="13">
        <v>213</v>
      </c>
      <c r="BD6" s="13"/>
      <c r="BE6" s="13"/>
      <c r="BF6" s="13">
        <v>242</v>
      </c>
      <c r="BG6" s="1">
        <v>213</v>
      </c>
      <c r="BH6" s="1">
        <v>213</v>
      </c>
      <c r="BJ6" s="1">
        <v>213</v>
      </c>
      <c r="BK6" s="1" t="s">
        <v>553</v>
      </c>
      <c r="BL6" s="1" t="s">
        <v>554</v>
      </c>
      <c r="BM6" s="1" t="s">
        <v>553</v>
      </c>
    </row>
    <row r="7" spans="1:66" x14ac:dyDescent="0.25">
      <c r="A7" s="1" t="s">
        <v>27</v>
      </c>
      <c r="B7" s="1" t="s">
        <v>126</v>
      </c>
      <c r="C7" s="1">
        <v>2020</v>
      </c>
      <c r="D7" s="1">
        <v>1</v>
      </c>
      <c r="E7" s="1">
        <v>1</v>
      </c>
      <c r="F7" s="1">
        <v>0</v>
      </c>
      <c r="J7" s="19"/>
      <c r="K7" s="19"/>
      <c r="L7" s="19">
        <f>$L$6/603*549</f>
        <v>539.8955223880597</v>
      </c>
      <c r="M7" s="19">
        <f>1270/1006*M6</f>
        <v>1247.2763419483101</v>
      </c>
      <c r="N7" s="19"/>
      <c r="O7" s="19"/>
      <c r="P7" s="19"/>
      <c r="Q7" s="19">
        <v>549</v>
      </c>
      <c r="R7" s="19"/>
      <c r="S7" s="9">
        <v>0.6</v>
      </c>
      <c r="T7" s="9"/>
      <c r="U7" s="46">
        <v>7700</v>
      </c>
      <c r="V7" s="20"/>
      <c r="W7" s="9"/>
      <c r="X7" s="1">
        <f t="shared" si="0"/>
        <v>8.3333333333333329E-2</v>
      </c>
      <c r="AA7" s="1">
        <v>1</v>
      </c>
      <c r="AC7" s="1">
        <v>1</v>
      </c>
      <c r="AF7" s="1">
        <v>1</v>
      </c>
      <c r="AI7" s="1">
        <v>2</v>
      </c>
      <c r="AK7" s="1">
        <v>20</v>
      </c>
      <c r="AL7" s="1">
        <v>50</v>
      </c>
      <c r="AM7" s="1">
        <v>20</v>
      </c>
      <c r="AN7" s="1">
        <v>50</v>
      </c>
      <c r="AO7" s="8">
        <f>0.5*Umrechnungsfaktoren!$B$15/Umrechnungsfaktoren!$B$13</f>
        <v>0.5164179104477612</v>
      </c>
      <c r="AP7" s="8">
        <v>0</v>
      </c>
      <c r="AQ7" s="8">
        <f>96*Umrechnungsfaktoren!$B$15/Umrechnungsfaktoren!$B$13</f>
        <v>99.152238805970143</v>
      </c>
      <c r="AR7" s="8">
        <f>0.05*Umrechnungsfaktoren!$B$15/Umrechnungsfaktoren!$B$13</f>
        <v>5.1641791044776127E-2</v>
      </c>
      <c r="AS7" s="8"/>
      <c r="AV7" s="1">
        <v>213</v>
      </c>
      <c r="AW7" s="1">
        <v>214</v>
      </c>
      <c r="AY7" s="13" t="s">
        <v>544</v>
      </c>
      <c r="AZ7" s="13" t="s">
        <v>543</v>
      </c>
      <c r="BA7" s="13">
        <v>213</v>
      </c>
      <c r="BB7" s="13"/>
      <c r="BC7" s="13">
        <v>213</v>
      </c>
      <c r="BD7" s="13"/>
      <c r="BE7" s="13"/>
      <c r="BF7" s="13">
        <v>242</v>
      </c>
      <c r="BG7" s="1">
        <v>213</v>
      </c>
      <c r="BH7" s="1">
        <v>213</v>
      </c>
      <c r="BJ7" s="1">
        <v>213</v>
      </c>
      <c r="BK7" s="1" t="s">
        <v>553</v>
      </c>
      <c r="BL7" s="1" t="s">
        <v>554</v>
      </c>
      <c r="BM7" s="1" t="s">
        <v>553</v>
      </c>
    </row>
    <row r="8" spans="1:66" x14ac:dyDescent="0.25">
      <c r="A8" s="1" t="s">
        <v>27</v>
      </c>
      <c r="B8" s="1" t="s">
        <v>126</v>
      </c>
      <c r="C8" s="1">
        <v>2025</v>
      </c>
      <c r="D8" s="1">
        <v>1</v>
      </c>
      <c r="E8" s="1">
        <v>1</v>
      </c>
      <c r="F8" s="1">
        <v>0</v>
      </c>
      <c r="J8" s="19"/>
      <c r="K8" s="19"/>
      <c r="L8" s="19">
        <f>$L$6/603*718</f>
        <v>706.09286898839139</v>
      </c>
      <c r="M8" s="19">
        <f>1257/1006*M6</f>
        <v>1234.5089463220675</v>
      </c>
      <c r="N8" s="19"/>
      <c r="O8" s="19"/>
      <c r="P8" s="19"/>
      <c r="Q8" s="19">
        <v>718</v>
      </c>
      <c r="R8" s="19"/>
      <c r="S8" s="9">
        <v>0.6</v>
      </c>
      <c r="T8" s="9"/>
      <c r="U8" s="46">
        <v>7700</v>
      </c>
      <c r="V8" s="20"/>
      <c r="W8" s="9"/>
      <c r="X8" s="1">
        <f t="shared" si="0"/>
        <v>8.3333333333333329E-2</v>
      </c>
      <c r="AA8" s="1">
        <v>1</v>
      </c>
      <c r="AC8" s="1">
        <v>1</v>
      </c>
      <c r="AF8" s="1">
        <v>1</v>
      </c>
      <c r="AI8" s="1">
        <v>2</v>
      </c>
      <c r="AK8" s="1">
        <v>20</v>
      </c>
      <c r="AL8" s="1">
        <v>50</v>
      </c>
      <c r="AM8" s="1">
        <v>20</v>
      </c>
      <c r="AN8" s="1">
        <v>50</v>
      </c>
      <c r="AO8" s="8">
        <f>0.5*Umrechnungsfaktoren!$B$15/Umrechnungsfaktoren!$B$13</f>
        <v>0.5164179104477612</v>
      </c>
      <c r="AP8" s="8">
        <v>0</v>
      </c>
      <c r="AQ8" s="8">
        <f>96*Umrechnungsfaktoren!$B$15/Umrechnungsfaktoren!$B$13</f>
        <v>99.152238805970143</v>
      </c>
      <c r="AR8" s="8">
        <f>0.05*Umrechnungsfaktoren!$B$15/Umrechnungsfaktoren!$B$13</f>
        <v>5.1641791044776127E-2</v>
      </c>
      <c r="AS8" s="8"/>
      <c r="AV8" s="1">
        <v>213</v>
      </c>
      <c r="AW8" s="1">
        <v>214</v>
      </c>
      <c r="AY8" s="13" t="s">
        <v>544</v>
      </c>
      <c r="AZ8" s="13" t="s">
        <v>543</v>
      </c>
      <c r="BA8" s="13">
        <v>213</v>
      </c>
      <c r="BB8" s="13"/>
      <c r="BC8" s="13">
        <v>213</v>
      </c>
      <c r="BD8" s="13"/>
      <c r="BE8" s="13"/>
      <c r="BF8" s="13">
        <v>242</v>
      </c>
      <c r="BG8" s="1">
        <v>213</v>
      </c>
      <c r="BH8" s="1">
        <v>213</v>
      </c>
      <c r="BJ8" s="1">
        <v>213</v>
      </c>
      <c r="BK8" s="1" t="s">
        <v>553</v>
      </c>
      <c r="BL8" s="1" t="s">
        <v>554</v>
      </c>
      <c r="BM8" s="1" t="s">
        <v>553</v>
      </c>
    </row>
    <row r="9" spans="1:66" x14ac:dyDescent="0.25">
      <c r="A9" s="1" t="s">
        <v>27</v>
      </c>
      <c r="B9" s="1" t="s">
        <v>126</v>
      </c>
      <c r="C9" s="1">
        <v>2030</v>
      </c>
      <c r="D9" s="1">
        <v>1</v>
      </c>
      <c r="E9" s="1">
        <v>1</v>
      </c>
      <c r="F9" s="1">
        <v>0</v>
      </c>
      <c r="J9" s="19"/>
      <c r="K9" s="19"/>
      <c r="L9" s="19">
        <f>$L$6/603*711</f>
        <v>699.20895522388059</v>
      </c>
      <c r="M9" s="19">
        <f>1643/1006*M6</f>
        <v>1613.6023856858847</v>
      </c>
      <c r="N9" s="19"/>
      <c r="O9" s="19"/>
      <c r="P9" s="19"/>
      <c r="Q9" s="19">
        <v>711</v>
      </c>
      <c r="R9" s="19"/>
      <c r="S9" s="9">
        <v>0.6</v>
      </c>
      <c r="T9" s="9"/>
      <c r="U9" s="46">
        <v>7700</v>
      </c>
      <c r="V9" s="20"/>
      <c r="W9" s="9"/>
      <c r="X9" s="1">
        <f t="shared" si="0"/>
        <v>8.3333333333333329E-2</v>
      </c>
      <c r="AA9" s="1">
        <v>1</v>
      </c>
      <c r="AC9" s="1">
        <v>1</v>
      </c>
      <c r="AF9" s="1">
        <v>1</v>
      </c>
      <c r="AI9" s="1">
        <v>2</v>
      </c>
      <c r="AK9" s="1">
        <v>20</v>
      </c>
      <c r="AL9" s="1">
        <v>50</v>
      </c>
      <c r="AM9" s="1">
        <v>20</v>
      </c>
      <c r="AN9" s="1">
        <v>50</v>
      </c>
      <c r="AO9" s="8">
        <f>0.5*Umrechnungsfaktoren!$B$15/Umrechnungsfaktoren!$B$13</f>
        <v>0.5164179104477612</v>
      </c>
      <c r="AP9" s="8">
        <v>0</v>
      </c>
      <c r="AQ9" s="8">
        <f>96*Umrechnungsfaktoren!$B$15/Umrechnungsfaktoren!$B$13</f>
        <v>99.152238805970143</v>
      </c>
      <c r="AR9" s="8">
        <f>0.05*Umrechnungsfaktoren!$B$15/Umrechnungsfaktoren!$B$13</f>
        <v>5.1641791044776127E-2</v>
      </c>
      <c r="AS9" s="8"/>
      <c r="AV9" s="1">
        <v>213</v>
      </c>
      <c r="AW9" s="1">
        <v>214</v>
      </c>
      <c r="AY9" s="13" t="s">
        <v>544</v>
      </c>
      <c r="AZ9" s="13" t="s">
        <v>543</v>
      </c>
      <c r="BA9" s="13">
        <v>213</v>
      </c>
      <c r="BB9" s="13"/>
      <c r="BC9" s="13">
        <v>213</v>
      </c>
      <c r="BD9" s="13"/>
      <c r="BE9" s="13"/>
      <c r="BF9" s="13">
        <v>242</v>
      </c>
      <c r="BG9" s="1">
        <v>213</v>
      </c>
      <c r="BH9" s="1">
        <v>213</v>
      </c>
      <c r="BJ9" s="1">
        <v>213</v>
      </c>
      <c r="BK9" s="1" t="s">
        <v>553</v>
      </c>
      <c r="BL9" s="1" t="s">
        <v>554</v>
      </c>
      <c r="BM9" s="1" t="s">
        <v>553</v>
      </c>
    </row>
    <row r="10" spans="1:66" x14ac:dyDescent="0.25">
      <c r="A10" s="1" t="s">
        <v>74</v>
      </c>
      <c r="B10" s="1" t="s">
        <v>126</v>
      </c>
      <c r="C10" s="1">
        <v>2015</v>
      </c>
      <c r="D10" s="1">
        <v>1</v>
      </c>
      <c r="E10" s="1">
        <v>1</v>
      </c>
      <c r="F10" s="1">
        <v>0</v>
      </c>
      <c r="G10" s="1">
        <f>2.37+0.789</f>
        <v>3.1590000000000003</v>
      </c>
      <c r="J10" s="19"/>
      <c r="K10" s="19"/>
      <c r="L10" s="19">
        <f>316+105-110</f>
        <v>311</v>
      </c>
      <c r="M10" s="19"/>
      <c r="N10" s="19"/>
      <c r="O10" s="19"/>
      <c r="P10" s="19"/>
      <c r="Q10" s="19">
        <f>316+105</f>
        <v>421</v>
      </c>
      <c r="R10" s="19"/>
      <c r="S10" s="9">
        <v>1</v>
      </c>
      <c r="T10" s="9"/>
      <c r="U10" s="46">
        <v>7500</v>
      </c>
      <c r="V10" s="20">
        <f>316+105</f>
        <v>421</v>
      </c>
      <c r="W10" s="9"/>
      <c r="X10" s="1">
        <f t="shared" si="0"/>
        <v>8.3333333333333329E-2</v>
      </c>
      <c r="AA10" s="1">
        <v>1</v>
      </c>
      <c r="AC10" s="1">
        <v>1</v>
      </c>
      <c r="AF10" s="1">
        <v>1</v>
      </c>
      <c r="AI10" s="1">
        <v>2</v>
      </c>
      <c r="AK10" s="1">
        <v>20</v>
      </c>
      <c r="AL10" s="1">
        <v>50</v>
      </c>
      <c r="AM10" s="1">
        <v>20</v>
      </c>
      <c r="AN10" s="1">
        <v>50</v>
      </c>
      <c r="AO10" s="8">
        <f>0.5*Umrechnungsfaktoren!$B$15/Umrechnungsfaktoren!$B$13</f>
        <v>0.5164179104477612</v>
      </c>
      <c r="AP10" s="8">
        <v>0</v>
      </c>
      <c r="AQ10" s="8">
        <f>433*Umrechnungsfaktoren!$B$15/Umrechnungsfaktoren!$B$13</f>
        <v>447.21791044776114</v>
      </c>
      <c r="AR10" s="8">
        <f>0.05*Umrechnungsfaktoren!$B$15/Umrechnungsfaktoren!$B$13</f>
        <v>5.1641791044776127E-2</v>
      </c>
      <c r="AS10" s="8"/>
      <c r="AV10" s="1">
        <v>213</v>
      </c>
      <c r="AW10" s="1">
        <v>214</v>
      </c>
      <c r="AY10" s="13" t="s">
        <v>544</v>
      </c>
      <c r="AZ10" s="13" t="s">
        <v>543</v>
      </c>
      <c r="BA10" s="13">
        <v>213</v>
      </c>
      <c r="BB10" s="13"/>
      <c r="BC10" s="13">
        <v>213</v>
      </c>
      <c r="BD10" s="13"/>
      <c r="BE10" s="13"/>
      <c r="BF10" s="13">
        <v>242</v>
      </c>
      <c r="BG10" s="1">
        <v>213</v>
      </c>
      <c r="BH10" s="1">
        <v>213</v>
      </c>
      <c r="BJ10" s="1">
        <v>213</v>
      </c>
      <c r="BK10" s="1" t="s">
        <v>553</v>
      </c>
      <c r="BL10" s="1" t="s">
        <v>554</v>
      </c>
      <c r="BM10" s="1" t="s">
        <v>553</v>
      </c>
    </row>
    <row r="11" spans="1:66" x14ac:dyDescent="0.25">
      <c r="A11" s="1" t="s">
        <v>74</v>
      </c>
      <c r="B11" s="1" t="s">
        <v>126</v>
      </c>
      <c r="C11" s="1">
        <v>2020</v>
      </c>
      <c r="D11" s="1">
        <v>1</v>
      </c>
      <c r="E11" s="1">
        <v>1</v>
      </c>
      <c r="F11" s="1">
        <v>0</v>
      </c>
      <c r="J11" s="19"/>
      <c r="K11" s="19"/>
      <c r="L11" s="19">
        <f>311/421*391</f>
        <v>288.83847980997626</v>
      </c>
      <c r="M11" s="19"/>
      <c r="N11" s="19"/>
      <c r="O11" s="19"/>
      <c r="P11" s="19"/>
      <c r="Q11" s="19">
        <v>391</v>
      </c>
      <c r="R11" s="19"/>
      <c r="S11" s="9">
        <v>1</v>
      </c>
      <c r="T11" s="9"/>
      <c r="U11" s="46">
        <v>7500</v>
      </c>
      <c r="V11" s="20"/>
      <c r="W11" s="9"/>
      <c r="X11" s="1">
        <f t="shared" si="0"/>
        <v>8.3333333333333329E-2</v>
      </c>
      <c r="AA11" s="1">
        <v>1</v>
      </c>
      <c r="AC11" s="1">
        <v>1</v>
      </c>
      <c r="AF11" s="1">
        <v>1</v>
      </c>
      <c r="AI11" s="1">
        <v>2</v>
      </c>
      <c r="AK11" s="1">
        <v>20</v>
      </c>
      <c r="AL11" s="1">
        <v>50</v>
      </c>
      <c r="AM11" s="1">
        <v>20</v>
      </c>
      <c r="AN11" s="1">
        <v>50</v>
      </c>
      <c r="AO11" s="8">
        <f>0.5*Umrechnungsfaktoren!$B$15/Umrechnungsfaktoren!$B$13</f>
        <v>0.5164179104477612</v>
      </c>
      <c r="AP11" s="8">
        <v>0</v>
      </c>
      <c r="AQ11" s="8">
        <f>433*Umrechnungsfaktoren!$B$15/Umrechnungsfaktoren!$B$13</f>
        <v>447.21791044776114</v>
      </c>
      <c r="AR11" s="8">
        <f>0.05*Umrechnungsfaktoren!$B$15/Umrechnungsfaktoren!$B$13</f>
        <v>5.1641791044776127E-2</v>
      </c>
      <c r="AS11" s="8"/>
      <c r="AV11" s="1">
        <v>213</v>
      </c>
      <c r="AW11" s="1">
        <v>214</v>
      </c>
      <c r="AY11" s="13" t="s">
        <v>544</v>
      </c>
      <c r="AZ11" s="13" t="s">
        <v>543</v>
      </c>
      <c r="BA11" s="13">
        <v>213</v>
      </c>
      <c r="BB11" s="13"/>
      <c r="BC11" s="13">
        <v>213</v>
      </c>
      <c r="BD11" s="13"/>
      <c r="BE11" s="13"/>
      <c r="BF11" s="13">
        <v>242</v>
      </c>
      <c r="BG11" s="1">
        <v>213</v>
      </c>
      <c r="BH11" s="1">
        <v>213</v>
      </c>
      <c r="BJ11" s="1">
        <v>213</v>
      </c>
      <c r="BK11" s="1" t="s">
        <v>553</v>
      </c>
      <c r="BL11" s="1" t="s">
        <v>554</v>
      </c>
      <c r="BM11" s="1" t="s">
        <v>553</v>
      </c>
    </row>
    <row r="12" spans="1:66" x14ac:dyDescent="0.25">
      <c r="A12" s="1" t="s">
        <v>74</v>
      </c>
      <c r="B12" s="1" t="s">
        <v>126</v>
      </c>
      <c r="C12" s="1">
        <v>2025</v>
      </c>
      <c r="D12" s="1">
        <v>1</v>
      </c>
      <c r="E12" s="1">
        <v>1</v>
      </c>
      <c r="F12" s="1">
        <v>0</v>
      </c>
      <c r="J12" s="19"/>
      <c r="K12" s="19"/>
      <c r="L12" s="19">
        <f>311/421*346</f>
        <v>255.59619952494063</v>
      </c>
      <c r="M12" s="19"/>
      <c r="N12" s="19"/>
      <c r="O12" s="19"/>
      <c r="P12" s="19"/>
      <c r="Q12" s="19">
        <v>346</v>
      </c>
      <c r="R12" s="19"/>
      <c r="S12" s="9">
        <v>1</v>
      </c>
      <c r="T12" s="9"/>
      <c r="U12" s="46">
        <v>7500</v>
      </c>
      <c r="V12" s="20"/>
      <c r="W12" s="9"/>
      <c r="X12" s="1">
        <f t="shared" si="0"/>
        <v>8.3333333333333329E-2</v>
      </c>
      <c r="AA12" s="1">
        <v>1</v>
      </c>
      <c r="AC12" s="1">
        <v>1</v>
      </c>
      <c r="AF12" s="1">
        <v>1</v>
      </c>
      <c r="AI12" s="1">
        <v>2</v>
      </c>
      <c r="AK12" s="1">
        <v>20</v>
      </c>
      <c r="AL12" s="1">
        <v>50</v>
      </c>
      <c r="AM12" s="1">
        <v>20</v>
      </c>
      <c r="AN12" s="1">
        <v>50</v>
      </c>
      <c r="AO12" s="8">
        <f>0.5*Umrechnungsfaktoren!$B$15/Umrechnungsfaktoren!$B$13</f>
        <v>0.5164179104477612</v>
      </c>
      <c r="AP12" s="8">
        <v>0</v>
      </c>
      <c r="AQ12" s="8">
        <f>433*Umrechnungsfaktoren!$B$15/Umrechnungsfaktoren!$B$13</f>
        <v>447.21791044776114</v>
      </c>
      <c r="AR12" s="8">
        <f>0.05*Umrechnungsfaktoren!$B$15/Umrechnungsfaktoren!$B$13</f>
        <v>5.1641791044776127E-2</v>
      </c>
      <c r="AS12" s="8"/>
      <c r="AV12" s="1">
        <v>213</v>
      </c>
      <c r="AW12" s="1">
        <v>214</v>
      </c>
      <c r="AY12" s="13" t="s">
        <v>544</v>
      </c>
      <c r="AZ12" s="13" t="s">
        <v>543</v>
      </c>
      <c r="BA12" s="13">
        <v>213</v>
      </c>
      <c r="BB12" s="13"/>
      <c r="BC12" s="13">
        <v>213</v>
      </c>
      <c r="BD12" s="13"/>
      <c r="BE12" s="13"/>
      <c r="BF12" s="13">
        <v>242</v>
      </c>
      <c r="BG12" s="1">
        <v>213</v>
      </c>
      <c r="BH12" s="1">
        <v>213</v>
      </c>
      <c r="BJ12" s="1">
        <v>213</v>
      </c>
      <c r="BK12" s="1" t="s">
        <v>553</v>
      </c>
      <c r="BL12" s="1" t="s">
        <v>554</v>
      </c>
      <c r="BM12" s="1" t="s">
        <v>553</v>
      </c>
    </row>
    <row r="13" spans="1:66" x14ac:dyDescent="0.25">
      <c r="A13" s="1" t="s">
        <v>74</v>
      </c>
      <c r="B13" s="1" t="s">
        <v>126</v>
      </c>
      <c r="C13" s="1">
        <v>2030</v>
      </c>
      <c r="D13" s="1">
        <v>1</v>
      </c>
      <c r="E13" s="1">
        <v>1</v>
      </c>
      <c r="F13" s="1">
        <v>0</v>
      </c>
      <c r="J13" s="19"/>
      <c r="K13" s="19"/>
      <c r="L13" s="19">
        <f>311/421*307</f>
        <v>226.78622327790976</v>
      </c>
      <c r="M13" s="19"/>
      <c r="N13" s="19"/>
      <c r="O13" s="19"/>
      <c r="P13" s="19"/>
      <c r="Q13" s="19">
        <v>307</v>
      </c>
      <c r="R13" s="19"/>
      <c r="S13" s="9">
        <v>1</v>
      </c>
      <c r="T13" s="9"/>
      <c r="U13" s="46">
        <v>7500</v>
      </c>
      <c r="V13" s="20"/>
      <c r="W13" s="9"/>
      <c r="X13" s="1">
        <f t="shared" si="0"/>
        <v>8.3333333333333329E-2</v>
      </c>
      <c r="AA13" s="1">
        <v>1</v>
      </c>
      <c r="AC13" s="1">
        <v>1</v>
      </c>
      <c r="AF13" s="1">
        <v>1</v>
      </c>
      <c r="AI13" s="1">
        <v>2</v>
      </c>
      <c r="AK13" s="1">
        <v>20</v>
      </c>
      <c r="AL13" s="1">
        <v>50</v>
      </c>
      <c r="AM13" s="1">
        <v>20</v>
      </c>
      <c r="AN13" s="1">
        <v>50</v>
      </c>
      <c r="AO13" s="8">
        <f>0.5*Umrechnungsfaktoren!$B$15/Umrechnungsfaktoren!$B$13</f>
        <v>0.5164179104477612</v>
      </c>
      <c r="AP13" s="8">
        <v>0</v>
      </c>
      <c r="AQ13" s="8">
        <f>433*Umrechnungsfaktoren!$B$15/Umrechnungsfaktoren!$B$13</f>
        <v>447.21791044776114</v>
      </c>
      <c r="AR13" s="8">
        <f>0.05*Umrechnungsfaktoren!$B$15/Umrechnungsfaktoren!$B$13</f>
        <v>5.1641791044776127E-2</v>
      </c>
      <c r="AS13" s="8"/>
      <c r="AV13" s="1">
        <v>213</v>
      </c>
      <c r="AW13" s="1">
        <v>214</v>
      </c>
      <c r="AY13" s="13" t="s">
        <v>544</v>
      </c>
      <c r="AZ13" s="13" t="s">
        <v>543</v>
      </c>
      <c r="BA13" s="13">
        <v>213</v>
      </c>
      <c r="BB13" s="13"/>
      <c r="BC13" s="13">
        <v>213</v>
      </c>
      <c r="BD13" s="13"/>
      <c r="BE13" s="13"/>
      <c r="BF13" s="13">
        <v>242</v>
      </c>
      <c r="BG13" s="1">
        <v>213</v>
      </c>
      <c r="BH13" s="1">
        <v>213</v>
      </c>
      <c r="BJ13" s="1">
        <v>213</v>
      </c>
      <c r="BK13" s="1" t="s">
        <v>553</v>
      </c>
      <c r="BL13" s="1" t="s">
        <v>554</v>
      </c>
      <c r="BM13" s="1" t="s">
        <v>553</v>
      </c>
    </row>
    <row r="14" spans="1:66" x14ac:dyDescent="0.25">
      <c r="A14" s="1" t="s">
        <v>185</v>
      </c>
      <c r="B14" s="1" t="s">
        <v>126</v>
      </c>
      <c r="C14" s="1">
        <v>2015</v>
      </c>
      <c r="D14" s="1">
        <v>0</v>
      </c>
      <c r="E14" s="1">
        <v>1</v>
      </c>
      <c r="F14" s="1">
        <v>0</v>
      </c>
      <c r="G14" s="1">
        <v>20.399999999999999</v>
      </c>
      <c r="J14" s="19"/>
      <c r="K14" s="19"/>
      <c r="L14" s="19"/>
      <c r="M14" s="19">
        <v>2720</v>
      </c>
      <c r="N14" s="19"/>
      <c r="O14" s="19"/>
      <c r="P14" s="19"/>
      <c r="Q14" s="19"/>
      <c r="R14" s="19"/>
      <c r="S14" s="9"/>
      <c r="T14" s="9"/>
      <c r="U14" s="46"/>
      <c r="V14" s="20"/>
      <c r="W14" s="9"/>
      <c r="AO14" s="8">
        <f>0.5*Umrechnungsfaktoren!$B$15/Umrechnungsfaktoren!$B$13</f>
        <v>0.5164179104477612</v>
      </c>
      <c r="AP14" s="8">
        <v>0</v>
      </c>
      <c r="AQ14" s="8">
        <f>433*Umrechnungsfaktoren!$B$15/Umrechnungsfaktoren!$B$13</f>
        <v>447.21791044776114</v>
      </c>
      <c r="AR14" s="8">
        <f>0.05*Umrechnungsfaktoren!$B$15/Umrechnungsfaktoren!$B$13</f>
        <v>5.1641791044776127E-2</v>
      </c>
      <c r="AS14" s="8"/>
      <c r="AV14" s="1">
        <v>213</v>
      </c>
      <c r="AW14" s="1">
        <v>214</v>
      </c>
      <c r="AY14" s="13" t="s">
        <v>545</v>
      </c>
      <c r="BA14" s="13">
        <v>213</v>
      </c>
      <c r="BB14" s="13"/>
      <c r="BC14" s="13">
        <v>213</v>
      </c>
      <c r="BD14" s="13"/>
      <c r="BE14" s="13"/>
      <c r="BF14" s="13"/>
      <c r="BJ14" s="1">
        <v>213</v>
      </c>
      <c r="BK14" s="1" t="s">
        <v>553</v>
      </c>
      <c r="BL14" s="1" t="s">
        <v>554</v>
      </c>
      <c r="BM14" s="1" t="s">
        <v>553</v>
      </c>
    </row>
    <row r="15" spans="1:66" x14ac:dyDescent="0.25">
      <c r="A15" s="1" t="s">
        <v>185</v>
      </c>
      <c r="B15" s="1" t="s">
        <v>126</v>
      </c>
      <c r="C15" s="1">
        <v>2020</v>
      </c>
      <c r="D15" s="1">
        <v>0</v>
      </c>
      <c r="E15" s="1">
        <v>1</v>
      </c>
      <c r="F15" s="1">
        <v>0</v>
      </c>
      <c r="J15" s="19"/>
      <c r="K15" s="19"/>
      <c r="L15" s="19"/>
      <c r="M15" s="19">
        <f>3095/3335*M14</f>
        <v>2524.257871064468</v>
      </c>
      <c r="N15" s="19"/>
      <c r="O15" s="19"/>
      <c r="P15" s="19"/>
      <c r="Q15" s="19"/>
      <c r="R15" s="19"/>
      <c r="S15" s="9"/>
      <c r="T15" s="9"/>
      <c r="U15" s="46"/>
      <c r="V15" s="20"/>
      <c r="W15" s="9"/>
      <c r="AO15" s="8">
        <f>0.5*Umrechnungsfaktoren!$B$15/Umrechnungsfaktoren!$B$13</f>
        <v>0.5164179104477612</v>
      </c>
      <c r="AP15" s="8">
        <v>0</v>
      </c>
      <c r="AQ15" s="8">
        <f>433*Umrechnungsfaktoren!$B$15/Umrechnungsfaktoren!$B$13</f>
        <v>447.21791044776114</v>
      </c>
      <c r="AR15" s="8">
        <f>0.05*Umrechnungsfaktoren!$B$15/Umrechnungsfaktoren!$B$13</f>
        <v>5.1641791044776127E-2</v>
      </c>
      <c r="AS15" s="8"/>
      <c r="AV15" s="1">
        <v>213</v>
      </c>
      <c r="AW15" s="1">
        <v>214</v>
      </c>
      <c r="AY15" s="13" t="s">
        <v>545</v>
      </c>
      <c r="BA15" s="13">
        <v>213</v>
      </c>
      <c r="BB15" s="13"/>
      <c r="BC15" s="13">
        <v>213</v>
      </c>
      <c r="BD15" s="13"/>
      <c r="BE15" s="13"/>
      <c r="BF15" s="13"/>
      <c r="BJ15" s="1">
        <v>213</v>
      </c>
      <c r="BK15" s="1" t="s">
        <v>553</v>
      </c>
      <c r="BL15" s="1" t="s">
        <v>554</v>
      </c>
      <c r="BM15" s="1" t="s">
        <v>553</v>
      </c>
    </row>
    <row r="16" spans="1:66" x14ac:dyDescent="0.25">
      <c r="A16" s="1" t="s">
        <v>185</v>
      </c>
      <c r="B16" s="1" t="s">
        <v>126</v>
      </c>
      <c r="C16" s="1">
        <v>2025</v>
      </c>
      <c r="D16" s="1">
        <v>0</v>
      </c>
      <c r="E16" s="1">
        <v>1</v>
      </c>
      <c r="F16" s="1">
        <v>0</v>
      </c>
      <c r="J16" s="19"/>
      <c r="K16" s="19"/>
      <c r="L16" s="19"/>
      <c r="M16" s="19">
        <f>2743/3335*M14</f>
        <v>2237.1694152923537</v>
      </c>
      <c r="N16" s="19"/>
      <c r="O16" s="19"/>
      <c r="P16" s="19"/>
      <c r="Q16" s="19"/>
      <c r="R16" s="19"/>
      <c r="S16" s="9"/>
      <c r="T16" s="9"/>
      <c r="U16" s="46"/>
      <c r="V16" s="20"/>
      <c r="W16" s="9"/>
      <c r="AO16" s="8">
        <f>0.5*Umrechnungsfaktoren!$B$15/Umrechnungsfaktoren!$B$13</f>
        <v>0.5164179104477612</v>
      </c>
      <c r="AP16" s="8">
        <v>0</v>
      </c>
      <c r="AQ16" s="8">
        <f>433*Umrechnungsfaktoren!$B$15/Umrechnungsfaktoren!$B$13</f>
        <v>447.21791044776114</v>
      </c>
      <c r="AR16" s="8">
        <f>0.05*Umrechnungsfaktoren!$B$15/Umrechnungsfaktoren!$B$13</f>
        <v>5.1641791044776127E-2</v>
      </c>
      <c r="AS16" s="8"/>
      <c r="AV16" s="1">
        <v>213</v>
      </c>
      <c r="AW16" s="1">
        <v>214</v>
      </c>
      <c r="AY16" s="13" t="s">
        <v>545</v>
      </c>
      <c r="BA16" s="13">
        <v>213</v>
      </c>
      <c r="BB16" s="13"/>
      <c r="BC16" s="13">
        <v>213</v>
      </c>
      <c r="BD16" s="13"/>
      <c r="BE16" s="13"/>
      <c r="BF16" s="13"/>
      <c r="BJ16" s="1">
        <v>213</v>
      </c>
      <c r="BK16" s="1" t="s">
        <v>553</v>
      </c>
      <c r="BL16" s="1" t="s">
        <v>554</v>
      </c>
      <c r="BM16" s="1" t="s">
        <v>553</v>
      </c>
    </row>
    <row r="17" spans="1:66" x14ac:dyDescent="0.25">
      <c r="A17" s="1" t="s">
        <v>185</v>
      </c>
      <c r="B17" s="1" t="s">
        <v>126</v>
      </c>
      <c r="C17" s="1">
        <v>2030</v>
      </c>
      <c r="D17" s="1">
        <v>0</v>
      </c>
      <c r="E17" s="1">
        <v>1</v>
      </c>
      <c r="F17" s="1">
        <v>0</v>
      </c>
      <c r="J17" s="19"/>
      <c r="K17" s="19"/>
      <c r="L17" s="19"/>
      <c r="M17" s="19">
        <f>2433/3335*M14</f>
        <v>1984.3358320839582</v>
      </c>
      <c r="N17" s="19"/>
      <c r="O17" s="19"/>
      <c r="P17" s="19"/>
      <c r="Q17" s="19"/>
      <c r="R17" s="19"/>
      <c r="S17" s="9"/>
      <c r="T17" s="9"/>
      <c r="U17" s="46"/>
      <c r="V17" s="20"/>
      <c r="W17" s="9"/>
      <c r="AO17" s="8">
        <f>0.5*Umrechnungsfaktoren!$B$15/Umrechnungsfaktoren!$B$13</f>
        <v>0.5164179104477612</v>
      </c>
      <c r="AP17" s="8">
        <v>0</v>
      </c>
      <c r="AQ17" s="8">
        <f>433*Umrechnungsfaktoren!$B$15/Umrechnungsfaktoren!$B$13</f>
        <v>447.21791044776114</v>
      </c>
      <c r="AR17" s="8">
        <f>0.05*Umrechnungsfaktoren!$B$15/Umrechnungsfaktoren!$B$13</f>
        <v>5.1641791044776127E-2</v>
      </c>
      <c r="AS17" s="8"/>
      <c r="AV17" s="1">
        <v>213</v>
      </c>
      <c r="AW17" s="1">
        <v>214</v>
      </c>
      <c r="AY17" s="13" t="s">
        <v>545</v>
      </c>
      <c r="BA17" s="13">
        <v>213</v>
      </c>
      <c r="BB17" s="13"/>
      <c r="BC17" s="13">
        <v>213</v>
      </c>
      <c r="BD17" s="13"/>
      <c r="BE17" s="13"/>
      <c r="BF17" s="13"/>
      <c r="BJ17" s="1">
        <v>213</v>
      </c>
      <c r="BK17" s="1" t="s">
        <v>553</v>
      </c>
      <c r="BL17" s="1" t="s">
        <v>554</v>
      </c>
      <c r="BM17" s="1" t="s">
        <v>553</v>
      </c>
    </row>
    <row r="18" spans="1:66" x14ac:dyDescent="0.25">
      <c r="A18" s="1" t="s">
        <v>81</v>
      </c>
      <c r="B18" s="1" t="s">
        <v>126</v>
      </c>
      <c r="C18" s="1">
        <v>2015</v>
      </c>
      <c r="D18" s="1">
        <v>1</v>
      </c>
      <c r="E18" s="1">
        <v>1</v>
      </c>
      <c r="F18" s="1">
        <v>0</v>
      </c>
      <c r="G18" s="1">
        <f>6.123</f>
        <v>6.1230000000000002</v>
      </c>
      <c r="J18" s="22"/>
      <c r="K18" s="22"/>
      <c r="L18" s="22">
        <f>753-40</f>
        <v>713</v>
      </c>
      <c r="M18" s="22">
        <v>1114</v>
      </c>
      <c r="N18" s="22"/>
      <c r="O18" s="22"/>
      <c r="P18" s="22"/>
      <c r="Q18" s="22">
        <v>753</v>
      </c>
      <c r="R18" s="22"/>
      <c r="S18" s="24">
        <v>0.75</v>
      </c>
      <c r="T18" s="24"/>
      <c r="U18" s="47">
        <v>6100</v>
      </c>
      <c r="V18" s="23">
        <v>1004</v>
      </c>
      <c r="W18" s="24"/>
      <c r="X18" s="1">
        <f t="shared" ref="X18:X25" si="1">5/60</f>
        <v>8.3333333333333329E-2</v>
      </c>
      <c r="Y18" s="21"/>
      <c r="Z18" s="21"/>
      <c r="AA18" s="1">
        <v>1</v>
      </c>
      <c r="AC18" s="1">
        <v>1</v>
      </c>
      <c r="AE18" s="21"/>
      <c r="AF18" s="1">
        <v>1</v>
      </c>
      <c r="AG18" s="21"/>
      <c r="AH18" s="21"/>
      <c r="AI18" s="21">
        <v>2</v>
      </c>
      <c r="AJ18" s="21"/>
      <c r="AK18" s="1">
        <v>20</v>
      </c>
      <c r="AL18" s="1">
        <v>50</v>
      </c>
      <c r="AM18" s="1">
        <v>20</v>
      </c>
      <c r="AN18" s="1">
        <v>50</v>
      </c>
      <c r="AO18" s="8">
        <f>0.5*Umrechnungsfaktoren!$B$15/Umrechnungsfaktoren!$B$13</f>
        <v>0.5164179104477612</v>
      </c>
      <c r="AP18" s="8">
        <v>0</v>
      </c>
      <c r="AQ18" s="8">
        <f>392*Umrechnungsfaktoren!$B$15/Umrechnungsfaktoren!$B$13</f>
        <v>404.87164179104474</v>
      </c>
      <c r="AR18" s="25">
        <f>0.05*Umrechnungsfaktoren!$B$15/Umrechnungsfaktoren!$B$13</f>
        <v>5.1641791044776127E-2</v>
      </c>
      <c r="AS18" s="25"/>
      <c r="AT18" s="21"/>
      <c r="AU18" s="21"/>
      <c r="AV18" s="1">
        <v>213</v>
      </c>
      <c r="AW18" s="1">
        <v>214</v>
      </c>
      <c r="AX18" s="21"/>
      <c r="AY18" s="13" t="s">
        <v>544</v>
      </c>
      <c r="AZ18" s="13" t="s">
        <v>543</v>
      </c>
      <c r="BA18" s="13">
        <v>213</v>
      </c>
      <c r="BB18" s="26"/>
      <c r="BC18" s="13">
        <v>213</v>
      </c>
      <c r="BD18" s="26"/>
      <c r="BE18" s="26"/>
      <c r="BF18" s="26">
        <v>242</v>
      </c>
      <c r="BG18" s="1">
        <v>213</v>
      </c>
      <c r="BH18" s="1">
        <v>213</v>
      </c>
      <c r="BI18" s="21"/>
      <c r="BJ18" s="1">
        <v>213</v>
      </c>
      <c r="BK18" s="1" t="s">
        <v>553</v>
      </c>
      <c r="BL18" s="1" t="s">
        <v>554</v>
      </c>
      <c r="BM18" s="1" t="s">
        <v>553</v>
      </c>
      <c r="BN18" s="21"/>
    </row>
    <row r="19" spans="1:66" x14ac:dyDescent="0.25">
      <c r="A19" s="1" t="s">
        <v>81</v>
      </c>
      <c r="B19" s="1" t="s">
        <v>126</v>
      </c>
      <c r="C19" s="1">
        <v>2020</v>
      </c>
      <c r="D19" s="1">
        <v>1</v>
      </c>
      <c r="E19" s="1">
        <v>1</v>
      </c>
      <c r="F19" s="1">
        <v>0</v>
      </c>
      <c r="J19" s="22"/>
      <c r="K19" s="22"/>
      <c r="L19" s="22">
        <f>713/753*750</f>
        <v>710.15936254980079</v>
      </c>
      <c r="M19" s="22">
        <f>1164/1169*M18</f>
        <v>1109.2352437981181</v>
      </c>
      <c r="N19" s="22"/>
      <c r="O19" s="22"/>
      <c r="P19" s="22"/>
      <c r="Q19" s="22">
        <v>750</v>
      </c>
      <c r="R19" s="22"/>
      <c r="S19" s="24">
        <v>0.75</v>
      </c>
      <c r="T19" s="24"/>
      <c r="U19" s="47">
        <v>6100</v>
      </c>
      <c r="V19" s="23"/>
      <c r="W19" s="24"/>
      <c r="X19" s="1">
        <f t="shared" si="1"/>
        <v>8.3333333333333329E-2</v>
      </c>
      <c r="Y19" s="21"/>
      <c r="Z19" s="21"/>
      <c r="AA19" s="1">
        <v>1</v>
      </c>
      <c r="AC19" s="1">
        <v>1</v>
      </c>
      <c r="AE19" s="21"/>
      <c r="AF19" s="1">
        <v>1</v>
      </c>
      <c r="AG19" s="21"/>
      <c r="AH19" s="21"/>
      <c r="AI19" s="21">
        <v>2</v>
      </c>
      <c r="AJ19" s="21"/>
      <c r="AK19" s="1">
        <v>20</v>
      </c>
      <c r="AL19" s="1">
        <v>50</v>
      </c>
      <c r="AM19" s="1">
        <v>20</v>
      </c>
      <c r="AN19" s="1">
        <v>50</v>
      </c>
      <c r="AO19" s="8">
        <f>0.5*Umrechnungsfaktoren!$B$15/Umrechnungsfaktoren!$B$13</f>
        <v>0.5164179104477612</v>
      </c>
      <c r="AP19" s="8">
        <v>0</v>
      </c>
      <c r="AQ19" s="8">
        <f>392*Umrechnungsfaktoren!$B$15/Umrechnungsfaktoren!$B$13</f>
        <v>404.87164179104474</v>
      </c>
      <c r="AR19" s="25">
        <f>0.05*Umrechnungsfaktoren!$B$15/Umrechnungsfaktoren!$B$13</f>
        <v>5.1641791044776127E-2</v>
      </c>
      <c r="AS19" s="25"/>
      <c r="AT19" s="21"/>
      <c r="AU19" s="21"/>
      <c r="AV19" s="1">
        <v>213</v>
      </c>
      <c r="AW19" s="1">
        <v>214</v>
      </c>
      <c r="AX19" s="21"/>
      <c r="AY19" s="13" t="s">
        <v>544</v>
      </c>
      <c r="AZ19" s="13" t="s">
        <v>543</v>
      </c>
      <c r="BA19" s="13">
        <v>213</v>
      </c>
      <c r="BB19" s="26"/>
      <c r="BC19" s="13">
        <v>213</v>
      </c>
      <c r="BD19" s="26"/>
      <c r="BE19" s="26"/>
      <c r="BF19" s="26">
        <v>242</v>
      </c>
      <c r="BG19" s="1">
        <v>213</v>
      </c>
      <c r="BH19" s="1">
        <v>213</v>
      </c>
      <c r="BI19" s="21"/>
      <c r="BJ19" s="1">
        <v>213</v>
      </c>
      <c r="BK19" s="1" t="s">
        <v>553</v>
      </c>
      <c r="BL19" s="1" t="s">
        <v>554</v>
      </c>
      <c r="BM19" s="1" t="s">
        <v>553</v>
      </c>
      <c r="BN19" s="21"/>
    </row>
    <row r="20" spans="1:66" x14ac:dyDescent="0.25">
      <c r="A20" s="1" t="s">
        <v>81</v>
      </c>
      <c r="B20" s="1" t="s">
        <v>126</v>
      </c>
      <c r="C20" s="1">
        <v>2025</v>
      </c>
      <c r="D20" s="1">
        <v>1</v>
      </c>
      <c r="E20" s="1">
        <v>1</v>
      </c>
      <c r="F20" s="1">
        <v>0</v>
      </c>
      <c r="J20" s="22"/>
      <c r="K20" s="22"/>
      <c r="L20" s="22">
        <f>713/753*773</f>
        <v>731.93758300132811</v>
      </c>
      <c r="M20" s="22">
        <f>1210/1169*M18</f>
        <v>1153.071000855432</v>
      </c>
      <c r="N20" s="22"/>
      <c r="O20" s="22"/>
      <c r="P20" s="22"/>
      <c r="Q20" s="22">
        <v>773</v>
      </c>
      <c r="R20" s="22"/>
      <c r="S20" s="24">
        <v>0.75</v>
      </c>
      <c r="T20" s="24"/>
      <c r="U20" s="47">
        <v>6100</v>
      </c>
      <c r="V20" s="23"/>
      <c r="W20" s="24"/>
      <c r="X20" s="1">
        <f t="shared" si="1"/>
        <v>8.3333333333333329E-2</v>
      </c>
      <c r="Y20" s="21"/>
      <c r="Z20" s="21"/>
      <c r="AA20" s="1">
        <v>1</v>
      </c>
      <c r="AC20" s="1">
        <v>1</v>
      </c>
      <c r="AE20" s="21"/>
      <c r="AF20" s="1">
        <v>1</v>
      </c>
      <c r="AG20" s="21"/>
      <c r="AH20" s="21"/>
      <c r="AI20" s="21">
        <v>2</v>
      </c>
      <c r="AJ20" s="21"/>
      <c r="AK20" s="1">
        <v>20</v>
      </c>
      <c r="AL20" s="1">
        <v>50</v>
      </c>
      <c r="AM20" s="1">
        <v>20</v>
      </c>
      <c r="AN20" s="1">
        <v>50</v>
      </c>
      <c r="AO20" s="8">
        <f>0.5*Umrechnungsfaktoren!$B$15/Umrechnungsfaktoren!$B$13</f>
        <v>0.5164179104477612</v>
      </c>
      <c r="AP20" s="8">
        <v>0</v>
      </c>
      <c r="AQ20" s="8">
        <f>392*Umrechnungsfaktoren!$B$15/Umrechnungsfaktoren!$B$13</f>
        <v>404.87164179104474</v>
      </c>
      <c r="AR20" s="25">
        <f>0.05*Umrechnungsfaktoren!$B$15/Umrechnungsfaktoren!$B$13</f>
        <v>5.1641791044776127E-2</v>
      </c>
      <c r="AS20" s="25"/>
      <c r="AT20" s="21"/>
      <c r="AU20" s="21"/>
      <c r="AV20" s="1">
        <v>213</v>
      </c>
      <c r="AW20" s="1">
        <v>214</v>
      </c>
      <c r="AX20" s="21"/>
      <c r="AY20" s="13" t="s">
        <v>544</v>
      </c>
      <c r="AZ20" s="13" t="s">
        <v>543</v>
      </c>
      <c r="BA20" s="13">
        <v>213</v>
      </c>
      <c r="BB20" s="26"/>
      <c r="BC20" s="13">
        <v>213</v>
      </c>
      <c r="BD20" s="26"/>
      <c r="BE20" s="26"/>
      <c r="BF20" s="26">
        <v>242</v>
      </c>
      <c r="BG20" s="1">
        <v>213</v>
      </c>
      <c r="BH20" s="1">
        <v>213</v>
      </c>
      <c r="BI20" s="21"/>
      <c r="BJ20" s="1">
        <v>213</v>
      </c>
      <c r="BK20" s="1" t="s">
        <v>553</v>
      </c>
      <c r="BL20" s="1" t="s">
        <v>554</v>
      </c>
      <c r="BM20" s="1" t="s">
        <v>553</v>
      </c>
      <c r="BN20" s="21"/>
    </row>
    <row r="21" spans="1:66" x14ac:dyDescent="0.25">
      <c r="A21" s="1" t="s">
        <v>81</v>
      </c>
      <c r="B21" s="1" t="s">
        <v>126</v>
      </c>
      <c r="C21" s="1">
        <v>2030</v>
      </c>
      <c r="D21" s="1">
        <v>1</v>
      </c>
      <c r="E21" s="1">
        <v>1</v>
      </c>
      <c r="F21" s="1">
        <v>0</v>
      </c>
      <c r="J21" s="22"/>
      <c r="K21" s="22"/>
      <c r="L21" s="22">
        <f>713/753*755</f>
        <v>714.89375830013284</v>
      </c>
      <c r="M21" s="22">
        <f>1172/1169*M18</f>
        <v>1116.8588537211292</v>
      </c>
      <c r="N21" s="22"/>
      <c r="O21" s="22"/>
      <c r="P21" s="22"/>
      <c r="Q21" s="22">
        <v>755</v>
      </c>
      <c r="R21" s="22"/>
      <c r="S21" s="24">
        <v>0.75</v>
      </c>
      <c r="T21" s="24"/>
      <c r="U21" s="47">
        <v>6100</v>
      </c>
      <c r="V21" s="23"/>
      <c r="W21" s="24"/>
      <c r="X21" s="1">
        <f t="shared" si="1"/>
        <v>8.3333333333333329E-2</v>
      </c>
      <c r="Y21" s="21"/>
      <c r="Z21" s="21"/>
      <c r="AA21" s="1">
        <v>1</v>
      </c>
      <c r="AC21" s="1">
        <v>1</v>
      </c>
      <c r="AE21" s="21"/>
      <c r="AF21" s="1">
        <v>1</v>
      </c>
      <c r="AG21" s="21"/>
      <c r="AH21" s="21"/>
      <c r="AI21" s="21">
        <v>2</v>
      </c>
      <c r="AJ21" s="21"/>
      <c r="AK21" s="1">
        <v>20</v>
      </c>
      <c r="AL21" s="1">
        <v>50</v>
      </c>
      <c r="AM21" s="1">
        <v>20</v>
      </c>
      <c r="AN21" s="1">
        <v>50</v>
      </c>
      <c r="AO21" s="8">
        <f>0.5*Umrechnungsfaktoren!$B$15/Umrechnungsfaktoren!$B$13</f>
        <v>0.5164179104477612</v>
      </c>
      <c r="AP21" s="8">
        <v>0</v>
      </c>
      <c r="AQ21" s="8">
        <f>392*Umrechnungsfaktoren!$B$15/Umrechnungsfaktoren!$B$13</f>
        <v>404.87164179104474</v>
      </c>
      <c r="AR21" s="25">
        <f>0.05*Umrechnungsfaktoren!$B$15/Umrechnungsfaktoren!$B$13</f>
        <v>5.1641791044776127E-2</v>
      </c>
      <c r="AS21" s="25"/>
      <c r="AT21" s="21"/>
      <c r="AU21" s="21"/>
      <c r="AV21" s="1">
        <v>213</v>
      </c>
      <c r="AW21" s="1">
        <v>214</v>
      </c>
      <c r="AX21" s="21"/>
      <c r="AY21" s="13" t="s">
        <v>544</v>
      </c>
      <c r="AZ21" s="13" t="s">
        <v>543</v>
      </c>
      <c r="BA21" s="13">
        <v>213</v>
      </c>
      <c r="BB21" s="26"/>
      <c r="BC21" s="13">
        <v>213</v>
      </c>
      <c r="BD21" s="26"/>
      <c r="BE21" s="26"/>
      <c r="BF21" s="26">
        <v>242</v>
      </c>
      <c r="BG21" s="1">
        <v>213</v>
      </c>
      <c r="BH21" s="1">
        <v>213</v>
      </c>
      <c r="BI21" s="21"/>
      <c r="BJ21" s="1">
        <v>213</v>
      </c>
      <c r="BK21" s="1" t="s">
        <v>553</v>
      </c>
      <c r="BL21" s="1" t="s">
        <v>554</v>
      </c>
      <c r="BM21" s="1" t="s">
        <v>553</v>
      </c>
      <c r="BN21" s="21"/>
    </row>
    <row r="22" spans="1:66" x14ac:dyDescent="0.25">
      <c r="A22" s="1" t="s">
        <v>938</v>
      </c>
      <c r="B22" s="1" t="s">
        <v>126</v>
      </c>
      <c r="C22" s="1">
        <v>2015</v>
      </c>
      <c r="D22" s="1">
        <v>1</v>
      </c>
      <c r="E22" s="1">
        <v>1</v>
      </c>
      <c r="F22" s="1">
        <v>0</v>
      </c>
      <c r="G22" s="1">
        <f>0.722+1.657</f>
        <v>2.379</v>
      </c>
      <c r="J22" s="22"/>
      <c r="K22" s="22"/>
      <c r="L22" s="22">
        <f>53+121-20</f>
        <v>154</v>
      </c>
      <c r="M22" s="22">
        <v>921</v>
      </c>
      <c r="N22" s="22"/>
      <c r="O22" s="22"/>
      <c r="P22" s="22"/>
      <c r="Q22" s="22">
        <v>174</v>
      </c>
      <c r="R22" s="22"/>
      <c r="S22" s="24">
        <v>0.4</v>
      </c>
      <c r="T22" s="24"/>
      <c r="U22" s="47">
        <v>5500</v>
      </c>
      <c r="V22" s="23">
        <f>131+301</f>
        <v>432</v>
      </c>
      <c r="W22" s="24"/>
      <c r="X22" s="1">
        <f t="shared" si="1"/>
        <v>8.3333333333333329E-2</v>
      </c>
      <c r="Y22" s="21"/>
      <c r="Z22" s="21"/>
      <c r="AA22" s="1">
        <v>1</v>
      </c>
      <c r="AC22" s="1">
        <v>1</v>
      </c>
      <c r="AE22" s="21"/>
      <c r="AF22" s="1">
        <v>1</v>
      </c>
      <c r="AG22" s="21"/>
      <c r="AH22" s="21"/>
      <c r="AI22" s="21">
        <v>4</v>
      </c>
      <c r="AJ22" s="1" t="s">
        <v>538</v>
      </c>
      <c r="AK22" s="1">
        <v>20</v>
      </c>
      <c r="AL22" s="1">
        <v>50</v>
      </c>
      <c r="AM22" s="1">
        <v>20</v>
      </c>
      <c r="AN22" s="1">
        <v>50</v>
      </c>
      <c r="AO22" s="8">
        <f>0.5*Umrechnungsfaktoren!$B$15/Umrechnungsfaktoren!$B$13</f>
        <v>0.5164179104477612</v>
      </c>
      <c r="AP22" s="8">
        <v>0</v>
      </c>
      <c r="AQ22" s="8">
        <f>317*Umrechnungsfaktoren!$B$15/Umrechnungsfaktoren!$B$13</f>
        <v>327.40895522388058</v>
      </c>
      <c r="AR22" s="25">
        <f>0.05*Umrechnungsfaktoren!$B$15/Umrechnungsfaktoren!$B$13</f>
        <v>5.1641791044776127E-2</v>
      </c>
      <c r="AS22" s="25"/>
      <c r="AT22" s="21"/>
      <c r="AU22" s="21"/>
      <c r="AV22" s="1">
        <v>213</v>
      </c>
      <c r="AW22" s="1">
        <v>214</v>
      </c>
      <c r="AX22" s="21"/>
      <c r="AY22" s="13" t="s">
        <v>544</v>
      </c>
      <c r="AZ22" s="13" t="s">
        <v>543</v>
      </c>
      <c r="BA22" s="13">
        <v>213</v>
      </c>
      <c r="BB22" s="26"/>
      <c r="BC22" s="13">
        <v>213</v>
      </c>
      <c r="BD22" s="26"/>
      <c r="BE22" s="26"/>
      <c r="BF22" s="26">
        <v>242</v>
      </c>
      <c r="BG22" s="1">
        <v>213</v>
      </c>
      <c r="BH22" s="1">
        <v>213</v>
      </c>
      <c r="BI22" s="21">
        <v>212</v>
      </c>
      <c r="BJ22" s="1">
        <v>213</v>
      </c>
      <c r="BK22" s="1" t="s">
        <v>553</v>
      </c>
      <c r="BL22" s="1" t="s">
        <v>554</v>
      </c>
      <c r="BM22" s="1" t="s">
        <v>553</v>
      </c>
      <c r="BN22" s="21"/>
    </row>
    <row r="23" spans="1:66" x14ac:dyDescent="0.25">
      <c r="A23" s="1" t="s">
        <v>938</v>
      </c>
      <c r="B23" s="1" t="s">
        <v>126</v>
      </c>
      <c r="C23" s="1">
        <v>2020</v>
      </c>
      <c r="D23" s="1">
        <v>1</v>
      </c>
      <c r="E23" s="1">
        <v>1</v>
      </c>
      <c r="F23" s="1">
        <v>0</v>
      </c>
      <c r="J23" s="22"/>
      <c r="K23" s="22"/>
      <c r="L23" s="22">
        <f>154/174*172</f>
        <v>152.22988505747128</v>
      </c>
      <c r="M23" s="22">
        <f>1040/1045*M22</f>
        <v>916.59330143540672</v>
      </c>
      <c r="N23" s="22"/>
      <c r="O23" s="22"/>
      <c r="P23" s="22"/>
      <c r="Q23" s="22">
        <v>172</v>
      </c>
      <c r="R23" s="22"/>
      <c r="S23" s="24">
        <v>0.4</v>
      </c>
      <c r="T23" s="24"/>
      <c r="U23" s="47">
        <v>5500</v>
      </c>
      <c r="V23" s="23"/>
      <c r="W23" s="24"/>
      <c r="X23" s="1">
        <f t="shared" si="1"/>
        <v>8.3333333333333329E-2</v>
      </c>
      <c r="Y23" s="21"/>
      <c r="Z23" s="21"/>
      <c r="AA23" s="1">
        <v>1</v>
      </c>
      <c r="AC23" s="1">
        <v>1</v>
      </c>
      <c r="AE23" s="21"/>
      <c r="AF23" s="1">
        <v>1</v>
      </c>
      <c r="AG23" s="21"/>
      <c r="AH23" s="21"/>
      <c r="AI23" s="21">
        <v>4</v>
      </c>
      <c r="AK23" s="1">
        <v>20</v>
      </c>
      <c r="AL23" s="1">
        <v>50</v>
      </c>
      <c r="AM23" s="1">
        <v>20</v>
      </c>
      <c r="AN23" s="1">
        <v>50</v>
      </c>
      <c r="AO23" s="8">
        <f>0.5*Umrechnungsfaktoren!$B$15/Umrechnungsfaktoren!$B$13</f>
        <v>0.5164179104477612</v>
      </c>
      <c r="AP23" s="8">
        <v>0</v>
      </c>
      <c r="AQ23" s="8">
        <f>317*Umrechnungsfaktoren!$B$15/Umrechnungsfaktoren!$B$13</f>
        <v>327.40895522388058</v>
      </c>
      <c r="AR23" s="25">
        <f>0.05*Umrechnungsfaktoren!$B$15/Umrechnungsfaktoren!$B$13</f>
        <v>5.1641791044776127E-2</v>
      </c>
      <c r="AS23" s="25"/>
      <c r="AT23" s="21"/>
      <c r="AU23" s="21"/>
      <c r="AV23" s="1">
        <v>213</v>
      </c>
      <c r="AW23" s="1">
        <v>214</v>
      </c>
      <c r="AX23" s="21"/>
      <c r="AY23" s="13" t="s">
        <v>544</v>
      </c>
      <c r="AZ23" s="13" t="s">
        <v>543</v>
      </c>
      <c r="BA23" s="13">
        <v>213</v>
      </c>
      <c r="BB23" s="26"/>
      <c r="BC23" s="13">
        <v>213</v>
      </c>
      <c r="BD23" s="26"/>
      <c r="BE23" s="26"/>
      <c r="BF23" s="26">
        <v>242</v>
      </c>
      <c r="BG23" s="1">
        <v>213</v>
      </c>
      <c r="BH23" s="1">
        <v>213</v>
      </c>
      <c r="BI23" s="21">
        <v>212</v>
      </c>
      <c r="BJ23" s="1">
        <v>213</v>
      </c>
      <c r="BK23" s="1" t="s">
        <v>553</v>
      </c>
      <c r="BL23" s="1" t="s">
        <v>554</v>
      </c>
      <c r="BM23" s="1" t="s">
        <v>553</v>
      </c>
      <c r="BN23" s="21"/>
    </row>
    <row r="24" spans="1:66" x14ac:dyDescent="0.25">
      <c r="A24" s="1" t="s">
        <v>938</v>
      </c>
      <c r="B24" s="1" t="s">
        <v>126</v>
      </c>
      <c r="C24" s="1">
        <v>2025</v>
      </c>
      <c r="D24" s="1">
        <v>1</v>
      </c>
      <c r="E24" s="1">
        <v>1</v>
      </c>
      <c r="F24" s="1">
        <v>0</v>
      </c>
      <c r="J24" s="22"/>
      <c r="K24" s="22"/>
      <c r="L24" s="22">
        <f>154/174*171</f>
        <v>151.34482758620689</v>
      </c>
      <c r="M24" s="22">
        <f>1033/1045*M22</f>
        <v>910.42392344497603</v>
      </c>
      <c r="N24" s="22"/>
      <c r="O24" s="22"/>
      <c r="P24" s="22"/>
      <c r="Q24" s="22">
        <v>171</v>
      </c>
      <c r="R24" s="22"/>
      <c r="S24" s="24">
        <v>0.4</v>
      </c>
      <c r="T24" s="24"/>
      <c r="U24" s="47">
        <v>5500</v>
      </c>
      <c r="V24" s="23"/>
      <c r="W24" s="24"/>
      <c r="X24" s="1">
        <f t="shared" si="1"/>
        <v>8.3333333333333329E-2</v>
      </c>
      <c r="Y24" s="21"/>
      <c r="Z24" s="21"/>
      <c r="AA24" s="1">
        <v>1</v>
      </c>
      <c r="AC24" s="1">
        <v>1</v>
      </c>
      <c r="AE24" s="21"/>
      <c r="AF24" s="1">
        <v>1</v>
      </c>
      <c r="AG24" s="21"/>
      <c r="AH24" s="21"/>
      <c r="AI24" s="21">
        <v>4</v>
      </c>
      <c r="AK24" s="1">
        <v>20</v>
      </c>
      <c r="AL24" s="1">
        <v>50</v>
      </c>
      <c r="AM24" s="1">
        <v>20</v>
      </c>
      <c r="AN24" s="1">
        <v>50</v>
      </c>
      <c r="AO24" s="8">
        <f>0.5*Umrechnungsfaktoren!$B$15/Umrechnungsfaktoren!$B$13</f>
        <v>0.5164179104477612</v>
      </c>
      <c r="AP24" s="8">
        <v>0</v>
      </c>
      <c r="AQ24" s="8">
        <f>317*Umrechnungsfaktoren!$B$15/Umrechnungsfaktoren!$B$13</f>
        <v>327.40895522388058</v>
      </c>
      <c r="AR24" s="25">
        <f>0.05*Umrechnungsfaktoren!$B$15/Umrechnungsfaktoren!$B$13</f>
        <v>5.1641791044776127E-2</v>
      </c>
      <c r="AS24" s="25"/>
      <c r="AT24" s="21"/>
      <c r="AU24" s="21"/>
      <c r="AV24" s="1">
        <v>213</v>
      </c>
      <c r="AW24" s="1">
        <v>214</v>
      </c>
      <c r="AX24" s="21"/>
      <c r="AY24" s="13" t="s">
        <v>544</v>
      </c>
      <c r="AZ24" s="13" t="s">
        <v>543</v>
      </c>
      <c r="BA24" s="13">
        <v>213</v>
      </c>
      <c r="BB24" s="26"/>
      <c r="BC24" s="13">
        <v>213</v>
      </c>
      <c r="BD24" s="26"/>
      <c r="BE24" s="26"/>
      <c r="BF24" s="26">
        <v>242</v>
      </c>
      <c r="BG24" s="1">
        <v>213</v>
      </c>
      <c r="BH24" s="1">
        <v>213</v>
      </c>
      <c r="BI24" s="21">
        <v>212</v>
      </c>
      <c r="BJ24" s="1">
        <v>213</v>
      </c>
      <c r="BK24" s="1" t="s">
        <v>553</v>
      </c>
      <c r="BL24" s="1" t="s">
        <v>554</v>
      </c>
      <c r="BM24" s="1" t="s">
        <v>553</v>
      </c>
      <c r="BN24" s="21"/>
    </row>
    <row r="25" spans="1:66" x14ac:dyDescent="0.25">
      <c r="A25" s="1" t="s">
        <v>938</v>
      </c>
      <c r="B25" s="1" t="s">
        <v>126</v>
      </c>
      <c r="C25" s="1">
        <v>2030</v>
      </c>
      <c r="D25" s="1">
        <v>1</v>
      </c>
      <c r="E25" s="1">
        <v>1</v>
      </c>
      <c r="F25" s="1">
        <v>0</v>
      </c>
      <c r="J25" s="22"/>
      <c r="K25" s="22"/>
      <c r="L25" s="22">
        <f>154/174*169</f>
        <v>149.57471264367817</v>
      </c>
      <c r="M25" s="22">
        <f>1023/1045*M22</f>
        <v>901.61052631578957</v>
      </c>
      <c r="N25" s="22"/>
      <c r="O25" s="22"/>
      <c r="P25" s="22"/>
      <c r="Q25" s="22">
        <v>169</v>
      </c>
      <c r="R25" s="22"/>
      <c r="S25" s="24">
        <v>0.4</v>
      </c>
      <c r="T25" s="24"/>
      <c r="U25" s="47">
        <v>5500</v>
      </c>
      <c r="V25" s="23"/>
      <c r="W25" s="24"/>
      <c r="X25" s="1">
        <f t="shared" si="1"/>
        <v>8.3333333333333329E-2</v>
      </c>
      <c r="Y25" s="21"/>
      <c r="Z25" s="21"/>
      <c r="AA25" s="1">
        <v>1</v>
      </c>
      <c r="AC25" s="1">
        <v>1</v>
      </c>
      <c r="AE25" s="21"/>
      <c r="AF25" s="1">
        <v>1</v>
      </c>
      <c r="AG25" s="21"/>
      <c r="AH25" s="21"/>
      <c r="AI25" s="21">
        <v>4</v>
      </c>
      <c r="AK25" s="1">
        <v>20</v>
      </c>
      <c r="AL25" s="1">
        <v>50</v>
      </c>
      <c r="AM25" s="1">
        <v>20</v>
      </c>
      <c r="AN25" s="1">
        <v>50</v>
      </c>
      <c r="AO25" s="8">
        <f>0.5*Umrechnungsfaktoren!$B$15/Umrechnungsfaktoren!$B$13</f>
        <v>0.5164179104477612</v>
      </c>
      <c r="AP25" s="8">
        <v>0</v>
      </c>
      <c r="AQ25" s="8">
        <f>317*Umrechnungsfaktoren!$B$15/Umrechnungsfaktoren!$B$13</f>
        <v>327.40895522388058</v>
      </c>
      <c r="AR25" s="25">
        <f>0.05*Umrechnungsfaktoren!$B$15/Umrechnungsfaktoren!$B$13</f>
        <v>5.1641791044776127E-2</v>
      </c>
      <c r="AS25" s="25"/>
      <c r="AT25" s="21"/>
      <c r="AU25" s="21"/>
      <c r="AV25" s="1">
        <v>213</v>
      </c>
      <c r="AW25" s="1">
        <v>214</v>
      </c>
      <c r="AX25" s="21"/>
      <c r="AY25" s="13" t="s">
        <v>544</v>
      </c>
      <c r="AZ25" s="13" t="s">
        <v>543</v>
      </c>
      <c r="BA25" s="13">
        <v>213</v>
      </c>
      <c r="BB25" s="26"/>
      <c r="BC25" s="13">
        <v>213</v>
      </c>
      <c r="BD25" s="26"/>
      <c r="BE25" s="26"/>
      <c r="BF25" s="26">
        <v>242</v>
      </c>
      <c r="BG25" s="1">
        <v>213</v>
      </c>
      <c r="BH25" s="1">
        <v>213</v>
      </c>
      <c r="BI25" s="21">
        <v>212</v>
      </c>
      <c r="BJ25" s="1">
        <v>213</v>
      </c>
      <c r="BK25" s="1" t="s">
        <v>553</v>
      </c>
      <c r="BL25" s="1" t="s">
        <v>554</v>
      </c>
      <c r="BM25" s="1" t="s">
        <v>553</v>
      </c>
      <c r="BN25" s="21"/>
    </row>
    <row r="26" spans="1:66" x14ac:dyDescent="0.25">
      <c r="A26" s="1" t="s">
        <v>206</v>
      </c>
      <c r="B26" s="1" t="s">
        <v>126</v>
      </c>
      <c r="C26" s="1">
        <v>2015</v>
      </c>
      <c r="D26" s="1">
        <v>1</v>
      </c>
      <c r="E26" s="1">
        <v>0</v>
      </c>
      <c r="F26" s="1">
        <v>0</v>
      </c>
      <c r="J26" s="19"/>
      <c r="K26" s="19"/>
      <c r="L26" s="19">
        <v>1000</v>
      </c>
      <c r="M26" s="19"/>
      <c r="N26" s="19"/>
      <c r="O26" s="19"/>
      <c r="P26" s="19"/>
      <c r="Q26" s="19">
        <v>1250</v>
      </c>
      <c r="R26" s="19"/>
      <c r="S26" s="9"/>
      <c r="T26" s="9"/>
      <c r="U26" s="46"/>
      <c r="V26" s="20"/>
      <c r="W26" s="9"/>
      <c r="AO26" s="22">
        <f>6.2*Umrechnungsfaktoren!$B$15/Umrechnungsfaktoren!$B$13</f>
        <v>6.4035820895522386</v>
      </c>
      <c r="AP26" s="8"/>
      <c r="AQ26" s="8"/>
      <c r="AR26" s="8"/>
      <c r="AS26" s="8"/>
      <c r="AT26" s="22">
        <f>3000*Umrechnungsfaktoren!$B$15/Umrechnungsfaktoren!$B$13</f>
        <v>3098.5074626865671</v>
      </c>
      <c r="AY26" s="13"/>
      <c r="BA26" s="13"/>
      <c r="BB26" s="13"/>
      <c r="BC26" s="13"/>
      <c r="BD26" s="13"/>
      <c r="BE26" s="13"/>
      <c r="BF26" s="13"/>
      <c r="BK26" s="1" t="s">
        <v>552</v>
      </c>
      <c r="BN26" s="1">
        <v>244</v>
      </c>
    </row>
    <row r="27" spans="1:66" x14ac:dyDescent="0.25">
      <c r="A27" s="1" t="s">
        <v>206</v>
      </c>
      <c r="B27" s="1" t="s">
        <v>126</v>
      </c>
      <c r="C27" s="1">
        <v>2020</v>
      </c>
      <c r="D27" s="1">
        <v>1</v>
      </c>
      <c r="E27" s="1">
        <v>0</v>
      </c>
      <c r="F27" s="1">
        <v>0</v>
      </c>
      <c r="J27" s="19"/>
      <c r="K27" s="19"/>
      <c r="L27" s="19"/>
      <c r="M27" s="19"/>
      <c r="N27" s="19"/>
      <c r="O27" s="19"/>
      <c r="P27" s="19"/>
      <c r="Q27" s="19"/>
      <c r="R27" s="19"/>
      <c r="S27" s="9"/>
      <c r="T27" s="9">
        <f>600/8760</f>
        <v>6.8493150684931503E-2</v>
      </c>
      <c r="U27" s="46"/>
      <c r="V27" s="20"/>
      <c r="W27" s="9"/>
      <c r="AO27" s="22">
        <v>5.6</v>
      </c>
      <c r="AP27" s="8"/>
      <c r="AQ27" s="8"/>
      <c r="AR27" s="8"/>
      <c r="AS27" s="8"/>
      <c r="AT27" s="22">
        <f>2550*Umrechnungsfaktoren!$B$15/Umrechnungsfaktoren!$B$13</f>
        <v>2633.7313432835822</v>
      </c>
      <c r="AY27" s="13"/>
      <c r="BA27" s="13"/>
      <c r="BB27" s="13"/>
      <c r="BC27" s="13"/>
      <c r="BD27" s="13"/>
      <c r="BE27" s="13"/>
      <c r="BF27" s="13"/>
      <c r="BK27" s="1" t="s">
        <v>552</v>
      </c>
      <c r="BN27" s="1">
        <v>244</v>
      </c>
    </row>
    <row r="28" spans="1:66" x14ac:dyDescent="0.25">
      <c r="A28" s="1" t="s">
        <v>206</v>
      </c>
      <c r="B28" s="1" t="s">
        <v>126</v>
      </c>
      <c r="C28" s="1">
        <v>2025</v>
      </c>
      <c r="D28" s="1">
        <v>1</v>
      </c>
      <c r="E28" s="1">
        <v>0</v>
      </c>
      <c r="F28" s="1">
        <v>0</v>
      </c>
      <c r="J28" s="19"/>
      <c r="K28" s="19"/>
      <c r="L28" s="19"/>
      <c r="M28" s="19"/>
      <c r="N28" s="19"/>
      <c r="O28" s="19"/>
      <c r="P28" s="19"/>
      <c r="Q28" s="19"/>
      <c r="R28" s="19"/>
      <c r="S28" s="9"/>
      <c r="T28" s="9">
        <f>600/8760</f>
        <v>6.8493150684931503E-2</v>
      </c>
      <c r="U28" s="46"/>
      <c r="V28" s="20"/>
      <c r="W28" s="9"/>
      <c r="AO28" s="22">
        <v>5.3</v>
      </c>
      <c r="AP28" s="8"/>
      <c r="AQ28" s="8"/>
      <c r="AR28" s="8"/>
      <c r="AS28" s="8"/>
      <c r="AT28" s="22">
        <f>2100*Umrechnungsfaktoren!$B$15/Umrechnungsfaktoren!$B$13</f>
        <v>2168.9552238805968</v>
      </c>
      <c r="AY28" s="13"/>
      <c r="BA28" s="13"/>
      <c r="BB28" s="13"/>
      <c r="BC28" s="13"/>
      <c r="BD28" s="13"/>
      <c r="BE28" s="13"/>
      <c r="BF28" s="13"/>
      <c r="BK28" s="1" t="s">
        <v>552</v>
      </c>
      <c r="BN28" s="1">
        <v>244</v>
      </c>
    </row>
    <row r="29" spans="1:66" x14ac:dyDescent="0.25">
      <c r="A29" s="1" t="s">
        <v>206</v>
      </c>
      <c r="B29" s="1" t="s">
        <v>126</v>
      </c>
      <c r="C29" s="1">
        <v>2030</v>
      </c>
      <c r="D29" s="1">
        <v>1</v>
      </c>
      <c r="E29" s="1">
        <v>0</v>
      </c>
      <c r="F29" s="1">
        <v>0</v>
      </c>
      <c r="J29" s="19"/>
      <c r="K29" s="19"/>
      <c r="L29" s="19"/>
      <c r="M29" s="19"/>
      <c r="N29" s="19"/>
      <c r="O29" s="19"/>
      <c r="P29" s="19"/>
      <c r="Q29" s="19"/>
      <c r="R29" s="19"/>
      <c r="S29" s="9"/>
      <c r="T29" s="9">
        <f>600/8760</f>
        <v>6.8493150684931503E-2</v>
      </c>
      <c r="U29" s="46"/>
      <c r="V29" s="20"/>
      <c r="W29" s="9"/>
      <c r="AO29" s="22">
        <v>4.9000000000000004</v>
      </c>
      <c r="AP29" s="8"/>
      <c r="AQ29" s="8"/>
      <c r="AR29" s="8"/>
      <c r="AS29" s="8"/>
      <c r="AT29" s="22">
        <f>1650*Umrechnungsfaktoren!$B$15/Umrechnungsfaktoren!$B$13</f>
        <v>1704.1791044776119</v>
      </c>
      <c r="AY29" s="13"/>
      <c r="BA29" s="13"/>
      <c r="BB29" s="13"/>
      <c r="BC29" s="13"/>
      <c r="BD29" s="13"/>
      <c r="BE29" s="13"/>
      <c r="BF29" s="13"/>
      <c r="BK29" s="1" t="s">
        <v>552</v>
      </c>
      <c r="BN29" s="1">
        <v>244</v>
      </c>
    </row>
    <row r="30" spans="1:66" x14ac:dyDescent="0.25">
      <c r="A30" s="1" t="s">
        <v>208</v>
      </c>
      <c r="B30" s="1" t="s">
        <v>126</v>
      </c>
      <c r="C30" s="1">
        <v>2015</v>
      </c>
      <c r="D30" s="1">
        <v>0</v>
      </c>
      <c r="E30" s="1">
        <v>1</v>
      </c>
      <c r="F30" s="1">
        <v>0</v>
      </c>
      <c r="J30" s="19"/>
      <c r="K30" s="19"/>
      <c r="L30" s="19"/>
      <c r="M30" s="19">
        <v>1000</v>
      </c>
      <c r="N30" s="19"/>
      <c r="O30" s="19"/>
      <c r="P30" s="19"/>
      <c r="Q30" s="19"/>
      <c r="R30" s="19"/>
      <c r="S30" s="9"/>
      <c r="T30" s="9"/>
      <c r="U30" s="46"/>
      <c r="V30" s="20"/>
      <c r="W30" s="9"/>
      <c r="Y30" s="65"/>
      <c r="Z30" s="65"/>
      <c r="AB30" s="1">
        <v>0.25</v>
      </c>
      <c r="AC30" s="1">
        <v>2</v>
      </c>
      <c r="AO30" s="22">
        <f>6.2*Umrechnungsfaktoren!$B$15/Umrechnungsfaktoren!$B$13</f>
        <v>6.4035820895522386</v>
      </c>
      <c r="AP30" s="8"/>
      <c r="AQ30" s="8"/>
      <c r="AR30" s="8"/>
      <c r="AS30" s="8"/>
      <c r="AT30" s="22">
        <f>3000*Umrechnungsfaktoren!$B$15/Umrechnungsfaktoren!$B$13</f>
        <v>3098.5074626865671</v>
      </c>
      <c r="AY30" s="13"/>
      <c r="BA30" s="13"/>
      <c r="BB30" s="13"/>
      <c r="BC30" s="13"/>
      <c r="BD30" s="13"/>
      <c r="BE30" s="13"/>
      <c r="BF30" s="13"/>
      <c r="BG30" s="1">
        <v>211</v>
      </c>
      <c r="BK30" s="1" t="s">
        <v>552</v>
      </c>
      <c r="BN30" s="1">
        <v>244</v>
      </c>
    </row>
    <row r="31" spans="1:66" x14ac:dyDescent="0.25">
      <c r="A31" s="1" t="s">
        <v>208</v>
      </c>
      <c r="B31" s="1" t="s">
        <v>126</v>
      </c>
      <c r="C31" s="1">
        <v>2020</v>
      </c>
      <c r="D31" s="1">
        <v>0</v>
      </c>
      <c r="E31" s="1">
        <v>1</v>
      </c>
      <c r="F31" s="1">
        <v>0</v>
      </c>
      <c r="J31" s="19"/>
      <c r="K31" s="19"/>
      <c r="L31" s="19"/>
      <c r="M31" s="19"/>
      <c r="N31" s="19"/>
      <c r="O31" s="19"/>
      <c r="P31" s="19"/>
      <c r="Q31" s="19"/>
      <c r="R31" s="19"/>
      <c r="S31" s="9"/>
      <c r="T31" s="9">
        <f>600/8760</f>
        <v>6.8493150684931503E-2</v>
      </c>
      <c r="U31" s="46"/>
      <c r="V31" s="20"/>
      <c r="W31" s="9"/>
      <c r="AO31" s="22">
        <v>5.6</v>
      </c>
      <c r="AP31" s="8"/>
      <c r="AQ31" s="8"/>
      <c r="AR31" s="8"/>
      <c r="AS31" s="8"/>
      <c r="AT31" s="22">
        <f>2550*Umrechnungsfaktoren!$B$15/Umrechnungsfaktoren!$B$13</f>
        <v>2633.7313432835822</v>
      </c>
      <c r="AY31" s="13"/>
      <c r="BA31" s="13"/>
      <c r="BB31" s="13"/>
      <c r="BC31" s="13"/>
      <c r="BD31" s="13"/>
      <c r="BE31" s="13"/>
      <c r="BF31" s="13"/>
      <c r="BK31" s="1" t="s">
        <v>552</v>
      </c>
      <c r="BN31" s="1">
        <v>244</v>
      </c>
    </row>
    <row r="32" spans="1:66" x14ac:dyDescent="0.25">
      <c r="A32" s="1" t="s">
        <v>208</v>
      </c>
      <c r="B32" s="1" t="s">
        <v>126</v>
      </c>
      <c r="C32" s="1">
        <v>2025</v>
      </c>
      <c r="D32" s="1">
        <v>0</v>
      </c>
      <c r="E32" s="1">
        <v>1</v>
      </c>
      <c r="F32" s="1">
        <v>0</v>
      </c>
      <c r="J32" s="19"/>
      <c r="K32" s="19"/>
      <c r="L32" s="19"/>
      <c r="M32" s="19"/>
      <c r="N32" s="19"/>
      <c r="O32" s="19"/>
      <c r="P32" s="19"/>
      <c r="Q32" s="19"/>
      <c r="R32" s="19"/>
      <c r="S32" s="9"/>
      <c r="T32" s="9">
        <f>600/8760</f>
        <v>6.8493150684931503E-2</v>
      </c>
      <c r="U32" s="46"/>
      <c r="V32" s="20"/>
      <c r="W32" s="9"/>
      <c r="AO32" s="22">
        <v>5.3</v>
      </c>
      <c r="AP32" s="8"/>
      <c r="AQ32" s="8"/>
      <c r="AR32" s="8"/>
      <c r="AS32" s="8"/>
      <c r="AT32" s="22">
        <f>2100*Umrechnungsfaktoren!$B$15/Umrechnungsfaktoren!$B$13</f>
        <v>2168.9552238805968</v>
      </c>
      <c r="AY32" s="13"/>
      <c r="BA32" s="13"/>
      <c r="BB32" s="13"/>
      <c r="BC32" s="13"/>
      <c r="BD32" s="13"/>
      <c r="BE32" s="13"/>
      <c r="BF32" s="13"/>
      <c r="BK32" s="1" t="s">
        <v>552</v>
      </c>
      <c r="BN32" s="1">
        <v>244</v>
      </c>
    </row>
    <row r="33" spans="1:66" x14ac:dyDescent="0.25">
      <c r="A33" s="1" t="s">
        <v>208</v>
      </c>
      <c r="B33" s="1" t="s">
        <v>126</v>
      </c>
      <c r="C33" s="1">
        <v>2030</v>
      </c>
      <c r="D33" s="1">
        <v>0</v>
      </c>
      <c r="E33" s="1">
        <v>1</v>
      </c>
      <c r="F33" s="1">
        <v>0</v>
      </c>
      <c r="J33" s="19"/>
      <c r="K33" s="19"/>
      <c r="L33" s="19"/>
      <c r="M33" s="19"/>
      <c r="N33" s="19"/>
      <c r="O33" s="19"/>
      <c r="P33" s="19"/>
      <c r="Q33" s="19"/>
      <c r="R33" s="19"/>
      <c r="S33" s="9"/>
      <c r="T33" s="9">
        <f>600/8760</f>
        <v>6.8493150684931503E-2</v>
      </c>
      <c r="U33" s="46"/>
      <c r="V33" s="20"/>
      <c r="W33" s="9"/>
      <c r="AO33" s="22">
        <v>4.9000000000000004</v>
      </c>
      <c r="AP33" s="8"/>
      <c r="AQ33" s="8"/>
      <c r="AR33" s="8"/>
      <c r="AS33" s="8"/>
      <c r="AT33" s="22">
        <f>1650*Umrechnungsfaktoren!$B$15/Umrechnungsfaktoren!$B$13</f>
        <v>1704.1791044776119</v>
      </c>
      <c r="AY33" s="13"/>
      <c r="BA33" s="13"/>
      <c r="BB33" s="13"/>
      <c r="BC33" s="13"/>
      <c r="BD33" s="13"/>
      <c r="BE33" s="13"/>
      <c r="BF33" s="13"/>
      <c r="BK33" s="1" t="s">
        <v>552</v>
      </c>
      <c r="BN33" s="1">
        <v>244</v>
      </c>
    </row>
    <row r="34" spans="1:66" x14ac:dyDescent="0.25">
      <c r="A34" s="1" t="s">
        <v>219</v>
      </c>
      <c r="B34" s="1" t="s">
        <v>126</v>
      </c>
      <c r="C34" s="1">
        <v>2015</v>
      </c>
      <c r="D34" s="1">
        <v>1</v>
      </c>
      <c r="E34" s="1">
        <v>0</v>
      </c>
      <c r="F34" s="1">
        <v>0</v>
      </c>
      <c r="J34" s="19"/>
      <c r="K34" s="19"/>
      <c r="L34" s="19">
        <v>2000</v>
      </c>
      <c r="M34" s="19"/>
      <c r="N34" s="19"/>
      <c r="O34" s="19"/>
      <c r="P34" s="19"/>
      <c r="Q34" s="19">
        <v>2000</v>
      </c>
      <c r="R34" s="19"/>
      <c r="S34" s="9"/>
      <c r="T34" s="9"/>
      <c r="U34" s="46"/>
      <c r="V34" s="20"/>
      <c r="W34" s="9"/>
      <c r="AO34" s="22">
        <f>6.2*Umrechnungsfaktoren!$B$15/Umrechnungsfaktoren!$B$13</f>
        <v>6.4035820895522386</v>
      </c>
      <c r="AP34" s="8"/>
      <c r="AQ34" s="8"/>
      <c r="AR34" s="8"/>
      <c r="AS34" s="8"/>
      <c r="AT34" s="22">
        <f>3000*Umrechnungsfaktoren!$B$15/Umrechnungsfaktoren!$B$13</f>
        <v>3098.5074626865671</v>
      </c>
      <c r="AY34" s="13"/>
      <c r="BA34" s="13"/>
      <c r="BB34" s="13"/>
      <c r="BC34" s="13"/>
      <c r="BD34" s="13"/>
      <c r="BE34" s="13"/>
      <c r="BF34" s="13"/>
      <c r="BK34" s="1" t="s">
        <v>552</v>
      </c>
      <c r="BN34" s="1">
        <v>244</v>
      </c>
    </row>
    <row r="35" spans="1:66" x14ac:dyDescent="0.25">
      <c r="A35" s="1" t="s">
        <v>219</v>
      </c>
      <c r="B35" s="1" t="s">
        <v>126</v>
      </c>
      <c r="C35" s="1">
        <v>2020</v>
      </c>
      <c r="D35" s="1">
        <v>1</v>
      </c>
      <c r="E35" s="1">
        <v>0</v>
      </c>
      <c r="F35" s="1">
        <v>0</v>
      </c>
      <c r="J35" s="19"/>
      <c r="K35" s="19"/>
      <c r="L35" s="19"/>
      <c r="M35" s="19"/>
      <c r="N35" s="19"/>
      <c r="O35" s="19"/>
      <c r="P35" s="19"/>
      <c r="Q35" s="19"/>
      <c r="R35" s="19"/>
      <c r="S35" s="9"/>
      <c r="T35" s="9">
        <f t="shared" ref="T35:T41" si="2">600/8760</f>
        <v>6.8493150684931503E-2</v>
      </c>
      <c r="U35" s="46"/>
      <c r="V35" s="20"/>
      <c r="W35" s="9"/>
      <c r="X35" s="1">
        <f>5/60</f>
        <v>8.3333333333333329E-2</v>
      </c>
      <c r="AO35" s="22">
        <v>5.6</v>
      </c>
      <c r="AP35" s="8"/>
      <c r="AQ35" s="8"/>
      <c r="AR35" s="8"/>
      <c r="AS35" s="8"/>
      <c r="AT35" s="22">
        <f>2550*Umrechnungsfaktoren!$B$15/Umrechnungsfaktoren!$B$13</f>
        <v>2633.7313432835822</v>
      </c>
      <c r="AY35" s="13"/>
      <c r="BA35" s="13"/>
      <c r="BB35" s="13"/>
      <c r="BC35" s="13"/>
      <c r="BD35" s="13"/>
      <c r="BE35" s="13"/>
      <c r="BF35" s="13"/>
      <c r="BK35" s="1" t="s">
        <v>552</v>
      </c>
      <c r="BN35" s="1">
        <v>244</v>
      </c>
    </row>
    <row r="36" spans="1:66" x14ac:dyDescent="0.25">
      <c r="A36" s="1" t="s">
        <v>219</v>
      </c>
      <c r="B36" s="1" t="s">
        <v>126</v>
      </c>
      <c r="C36" s="1">
        <v>2025</v>
      </c>
      <c r="D36" s="1">
        <v>1</v>
      </c>
      <c r="E36" s="1">
        <v>0</v>
      </c>
      <c r="F36" s="1">
        <v>0</v>
      </c>
      <c r="J36" s="19"/>
      <c r="K36" s="19"/>
      <c r="L36" s="19"/>
      <c r="M36" s="19"/>
      <c r="N36" s="19"/>
      <c r="O36" s="19"/>
      <c r="P36" s="19"/>
      <c r="Q36" s="19"/>
      <c r="R36" s="19"/>
      <c r="S36" s="9"/>
      <c r="T36" s="9">
        <f t="shared" si="2"/>
        <v>6.8493150684931503E-2</v>
      </c>
      <c r="U36" s="46"/>
      <c r="V36" s="20"/>
      <c r="W36" s="9"/>
      <c r="X36" s="1">
        <f>5/60</f>
        <v>8.3333333333333329E-2</v>
      </c>
      <c r="AO36" s="22">
        <v>5.3</v>
      </c>
      <c r="AP36" s="8"/>
      <c r="AQ36" s="8"/>
      <c r="AR36" s="8"/>
      <c r="AS36" s="8"/>
      <c r="AT36" s="22">
        <f>2100*Umrechnungsfaktoren!$B$15/Umrechnungsfaktoren!$B$13</f>
        <v>2168.9552238805968</v>
      </c>
      <c r="AY36" s="13"/>
      <c r="BA36" s="13"/>
      <c r="BB36" s="13"/>
      <c r="BC36" s="13"/>
      <c r="BD36" s="13"/>
      <c r="BE36" s="13"/>
      <c r="BF36" s="13"/>
      <c r="BK36" s="1" t="s">
        <v>552</v>
      </c>
      <c r="BN36" s="1">
        <v>244</v>
      </c>
    </row>
    <row r="37" spans="1:66" x14ac:dyDescent="0.25">
      <c r="A37" s="1" t="s">
        <v>219</v>
      </c>
      <c r="B37" s="1" t="s">
        <v>126</v>
      </c>
      <c r="C37" s="1">
        <v>2030</v>
      </c>
      <c r="D37" s="1">
        <v>1</v>
      </c>
      <c r="E37" s="1">
        <v>0</v>
      </c>
      <c r="F37" s="1">
        <v>0</v>
      </c>
      <c r="J37" s="19"/>
      <c r="K37" s="19"/>
      <c r="L37" s="19"/>
      <c r="M37" s="19"/>
      <c r="N37" s="19"/>
      <c r="O37" s="19"/>
      <c r="P37" s="19"/>
      <c r="Q37" s="19"/>
      <c r="R37" s="19"/>
      <c r="S37" s="9"/>
      <c r="T37" s="9">
        <f t="shared" si="2"/>
        <v>6.8493150684931503E-2</v>
      </c>
      <c r="U37" s="46"/>
      <c r="V37" s="20"/>
      <c r="W37" s="9"/>
      <c r="X37" s="1">
        <f>5/60</f>
        <v>8.3333333333333329E-2</v>
      </c>
      <c r="AO37" s="22">
        <v>4.9000000000000004</v>
      </c>
      <c r="AP37" s="8"/>
      <c r="AQ37" s="8"/>
      <c r="AR37" s="8"/>
      <c r="AS37" s="8"/>
      <c r="AT37" s="22">
        <f>1650*Umrechnungsfaktoren!$B$15/Umrechnungsfaktoren!$B$13</f>
        <v>1704.1791044776119</v>
      </c>
      <c r="AY37" s="13"/>
      <c r="BA37" s="13"/>
      <c r="BB37" s="13"/>
      <c r="BC37" s="13"/>
      <c r="BD37" s="13"/>
      <c r="BE37" s="13"/>
      <c r="BF37" s="13"/>
      <c r="BK37" s="1" t="s">
        <v>552</v>
      </c>
      <c r="BN37" s="1">
        <v>244</v>
      </c>
    </row>
    <row r="38" spans="1:66" x14ac:dyDescent="0.25">
      <c r="A38" s="1" t="s">
        <v>138</v>
      </c>
      <c r="B38" s="1" t="s">
        <v>139</v>
      </c>
      <c r="C38" s="1">
        <v>2010</v>
      </c>
      <c r="D38" s="1">
        <v>1</v>
      </c>
      <c r="E38" s="1">
        <v>0</v>
      </c>
      <c r="F38" s="1">
        <v>0</v>
      </c>
      <c r="G38" s="1">
        <v>13</v>
      </c>
      <c r="H38" s="1">
        <v>13</v>
      </c>
      <c r="I38" s="1">
        <v>13</v>
      </c>
      <c r="J38" s="19">
        <v>29</v>
      </c>
      <c r="K38" s="19">
        <v>0</v>
      </c>
      <c r="L38" s="19">
        <v>9400</v>
      </c>
      <c r="M38" s="19"/>
      <c r="N38" s="19">
        <v>180</v>
      </c>
      <c r="O38" s="19">
        <v>0</v>
      </c>
      <c r="P38" s="19">
        <v>31</v>
      </c>
      <c r="Q38" s="19">
        <v>9400</v>
      </c>
      <c r="R38" s="19">
        <v>350</v>
      </c>
      <c r="S38" s="9"/>
      <c r="T38" s="9">
        <f t="shared" si="2"/>
        <v>6.8493150684931503E-2</v>
      </c>
      <c r="U38" s="46">
        <v>3000</v>
      </c>
      <c r="V38" s="20"/>
      <c r="W38" s="9">
        <v>1</v>
      </c>
      <c r="X38" s="1">
        <f t="shared" ref="X38:X45" si="3">5/60</f>
        <v>8.3333333333333329E-2</v>
      </c>
      <c r="Y38" s="1">
        <v>0.5</v>
      </c>
      <c r="Z38" s="1">
        <v>3</v>
      </c>
      <c r="AD38" s="1">
        <v>0.5</v>
      </c>
      <c r="AE38" s="1">
        <v>3</v>
      </c>
      <c r="AG38" s="1">
        <v>3</v>
      </c>
      <c r="AH38" s="1">
        <v>8</v>
      </c>
      <c r="AI38" s="1">
        <v>8</v>
      </c>
      <c r="AJ38" s="1" t="s">
        <v>515</v>
      </c>
      <c r="AO38" s="19"/>
      <c r="AP38" s="8"/>
      <c r="AQ38" s="8"/>
      <c r="AR38" s="8"/>
      <c r="AS38" s="8"/>
      <c r="AX38" s="1">
        <v>101</v>
      </c>
      <c r="AY38" s="13" t="s">
        <v>521</v>
      </c>
      <c r="AZ38" s="1" t="s">
        <v>520</v>
      </c>
      <c r="BA38" s="13"/>
      <c r="BB38" s="13">
        <v>111</v>
      </c>
      <c r="BC38" s="13">
        <v>111</v>
      </c>
      <c r="BD38" s="13">
        <v>111</v>
      </c>
      <c r="BE38" s="13">
        <v>111</v>
      </c>
      <c r="BF38" s="13">
        <v>111</v>
      </c>
      <c r="BG38" s="1" t="s">
        <v>516</v>
      </c>
      <c r="BH38" s="1" t="s">
        <v>519</v>
      </c>
      <c r="BI38" s="1" t="s">
        <v>523</v>
      </c>
      <c r="BM38" s="1" t="s">
        <v>518</v>
      </c>
      <c r="BN38" s="1" t="s">
        <v>518</v>
      </c>
    </row>
    <row r="39" spans="1:66" x14ac:dyDescent="0.25">
      <c r="A39" s="1" t="s">
        <v>138</v>
      </c>
      <c r="B39" s="1" t="s">
        <v>139</v>
      </c>
      <c r="C39" s="1">
        <v>2020</v>
      </c>
      <c r="D39" s="1">
        <v>1</v>
      </c>
      <c r="E39" s="1">
        <v>0</v>
      </c>
      <c r="F39" s="1">
        <v>0</v>
      </c>
      <c r="G39" s="1">
        <v>6</v>
      </c>
      <c r="H39" s="1">
        <v>11</v>
      </c>
      <c r="I39" s="1">
        <v>8</v>
      </c>
      <c r="J39" s="19">
        <f>Tabelle58971119[[#This Row],[Stromverbrauch in TWh]]/$I$38*$J$38</f>
        <v>17.846153846153847</v>
      </c>
      <c r="K39" s="19">
        <v>0</v>
      </c>
      <c r="L39" s="19">
        <v>7300</v>
      </c>
      <c r="M39" s="19"/>
      <c r="N39" s="19">
        <f>Tabelle58971119[[#This Row],[Stromverbrauch in TWh]]/$I$38*$N$38</f>
        <v>110.76923076923077</v>
      </c>
      <c r="O39" s="19">
        <v>0</v>
      </c>
      <c r="P39" s="19">
        <f>Tabelle58971119[[#This Row],[Stromverbrauch in TWh]]/$I$38*$P$38</f>
        <v>19.076923076923077</v>
      </c>
      <c r="Q39" s="19">
        <v>7300</v>
      </c>
      <c r="R39" s="19">
        <f>Tabelle58971119[[#This Row],[Stromverbrauch in TWh]]/$I$38*$R$38</f>
        <v>215.38461538461539</v>
      </c>
      <c r="S39" s="9"/>
      <c r="T39" s="9">
        <f t="shared" si="2"/>
        <v>6.8493150684931503E-2</v>
      </c>
      <c r="U39" s="46">
        <v>3000</v>
      </c>
      <c r="V39" s="20"/>
      <c r="W39" s="9">
        <v>1</v>
      </c>
      <c r="X39" s="1">
        <f t="shared" si="3"/>
        <v>8.3333333333333329E-2</v>
      </c>
      <c r="Y39" s="1">
        <v>0.5</v>
      </c>
      <c r="Z39" s="1">
        <v>3</v>
      </c>
      <c r="AD39" s="1">
        <v>0.5</v>
      </c>
      <c r="AE39" s="1">
        <v>3</v>
      </c>
      <c r="AG39" s="1">
        <v>3</v>
      </c>
      <c r="AH39" s="1">
        <v>8</v>
      </c>
      <c r="AJ39" s="1" t="s">
        <v>515</v>
      </c>
      <c r="AO39" s="19"/>
      <c r="AP39" s="8"/>
      <c r="AQ39" s="8"/>
      <c r="AR39" s="8"/>
      <c r="AS39" s="8">
        <f>59*Umrechnungsfaktoren!$B$15/Umrechnungsfaktoren!$B$13</f>
        <v>60.937313432835815</v>
      </c>
      <c r="AT39" s="1">
        <f>310*Umrechnungsfaktoren!$B$15/Umrechnungsfaktoren!$B$13</f>
        <v>320.17910447761193</v>
      </c>
      <c r="AX39" s="1">
        <v>101</v>
      </c>
      <c r="AY39" s="13">
        <v>112</v>
      </c>
      <c r="AZ39" s="13">
        <v>112</v>
      </c>
      <c r="BA39" s="13"/>
      <c r="BB39" s="13">
        <v>111</v>
      </c>
      <c r="BC39" s="13">
        <v>111</v>
      </c>
      <c r="BD39" s="13">
        <v>111</v>
      </c>
      <c r="BE39" s="13">
        <v>111</v>
      </c>
      <c r="BF39" s="13">
        <v>111</v>
      </c>
      <c r="BG39" s="1" t="s">
        <v>516</v>
      </c>
      <c r="BH39" s="1" t="s">
        <v>519</v>
      </c>
      <c r="BI39" s="1" t="s">
        <v>523</v>
      </c>
      <c r="BM39" s="1">
        <v>111</v>
      </c>
      <c r="BN39" s="1">
        <v>111</v>
      </c>
    </row>
    <row r="40" spans="1:66" x14ac:dyDescent="0.25">
      <c r="A40" s="1" t="s">
        <v>138</v>
      </c>
      <c r="B40" s="1" t="s">
        <v>139</v>
      </c>
      <c r="C40" s="1">
        <v>2025</v>
      </c>
      <c r="D40" s="1">
        <v>1</v>
      </c>
      <c r="E40" s="1">
        <v>0</v>
      </c>
      <c r="F40" s="1">
        <v>0</v>
      </c>
      <c r="G40" s="1">
        <v>5</v>
      </c>
      <c r="H40" s="1">
        <v>10</v>
      </c>
      <c r="I40" s="1">
        <v>6</v>
      </c>
      <c r="J40" s="19">
        <f>Tabelle58971119[[#This Row],[Stromverbrauch in TWh]]/$I$38*$J$38</f>
        <v>13.384615384615385</v>
      </c>
      <c r="K40" s="19">
        <v>0</v>
      </c>
      <c r="L40" s="19">
        <v>5600</v>
      </c>
      <c r="M40" s="19"/>
      <c r="N40" s="19">
        <f>Tabelle58971119[[#This Row],[Stromverbrauch in TWh]]/$I$38*$N$38</f>
        <v>83.07692307692308</v>
      </c>
      <c r="O40" s="19">
        <v>0</v>
      </c>
      <c r="P40" s="19">
        <f>Tabelle58971119[[#This Row],[Stromverbrauch in TWh]]/$I$38*$P$38</f>
        <v>14.307692307692308</v>
      </c>
      <c r="Q40" s="19">
        <v>5600</v>
      </c>
      <c r="R40" s="19">
        <f>Tabelle58971119[[#This Row],[Stromverbrauch in TWh]]/$I$38*$R$38</f>
        <v>161.53846153846155</v>
      </c>
      <c r="S40" s="9"/>
      <c r="T40" s="9">
        <f t="shared" si="2"/>
        <v>6.8493150684931503E-2</v>
      </c>
      <c r="U40" s="46">
        <v>3000</v>
      </c>
      <c r="V40" s="20"/>
      <c r="W40" s="9">
        <v>1</v>
      </c>
      <c r="X40" s="1">
        <f t="shared" si="3"/>
        <v>8.3333333333333329E-2</v>
      </c>
      <c r="Y40" s="1">
        <v>0.5</v>
      </c>
      <c r="Z40" s="1">
        <v>3</v>
      </c>
      <c r="AD40" s="1">
        <v>0.5</v>
      </c>
      <c r="AE40" s="1">
        <v>3</v>
      </c>
      <c r="AG40" s="1">
        <v>3</v>
      </c>
      <c r="AH40" s="1">
        <v>8</v>
      </c>
      <c r="AJ40" s="1" t="s">
        <v>515</v>
      </c>
      <c r="AO40" s="19"/>
      <c r="AP40" s="8"/>
      <c r="AQ40" s="8"/>
      <c r="AR40" s="8"/>
      <c r="AS40" s="8">
        <f>50*Umrechnungsfaktoren!$B$15/Umrechnungsfaktoren!$B$13</f>
        <v>51.64179104477612</v>
      </c>
      <c r="AT40" s="1">
        <f>265*Umrechnungsfaktoren!$B$15/Umrechnungsfaktoren!$B$13</f>
        <v>273.70149253731341</v>
      </c>
      <c r="AX40" s="1">
        <v>101</v>
      </c>
      <c r="AY40" s="13">
        <v>112</v>
      </c>
      <c r="AZ40" s="13">
        <v>112</v>
      </c>
      <c r="BA40" s="13"/>
      <c r="BB40" s="13">
        <v>111</v>
      </c>
      <c r="BC40" s="13">
        <v>111</v>
      </c>
      <c r="BD40" s="13">
        <v>111</v>
      </c>
      <c r="BE40" s="13">
        <v>111</v>
      </c>
      <c r="BF40" s="13">
        <v>111</v>
      </c>
      <c r="BG40" s="1" t="s">
        <v>516</v>
      </c>
      <c r="BH40" s="1" t="s">
        <v>519</v>
      </c>
      <c r="BI40" s="1" t="s">
        <v>523</v>
      </c>
      <c r="BM40" s="1">
        <v>111</v>
      </c>
      <c r="BN40" s="1">
        <v>111</v>
      </c>
    </row>
    <row r="41" spans="1:66" x14ac:dyDescent="0.25">
      <c r="A41" s="1" t="s">
        <v>138</v>
      </c>
      <c r="B41" s="1" t="s">
        <v>139</v>
      </c>
      <c r="C41" s="1">
        <v>2030</v>
      </c>
      <c r="D41" s="1">
        <v>1</v>
      </c>
      <c r="E41" s="1">
        <v>0</v>
      </c>
      <c r="F41" s="1">
        <v>0</v>
      </c>
      <c r="G41" s="1">
        <v>3</v>
      </c>
      <c r="H41" s="1">
        <v>10</v>
      </c>
      <c r="I41" s="1">
        <v>5</v>
      </c>
      <c r="J41" s="19">
        <f>Tabelle58971119[[#This Row],[Stromverbrauch in TWh]]/$I$38*$J$38</f>
        <v>11.153846153846155</v>
      </c>
      <c r="K41" s="19">
        <v>0</v>
      </c>
      <c r="L41" s="19">
        <v>3900</v>
      </c>
      <c r="M41" s="19"/>
      <c r="N41" s="19">
        <f>Tabelle58971119[[#This Row],[Stromverbrauch in TWh]]/$I$38*$N$38</f>
        <v>69.230769230769241</v>
      </c>
      <c r="O41" s="19">
        <v>0</v>
      </c>
      <c r="P41" s="19">
        <f>Tabelle58971119[[#This Row],[Stromverbrauch in TWh]]/$I$38*$P$38</f>
        <v>11.923076923076923</v>
      </c>
      <c r="Q41" s="19">
        <v>3900</v>
      </c>
      <c r="R41" s="19">
        <f>Tabelle58971119[[#This Row],[Stromverbrauch in TWh]]/$I$38*$R$38</f>
        <v>134.61538461538461</v>
      </c>
      <c r="S41" s="9"/>
      <c r="T41" s="9">
        <f t="shared" si="2"/>
        <v>6.8493150684931503E-2</v>
      </c>
      <c r="U41" s="46">
        <v>3000</v>
      </c>
      <c r="V41" s="20"/>
      <c r="W41" s="9">
        <v>1</v>
      </c>
      <c r="X41" s="1">
        <f t="shared" si="3"/>
        <v>8.3333333333333329E-2</v>
      </c>
      <c r="Y41" s="1">
        <v>2</v>
      </c>
      <c r="Z41" s="1">
        <v>30</v>
      </c>
      <c r="AD41" s="1">
        <v>0.5</v>
      </c>
      <c r="AE41" s="1">
        <v>3</v>
      </c>
      <c r="AG41" s="1">
        <v>3</v>
      </c>
      <c r="AH41" s="1">
        <v>8</v>
      </c>
      <c r="AJ41" s="1" t="s">
        <v>515</v>
      </c>
      <c r="AO41" s="19"/>
      <c r="AP41" s="8"/>
      <c r="AQ41" s="8"/>
      <c r="AR41" s="8"/>
      <c r="AS41" s="8">
        <f>42*Umrechnungsfaktoren!$B$15/Umrechnungsfaktoren!$B$13</f>
        <v>43.379104477611939</v>
      </c>
      <c r="AT41" s="1">
        <f>220*Umrechnungsfaktoren!$B$15/Umrechnungsfaktoren!$B$13</f>
        <v>227.22388059701493</v>
      </c>
      <c r="AX41" s="1">
        <v>101</v>
      </c>
      <c r="AY41" s="13" t="s">
        <v>521</v>
      </c>
      <c r="AZ41" s="1" t="s">
        <v>520</v>
      </c>
      <c r="BA41" s="13"/>
      <c r="BB41" s="13">
        <v>111</v>
      </c>
      <c r="BC41" s="13">
        <v>111</v>
      </c>
      <c r="BD41" s="13">
        <v>111</v>
      </c>
      <c r="BE41" s="13">
        <v>111</v>
      </c>
      <c r="BF41" s="13">
        <v>111</v>
      </c>
      <c r="BG41" s="1" t="s">
        <v>516</v>
      </c>
      <c r="BH41" s="1" t="s">
        <v>519</v>
      </c>
      <c r="BI41" s="1" t="s">
        <v>523</v>
      </c>
      <c r="BM41" s="1" t="s">
        <v>525</v>
      </c>
      <c r="BN41" s="1" t="s">
        <v>525</v>
      </c>
    </row>
    <row r="42" spans="1:66" x14ac:dyDescent="0.25">
      <c r="A42" s="1" t="s">
        <v>134</v>
      </c>
      <c r="B42" s="1" t="s">
        <v>139</v>
      </c>
      <c r="C42" s="1">
        <v>2010</v>
      </c>
      <c r="D42" s="1">
        <v>1</v>
      </c>
      <c r="E42" s="1">
        <v>0</v>
      </c>
      <c r="F42" s="1">
        <v>0</v>
      </c>
      <c r="G42" s="1">
        <v>3.6</v>
      </c>
      <c r="H42" s="1">
        <v>3.6</v>
      </c>
      <c r="I42" s="1">
        <v>3.6</v>
      </c>
      <c r="J42" s="19">
        <v>660</v>
      </c>
      <c r="K42" s="19">
        <v>8</v>
      </c>
      <c r="L42" s="19">
        <v>990</v>
      </c>
      <c r="M42" s="19"/>
      <c r="N42" s="19">
        <v>18</v>
      </c>
      <c r="O42" s="19">
        <v>0</v>
      </c>
      <c r="P42" s="19">
        <v>10</v>
      </c>
      <c r="Q42" s="19">
        <v>320</v>
      </c>
      <c r="R42" s="19">
        <v>120</v>
      </c>
      <c r="S42" s="9"/>
      <c r="T42" s="9">
        <f>2000/8760</f>
        <v>0.22831050228310501</v>
      </c>
      <c r="U42" s="46">
        <v>3000</v>
      </c>
      <c r="V42" s="20"/>
      <c r="W42" s="9">
        <v>1</v>
      </c>
      <c r="X42" s="1">
        <f t="shared" si="3"/>
        <v>8.3333333333333329E-2</v>
      </c>
      <c r="Y42" s="1">
        <v>2</v>
      </c>
      <c r="Z42" s="1">
        <v>107</v>
      </c>
      <c r="AA42" s="1">
        <v>2</v>
      </c>
      <c r="AD42" s="1">
        <v>2</v>
      </c>
      <c r="AF42" s="1">
        <v>3</v>
      </c>
      <c r="AG42" s="1">
        <v>3</v>
      </c>
      <c r="AH42" s="1">
        <v>67</v>
      </c>
      <c r="AJ42" s="1" t="s">
        <v>514</v>
      </c>
      <c r="AO42" s="19"/>
      <c r="AP42" s="8"/>
      <c r="AQ42" s="8"/>
      <c r="AR42" s="8"/>
      <c r="AS42" s="8"/>
      <c r="AX42" s="1">
        <v>102</v>
      </c>
      <c r="AY42" s="13">
        <v>112</v>
      </c>
      <c r="AZ42" s="1">
        <v>112</v>
      </c>
      <c r="BA42" s="13"/>
      <c r="BB42" s="13">
        <v>112</v>
      </c>
      <c r="BC42" s="13">
        <v>112</v>
      </c>
      <c r="BD42" s="13">
        <v>112</v>
      </c>
      <c r="BE42" s="13">
        <v>112</v>
      </c>
      <c r="BF42" s="13">
        <v>112</v>
      </c>
      <c r="BG42" s="1" t="s">
        <v>522</v>
      </c>
      <c r="BH42" s="1" t="s">
        <v>520</v>
      </c>
      <c r="BI42" s="1" t="s">
        <v>524</v>
      </c>
      <c r="BM42" s="1">
        <v>112</v>
      </c>
      <c r="BN42" s="1">
        <v>112</v>
      </c>
    </row>
    <row r="43" spans="1:66" x14ac:dyDescent="0.25">
      <c r="A43" s="1" t="s">
        <v>134</v>
      </c>
      <c r="B43" s="1" t="s">
        <v>139</v>
      </c>
      <c r="C43" s="1">
        <v>2020</v>
      </c>
      <c r="D43" s="1">
        <v>1</v>
      </c>
      <c r="E43" s="1">
        <v>0</v>
      </c>
      <c r="F43" s="1">
        <v>0</v>
      </c>
      <c r="G43" s="1">
        <v>3.6</v>
      </c>
      <c r="H43" s="1">
        <v>7.8</v>
      </c>
      <c r="I43" s="1">
        <v>6.3</v>
      </c>
      <c r="J43" s="19">
        <f>Tabelle58971119[[#This Row],[Stromverbrauch in TWh]]/$I$42*$J$42</f>
        <v>1155</v>
      </c>
      <c r="K43" s="19">
        <f>Tabelle58971119[[#This Row],[Stromverbrauch in TWh]]/$I$42*$K$42</f>
        <v>14</v>
      </c>
      <c r="L43" s="19">
        <v>1500</v>
      </c>
      <c r="M43" s="19"/>
      <c r="N43" s="19">
        <f>Tabelle58971119[[#This Row],[Stromverbrauch in TWh]]/$I$42*$N$42</f>
        <v>31.5</v>
      </c>
      <c r="O43" s="19">
        <v>0</v>
      </c>
      <c r="P43" s="19">
        <f>Tabelle58971119[[#This Row],[Stromverbrauch in TWh]]/$I$42*$P$42</f>
        <v>17.5</v>
      </c>
      <c r="Q43" s="19">
        <f>Tabelle58971119[[#This Row],[Stromverbrauch in TWh]]/$I$42*$Q$42</f>
        <v>560</v>
      </c>
      <c r="R43" s="19">
        <f>Tabelle58971119[[#This Row],[Stromverbrauch in TWh]]/$I$42*$R$42</f>
        <v>210</v>
      </c>
      <c r="S43" s="9"/>
      <c r="T43" s="9">
        <f>2000/8760</f>
        <v>0.22831050228310501</v>
      </c>
      <c r="U43" s="46">
        <v>3000</v>
      </c>
      <c r="V43" s="20"/>
      <c r="W43" s="9">
        <v>1</v>
      </c>
      <c r="X43" s="1">
        <f t="shared" si="3"/>
        <v>8.3333333333333329E-2</v>
      </c>
      <c r="Y43" s="1">
        <v>2</v>
      </c>
      <c r="Z43" s="1">
        <v>107</v>
      </c>
      <c r="AA43" s="1">
        <v>2</v>
      </c>
      <c r="AD43" s="1">
        <v>2</v>
      </c>
      <c r="AF43" s="1">
        <v>3</v>
      </c>
      <c r="AG43" s="1">
        <v>3</v>
      </c>
      <c r="AH43" s="1">
        <v>67</v>
      </c>
      <c r="AJ43" s="1" t="s">
        <v>514</v>
      </c>
      <c r="AO43" s="19"/>
      <c r="AP43" s="8"/>
      <c r="AQ43" s="8"/>
      <c r="AR43" s="8"/>
      <c r="AS43" s="8">
        <f>59*Umrechnungsfaktoren!$B$15/Umrechnungsfaktoren!$B$13</f>
        <v>60.937313432835815</v>
      </c>
      <c r="AT43" s="1">
        <f>310*Umrechnungsfaktoren!$B$15/Umrechnungsfaktoren!$B$13</f>
        <v>320.17910447761193</v>
      </c>
      <c r="AX43" s="1">
        <v>102</v>
      </c>
      <c r="AY43" s="13">
        <v>112</v>
      </c>
      <c r="AZ43" s="1">
        <v>112</v>
      </c>
      <c r="BA43" s="13"/>
      <c r="BB43" s="13">
        <v>112</v>
      </c>
      <c r="BC43" s="13">
        <v>112</v>
      </c>
      <c r="BD43" s="13">
        <v>112</v>
      </c>
      <c r="BE43" s="13">
        <v>112</v>
      </c>
      <c r="BF43" s="13">
        <v>112</v>
      </c>
      <c r="BG43" s="1" t="s">
        <v>522</v>
      </c>
      <c r="BH43" s="1" t="s">
        <v>520</v>
      </c>
      <c r="BI43" s="1" t="s">
        <v>524</v>
      </c>
      <c r="BM43" s="1">
        <v>112</v>
      </c>
      <c r="BN43" s="1">
        <v>112</v>
      </c>
    </row>
    <row r="44" spans="1:66" x14ac:dyDescent="0.25">
      <c r="A44" s="1" t="s">
        <v>134</v>
      </c>
      <c r="B44" s="1" t="s">
        <v>139</v>
      </c>
      <c r="C44" s="1">
        <v>2025</v>
      </c>
      <c r="D44" s="1">
        <v>1</v>
      </c>
      <c r="E44" s="1">
        <v>0</v>
      </c>
      <c r="F44" s="1">
        <v>0</v>
      </c>
      <c r="G44" s="1">
        <v>3.6</v>
      </c>
      <c r="H44" s="1">
        <v>10.9</v>
      </c>
      <c r="I44" s="1">
        <v>8.1</v>
      </c>
      <c r="J44" s="19">
        <f>Tabelle58971119[[#This Row],[Stromverbrauch in TWh]]/$I$42*$J$42</f>
        <v>1485</v>
      </c>
      <c r="K44" s="19">
        <f>Tabelle58971119[[#This Row],[Stromverbrauch in TWh]]/$I$42*$K$42</f>
        <v>18</v>
      </c>
      <c r="L44" s="19">
        <v>1900</v>
      </c>
      <c r="M44" s="19"/>
      <c r="N44" s="19">
        <f>Tabelle58971119[[#This Row],[Stromverbrauch in TWh]]/$I$42*$N$42</f>
        <v>40.5</v>
      </c>
      <c r="O44" s="19">
        <v>0</v>
      </c>
      <c r="P44" s="19">
        <f>Tabelle58971119[[#This Row],[Stromverbrauch in TWh]]/$I$42*$P$42</f>
        <v>22.5</v>
      </c>
      <c r="Q44" s="19">
        <f>Tabelle58971119[[#This Row],[Stromverbrauch in TWh]]/$I$42*$Q$42</f>
        <v>720</v>
      </c>
      <c r="R44" s="19">
        <f>Tabelle58971119[[#This Row],[Stromverbrauch in TWh]]/$I$42*$R$42</f>
        <v>270</v>
      </c>
      <c r="S44" s="9"/>
      <c r="T44" s="9">
        <f>2000/8760</f>
        <v>0.22831050228310501</v>
      </c>
      <c r="U44" s="46">
        <v>3000</v>
      </c>
      <c r="V44" s="20"/>
      <c r="W44" s="9">
        <v>1</v>
      </c>
      <c r="X44" s="1">
        <f t="shared" si="3"/>
        <v>8.3333333333333329E-2</v>
      </c>
      <c r="Y44" s="1">
        <v>2</v>
      </c>
      <c r="Z44" s="1">
        <v>107</v>
      </c>
      <c r="AA44" s="1">
        <v>2</v>
      </c>
      <c r="AD44" s="1">
        <v>2</v>
      </c>
      <c r="AF44" s="1">
        <v>3</v>
      </c>
      <c r="AG44" s="1">
        <v>3</v>
      </c>
      <c r="AH44" s="1">
        <v>67</v>
      </c>
      <c r="AJ44" s="1" t="s">
        <v>514</v>
      </c>
      <c r="AO44" s="19"/>
      <c r="AP44" s="8"/>
      <c r="AQ44" s="8"/>
      <c r="AR44" s="8"/>
      <c r="AS44" s="8">
        <f>50*Umrechnungsfaktoren!$B$15/Umrechnungsfaktoren!$B$13</f>
        <v>51.64179104477612</v>
      </c>
      <c r="AT44" s="1">
        <f>265*Umrechnungsfaktoren!$B$15/Umrechnungsfaktoren!$B$13</f>
        <v>273.70149253731341</v>
      </c>
      <c r="AX44" s="1">
        <v>102</v>
      </c>
      <c r="AY44" s="13">
        <v>112</v>
      </c>
      <c r="AZ44" s="1">
        <v>112</v>
      </c>
      <c r="BA44" s="13"/>
      <c r="BB44" s="13">
        <v>112</v>
      </c>
      <c r="BC44" s="13">
        <v>112</v>
      </c>
      <c r="BD44" s="13">
        <v>112</v>
      </c>
      <c r="BE44" s="13">
        <v>112</v>
      </c>
      <c r="BF44" s="13">
        <v>112</v>
      </c>
      <c r="BG44" s="1" t="s">
        <v>522</v>
      </c>
      <c r="BH44" s="1" t="s">
        <v>520</v>
      </c>
      <c r="BI44" s="1" t="s">
        <v>524</v>
      </c>
      <c r="BM44" s="1">
        <v>112</v>
      </c>
      <c r="BN44" s="1">
        <v>112</v>
      </c>
    </row>
    <row r="45" spans="1:66" x14ac:dyDescent="0.25">
      <c r="A45" s="1" t="s">
        <v>134</v>
      </c>
      <c r="B45" s="1" t="s">
        <v>139</v>
      </c>
      <c r="C45" s="1">
        <v>2030</v>
      </c>
      <c r="D45" s="1">
        <v>1</v>
      </c>
      <c r="E45" s="1">
        <v>0</v>
      </c>
      <c r="F45" s="1">
        <v>0</v>
      </c>
      <c r="G45" s="1">
        <v>3.6</v>
      </c>
      <c r="H45" s="1">
        <v>14.5</v>
      </c>
      <c r="I45" s="1">
        <v>9.4</v>
      </c>
      <c r="J45" s="19">
        <f>Tabelle58971119[[#This Row],[Stromverbrauch in TWh]]/$I$42*$J$42</f>
        <v>1723.3333333333333</v>
      </c>
      <c r="K45" s="19">
        <f>Tabelle58971119[[#This Row],[Stromverbrauch in TWh]]/$I$42*$K$42</f>
        <v>20.888888888888889</v>
      </c>
      <c r="L45" s="19">
        <v>2400</v>
      </c>
      <c r="M45" s="19"/>
      <c r="N45" s="19">
        <f>Tabelle58971119[[#This Row],[Stromverbrauch in TWh]]/$I$42*$N$42</f>
        <v>47</v>
      </c>
      <c r="O45" s="19">
        <v>0</v>
      </c>
      <c r="P45" s="19">
        <f>Tabelle58971119[[#This Row],[Stromverbrauch in TWh]]/$I$42*$P$42</f>
        <v>26.111111111111111</v>
      </c>
      <c r="Q45" s="19">
        <f>Tabelle58971119[[#This Row],[Stromverbrauch in TWh]]/$I$42*$Q$42</f>
        <v>835.55555555555554</v>
      </c>
      <c r="R45" s="19">
        <f>Tabelle58971119[[#This Row],[Stromverbrauch in TWh]]/$I$42*$R$42</f>
        <v>313.33333333333331</v>
      </c>
      <c r="S45" s="9"/>
      <c r="T45" s="9">
        <f>2000/8760</f>
        <v>0.22831050228310501</v>
      </c>
      <c r="U45" s="46">
        <v>3000</v>
      </c>
      <c r="V45" s="20"/>
      <c r="W45" s="9">
        <v>1</v>
      </c>
      <c r="X45" s="1">
        <f t="shared" si="3"/>
        <v>8.3333333333333329E-2</v>
      </c>
      <c r="Y45" s="1">
        <v>2</v>
      </c>
      <c r="Z45" s="1">
        <v>107</v>
      </c>
      <c r="AA45" s="1">
        <v>2</v>
      </c>
      <c r="AD45" s="1">
        <v>2</v>
      </c>
      <c r="AF45" s="1">
        <v>3</v>
      </c>
      <c r="AG45" s="1">
        <v>3</v>
      </c>
      <c r="AH45" s="1">
        <v>67</v>
      </c>
      <c r="AJ45" s="1" t="s">
        <v>514</v>
      </c>
      <c r="AO45" s="19"/>
      <c r="AP45" s="8"/>
      <c r="AQ45" s="8"/>
      <c r="AR45" s="8"/>
      <c r="AS45" s="8">
        <f>42*Umrechnungsfaktoren!$B$15/Umrechnungsfaktoren!$B$13</f>
        <v>43.379104477611939</v>
      </c>
      <c r="AT45" s="1">
        <f>220*Umrechnungsfaktoren!$B$15/Umrechnungsfaktoren!$B$13</f>
        <v>227.22388059701493</v>
      </c>
      <c r="AX45" s="1">
        <v>102</v>
      </c>
      <c r="AY45" s="13">
        <v>112</v>
      </c>
      <c r="AZ45" s="1">
        <v>112</v>
      </c>
      <c r="BA45" s="13"/>
      <c r="BB45" s="13">
        <v>112</v>
      </c>
      <c r="BC45" s="13">
        <v>112</v>
      </c>
      <c r="BD45" s="13">
        <v>112</v>
      </c>
      <c r="BE45" s="13">
        <v>112</v>
      </c>
      <c r="BF45" s="13">
        <v>112</v>
      </c>
      <c r="BG45" s="1" t="s">
        <v>522</v>
      </c>
      <c r="BH45" s="1" t="s">
        <v>520</v>
      </c>
      <c r="BI45" s="1" t="s">
        <v>524</v>
      </c>
      <c r="BM45" s="1">
        <v>107</v>
      </c>
      <c r="BN45" s="1">
        <v>107</v>
      </c>
    </row>
    <row r="46" spans="1:66" x14ac:dyDescent="0.25">
      <c r="A46" s="1" t="s">
        <v>135</v>
      </c>
      <c r="B46" s="1" t="s">
        <v>139</v>
      </c>
      <c r="C46" s="1">
        <v>2010</v>
      </c>
      <c r="D46" s="1">
        <v>1</v>
      </c>
      <c r="E46" s="1">
        <v>0</v>
      </c>
      <c r="F46" s="1">
        <v>0</v>
      </c>
      <c r="J46" s="19">
        <v>500</v>
      </c>
      <c r="K46" s="19">
        <v>500</v>
      </c>
      <c r="L46" s="19">
        <v>500</v>
      </c>
      <c r="M46" s="19"/>
      <c r="N46" s="19">
        <v>500</v>
      </c>
      <c r="O46" s="19">
        <v>500</v>
      </c>
      <c r="P46" s="19">
        <v>500</v>
      </c>
      <c r="Q46" s="19">
        <v>7400</v>
      </c>
      <c r="R46" s="19">
        <v>7400</v>
      </c>
      <c r="S46" s="9"/>
      <c r="T46" s="9"/>
      <c r="U46" s="46"/>
      <c r="V46" s="20"/>
      <c r="W46" s="9"/>
      <c r="AF46" s="1">
        <v>3</v>
      </c>
      <c r="AO46" s="19"/>
      <c r="AP46" s="8"/>
      <c r="AQ46" s="8"/>
      <c r="AR46" s="8"/>
      <c r="AS46" s="8"/>
      <c r="AY46" s="13">
        <v>109</v>
      </c>
      <c r="AZ46" s="1">
        <v>109</v>
      </c>
      <c r="BA46" s="13"/>
      <c r="BB46" s="13"/>
      <c r="BC46" s="13"/>
      <c r="BD46" s="13"/>
      <c r="BE46" s="13"/>
      <c r="BF46" s="13"/>
      <c r="BG46" s="1">
        <v>109</v>
      </c>
    </row>
    <row r="47" spans="1:66" x14ac:dyDescent="0.25">
      <c r="A47" s="1" t="s">
        <v>135</v>
      </c>
      <c r="B47" s="1" t="s">
        <v>139</v>
      </c>
      <c r="C47" s="1">
        <v>2020</v>
      </c>
      <c r="D47" s="1">
        <v>1</v>
      </c>
      <c r="E47" s="1">
        <v>0</v>
      </c>
      <c r="F47" s="1">
        <v>0</v>
      </c>
      <c r="J47" s="19">
        <v>500</v>
      </c>
      <c r="K47" s="19">
        <v>500</v>
      </c>
      <c r="L47" s="19">
        <v>500</v>
      </c>
      <c r="M47" s="19"/>
      <c r="N47" s="19">
        <v>500</v>
      </c>
      <c r="O47" s="19">
        <v>500</v>
      </c>
      <c r="P47" s="19">
        <v>500</v>
      </c>
      <c r="Q47" s="19">
        <v>7400</v>
      </c>
      <c r="R47" s="19">
        <v>7400</v>
      </c>
      <c r="S47" s="9"/>
      <c r="T47" s="9"/>
      <c r="U47" s="46"/>
      <c r="V47" s="20"/>
      <c r="W47" s="9"/>
      <c r="AF47" s="1">
        <v>3</v>
      </c>
      <c r="AO47" s="19"/>
      <c r="AP47" s="8"/>
      <c r="AQ47" s="8"/>
      <c r="AR47" s="8"/>
      <c r="AS47" s="8">
        <f>59*Umrechnungsfaktoren!$B$15/Umrechnungsfaktoren!$B$13</f>
        <v>60.937313432835815</v>
      </c>
      <c r="AT47" s="1">
        <f>310*Umrechnungsfaktoren!$B$15/Umrechnungsfaktoren!$B$13</f>
        <v>320.17910447761193</v>
      </c>
      <c r="AY47" s="13">
        <v>109</v>
      </c>
      <c r="AZ47" s="1">
        <v>109</v>
      </c>
      <c r="BA47" s="13"/>
      <c r="BB47" s="13"/>
      <c r="BC47" s="13"/>
      <c r="BD47" s="13"/>
      <c r="BE47" s="13"/>
      <c r="BF47" s="13"/>
    </row>
    <row r="48" spans="1:66" x14ac:dyDescent="0.25">
      <c r="A48" s="1" t="s">
        <v>135</v>
      </c>
      <c r="B48" s="1" t="s">
        <v>139</v>
      </c>
      <c r="C48" s="1">
        <v>2025</v>
      </c>
      <c r="D48" s="1">
        <v>1</v>
      </c>
      <c r="E48" s="1">
        <v>0</v>
      </c>
      <c r="F48" s="1">
        <v>0</v>
      </c>
      <c r="J48" s="19">
        <v>500</v>
      </c>
      <c r="K48" s="19">
        <v>500</v>
      </c>
      <c r="L48" s="19">
        <v>500</v>
      </c>
      <c r="M48" s="19"/>
      <c r="N48" s="19">
        <v>500</v>
      </c>
      <c r="O48" s="19">
        <v>500</v>
      </c>
      <c r="P48" s="19">
        <v>500</v>
      </c>
      <c r="Q48" s="19">
        <v>7400</v>
      </c>
      <c r="R48" s="19">
        <v>7400</v>
      </c>
      <c r="S48" s="9"/>
      <c r="T48" s="9"/>
      <c r="U48" s="46"/>
      <c r="V48" s="20"/>
      <c r="W48" s="9"/>
      <c r="AF48" s="1">
        <v>3</v>
      </c>
      <c r="AO48" s="19"/>
      <c r="AP48" s="8"/>
      <c r="AQ48" s="8"/>
      <c r="AR48" s="8"/>
      <c r="AS48" s="8">
        <f>50*Umrechnungsfaktoren!$B$15/Umrechnungsfaktoren!$B$13</f>
        <v>51.64179104477612</v>
      </c>
      <c r="AT48" s="1">
        <f>265*Umrechnungsfaktoren!$B$15/Umrechnungsfaktoren!$B$13</f>
        <v>273.70149253731341</v>
      </c>
      <c r="AY48" s="13">
        <v>109</v>
      </c>
      <c r="AZ48" s="1">
        <v>109</v>
      </c>
      <c r="BA48" s="13"/>
      <c r="BB48" s="13"/>
      <c r="BC48" s="13"/>
      <c r="BD48" s="13"/>
      <c r="BE48" s="13"/>
      <c r="BF48" s="13"/>
    </row>
    <row r="49" spans="1:66" x14ac:dyDescent="0.25">
      <c r="A49" s="1" t="s">
        <v>135</v>
      </c>
      <c r="B49" s="1" t="s">
        <v>139</v>
      </c>
      <c r="C49" s="1">
        <v>2030</v>
      </c>
      <c r="D49" s="1">
        <v>1</v>
      </c>
      <c r="E49" s="1">
        <v>0</v>
      </c>
      <c r="F49" s="1">
        <v>0</v>
      </c>
      <c r="J49" s="19">
        <v>500</v>
      </c>
      <c r="K49" s="19">
        <v>500</v>
      </c>
      <c r="L49" s="19">
        <v>500</v>
      </c>
      <c r="M49" s="19"/>
      <c r="N49" s="19">
        <v>500</v>
      </c>
      <c r="O49" s="19">
        <v>500</v>
      </c>
      <c r="P49" s="19">
        <v>500</v>
      </c>
      <c r="Q49" s="19">
        <v>7400</v>
      </c>
      <c r="R49" s="19">
        <v>7400</v>
      </c>
      <c r="S49" s="9"/>
      <c r="T49" s="9"/>
      <c r="U49" s="46"/>
      <c r="V49" s="20"/>
      <c r="W49" s="9"/>
      <c r="AF49" s="1">
        <v>3</v>
      </c>
      <c r="AO49" s="19"/>
      <c r="AP49" s="8"/>
      <c r="AQ49" s="8"/>
      <c r="AR49" s="8"/>
      <c r="AS49" s="8">
        <f>42*Umrechnungsfaktoren!$B$15/Umrechnungsfaktoren!$B$13</f>
        <v>43.379104477611939</v>
      </c>
      <c r="AT49" s="1">
        <f>220*Umrechnungsfaktoren!$B$15/Umrechnungsfaktoren!$B$13</f>
        <v>227.22388059701493</v>
      </c>
      <c r="AY49" s="13">
        <v>109</v>
      </c>
      <c r="AZ49" s="1">
        <v>109</v>
      </c>
      <c r="BA49" s="13"/>
      <c r="BB49" s="13"/>
      <c r="BC49" s="13"/>
      <c r="BD49" s="13"/>
      <c r="BE49" s="13"/>
      <c r="BF49" s="13"/>
    </row>
    <row r="50" spans="1:66" x14ac:dyDescent="0.25">
      <c r="A50" s="1" t="s">
        <v>389</v>
      </c>
      <c r="B50" s="1" t="s">
        <v>139</v>
      </c>
      <c r="C50" s="1">
        <v>2015</v>
      </c>
      <c r="D50" s="1">
        <v>1</v>
      </c>
      <c r="E50" s="1">
        <v>0</v>
      </c>
      <c r="F50" s="1">
        <v>0</v>
      </c>
      <c r="J50" s="19"/>
      <c r="K50" s="19"/>
      <c r="L50" s="19">
        <v>0</v>
      </c>
      <c r="M50" s="19"/>
      <c r="N50" s="19"/>
      <c r="O50" s="19"/>
      <c r="P50" s="19"/>
      <c r="Q50" s="19">
        <v>0</v>
      </c>
      <c r="R50" s="19"/>
      <c r="S50" s="9"/>
      <c r="T50" s="9"/>
      <c r="U50" s="46"/>
      <c r="V50" s="20"/>
      <c r="W50" s="9">
        <v>1</v>
      </c>
      <c r="Z50" s="1">
        <v>1</v>
      </c>
      <c r="AO50" s="19"/>
      <c r="AP50" s="8"/>
      <c r="AQ50" s="8"/>
      <c r="AR50" s="8"/>
      <c r="AS50" s="8"/>
      <c r="AU50" s="1" t="s">
        <v>526</v>
      </c>
      <c r="AY50" s="13">
        <v>142</v>
      </c>
      <c r="AZ50" s="13">
        <v>142</v>
      </c>
      <c r="BA50" s="13"/>
      <c r="BB50" s="13"/>
      <c r="BC50" s="13"/>
      <c r="BD50" s="13"/>
      <c r="BE50" s="1" t="s">
        <v>531</v>
      </c>
      <c r="BF50" s="13"/>
      <c r="BG50" s="1">
        <v>131</v>
      </c>
      <c r="BH50" s="1">
        <v>142</v>
      </c>
      <c r="BI50" s="1">
        <v>142</v>
      </c>
      <c r="BM50" s="1">
        <v>142</v>
      </c>
      <c r="BN50" s="1">
        <v>142</v>
      </c>
    </row>
    <row r="51" spans="1:66" x14ac:dyDescent="0.25">
      <c r="A51" s="1" t="s">
        <v>389</v>
      </c>
      <c r="B51" s="1" t="s">
        <v>139</v>
      </c>
      <c r="C51" s="1">
        <v>2020</v>
      </c>
      <c r="D51" s="1">
        <v>1</v>
      </c>
      <c r="E51" s="1">
        <v>0</v>
      </c>
      <c r="F51" s="1">
        <v>0</v>
      </c>
      <c r="J51" s="19"/>
      <c r="K51" s="19"/>
      <c r="L51" s="19">
        <v>300</v>
      </c>
      <c r="M51" s="19"/>
      <c r="N51" s="19"/>
      <c r="O51" s="19"/>
      <c r="P51" s="19"/>
      <c r="Q51" s="19">
        <v>300</v>
      </c>
      <c r="R51" s="19"/>
      <c r="S51" s="9"/>
      <c r="T51" s="9"/>
      <c r="U51" s="46"/>
      <c r="V51" s="20"/>
      <c r="W51" s="9">
        <v>1</v>
      </c>
      <c r="Z51" s="1">
        <v>3</v>
      </c>
      <c r="AO51" s="19"/>
      <c r="AP51" s="8"/>
      <c r="AQ51" s="8"/>
      <c r="AR51" s="8"/>
      <c r="AS51" s="8"/>
      <c r="AU51" s="1" t="s">
        <v>526</v>
      </c>
      <c r="AY51" s="13">
        <v>142</v>
      </c>
      <c r="AZ51" s="13">
        <v>142</v>
      </c>
      <c r="BA51" s="13"/>
      <c r="BB51" s="13"/>
      <c r="BC51" s="13"/>
      <c r="BD51" s="13"/>
      <c r="BE51" s="1" t="s">
        <v>531</v>
      </c>
      <c r="BF51" s="13"/>
      <c r="BG51" s="1">
        <v>131</v>
      </c>
      <c r="BH51" s="1">
        <v>142</v>
      </c>
      <c r="BI51" s="1">
        <v>142</v>
      </c>
      <c r="BM51" s="1">
        <v>142</v>
      </c>
      <c r="BN51" s="1">
        <v>142</v>
      </c>
    </row>
    <row r="52" spans="1:66" x14ac:dyDescent="0.25">
      <c r="A52" s="1" t="s">
        <v>389</v>
      </c>
      <c r="B52" s="1" t="s">
        <v>139</v>
      </c>
      <c r="C52" s="1">
        <v>2025</v>
      </c>
      <c r="D52" s="1">
        <v>1</v>
      </c>
      <c r="E52" s="1">
        <v>0</v>
      </c>
      <c r="F52" s="1">
        <v>0</v>
      </c>
      <c r="J52" s="19"/>
      <c r="K52" s="19"/>
      <c r="L52" s="19">
        <v>700</v>
      </c>
      <c r="M52" s="19"/>
      <c r="N52" s="19"/>
      <c r="O52" s="19"/>
      <c r="P52" s="19"/>
      <c r="Q52" s="19">
        <v>700</v>
      </c>
      <c r="R52" s="19"/>
      <c r="S52" s="9"/>
      <c r="T52" s="9"/>
      <c r="U52" s="46"/>
      <c r="V52" s="20"/>
      <c r="W52" s="9"/>
      <c r="AO52" s="19"/>
      <c r="AP52" s="8"/>
      <c r="AQ52" s="8"/>
      <c r="AR52" s="8"/>
      <c r="AS52" s="8"/>
      <c r="AY52" s="13">
        <v>142</v>
      </c>
      <c r="AZ52" s="13">
        <v>142</v>
      </c>
      <c r="BA52" s="13"/>
      <c r="BB52" s="13"/>
      <c r="BC52" s="13"/>
      <c r="BD52" s="13"/>
      <c r="BE52" s="1" t="s">
        <v>531</v>
      </c>
      <c r="BF52" s="13"/>
      <c r="BH52" s="1">
        <v>142</v>
      </c>
      <c r="BI52" s="1">
        <v>142</v>
      </c>
      <c r="BM52" s="1">
        <v>142</v>
      </c>
      <c r="BN52" s="1">
        <v>142</v>
      </c>
    </row>
    <row r="53" spans="1:66" x14ac:dyDescent="0.25">
      <c r="A53" s="1" t="s">
        <v>389</v>
      </c>
      <c r="B53" s="1" t="s">
        <v>139</v>
      </c>
      <c r="C53" s="1">
        <v>2030</v>
      </c>
      <c r="D53" s="1">
        <v>1</v>
      </c>
      <c r="E53" s="1">
        <v>0</v>
      </c>
      <c r="F53" s="1">
        <v>0</v>
      </c>
      <c r="J53" s="19"/>
      <c r="K53" s="19"/>
      <c r="L53" s="19">
        <v>1200</v>
      </c>
      <c r="M53" s="19"/>
      <c r="N53" s="19"/>
      <c r="O53" s="19"/>
      <c r="P53" s="19"/>
      <c r="Q53" s="19">
        <v>1200</v>
      </c>
      <c r="R53" s="19"/>
      <c r="S53" s="9"/>
      <c r="T53" s="9"/>
      <c r="U53" s="46"/>
      <c r="V53" s="20"/>
      <c r="W53" s="9"/>
      <c r="AO53" s="19"/>
      <c r="AP53" s="8"/>
      <c r="AQ53" s="8"/>
      <c r="AR53" s="8"/>
      <c r="AS53" s="8"/>
      <c r="AY53" s="13">
        <v>142</v>
      </c>
      <c r="AZ53" s="13">
        <v>142</v>
      </c>
      <c r="BA53" s="13"/>
      <c r="BB53" s="13"/>
      <c r="BC53" s="13"/>
      <c r="BD53" s="13"/>
      <c r="BE53" s="1" t="s">
        <v>531</v>
      </c>
      <c r="BF53" s="13"/>
      <c r="BH53" s="1">
        <v>142</v>
      </c>
      <c r="BI53" s="1">
        <v>142</v>
      </c>
      <c r="BM53" s="1">
        <v>142</v>
      </c>
      <c r="BN53" s="1">
        <v>142</v>
      </c>
    </row>
    <row r="54" spans="1:66" x14ac:dyDescent="0.25">
      <c r="A54" s="1" t="s">
        <v>164</v>
      </c>
      <c r="B54" s="1" t="s">
        <v>139</v>
      </c>
      <c r="C54" s="1">
        <v>2015</v>
      </c>
      <c r="D54" s="1">
        <v>1</v>
      </c>
      <c r="E54" s="1">
        <v>0</v>
      </c>
      <c r="F54" s="1">
        <v>0</v>
      </c>
      <c r="J54" s="19"/>
      <c r="K54" s="19"/>
      <c r="L54" s="19">
        <v>0</v>
      </c>
      <c r="M54" s="19"/>
      <c r="N54" s="19"/>
      <c r="O54" s="19"/>
      <c r="P54" s="19"/>
      <c r="Q54" s="19">
        <v>0</v>
      </c>
      <c r="R54" s="19"/>
      <c r="S54" s="9"/>
      <c r="T54" s="9"/>
      <c r="U54" s="46"/>
      <c r="V54" s="20"/>
      <c r="W54" s="9"/>
      <c r="AA54" s="1">
        <v>2</v>
      </c>
      <c r="AE54" s="1">
        <v>5</v>
      </c>
      <c r="AG54" s="1">
        <v>0</v>
      </c>
      <c r="AH54" s="1">
        <v>12</v>
      </c>
      <c r="AI54" s="1">
        <v>3</v>
      </c>
      <c r="AJ54" s="1" t="s">
        <v>527</v>
      </c>
      <c r="AO54" s="19"/>
      <c r="AP54" s="8"/>
      <c r="AQ54" s="8"/>
      <c r="AR54" s="8"/>
      <c r="AS54" s="8">
        <f>67*Umrechnungsfaktoren!$B$15/Umrechnungsfaktoren!$B$13</f>
        <v>69.199999999999989</v>
      </c>
      <c r="AT54" s="1">
        <f>355*Umrechnungsfaktoren!$B$15/Umrechnungsfaktoren!$B$13</f>
        <v>366.65671641791045</v>
      </c>
      <c r="AY54" s="13">
        <v>142</v>
      </c>
      <c r="AZ54" s="13">
        <v>142</v>
      </c>
      <c r="BA54" s="13"/>
      <c r="BB54" s="13"/>
      <c r="BC54" s="13"/>
      <c r="BD54" s="13"/>
      <c r="BE54" s="1" t="s">
        <v>531</v>
      </c>
      <c r="BF54" s="13"/>
      <c r="BG54" s="1" t="s">
        <v>528</v>
      </c>
      <c r="BH54" s="1" t="s">
        <v>529</v>
      </c>
      <c r="BI54" s="1">
        <v>142</v>
      </c>
      <c r="BM54" s="1">
        <v>142</v>
      </c>
      <c r="BN54" s="1">
        <v>142</v>
      </c>
    </row>
    <row r="55" spans="1:66" x14ac:dyDescent="0.25">
      <c r="A55" s="1" t="s">
        <v>164</v>
      </c>
      <c r="B55" s="1" t="s">
        <v>139</v>
      </c>
      <c r="C55" s="1">
        <v>2020</v>
      </c>
      <c r="D55" s="1">
        <v>1</v>
      </c>
      <c r="E55" s="1">
        <v>0</v>
      </c>
      <c r="F55" s="1">
        <v>0</v>
      </c>
      <c r="J55" s="19"/>
      <c r="K55" s="19"/>
      <c r="L55" s="19">
        <v>700</v>
      </c>
      <c r="M55" s="19"/>
      <c r="N55" s="19"/>
      <c r="O55" s="19"/>
      <c r="P55" s="19"/>
      <c r="Q55" s="19">
        <v>700</v>
      </c>
      <c r="R55" s="19"/>
      <c r="S55" s="9"/>
      <c r="T55" s="9"/>
      <c r="U55" s="46"/>
      <c r="V55" s="20"/>
      <c r="W55" s="9"/>
      <c r="AA55" s="1">
        <v>2</v>
      </c>
      <c r="AE55" s="1">
        <v>5</v>
      </c>
      <c r="AG55" s="1">
        <v>0</v>
      </c>
      <c r="AH55" s="1">
        <v>12</v>
      </c>
      <c r="AI55" s="1">
        <v>3</v>
      </c>
      <c r="AJ55" s="1" t="s">
        <v>527</v>
      </c>
      <c r="AO55" s="19"/>
      <c r="AP55" s="8"/>
      <c r="AQ55" s="8"/>
      <c r="AR55" s="8"/>
      <c r="AS55" s="8">
        <f>59*Umrechnungsfaktoren!$B$15/Umrechnungsfaktoren!$B$13</f>
        <v>60.937313432835815</v>
      </c>
      <c r="AT55" s="1">
        <f>310*Umrechnungsfaktoren!$B$15/Umrechnungsfaktoren!$B$13</f>
        <v>320.17910447761193</v>
      </c>
      <c r="AY55" s="13">
        <v>142</v>
      </c>
      <c r="AZ55" s="13">
        <v>142</v>
      </c>
      <c r="BA55" s="13"/>
      <c r="BB55" s="13"/>
      <c r="BC55" s="13"/>
      <c r="BD55" s="13"/>
      <c r="BE55" s="1" t="s">
        <v>531</v>
      </c>
      <c r="BF55" s="13"/>
      <c r="BG55" s="1">
        <v>142</v>
      </c>
      <c r="BH55" s="1">
        <v>142</v>
      </c>
      <c r="BI55" s="1">
        <v>142</v>
      </c>
      <c r="BM55" s="1">
        <v>142</v>
      </c>
      <c r="BN55" s="1">
        <v>142</v>
      </c>
    </row>
    <row r="56" spans="1:66" x14ac:dyDescent="0.25">
      <c r="A56" s="1" t="s">
        <v>164</v>
      </c>
      <c r="B56" s="1" t="s">
        <v>139</v>
      </c>
      <c r="C56" s="1">
        <v>2025</v>
      </c>
      <c r="D56" s="1">
        <v>1</v>
      </c>
      <c r="E56" s="1">
        <v>0</v>
      </c>
      <c r="F56" s="1">
        <v>0</v>
      </c>
      <c r="J56" s="19"/>
      <c r="K56" s="19"/>
      <c r="L56" s="19">
        <v>1600</v>
      </c>
      <c r="M56" s="19"/>
      <c r="N56" s="19"/>
      <c r="O56" s="19"/>
      <c r="P56" s="19"/>
      <c r="Q56" s="19">
        <v>1600</v>
      </c>
      <c r="R56" s="19"/>
      <c r="S56" s="9"/>
      <c r="T56" s="9"/>
      <c r="U56" s="46"/>
      <c r="V56" s="20"/>
      <c r="W56" s="9"/>
      <c r="AA56" s="1">
        <v>2</v>
      </c>
      <c r="AE56" s="1">
        <v>5</v>
      </c>
      <c r="AG56" s="1">
        <v>0</v>
      </c>
      <c r="AH56" s="1">
        <v>12</v>
      </c>
      <c r="AI56" s="1">
        <v>3</v>
      </c>
      <c r="AJ56" s="1" t="s">
        <v>527</v>
      </c>
      <c r="AO56" s="19"/>
      <c r="AP56" s="8"/>
      <c r="AQ56" s="8"/>
      <c r="AR56" s="8"/>
      <c r="AS56" s="8">
        <f>50*Umrechnungsfaktoren!$B$15/Umrechnungsfaktoren!$B$13</f>
        <v>51.64179104477612</v>
      </c>
      <c r="AT56" s="1">
        <f>265*Umrechnungsfaktoren!$B$15/Umrechnungsfaktoren!$B$13</f>
        <v>273.70149253731341</v>
      </c>
      <c r="AY56" s="13">
        <v>142</v>
      </c>
      <c r="AZ56" s="13">
        <v>142</v>
      </c>
      <c r="BA56" s="13"/>
      <c r="BB56" s="13"/>
      <c r="BC56" s="13"/>
      <c r="BD56" s="13"/>
      <c r="BE56" s="1" t="s">
        <v>531</v>
      </c>
      <c r="BF56" s="13"/>
      <c r="BG56" s="1">
        <v>142</v>
      </c>
      <c r="BH56" s="1">
        <v>142</v>
      </c>
      <c r="BI56" s="1">
        <v>142</v>
      </c>
      <c r="BM56" s="1">
        <v>142</v>
      </c>
      <c r="BN56" s="1">
        <v>142</v>
      </c>
    </row>
    <row r="57" spans="1:66" x14ac:dyDescent="0.25">
      <c r="A57" s="1" t="s">
        <v>164</v>
      </c>
      <c r="B57" s="1" t="s">
        <v>139</v>
      </c>
      <c r="C57" s="1">
        <v>2030</v>
      </c>
      <c r="D57" s="1">
        <v>1</v>
      </c>
      <c r="E57" s="1">
        <v>0</v>
      </c>
      <c r="F57" s="1">
        <v>0</v>
      </c>
      <c r="J57" s="19"/>
      <c r="K57" s="19"/>
      <c r="L57" s="19">
        <v>2700</v>
      </c>
      <c r="M57" s="19"/>
      <c r="N57" s="19"/>
      <c r="O57" s="19"/>
      <c r="P57" s="19"/>
      <c r="Q57" s="19">
        <v>2700</v>
      </c>
      <c r="R57" s="19"/>
      <c r="S57" s="9"/>
      <c r="T57" s="9"/>
      <c r="U57" s="46"/>
      <c r="V57" s="20"/>
      <c r="W57" s="9"/>
      <c r="AA57" s="1">
        <v>2</v>
      </c>
      <c r="AE57" s="1">
        <v>5</v>
      </c>
      <c r="AG57" s="1">
        <v>0</v>
      </c>
      <c r="AH57" s="1">
        <v>12</v>
      </c>
      <c r="AI57" s="1">
        <v>3</v>
      </c>
      <c r="AJ57" s="1" t="s">
        <v>527</v>
      </c>
      <c r="AO57" s="19"/>
      <c r="AP57" s="8"/>
      <c r="AQ57" s="8"/>
      <c r="AR57" s="8"/>
      <c r="AS57" s="8">
        <f>42*Umrechnungsfaktoren!$B$15/Umrechnungsfaktoren!$B$13</f>
        <v>43.379104477611939</v>
      </c>
      <c r="AT57" s="1">
        <f>220*Umrechnungsfaktoren!$B$15/Umrechnungsfaktoren!$B$13</f>
        <v>227.22388059701493</v>
      </c>
      <c r="AY57" s="13">
        <v>142</v>
      </c>
      <c r="AZ57" s="13">
        <v>142</v>
      </c>
      <c r="BA57" s="13"/>
      <c r="BB57" s="13"/>
      <c r="BC57" s="13"/>
      <c r="BD57" s="13"/>
      <c r="BE57" s="1" t="s">
        <v>531</v>
      </c>
      <c r="BF57" s="13"/>
      <c r="BG57" s="1">
        <v>142</v>
      </c>
      <c r="BH57" s="1">
        <v>142</v>
      </c>
      <c r="BI57" s="1">
        <v>142</v>
      </c>
      <c r="BM57" s="1">
        <v>142</v>
      </c>
      <c r="BN57" s="1">
        <v>142</v>
      </c>
    </row>
    <row r="58" spans="1:66" x14ac:dyDescent="0.25">
      <c r="A58" s="1" t="s">
        <v>535</v>
      </c>
      <c r="B58" s="1" t="s">
        <v>126</v>
      </c>
      <c r="C58" s="1">
        <v>2010</v>
      </c>
      <c r="D58" s="1">
        <v>0</v>
      </c>
      <c r="E58" s="1">
        <v>1</v>
      </c>
      <c r="F58" s="1">
        <v>0</v>
      </c>
      <c r="J58" s="19"/>
      <c r="K58" s="19"/>
      <c r="L58" s="19"/>
      <c r="M58" s="19"/>
      <c r="N58" s="19"/>
      <c r="O58" s="19"/>
      <c r="P58" s="19"/>
      <c r="Q58" s="19"/>
      <c r="R58" s="19"/>
      <c r="S58" s="9"/>
      <c r="T58" s="9"/>
      <c r="U58" s="46"/>
      <c r="V58" s="20"/>
      <c r="W58" s="9"/>
      <c r="Y58" s="65"/>
      <c r="Z58" s="65"/>
      <c r="AB58" s="1">
        <v>1</v>
      </c>
      <c r="AC58" s="1">
        <v>8</v>
      </c>
      <c r="AO58" s="19"/>
      <c r="AP58" s="8"/>
      <c r="AQ58" s="8"/>
      <c r="AR58" s="8"/>
      <c r="AS58" s="8"/>
      <c r="AY58" s="13"/>
      <c r="BA58" s="13"/>
      <c r="BB58" s="13"/>
      <c r="BC58" s="13"/>
      <c r="BD58" s="13"/>
      <c r="BE58" s="13"/>
      <c r="BF58" s="13"/>
      <c r="BG58" s="1">
        <v>211</v>
      </c>
    </row>
    <row r="59" spans="1:66" x14ac:dyDescent="0.25">
      <c r="A59" s="1" t="s">
        <v>536</v>
      </c>
      <c r="B59" s="1" t="s">
        <v>126</v>
      </c>
      <c r="C59" s="1">
        <v>2010</v>
      </c>
      <c r="D59" s="1">
        <v>1</v>
      </c>
      <c r="E59" s="1">
        <v>0</v>
      </c>
      <c r="F59" s="1">
        <v>0</v>
      </c>
      <c r="J59" s="19"/>
      <c r="K59" s="19"/>
      <c r="L59" s="19"/>
      <c r="M59" s="19"/>
      <c r="N59" s="19"/>
      <c r="O59" s="19"/>
      <c r="P59" s="19"/>
      <c r="Q59" s="19"/>
      <c r="R59" s="19"/>
      <c r="S59" s="9"/>
      <c r="T59" s="9"/>
      <c r="U59" s="46"/>
      <c r="V59" s="20"/>
      <c r="W59" s="9"/>
      <c r="Y59" s="1">
        <v>0.25</v>
      </c>
      <c r="Z59" s="1">
        <v>1</v>
      </c>
      <c r="AO59" s="19"/>
      <c r="AP59" s="8"/>
      <c r="AQ59" s="8"/>
      <c r="AR59" s="8"/>
      <c r="AS59" s="8"/>
      <c r="AY59" s="13"/>
      <c r="BA59" s="13"/>
      <c r="BB59" s="13"/>
      <c r="BC59" s="13"/>
      <c r="BD59" s="13"/>
      <c r="BE59" s="13"/>
      <c r="BF59" s="13"/>
      <c r="BG59" s="1">
        <v>211</v>
      </c>
    </row>
    <row r="60" spans="1:66" x14ac:dyDescent="0.25">
      <c r="A60" s="1" t="s">
        <v>537</v>
      </c>
      <c r="B60" s="1" t="s">
        <v>126</v>
      </c>
      <c r="C60" s="1">
        <v>2010</v>
      </c>
      <c r="D60" s="1">
        <v>1</v>
      </c>
      <c r="E60" s="1">
        <v>0</v>
      </c>
      <c r="F60" s="1">
        <v>0</v>
      </c>
      <c r="J60" s="19"/>
      <c r="K60" s="19"/>
      <c r="L60" s="19"/>
      <c r="M60" s="19"/>
      <c r="N60" s="19"/>
      <c r="O60" s="19"/>
      <c r="P60" s="19"/>
      <c r="Q60" s="19"/>
      <c r="R60" s="19"/>
      <c r="S60" s="9"/>
      <c r="T60" s="9"/>
      <c r="U60" s="46"/>
      <c r="V60" s="20"/>
      <c r="W60" s="9"/>
      <c r="Y60" s="1">
        <f>1/60</f>
        <v>1.6666666666666666E-2</v>
      </c>
      <c r="Z60" s="1">
        <v>0.5</v>
      </c>
      <c r="AO60" s="19"/>
      <c r="AP60" s="8"/>
      <c r="AQ60" s="8"/>
      <c r="AR60" s="8"/>
      <c r="AS60" s="8"/>
      <c r="AY60" s="13"/>
      <c r="BA60" s="13"/>
      <c r="BB60" s="13"/>
      <c r="BC60" s="13"/>
      <c r="BD60" s="13"/>
      <c r="BE60" s="13"/>
      <c r="BF60" s="13"/>
      <c r="BG60" s="1">
        <v>211</v>
      </c>
    </row>
    <row r="61" spans="1:66" x14ac:dyDescent="0.25">
      <c r="A61" s="1" t="s">
        <v>542</v>
      </c>
      <c r="B61" s="1" t="s">
        <v>126</v>
      </c>
      <c r="C61" s="1">
        <v>2015</v>
      </c>
      <c r="D61" s="1">
        <v>1</v>
      </c>
      <c r="E61" s="1">
        <v>0</v>
      </c>
      <c r="F61" s="1">
        <v>0</v>
      </c>
      <c r="J61" s="19"/>
      <c r="K61" s="19"/>
      <c r="L61" s="19">
        <v>1177</v>
      </c>
      <c r="M61" s="19"/>
      <c r="N61" s="19"/>
      <c r="O61" s="19"/>
      <c r="P61" s="19"/>
      <c r="Q61" s="19">
        <v>1177</v>
      </c>
      <c r="R61" s="19"/>
      <c r="S61" s="9"/>
      <c r="T61" s="9"/>
      <c r="U61" s="46">
        <v>500</v>
      </c>
      <c r="V61" s="20"/>
      <c r="W61" s="9"/>
      <c r="AJ61" s="1" t="s">
        <v>551</v>
      </c>
      <c r="AO61" s="22">
        <f>6.2*Umrechnungsfaktoren!$B$15/Umrechnungsfaktoren!$B$13</f>
        <v>6.4035820895522386</v>
      </c>
      <c r="AP61" s="8"/>
      <c r="AQ61" s="8"/>
      <c r="AR61" s="8"/>
      <c r="AS61" s="8"/>
      <c r="AY61" s="13"/>
      <c r="BA61" s="13"/>
      <c r="BB61" s="13"/>
      <c r="BC61" s="13"/>
      <c r="BD61" s="13"/>
      <c r="BE61" s="13"/>
      <c r="BF61" s="13"/>
      <c r="BK61" s="1" t="s">
        <v>552</v>
      </c>
      <c r="BN61" s="1">
        <v>244</v>
      </c>
    </row>
    <row r="62" spans="1:66" x14ac:dyDescent="0.25">
      <c r="A62" s="1" t="s">
        <v>542</v>
      </c>
      <c r="B62" s="1" t="s">
        <v>126</v>
      </c>
      <c r="C62" s="1">
        <v>2020</v>
      </c>
      <c r="D62" s="1">
        <v>1</v>
      </c>
      <c r="E62" s="1">
        <v>0</v>
      </c>
      <c r="F62" s="1">
        <v>0</v>
      </c>
      <c r="J62" s="19"/>
      <c r="K62" s="19"/>
      <c r="L62" s="19">
        <v>1101</v>
      </c>
      <c r="M62" s="19"/>
      <c r="N62" s="19"/>
      <c r="O62" s="19"/>
      <c r="P62" s="19"/>
      <c r="Q62" s="19">
        <v>1101</v>
      </c>
      <c r="R62" s="19"/>
      <c r="S62" s="9"/>
      <c r="T62" s="9"/>
      <c r="U62" s="46">
        <v>500</v>
      </c>
      <c r="V62" s="20"/>
      <c r="W62" s="9"/>
      <c r="AJ62" s="1" t="s">
        <v>551</v>
      </c>
      <c r="AO62" s="22">
        <v>5.6</v>
      </c>
      <c r="AP62" s="8"/>
      <c r="AQ62" s="8"/>
      <c r="AR62" s="8"/>
      <c r="AS62" s="8"/>
      <c r="AY62" s="13"/>
      <c r="BA62" s="13"/>
      <c r="BB62" s="13"/>
      <c r="BC62" s="13"/>
      <c r="BD62" s="13"/>
      <c r="BE62" s="13"/>
      <c r="BF62" s="13"/>
      <c r="BK62" s="1" t="s">
        <v>552</v>
      </c>
      <c r="BN62" s="1">
        <v>244</v>
      </c>
    </row>
    <row r="63" spans="1:66" x14ac:dyDescent="0.25">
      <c r="A63" s="1" t="s">
        <v>542</v>
      </c>
      <c r="B63" s="1" t="s">
        <v>126</v>
      </c>
      <c r="C63" s="1">
        <v>2025</v>
      </c>
      <c r="D63" s="1">
        <v>1</v>
      </c>
      <c r="E63" s="1">
        <v>0</v>
      </c>
      <c r="F63" s="1">
        <v>0</v>
      </c>
      <c r="J63" s="19"/>
      <c r="K63" s="19"/>
      <c r="L63" s="19">
        <v>1142</v>
      </c>
      <c r="M63" s="19"/>
      <c r="N63" s="19"/>
      <c r="O63" s="19"/>
      <c r="P63" s="19"/>
      <c r="Q63" s="19">
        <v>1142</v>
      </c>
      <c r="R63" s="19"/>
      <c r="S63" s="9"/>
      <c r="T63" s="9"/>
      <c r="U63" s="46">
        <v>500</v>
      </c>
      <c r="V63" s="20"/>
      <c r="W63" s="9"/>
      <c r="AJ63" s="1" t="s">
        <v>551</v>
      </c>
      <c r="AO63" s="22">
        <v>5.3</v>
      </c>
      <c r="AP63" s="8"/>
      <c r="AQ63" s="8"/>
      <c r="AR63" s="8"/>
      <c r="AS63" s="8"/>
      <c r="AY63" s="13"/>
      <c r="BA63" s="13"/>
      <c r="BB63" s="13"/>
      <c r="BC63" s="13"/>
      <c r="BD63" s="13"/>
      <c r="BE63" s="13"/>
      <c r="BF63" s="13"/>
      <c r="BK63" s="1" t="s">
        <v>552</v>
      </c>
      <c r="BN63" s="1">
        <v>244</v>
      </c>
    </row>
    <row r="64" spans="1:66" x14ac:dyDescent="0.25">
      <c r="A64" s="1" t="s">
        <v>542</v>
      </c>
      <c r="B64" s="1" t="s">
        <v>126</v>
      </c>
      <c r="C64" s="1">
        <v>2030</v>
      </c>
      <c r="D64" s="1">
        <v>1</v>
      </c>
      <c r="E64" s="1">
        <v>0</v>
      </c>
      <c r="F64" s="1">
        <v>0</v>
      </c>
      <c r="J64" s="19"/>
      <c r="K64" s="19"/>
      <c r="L64" s="19">
        <v>1179</v>
      </c>
      <c r="M64" s="19"/>
      <c r="N64" s="19"/>
      <c r="O64" s="19"/>
      <c r="P64" s="19"/>
      <c r="Q64" s="19">
        <v>1179</v>
      </c>
      <c r="R64" s="19"/>
      <c r="S64" s="9"/>
      <c r="T64" s="9"/>
      <c r="U64" s="46">
        <v>500</v>
      </c>
      <c r="V64" s="20"/>
      <c r="W64" s="9"/>
      <c r="AJ64" s="1" t="s">
        <v>551</v>
      </c>
      <c r="AO64" s="22">
        <v>4.9000000000000004</v>
      </c>
      <c r="AP64" s="8"/>
      <c r="AQ64" s="8"/>
      <c r="AR64" s="8"/>
      <c r="AS64" s="8"/>
      <c r="AY64" s="13"/>
      <c r="BA64" s="13"/>
      <c r="BB64" s="13"/>
      <c r="BC64" s="13"/>
      <c r="BD64" s="13"/>
      <c r="BE64" s="13"/>
      <c r="BF64" s="13"/>
      <c r="BK64" s="1" t="s">
        <v>552</v>
      </c>
      <c r="BN64" s="1">
        <v>244</v>
      </c>
    </row>
    <row r="66" spans="1:1" ht="13" x14ac:dyDescent="0.3">
      <c r="A66" s="36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2000000}">
          <x14:formula1>
            <xm:f>Dropdown!$C$2:$C$4</xm:f>
          </x14:formula1>
          <xm:sqref>B2:B64</xm:sqref>
        </x14:dataValidation>
        <x14:dataValidation type="list" allowBlank="1" showInputMessage="1" showErrorMessage="1" xr:uid="{00000000-0002-0000-0F00-000000000000}">
          <x14:formula1>
            <xm:f>Dropdown!$A$2:$A$54</xm:f>
          </x14:formula1>
          <xm:sqref>A54:A57 A2:A49</xm:sqref>
        </x14:dataValidation>
        <x14:dataValidation type="list" allowBlank="1" showInputMessage="1" showErrorMessage="1" xr:uid="{00000000-0002-0000-0F00-000001000000}">
          <x14:formula1>
            <xm:f>Dropdown!$A$2:$A$92</xm:f>
          </x14:formula1>
          <xm:sqref>A50:A53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23"/>
  <dimension ref="A1:N6"/>
  <sheetViews>
    <sheetView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F7" sqref="F7"/>
    </sheetView>
  </sheetViews>
  <sheetFormatPr baseColWidth="10" defaultColWidth="11.453125" defaultRowHeight="12.5" x14ac:dyDescent="0.25"/>
  <cols>
    <col min="1" max="1" width="48.5429687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38.81640625" style="1" bestFit="1" customWidth="1"/>
    <col min="8" max="8" width="24.453125" style="1" customWidth="1"/>
    <col min="9" max="9" width="37.7265625" style="1" bestFit="1" customWidth="1"/>
    <col min="10" max="11" width="35.54296875" style="1" customWidth="1"/>
    <col min="12" max="12" width="31.7265625" style="1" bestFit="1" customWidth="1"/>
    <col min="13" max="14" width="31.54296875" style="1" customWidth="1"/>
    <col min="15" max="16384" width="11.453125" style="1"/>
  </cols>
  <sheetData>
    <row r="1" spans="1:14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1132</v>
      </c>
      <c r="H1" s="2" t="s">
        <v>327</v>
      </c>
      <c r="I1" s="2" t="s">
        <v>113</v>
      </c>
      <c r="J1" s="2" t="s">
        <v>161</v>
      </c>
      <c r="K1" s="2" t="s">
        <v>162</v>
      </c>
      <c r="L1" s="2" t="s">
        <v>1</v>
      </c>
      <c r="M1" s="2" t="s">
        <v>1123</v>
      </c>
      <c r="N1" s="2" t="s">
        <v>114</v>
      </c>
    </row>
    <row r="2" spans="1:14" x14ac:dyDescent="0.25">
      <c r="A2" s="6" t="s">
        <v>51</v>
      </c>
      <c r="B2" s="1" t="s">
        <v>126</v>
      </c>
      <c r="C2" s="1">
        <v>2014</v>
      </c>
      <c r="D2" s="1">
        <v>0</v>
      </c>
      <c r="E2" s="1">
        <v>1</v>
      </c>
      <c r="F2" s="1">
        <v>0</v>
      </c>
      <c r="G2" s="19">
        <v>484</v>
      </c>
      <c r="H2" s="9">
        <v>0.69</v>
      </c>
      <c r="I2" s="20">
        <v>696</v>
      </c>
      <c r="J2" s="1" t="s">
        <v>328</v>
      </c>
      <c r="K2" s="1" t="s">
        <v>328</v>
      </c>
      <c r="L2" s="13">
        <v>54</v>
      </c>
      <c r="M2" s="13">
        <v>54</v>
      </c>
      <c r="N2" s="13">
        <v>54</v>
      </c>
    </row>
    <row r="3" spans="1:14" x14ac:dyDescent="0.25">
      <c r="A3" s="1" t="s">
        <v>325</v>
      </c>
      <c r="B3" s="1" t="s">
        <v>126</v>
      </c>
      <c r="C3" s="1">
        <v>2014</v>
      </c>
      <c r="D3" s="1">
        <v>0</v>
      </c>
      <c r="E3" s="1">
        <v>1</v>
      </c>
      <c r="F3" s="1">
        <v>0</v>
      </c>
      <c r="G3" s="19">
        <v>932</v>
      </c>
      <c r="H3" s="9">
        <v>0.52</v>
      </c>
      <c r="I3" s="20">
        <v>1804</v>
      </c>
      <c r="J3" s="1" t="s">
        <v>328</v>
      </c>
      <c r="K3" s="1" t="s">
        <v>328</v>
      </c>
      <c r="L3" s="13">
        <v>54</v>
      </c>
      <c r="M3" s="13">
        <v>54</v>
      </c>
      <c r="N3" s="13">
        <v>54</v>
      </c>
    </row>
    <row r="4" spans="1:14" x14ac:dyDescent="0.25">
      <c r="A4" s="1" t="s">
        <v>938</v>
      </c>
      <c r="B4" s="1" t="s">
        <v>126</v>
      </c>
      <c r="C4" s="1">
        <v>2014</v>
      </c>
      <c r="D4" s="1">
        <v>0</v>
      </c>
      <c r="E4" s="1">
        <v>1</v>
      </c>
      <c r="F4" s="1">
        <v>0</v>
      </c>
      <c r="G4" s="19">
        <v>219</v>
      </c>
      <c r="H4" s="9">
        <v>0.6</v>
      </c>
      <c r="I4" s="20">
        <v>365</v>
      </c>
      <c r="J4" s="1" t="s">
        <v>328</v>
      </c>
      <c r="K4" s="1" t="s">
        <v>328</v>
      </c>
      <c r="L4" s="13">
        <v>54</v>
      </c>
      <c r="M4" s="13">
        <v>54</v>
      </c>
      <c r="N4" s="13">
        <v>54</v>
      </c>
    </row>
    <row r="5" spans="1:14" x14ac:dyDescent="0.25">
      <c r="A5" s="1" t="s">
        <v>81</v>
      </c>
      <c r="B5" s="1" t="s">
        <v>126</v>
      </c>
      <c r="C5" s="1">
        <v>2014</v>
      </c>
      <c r="D5" s="1">
        <v>0</v>
      </c>
      <c r="E5" s="1">
        <v>1</v>
      </c>
      <c r="F5" s="1">
        <v>0</v>
      </c>
      <c r="G5" s="19">
        <v>892</v>
      </c>
      <c r="H5" s="9">
        <v>1</v>
      </c>
      <c r="I5" s="20">
        <v>90</v>
      </c>
      <c r="J5" s="1" t="s">
        <v>328</v>
      </c>
      <c r="K5" s="1" t="s">
        <v>328</v>
      </c>
      <c r="L5" s="13">
        <v>54</v>
      </c>
      <c r="M5" s="13">
        <v>54</v>
      </c>
      <c r="N5" s="13">
        <v>54</v>
      </c>
    </row>
    <row r="6" spans="1:14" x14ac:dyDescent="0.25">
      <c r="A6" s="1" t="s">
        <v>185</v>
      </c>
      <c r="B6" s="1" t="s">
        <v>126</v>
      </c>
      <c r="C6" s="1">
        <v>2014</v>
      </c>
      <c r="D6" s="1">
        <v>0</v>
      </c>
      <c r="E6" s="1">
        <v>1</v>
      </c>
      <c r="F6" s="1">
        <v>0</v>
      </c>
      <c r="G6" s="19">
        <v>1473</v>
      </c>
      <c r="H6" s="9">
        <v>0.73</v>
      </c>
      <c r="I6" s="20">
        <v>2047</v>
      </c>
      <c r="J6" s="1" t="s">
        <v>328</v>
      </c>
      <c r="K6" s="1" t="s">
        <v>328</v>
      </c>
      <c r="L6" s="13">
        <v>54</v>
      </c>
      <c r="M6" s="13">
        <v>54</v>
      </c>
      <c r="N6" s="13">
        <v>54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Dropdown!$C$2:$C$4</xm:f>
          </x14:formula1>
          <xm:sqref>B2:B6</xm:sqref>
        </x14:dataValidation>
        <x14:dataValidation type="list" allowBlank="1" showInputMessage="1" showErrorMessage="1" xr:uid="{00000000-0002-0000-0800-000001000000}">
          <x14:formula1>
            <xm:f>Dropdown!$A$2:$A$54</xm:f>
          </x14:formula1>
          <xm:sqref>A2</xm:sqref>
        </x14:dataValidation>
        <x14:dataValidation type="list" allowBlank="1" showInputMessage="1" showErrorMessage="1" xr:uid="{00000000-0002-0000-0800-000002000000}">
          <x14:formula1>
            <xm:f>Dropdown!$A$2:$A$91</xm:f>
          </x14:formula1>
          <xm:sqref>A3:A6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4"/>
  <dimension ref="A1:L9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baseColWidth="10" defaultColWidth="11.453125" defaultRowHeight="14" x14ac:dyDescent="0.3"/>
  <cols>
    <col min="1" max="1" width="31.81640625" style="17" bestFit="1" customWidth="1"/>
    <col min="2" max="2" width="21.26953125" style="17" bestFit="1" customWidth="1"/>
    <col min="3" max="3" width="7.26953125" style="17" bestFit="1" customWidth="1"/>
    <col min="4" max="4" width="19.26953125" style="17" bestFit="1" customWidth="1"/>
    <col min="5" max="5" width="14.1796875" style="17" bestFit="1" customWidth="1"/>
    <col min="6" max="6" width="14.1796875" style="17" customWidth="1"/>
    <col min="7" max="7" width="20.26953125" style="17" bestFit="1" customWidth="1"/>
    <col min="8" max="8" width="21.54296875" style="17" bestFit="1" customWidth="1"/>
    <col min="9" max="9" width="89.81640625" style="17" bestFit="1" customWidth="1"/>
    <col min="10" max="10" width="26.453125" style="17" bestFit="1" customWidth="1"/>
    <col min="11" max="11" width="24.54296875" style="17" bestFit="1" customWidth="1"/>
    <col min="12" max="12" width="44.26953125" style="17" bestFit="1" customWidth="1"/>
    <col min="13" max="16384" width="11.453125" style="17"/>
  </cols>
  <sheetData>
    <row r="1" spans="1:12" s="1" customFormat="1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541</v>
      </c>
      <c r="H1" s="2" t="s">
        <v>1131</v>
      </c>
      <c r="I1" s="2" t="s">
        <v>20</v>
      </c>
      <c r="J1" s="2" t="s">
        <v>1</v>
      </c>
      <c r="K1" s="2" t="s">
        <v>5</v>
      </c>
      <c r="L1" s="2" t="s">
        <v>49</v>
      </c>
    </row>
    <row r="2" spans="1:12" s="1" customFormat="1" ht="12.5" x14ac:dyDescent="0.25">
      <c r="A2" s="6" t="s">
        <v>183</v>
      </c>
      <c r="B2" s="1" t="s">
        <v>126</v>
      </c>
      <c r="C2" s="1">
        <v>2010</v>
      </c>
      <c r="D2" s="1">
        <v>0</v>
      </c>
      <c r="E2" s="1">
        <v>1</v>
      </c>
      <c r="F2" s="1">
        <v>0</v>
      </c>
      <c r="G2" s="19">
        <v>200</v>
      </c>
      <c r="H2" s="1">
        <v>1</v>
      </c>
      <c r="I2" s="1" t="s">
        <v>191</v>
      </c>
      <c r="J2" s="13">
        <v>15</v>
      </c>
      <c r="K2" s="13">
        <v>15</v>
      </c>
      <c r="L2" s="1" t="s">
        <v>192</v>
      </c>
    </row>
    <row r="3" spans="1:12" x14ac:dyDescent="0.3">
      <c r="A3" s="1" t="s">
        <v>184</v>
      </c>
      <c r="B3" s="1" t="s">
        <v>126</v>
      </c>
      <c r="C3" s="1">
        <v>2010</v>
      </c>
      <c r="D3" s="1">
        <v>0</v>
      </c>
      <c r="E3" s="1">
        <v>1</v>
      </c>
      <c r="F3" s="1">
        <v>0</v>
      </c>
      <c r="G3" s="19">
        <v>520</v>
      </c>
      <c r="H3" s="1">
        <v>1</v>
      </c>
      <c r="I3" s="1" t="s">
        <v>191</v>
      </c>
      <c r="J3" s="13">
        <v>15</v>
      </c>
      <c r="K3" s="1">
        <v>15</v>
      </c>
      <c r="L3" s="1" t="s">
        <v>192</v>
      </c>
    </row>
    <row r="4" spans="1:12" x14ac:dyDescent="0.3">
      <c r="A4" s="6" t="s">
        <v>185</v>
      </c>
      <c r="B4" s="1" t="s">
        <v>126</v>
      </c>
      <c r="C4" s="1">
        <v>2010</v>
      </c>
      <c r="D4" s="1">
        <v>0</v>
      </c>
      <c r="E4" s="1">
        <v>1</v>
      </c>
      <c r="F4" s="1">
        <v>0</v>
      </c>
      <c r="G4" s="19">
        <v>200</v>
      </c>
      <c r="H4" s="1">
        <v>1</v>
      </c>
      <c r="I4" s="1" t="s">
        <v>191</v>
      </c>
      <c r="J4" s="13">
        <v>15</v>
      </c>
      <c r="K4" s="1">
        <v>15</v>
      </c>
      <c r="L4" s="1" t="s">
        <v>192</v>
      </c>
    </row>
    <row r="5" spans="1:12" x14ac:dyDescent="0.3">
      <c r="A5" s="1" t="s">
        <v>186</v>
      </c>
      <c r="B5" s="1" t="s">
        <v>126</v>
      </c>
      <c r="C5" s="1">
        <v>2010</v>
      </c>
      <c r="D5" s="1">
        <v>0</v>
      </c>
      <c r="E5" s="1">
        <v>1</v>
      </c>
      <c r="F5" s="1">
        <v>0</v>
      </c>
      <c r="G5" s="19">
        <v>580</v>
      </c>
      <c r="H5" s="1">
        <v>1</v>
      </c>
      <c r="I5" s="1" t="s">
        <v>191</v>
      </c>
      <c r="J5" s="13">
        <v>15</v>
      </c>
      <c r="K5" s="1">
        <v>15</v>
      </c>
      <c r="L5" s="1" t="s">
        <v>192</v>
      </c>
    </row>
    <row r="6" spans="1:12" x14ac:dyDescent="0.3">
      <c r="A6" s="6" t="s">
        <v>187</v>
      </c>
      <c r="B6" s="1" t="s">
        <v>126</v>
      </c>
      <c r="C6" s="1">
        <v>2010</v>
      </c>
      <c r="D6" s="1">
        <v>0</v>
      </c>
      <c r="E6" s="1">
        <v>1</v>
      </c>
      <c r="F6" s="1">
        <v>0</v>
      </c>
      <c r="G6" s="19">
        <v>180</v>
      </c>
      <c r="H6" s="1">
        <v>1</v>
      </c>
      <c r="I6" s="1" t="s">
        <v>191</v>
      </c>
      <c r="J6" s="13">
        <v>15</v>
      </c>
      <c r="K6" s="1">
        <v>15</v>
      </c>
      <c r="L6" s="1" t="s">
        <v>192</v>
      </c>
    </row>
    <row r="7" spans="1:12" x14ac:dyDescent="0.3">
      <c r="A7" s="1" t="s">
        <v>188</v>
      </c>
      <c r="B7" s="1" t="s">
        <v>126</v>
      </c>
      <c r="C7" s="1">
        <v>2010</v>
      </c>
      <c r="D7" s="1">
        <v>0</v>
      </c>
      <c r="E7" s="1">
        <v>1</v>
      </c>
      <c r="F7" s="1">
        <v>0</v>
      </c>
      <c r="G7" s="19">
        <v>90</v>
      </c>
      <c r="H7" s="1">
        <v>1</v>
      </c>
      <c r="I7" s="1" t="s">
        <v>191</v>
      </c>
      <c r="J7" s="13">
        <v>15</v>
      </c>
      <c r="K7" s="1">
        <v>15</v>
      </c>
      <c r="L7" s="1" t="s">
        <v>192</v>
      </c>
    </row>
    <row r="8" spans="1:12" x14ac:dyDescent="0.3">
      <c r="A8" s="6" t="s">
        <v>189</v>
      </c>
      <c r="B8" s="1" t="s">
        <v>126</v>
      </c>
      <c r="C8" s="1">
        <v>2010</v>
      </c>
      <c r="D8" s="1">
        <v>0</v>
      </c>
      <c r="E8" s="1">
        <v>1</v>
      </c>
      <c r="F8" s="1">
        <v>0</v>
      </c>
      <c r="G8" s="19">
        <v>130</v>
      </c>
      <c r="H8" s="1">
        <v>1</v>
      </c>
      <c r="I8" s="1" t="s">
        <v>191</v>
      </c>
      <c r="J8" s="13">
        <v>15</v>
      </c>
      <c r="K8" s="1">
        <v>15</v>
      </c>
      <c r="L8" s="1" t="s">
        <v>192</v>
      </c>
    </row>
    <row r="9" spans="1:12" x14ac:dyDescent="0.3">
      <c r="A9" s="1" t="s">
        <v>190</v>
      </c>
      <c r="B9" s="1" t="s">
        <v>126</v>
      </c>
      <c r="C9" s="1">
        <v>2010</v>
      </c>
      <c r="D9" s="1">
        <v>0</v>
      </c>
      <c r="E9" s="1">
        <v>1</v>
      </c>
      <c r="F9" s="1">
        <v>0</v>
      </c>
      <c r="G9" s="19">
        <v>500</v>
      </c>
      <c r="H9" s="1">
        <v>1</v>
      </c>
      <c r="I9" s="1" t="s">
        <v>191</v>
      </c>
      <c r="J9" s="13">
        <v>15</v>
      </c>
      <c r="K9" s="1">
        <v>15</v>
      </c>
      <c r="L9" s="1" t="s">
        <v>192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Dropdown!$C$2:$C$4</xm:f>
          </x14:formula1>
          <xm:sqref>B2:B9</xm:sqref>
        </x14:dataValidation>
        <x14:dataValidation type="list" allowBlank="1" showInputMessage="1" showErrorMessage="1" xr:uid="{00000000-0002-0000-0400-000001000000}">
          <x14:formula1>
            <xm:f>Dropdown!$A$2:$A$54</xm:f>
          </x14:formula1>
          <xm:sqref>A2:A9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26"/>
  <dimension ref="A1:O77"/>
  <sheetViews>
    <sheetView workbookViewId="0">
      <selection activeCell="F2" sqref="F2"/>
    </sheetView>
  </sheetViews>
  <sheetFormatPr baseColWidth="10" defaultRowHeight="14.5" x14ac:dyDescent="0.35"/>
  <cols>
    <col min="1" max="1" width="30.453125" bestFit="1" customWidth="1"/>
    <col min="2" max="2" width="30.453125" customWidth="1"/>
    <col min="4" max="4" width="12.26953125" bestFit="1" customWidth="1"/>
    <col min="5" max="5" width="25.1796875" bestFit="1" customWidth="1"/>
    <col min="6" max="6" width="22.453125" bestFit="1" customWidth="1"/>
    <col min="7" max="7" width="39.81640625" bestFit="1" customWidth="1"/>
    <col min="8" max="8" width="43.1796875" bestFit="1" customWidth="1"/>
    <col min="9" max="9" width="35.7265625" bestFit="1" customWidth="1"/>
    <col min="10" max="10" width="20.26953125" bestFit="1" customWidth="1"/>
    <col min="14" max="14" width="22.26953125" bestFit="1" customWidth="1"/>
  </cols>
  <sheetData>
    <row r="1" spans="1:15" x14ac:dyDescent="0.35">
      <c r="A1" s="4" t="s">
        <v>0</v>
      </c>
      <c r="B1" s="2" t="s">
        <v>128</v>
      </c>
      <c r="C1" s="4" t="s">
        <v>8</v>
      </c>
      <c r="D1" s="2" t="s">
        <v>395</v>
      </c>
      <c r="E1" s="2" t="s">
        <v>396</v>
      </c>
      <c r="F1" s="2" t="s">
        <v>397</v>
      </c>
      <c r="G1" s="2" t="s">
        <v>393</v>
      </c>
      <c r="H1" s="2" t="s">
        <v>394</v>
      </c>
      <c r="I1" s="2" t="s">
        <v>399</v>
      </c>
      <c r="J1" s="2" t="s">
        <v>401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35">
      <c r="A2" s="1" t="s">
        <v>51</v>
      </c>
      <c r="B2" s="1" t="s">
        <v>126</v>
      </c>
      <c r="C2" s="1">
        <v>2010</v>
      </c>
      <c r="D2" s="8">
        <f>Tabelle223[[#This Row],[Produktionskapazität Mt]]*Tabelle223[[#This Row],[spez. Verbrauch (kWh/t)]]*10^-3</f>
        <v>53.2</v>
      </c>
      <c r="E2" s="8">
        <v>14000</v>
      </c>
      <c r="F2" s="1">
        <v>3.8</v>
      </c>
      <c r="G2" s="37">
        <v>-5.0000000000000001E-3</v>
      </c>
      <c r="H2" s="37">
        <v>-5.0000000000000001E-3</v>
      </c>
      <c r="I2" s="37"/>
      <c r="J2" s="37"/>
      <c r="K2" s="1"/>
      <c r="L2" s="19"/>
      <c r="M2" s="19"/>
      <c r="N2" s="19"/>
      <c r="O2" s="11">
        <v>56</v>
      </c>
    </row>
    <row r="3" spans="1:15" x14ac:dyDescent="0.35">
      <c r="A3" s="1" t="s">
        <v>51</v>
      </c>
      <c r="B3" s="1" t="s">
        <v>126</v>
      </c>
      <c r="C3" s="1">
        <v>2020</v>
      </c>
      <c r="D3" s="8">
        <f>Tabelle223[[#This Row],[Produktionskapazität Mt]]*Tabelle223[[#This Row],[spez. Verbrauch (kWh/t)]]*10^-3</f>
        <v>48.125277550609667</v>
      </c>
      <c r="E3" s="8">
        <f>E2*(1+G2)^(Tabelle223[[#This Row],[Jahr]]-C2)</f>
        <v>13315.541826520808</v>
      </c>
      <c r="F3" s="8">
        <f>F2*(1+H2)^(Tabelle223[[#This Row],[Jahr]]-C2)</f>
        <v>3.6142184957699333</v>
      </c>
      <c r="G3" s="37">
        <v>-5.0000000000000001E-3</v>
      </c>
      <c r="H3" s="37">
        <v>-5.0000000000000001E-3</v>
      </c>
      <c r="I3" s="37"/>
      <c r="J3" s="37"/>
      <c r="K3" s="1"/>
      <c r="L3" s="19"/>
      <c r="M3" s="19"/>
      <c r="N3" s="19"/>
      <c r="O3" s="19" t="s">
        <v>400</v>
      </c>
    </row>
    <row r="4" spans="1:15" x14ac:dyDescent="0.35">
      <c r="A4" s="1" t="s">
        <v>51</v>
      </c>
      <c r="B4" s="1" t="s">
        <v>126</v>
      </c>
      <c r="C4" s="1">
        <v>2030</v>
      </c>
      <c r="D4" s="8">
        <f>Tabelle223[[#This Row],[Produktionskapazität Mt]]*Tabelle223[[#This Row],[spez. Verbrauch (kWh/t)]]*10^-3</f>
        <v>43.534630438406289</v>
      </c>
      <c r="E4" s="8">
        <f>E3*(1+G3)^(Tabelle223[[#This Row],[Jahr]]-C3)</f>
        <v>12664.546723844649</v>
      </c>
      <c r="F4" s="8">
        <f>F3*(1+H3)^(Tabelle223[[#This Row],[Jahr]]-C3)</f>
        <v>3.4375198250435473</v>
      </c>
      <c r="G4" s="37">
        <v>-5.0000000000000001E-3</v>
      </c>
      <c r="H4" s="37">
        <v>-5.0000000000000001E-3</v>
      </c>
      <c r="I4" s="37"/>
      <c r="J4" s="37"/>
      <c r="K4" s="1"/>
      <c r="L4" s="19"/>
      <c r="M4" s="19"/>
      <c r="N4" s="19"/>
      <c r="O4" s="19" t="s">
        <v>400</v>
      </c>
    </row>
    <row r="5" spans="1:15" x14ac:dyDescent="0.35">
      <c r="A5" s="1" t="s">
        <v>51</v>
      </c>
      <c r="B5" s="1" t="s">
        <v>126</v>
      </c>
      <c r="C5" s="1">
        <v>2050</v>
      </c>
      <c r="D5" s="8">
        <f>Tabelle223[[#This Row],[Produktionskapazität Mt]]*Tabelle223[[#This Row],[spez. Verbrauch (kWh/t)]]*10^-3</f>
        <v>35.625264049034051</v>
      </c>
      <c r="E5" s="8">
        <f>E4*(1+G4)^(Tabelle223[[#This Row],[Jahr]]-C4)</f>
        <v>11456.481694317445</v>
      </c>
      <c r="F5" s="8">
        <f>F4*(1+H4)^(Tabelle223[[#This Row],[Jahr]]-C4)</f>
        <v>3.1096164598861633</v>
      </c>
      <c r="G5" s="37">
        <v>-5.0000000000000001E-3</v>
      </c>
      <c r="H5" s="37">
        <v>-5.0000000000000001E-3</v>
      </c>
      <c r="I5" s="37"/>
      <c r="J5" s="37"/>
      <c r="K5" s="1"/>
      <c r="L5" s="19"/>
      <c r="M5" s="19"/>
      <c r="N5" s="19"/>
      <c r="O5" s="19" t="s">
        <v>400</v>
      </c>
    </row>
    <row r="6" spans="1:15" x14ac:dyDescent="0.35">
      <c r="A6" s="1" t="s">
        <v>27</v>
      </c>
      <c r="B6" s="1" t="s">
        <v>126</v>
      </c>
      <c r="C6" s="1">
        <v>2010</v>
      </c>
      <c r="D6" s="8">
        <f>Tabelle223[[#This Row],[Produktionskapazität Mt]]*Tabelle223[[#This Row],[spez. Verbrauch (kWh/t)]]*10^-3</f>
        <v>28.410000000000004</v>
      </c>
      <c r="E6" s="8">
        <f>(6.5*2100+4.1*3600)/10.6</f>
        <v>2680.1886792452833</v>
      </c>
      <c r="F6" s="8">
        <f>10.6</f>
        <v>10.6</v>
      </c>
      <c r="G6" s="37">
        <v>-5.0000000000000001E-3</v>
      </c>
      <c r="H6" s="37">
        <v>-2E-3</v>
      </c>
      <c r="I6" s="37"/>
      <c r="J6" s="37"/>
      <c r="K6" s="1"/>
      <c r="L6" s="19"/>
      <c r="M6" s="19"/>
      <c r="N6" s="19"/>
      <c r="O6" s="11">
        <v>56</v>
      </c>
    </row>
    <row r="7" spans="1:15" x14ac:dyDescent="0.35">
      <c r="A7" s="1" t="s">
        <v>27</v>
      </c>
      <c r="B7" s="1" t="s">
        <v>126</v>
      </c>
      <c r="C7" s="1">
        <v>2020</v>
      </c>
      <c r="D7" s="8">
        <f>Tabelle223[[#This Row],[Produktionskapazität Mt]]*Tabelle223[[#This Row],[spez. Verbrauch (kWh/t)]]*10^-3</f>
        <v>26.485455967763013</v>
      </c>
      <c r="E7" s="8">
        <f>E6*(1+G6)^(Tabelle223[[#This Row],[Jahr]]-C6)</f>
        <v>2549.1546043898666</v>
      </c>
      <c r="F7" s="8">
        <f>F6*(1+H6)^(Tabelle223[[#This Row],[Jahr]]-C6)</f>
        <v>10.389897859530665</v>
      </c>
      <c r="G7" s="37">
        <v>-5.0000000000000001E-3</v>
      </c>
      <c r="H7" s="37">
        <v>-2E-3</v>
      </c>
      <c r="I7" s="37"/>
      <c r="J7" s="37"/>
      <c r="K7" s="1"/>
      <c r="L7" s="19"/>
      <c r="M7" s="19"/>
      <c r="N7" s="19"/>
      <c r="O7" s="19" t="s">
        <v>400</v>
      </c>
    </row>
    <row r="8" spans="1:15" x14ac:dyDescent="0.35">
      <c r="A8" s="1" t="s">
        <v>27</v>
      </c>
      <c r="B8" s="1" t="s">
        <v>126</v>
      </c>
      <c r="C8" s="1">
        <v>2030</v>
      </c>
      <c r="D8" s="8">
        <f>Tabelle223[[#This Row],[Produktionskapazität Mt]]*Tabelle223[[#This Row],[spez. Verbrauch (kWh/t)]]*10^-3</f>
        <v>24.691283978187727</v>
      </c>
      <c r="E8" s="8">
        <f>E7*(1+G7)^(Tabelle223[[#This Row],[Jahr]]-C7)</f>
        <v>2424.5267683586694</v>
      </c>
      <c r="F8" s="8">
        <f>F7*(1+H7)^(Tabelle223[[#This Row],[Jahr]]-C7)</f>
        <v>10.183960144479235</v>
      </c>
      <c r="G8" s="37">
        <v>-5.0000000000000001E-3</v>
      </c>
      <c r="H8" s="37">
        <v>-2E-3</v>
      </c>
      <c r="I8" s="37"/>
      <c r="J8" s="37"/>
      <c r="K8" s="1"/>
      <c r="L8" s="19"/>
      <c r="M8" s="19"/>
      <c r="N8" s="19"/>
      <c r="O8" s="19" t="s">
        <v>400</v>
      </c>
    </row>
    <row r="9" spans="1:15" x14ac:dyDescent="0.35">
      <c r="A9" s="1" t="s">
        <v>27</v>
      </c>
      <c r="B9" s="1" t="s">
        <v>126</v>
      </c>
      <c r="C9" s="1">
        <v>2050</v>
      </c>
      <c r="D9" s="8">
        <f>Tabelle223[[#This Row],[Produktionskapazität Mt]]*Tabelle223[[#This Row],[spez. Verbrauch (kWh/t)]]*10^-3</f>
        <v>21.45932785960964</v>
      </c>
      <c r="E9" s="8">
        <f>E8*(1+G8)^(Tabelle223[[#This Row],[Jahr]]-C8)</f>
        <v>2193.2523243636028</v>
      </c>
      <c r="F9" s="8">
        <f>F8*(1+H8)^(Tabelle223[[#This Row],[Jahr]]-C8)</f>
        <v>9.7842494551265577</v>
      </c>
      <c r="G9" s="37">
        <v>-5.0000000000000001E-3</v>
      </c>
      <c r="H9" s="37">
        <v>-2E-3</v>
      </c>
      <c r="I9" s="37"/>
      <c r="J9" s="37"/>
      <c r="K9" s="1"/>
      <c r="L9" s="19"/>
      <c r="M9" s="19"/>
      <c r="N9" s="19"/>
      <c r="O9" s="19" t="s">
        <v>400</v>
      </c>
    </row>
    <row r="10" spans="1:15" x14ac:dyDescent="0.35">
      <c r="A10" s="1" t="s">
        <v>69</v>
      </c>
      <c r="B10" s="1" t="s">
        <v>126</v>
      </c>
      <c r="C10" s="1">
        <v>2010</v>
      </c>
      <c r="D10" s="8">
        <f>Tabelle223[[#This Row],[Produktionskapazität Mt]]*Tabelle223[[#This Row],[spez. Verbrauch (kWh/t)]]*10^-3</f>
        <v>1.085</v>
      </c>
      <c r="E10" s="8">
        <v>350</v>
      </c>
      <c r="F10" s="8">
        <v>3.1</v>
      </c>
      <c r="G10" s="37">
        <v>-3.0000000000000001E-3</v>
      </c>
      <c r="H10" s="37">
        <v>0</v>
      </c>
      <c r="I10" s="37"/>
      <c r="J10" s="37"/>
      <c r="K10" s="1"/>
      <c r="L10" s="19"/>
      <c r="M10" s="19"/>
      <c r="N10" s="19"/>
      <c r="O10" s="11">
        <v>56</v>
      </c>
    </row>
    <row r="11" spans="1:15" x14ac:dyDescent="0.35">
      <c r="A11" s="1" t="s">
        <v>69</v>
      </c>
      <c r="B11" s="1" t="s">
        <v>126</v>
      </c>
      <c r="C11" s="1">
        <v>2020</v>
      </c>
      <c r="D11" s="8">
        <f>Tabelle223[[#This Row],[Produktionskapazität Mt]]*Tabelle223[[#This Row],[spez. Verbrauch (kWh/t)]]*10^-3</f>
        <v>1.052885927989575</v>
      </c>
      <c r="E11" s="8">
        <f>E10*(1+G10)^(Tabelle223[[#This Row],[Jahr]]-C10)</f>
        <v>339.64062193212095</v>
      </c>
      <c r="F11" s="8">
        <f>F10*(1+H10)^(Tabelle223[[#This Row],[Jahr]]-C10)</f>
        <v>3.1</v>
      </c>
      <c r="G11" s="37">
        <v>-3.0000000000000001E-3</v>
      </c>
      <c r="H11" s="37">
        <v>0</v>
      </c>
      <c r="I11" s="37"/>
      <c r="J11" s="37"/>
      <c r="K11" s="1"/>
      <c r="L11" s="19"/>
      <c r="M11" s="19"/>
      <c r="N11" s="19"/>
      <c r="O11" s="19" t="s">
        <v>400</v>
      </c>
    </row>
    <row r="12" spans="1:15" x14ac:dyDescent="0.35">
      <c r="A12" s="1" t="s">
        <v>69</v>
      </c>
      <c r="B12" s="1" t="s">
        <v>126</v>
      </c>
      <c r="C12" s="1">
        <v>2030</v>
      </c>
      <c r="D12" s="8">
        <f>Tabelle223[[#This Row],[Produktionskapazität Mt]]*Tabelle223[[#This Row],[spez. Verbrauch (kWh/t)]]*10^-3</f>
        <v>1.0217223754455931</v>
      </c>
      <c r="E12" s="8">
        <f>E11*(1+G11)^(Tabelle223[[#This Row],[Jahr]]-C11)</f>
        <v>329.58786304696548</v>
      </c>
      <c r="F12" s="8">
        <f>F11*(1+H11)^(Tabelle223[[#This Row],[Jahr]]-C11)</f>
        <v>3.1</v>
      </c>
      <c r="G12" s="37">
        <v>-3.0000000000000001E-3</v>
      </c>
      <c r="H12" s="37">
        <v>0</v>
      </c>
      <c r="I12" s="37"/>
      <c r="J12" s="37"/>
      <c r="K12" s="1"/>
      <c r="L12" s="19"/>
      <c r="M12" s="19"/>
      <c r="N12" s="19"/>
      <c r="O12" s="19" t="s">
        <v>400</v>
      </c>
    </row>
    <row r="13" spans="1:15" x14ac:dyDescent="0.35">
      <c r="A13" s="1" t="s">
        <v>69</v>
      </c>
      <c r="B13" s="1" t="s">
        <v>126</v>
      </c>
      <c r="C13" s="1">
        <v>2050</v>
      </c>
      <c r="D13" s="8">
        <f>Tabelle223[[#This Row],[Produktionskapazität Mt]]*Tabelle223[[#This Row],[spez. Verbrauch (kWh/t)]]*10^-3</f>
        <v>0.96213512671537815</v>
      </c>
      <c r="E13" s="8">
        <f>E12*(1+G12)^(Tabelle223[[#This Row],[Jahr]]-C12)</f>
        <v>310.36616990818646</v>
      </c>
      <c r="F13" s="8">
        <f>F12*(1+H12)^(Tabelle223[[#This Row],[Jahr]]-C12)</f>
        <v>3.1</v>
      </c>
      <c r="G13" s="37">
        <v>-3.0000000000000001E-3</v>
      </c>
      <c r="H13" s="37">
        <v>0</v>
      </c>
      <c r="I13" s="37"/>
      <c r="J13" s="37"/>
      <c r="K13" s="1"/>
      <c r="L13" s="19"/>
      <c r="M13" s="19"/>
      <c r="N13" s="19"/>
      <c r="O13" s="19" t="s">
        <v>400</v>
      </c>
    </row>
    <row r="14" spans="1:15" x14ac:dyDescent="0.35">
      <c r="A14" s="1" t="s">
        <v>73</v>
      </c>
      <c r="B14" s="1" t="s">
        <v>126</v>
      </c>
      <c r="C14" s="1">
        <v>2010</v>
      </c>
      <c r="D14" s="8">
        <f>Tabelle223[[#This Row],[Produktionskapazität Mt]]*Tabelle223[[#This Row],[spez. Verbrauch (kWh/t)]]*10^-3</f>
        <v>7.1400000000000006</v>
      </c>
      <c r="E14" s="8">
        <v>3400</v>
      </c>
      <c r="F14" s="8">
        <v>2.1</v>
      </c>
      <c r="G14" s="37">
        <v>-3.0000000000000001E-3</v>
      </c>
      <c r="H14" s="37">
        <v>0</v>
      </c>
      <c r="I14" s="37"/>
      <c r="J14" s="37"/>
      <c r="K14" s="1"/>
      <c r="L14" s="19"/>
      <c r="M14" s="19"/>
      <c r="N14" s="19"/>
      <c r="O14" s="11">
        <v>56</v>
      </c>
    </row>
    <row r="15" spans="1:15" x14ac:dyDescent="0.35">
      <c r="A15" s="1" t="s">
        <v>73</v>
      </c>
      <c r="B15" s="1" t="s">
        <v>126</v>
      </c>
      <c r="C15" s="1">
        <v>2020</v>
      </c>
      <c r="D15" s="8">
        <f>Tabelle223[[#This Row],[Produktionskapazität Mt]]*Tabelle223[[#This Row],[spez. Verbrauch (kWh/t)]]*10^-3</f>
        <v>6.928668687415267</v>
      </c>
      <c r="E15" s="8">
        <f>E14*(1+G14)^(Tabelle223[[#This Row],[Jahr]]-C14)</f>
        <v>3299.3660416263174</v>
      </c>
      <c r="F15" s="8">
        <f>F14*(1+H14)^(Tabelle223[[#This Row],[Jahr]]-C14)</f>
        <v>2.1</v>
      </c>
      <c r="G15" s="37">
        <v>-3.0000000000000001E-3</v>
      </c>
      <c r="H15" s="37">
        <v>0</v>
      </c>
      <c r="I15" s="37"/>
      <c r="J15" s="37"/>
      <c r="K15" s="1"/>
      <c r="L15" s="19"/>
      <c r="M15" s="19"/>
      <c r="N15" s="19"/>
      <c r="O15" s="19" t="s">
        <v>400</v>
      </c>
    </row>
    <row r="16" spans="1:15" x14ac:dyDescent="0.35">
      <c r="A16" s="1" t="s">
        <v>73</v>
      </c>
      <c r="B16" s="1" t="s">
        <v>126</v>
      </c>
      <c r="C16" s="1">
        <v>2030</v>
      </c>
      <c r="D16" s="8">
        <f>Tabelle223[[#This Row],[Produktionskapazität Mt]]*Tabelle223[[#This Row],[spez. Verbrauch (kWh/t)]]*10^-3</f>
        <v>6.7235924061580956</v>
      </c>
      <c r="E16" s="8">
        <f>E15*(1+G15)^(Tabelle223[[#This Row],[Jahr]]-C15)</f>
        <v>3201.7106695990929</v>
      </c>
      <c r="F16" s="8">
        <f>F15*(1+H15)^(Tabelle223[[#This Row],[Jahr]]-C15)</f>
        <v>2.1</v>
      </c>
      <c r="G16" s="37">
        <v>-3.0000000000000001E-3</v>
      </c>
      <c r="H16" s="37">
        <v>0</v>
      </c>
      <c r="I16" s="37"/>
      <c r="J16" s="37"/>
      <c r="K16" s="1"/>
      <c r="L16" s="19"/>
      <c r="M16" s="19"/>
      <c r="N16" s="19"/>
      <c r="O16" s="19" t="s">
        <v>400</v>
      </c>
    </row>
    <row r="17" spans="1:15" x14ac:dyDescent="0.35">
      <c r="A17" s="1" t="s">
        <v>73</v>
      </c>
      <c r="B17" s="1" t="s">
        <v>126</v>
      </c>
      <c r="C17" s="1">
        <v>2050</v>
      </c>
      <c r="D17" s="8">
        <f>Tabelle223[[#This Row],[Produktionskapazität Mt]]*Tabelle223[[#This Row],[spez. Verbrauch (kWh/t)]]*10^-3</f>
        <v>6.3314698661270032</v>
      </c>
      <c r="E17" s="8">
        <f>E16*(1+G16)^(Tabelle223[[#This Row],[Jahr]]-C16)</f>
        <v>3014.9856505366679</v>
      </c>
      <c r="F17" s="8">
        <f>F16*(1+H16)^(Tabelle223[[#This Row],[Jahr]]-C16)</f>
        <v>2.1</v>
      </c>
      <c r="G17" s="37">
        <v>-3.0000000000000001E-3</v>
      </c>
      <c r="H17" s="37">
        <v>0</v>
      </c>
      <c r="I17" s="37"/>
      <c r="J17" s="37"/>
      <c r="K17" s="1"/>
      <c r="L17" s="19"/>
      <c r="M17" s="19"/>
      <c r="N17" s="19"/>
      <c r="O17" s="19" t="s">
        <v>400</v>
      </c>
    </row>
    <row r="18" spans="1:15" x14ac:dyDescent="0.35">
      <c r="A18" s="1" t="s">
        <v>74</v>
      </c>
      <c r="B18" s="1" t="s">
        <v>126</v>
      </c>
      <c r="C18" s="1">
        <v>2010</v>
      </c>
      <c r="D18" s="8">
        <f>Tabelle223[[#This Row],[Produktionskapazität Mt]]*Tabelle223[[#This Row],[spez. Verbrauch (kWh/t)]]*10^-3</f>
        <v>28.5</v>
      </c>
      <c r="E18" s="8">
        <v>1500</v>
      </c>
      <c r="F18" s="8">
        <v>19</v>
      </c>
      <c r="G18" s="37">
        <v>-3.0000000000000001E-3</v>
      </c>
      <c r="H18" s="37">
        <v>0</v>
      </c>
      <c r="I18" s="37"/>
      <c r="J18" s="37"/>
      <c r="K18" s="1"/>
      <c r="L18" s="19"/>
      <c r="M18" s="19"/>
      <c r="N18" s="19"/>
      <c r="O18" s="11">
        <v>56</v>
      </c>
    </row>
    <row r="19" spans="1:15" x14ac:dyDescent="0.35">
      <c r="A19" s="1" t="s">
        <v>74</v>
      </c>
      <c r="B19" s="1" t="s">
        <v>126</v>
      </c>
      <c r="C19" s="1">
        <v>2020</v>
      </c>
      <c r="D19" s="8">
        <f>Tabelle223[[#This Row],[Produktionskapazität Mt]]*Tabelle223[[#This Row],[spez. Verbrauch (kWh/t)]]*10^-3</f>
        <v>27.656450643044131</v>
      </c>
      <c r="E19" s="8">
        <f>E18*(1+G18)^(Tabelle223[[#This Row],[Jahr]]-C18)</f>
        <v>1455.6026654233754</v>
      </c>
      <c r="F19" s="8">
        <f>F18*(1+H18)^(Tabelle223[[#This Row],[Jahr]]-C18)</f>
        <v>19</v>
      </c>
      <c r="G19" s="37">
        <v>-3.0000000000000001E-3</v>
      </c>
      <c r="H19" s="37">
        <v>0</v>
      </c>
      <c r="I19" s="37"/>
      <c r="J19" s="37"/>
      <c r="K19" s="1"/>
      <c r="L19" s="19"/>
      <c r="M19" s="19"/>
      <c r="N19" s="19"/>
      <c r="O19" s="19" t="s">
        <v>400</v>
      </c>
    </row>
    <row r="20" spans="1:15" x14ac:dyDescent="0.35">
      <c r="A20" s="1" t="s">
        <v>74</v>
      </c>
      <c r="B20" s="1" t="s">
        <v>126</v>
      </c>
      <c r="C20" s="1">
        <v>2030</v>
      </c>
      <c r="D20" s="8">
        <f>Tabelle223[[#This Row],[Produktionskapazität Mt]]*Tabelle223[[#This Row],[spez. Verbrauch (kWh/t)]]*10^-3</f>
        <v>26.837868848110041</v>
      </c>
      <c r="E20" s="8">
        <f>E19*(1+G19)^(Tabelle223[[#This Row],[Jahr]]-C19)</f>
        <v>1412.5194130584232</v>
      </c>
      <c r="F20" s="8">
        <f>F19*(1+H19)^(Tabelle223[[#This Row],[Jahr]]-C19)</f>
        <v>19</v>
      </c>
      <c r="G20" s="37">
        <v>-3.0000000000000001E-3</v>
      </c>
      <c r="H20" s="37">
        <v>0</v>
      </c>
      <c r="I20" s="37"/>
      <c r="J20" s="37"/>
      <c r="K20" s="1"/>
      <c r="L20" s="19"/>
      <c r="M20" s="19"/>
      <c r="N20" s="19"/>
      <c r="O20" s="19" t="s">
        <v>400</v>
      </c>
    </row>
    <row r="21" spans="1:15" x14ac:dyDescent="0.35">
      <c r="A21" s="1" t="s">
        <v>74</v>
      </c>
      <c r="B21" s="1" t="s">
        <v>126</v>
      </c>
      <c r="C21" s="1">
        <v>2050</v>
      </c>
      <c r="D21" s="8">
        <f>Tabelle223[[#This Row],[Produktionskapazität Mt]]*Tabelle223[[#This Row],[spez. Verbrauch (kWh/t)]]*10^-3</f>
        <v>25.272673835380893</v>
      </c>
      <c r="E21" s="8">
        <f>E20*(1+G20)^(Tabelle223[[#This Row],[Jahr]]-C20)</f>
        <v>1330.1407281779416</v>
      </c>
      <c r="F21" s="8">
        <f>F20*(1+H20)^(Tabelle223[[#This Row],[Jahr]]-C20)</f>
        <v>19</v>
      </c>
      <c r="G21" s="37">
        <v>-3.0000000000000001E-3</v>
      </c>
      <c r="H21" s="37">
        <v>0</v>
      </c>
      <c r="I21" s="37"/>
      <c r="J21" s="37"/>
      <c r="K21" s="1"/>
      <c r="L21" s="19"/>
      <c r="M21" s="19"/>
      <c r="N21" s="19"/>
      <c r="O21" s="19" t="s">
        <v>400</v>
      </c>
    </row>
    <row r="22" spans="1:15" x14ac:dyDescent="0.35">
      <c r="A22" s="1" t="s">
        <v>77</v>
      </c>
      <c r="B22" s="1" t="s">
        <v>126</v>
      </c>
      <c r="C22" s="1">
        <v>2010</v>
      </c>
      <c r="D22" s="8">
        <f>Tabelle223[[#This Row],[Produktionskapazität Mt]]*Tabelle223[[#This Row],[spez. Verbrauch (kWh/t)]]*10^-3</f>
        <v>18</v>
      </c>
      <c r="E22" s="8">
        <v>250</v>
      </c>
      <c r="F22" s="8">
        <v>72</v>
      </c>
      <c r="G22" s="37">
        <v>0</v>
      </c>
      <c r="H22" s="37">
        <v>0.03</v>
      </c>
      <c r="I22" s="37"/>
      <c r="J22" s="37"/>
      <c r="K22" s="1"/>
      <c r="L22" s="19"/>
      <c r="M22" s="19"/>
      <c r="N22" s="19"/>
      <c r="O22" s="11">
        <v>56</v>
      </c>
    </row>
    <row r="23" spans="1:15" x14ac:dyDescent="0.35">
      <c r="A23" s="1" t="s">
        <v>77</v>
      </c>
      <c r="B23" s="1" t="s">
        <v>126</v>
      </c>
      <c r="C23" s="1">
        <v>2020</v>
      </c>
      <c r="D23" s="8">
        <f>Tabelle223[[#This Row],[Produktionskapazität Mt]]*Tabelle223[[#This Row],[spez. Verbrauch (kWh/t)]]*10^-3</f>
        <v>24.190494828194193</v>
      </c>
      <c r="E23" s="8">
        <f>E22*(1+G22)^(Tabelle223[[#This Row],[Jahr]]-C22)</f>
        <v>250</v>
      </c>
      <c r="F23" s="8">
        <f>F22*(1+H22)^(Tabelle223[[#This Row],[Jahr]]-C22)</f>
        <v>96.761979312776774</v>
      </c>
      <c r="G23" s="37">
        <v>0</v>
      </c>
      <c r="H23" s="37">
        <v>1.4999999999999999E-2</v>
      </c>
      <c r="I23" s="37"/>
      <c r="J23" s="37"/>
      <c r="K23" s="1"/>
      <c r="L23" s="19"/>
      <c r="M23" s="19"/>
      <c r="N23" s="19"/>
      <c r="O23" s="19" t="s">
        <v>400</v>
      </c>
    </row>
    <row r="24" spans="1:15" x14ac:dyDescent="0.35">
      <c r="A24" s="1" t="s">
        <v>77</v>
      </c>
      <c r="B24" s="1" t="s">
        <v>126</v>
      </c>
      <c r="C24" s="1">
        <v>2030</v>
      </c>
      <c r="D24" s="8">
        <f>Tabelle223[[#This Row],[Produktionskapazität Mt]]*Tabelle223[[#This Row],[spez. Verbrauch (kWh/t)]]*10^-3</f>
        <v>28.074056825679079</v>
      </c>
      <c r="E24" s="8">
        <f>E23*(1+G23)^(Tabelle223[[#This Row],[Jahr]]-C23)</f>
        <v>250</v>
      </c>
      <c r="F24" s="8">
        <f>F23*(1+H23)^(Tabelle223[[#This Row],[Jahr]]-C23)</f>
        <v>112.29622730271632</v>
      </c>
      <c r="G24" s="37">
        <v>0</v>
      </c>
      <c r="H24" s="37">
        <v>1.4999999999999999E-2</v>
      </c>
      <c r="I24" s="37"/>
      <c r="J24" s="37"/>
      <c r="K24" s="1"/>
      <c r="L24" s="19"/>
      <c r="M24" s="19"/>
      <c r="N24" s="19"/>
      <c r="O24" s="19" t="s">
        <v>400</v>
      </c>
    </row>
    <row r="25" spans="1:15" x14ac:dyDescent="0.35">
      <c r="A25" s="1" t="s">
        <v>77</v>
      </c>
      <c r="B25" s="1" t="s">
        <v>126</v>
      </c>
      <c r="C25" s="1">
        <v>2050</v>
      </c>
      <c r="D25" s="8">
        <f>Tabelle223[[#This Row],[Produktionskapazität Mt]]*Tabelle223[[#This Row],[spez. Verbrauch (kWh/t)]]*10^-3</f>
        <v>37.811683989836531</v>
      </c>
      <c r="E25" s="8">
        <f>E24*(1+G24)^(Tabelle223[[#This Row],[Jahr]]-C24)</f>
        <v>250</v>
      </c>
      <c r="F25" s="8">
        <f>F24*(1+H24)^(Tabelle223[[#This Row],[Jahr]]-C24)</f>
        <v>151.24673595934613</v>
      </c>
      <c r="G25" s="37">
        <v>0</v>
      </c>
      <c r="H25" s="37">
        <v>1.4999999999999999E-2</v>
      </c>
      <c r="I25" s="37"/>
      <c r="J25" s="37"/>
      <c r="K25" s="1"/>
      <c r="L25" s="19"/>
      <c r="M25" s="19"/>
      <c r="N25" s="19"/>
      <c r="O25" s="19" t="s">
        <v>400</v>
      </c>
    </row>
    <row r="26" spans="1:15" x14ac:dyDescent="0.35">
      <c r="A26" s="1" t="s">
        <v>78</v>
      </c>
      <c r="B26" s="1" t="s">
        <v>126</v>
      </c>
      <c r="C26" s="1">
        <v>2010</v>
      </c>
      <c r="D26" s="8">
        <f>Tabelle223[[#This Row],[Produktionskapazität Mt]]*Tabelle223[[#This Row],[spez. Verbrauch (kWh/t)]]*10^-3</f>
        <v>50.15</v>
      </c>
      <c r="E26" s="8">
        <v>425</v>
      </c>
      <c r="F26" s="8">
        <v>118</v>
      </c>
      <c r="G26" s="37">
        <v>-3.0000000000000001E-3</v>
      </c>
      <c r="H26" s="37">
        <v>1.4999999999999999E-2</v>
      </c>
      <c r="I26" s="37"/>
      <c r="J26" s="37"/>
      <c r="K26" s="1"/>
      <c r="L26" s="19"/>
      <c r="M26" s="19"/>
      <c r="N26" s="19"/>
      <c r="O26" s="11">
        <v>56</v>
      </c>
    </row>
    <row r="27" spans="1:15" x14ac:dyDescent="0.35">
      <c r="A27" s="1" t="s">
        <v>78</v>
      </c>
      <c r="B27" s="1" t="s">
        <v>126</v>
      </c>
      <c r="C27" s="1">
        <v>2020</v>
      </c>
      <c r="D27" s="8">
        <f>Tabelle223[[#This Row],[Produktionskapazität Mt]]*Tabelle223[[#This Row],[spez. Verbrauch (kWh/t)]]*10^-3</f>
        <v>56.478472573132237</v>
      </c>
      <c r="E27" s="8">
        <f>E26*(1+G26)^(Tabelle223[[#This Row],[Jahr]]-C26)</f>
        <v>412.42075520328967</v>
      </c>
      <c r="F27" s="8">
        <f>F26*(1+H26)^(Tabelle223[[#This Row],[Jahr]]-C26)</f>
        <v>136.94381735296753</v>
      </c>
      <c r="G27" s="37">
        <v>-3.0000000000000001E-3</v>
      </c>
      <c r="H27" s="37">
        <v>1.0999999999999999E-2</v>
      </c>
      <c r="I27" s="37"/>
      <c r="J27" s="37"/>
      <c r="K27" s="1"/>
      <c r="L27" s="19"/>
      <c r="M27" s="19"/>
      <c r="N27" s="19"/>
      <c r="O27" s="19" t="s">
        <v>400</v>
      </c>
    </row>
    <row r="28" spans="1:15" x14ac:dyDescent="0.35">
      <c r="A28" s="1" t="s">
        <v>78</v>
      </c>
      <c r="B28" s="1" t="s">
        <v>126</v>
      </c>
      <c r="C28" s="1">
        <v>2030</v>
      </c>
      <c r="D28" s="8">
        <f>Tabelle223[[#This Row],[Produktionskapazität Mt]]*Tabelle223[[#This Row],[spez. Verbrauch (kWh/t)]]*10^-3</f>
        <v>61.142906839567537</v>
      </c>
      <c r="E28" s="8">
        <f>E27*(1+G27)^(Tabelle223[[#This Row],[Jahr]]-C27)</f>
        <v>400.21383369988661</v>
      </c>
      <c r="F28" s="8">
        <f>F27*(1+H27)^(Tabelle223[[#This Row],[Jahr]]-C27)</f>
        <v>152.77559567173168</v>
      </c>
      <c r="G28" s="37">
        <v>-3.0000000000000001E-3</v>
      </c>
      <c r="H28" s="37">
        <v>1.0999999999999999E-2</v>
      </c>
      <c r="I28" s="37"/>
      <c r="J28" s="37"/>
      <c r="K28" s="1"/>
      <c r="L28" s="19"/>
      <c r="M28" s="19"/>
      <c r="N28" s="19"/>
      <c r="O28" s="19" t="s">
        <v>400</v>
      </c>
    </row>
    <row r="29" spans="1:15" x14ac:dyDescent="0.35">
      <c r="A29" s="1" t="s">
        <v>78</v>
      </c>
      <c r="B29" s="1" t="s">
        <v>126</v>
      </c>
      <c r="C29" s="1">
        <v>2050</v>
      </c>
      <c r="D29" s="8">
        <f>Tabelle223[[#This Row],[Produktionskapazität Mt]]*Tabelle223[[#This Row],[spez. Verbrauch (kWh/t)]]*10^-3</f>
        <v>71.659266764781037</v>
      </c>
      <c r="E29" s="8">
        <f>E28*(1+G28)^(Tabelle223[[#This Row],[Jahr]]-C28)</f>
        <v>376.87320631708349</v>
      </c>
      <c r="F29" s="8">
        <f>F28*(1+H28)^(Tabelle223[[#This Row],[Jahr]]-C28)</f>
        <v>190.1415796178683</v>
      </c>
      <c r="G29" s="37">
        <v>-3.0000000000000001E-3</v>
      </c>
      <c r="H29" s="37">
        <v>1.0999999999999999E-2</v>
      </c>
      <c r="I29" s="37"/>
      <c r="J29" s="37"/>
      <c r="K29" s="1"/>
      <c r="L29" s="19"/>
      <c r="M29" s="19"/>
      <c r="N29" s="19"/>
      <c r="O29" s="19" t="s">
        <v>400</v>
      </c>
    </row>
    <row r="30" spans="1:15" x14ac:dyDescent="0.35">
      <c r="A30" s="1" t="s">
        <v>81</v>
      </c>
      <c r="B30" s="1" t="s">
        <v>126</v>
      </c>
      <c r="C30" s="1">
        <v>2010</v>
      </c>
      <c r="D30" s="8">
        <f>Tabelle223[[#This Row],[Produktionskapazität Mt]]*Tabelle223[[#This Row],[spez. Verbrauch (kWh/t)]]*10^-3</f>
        <v>47.25</v>
      </c>
      <c r="E30" s="8">
        <v>525</v>
      </c>
      <c r="F30" s="8">
        <v>90</v>
      </c>
      <c r="G30" s="37">
        <v>-5.0000000000000001E-3</v>
      </c>
      <c r="H30" s="37">
        <v>5.0000000000000001E-3</v>
      </c>
      <c r="I30" s="37"/>
      <c r="J30" s="37"/>
      <c r="K30" s="1"/>
      <c r="L30" s="19"/>
      <c r="M30" s="19"/>
      <c r="N30" s="19"/>
      <c r="O30" s="11">
        <v>56</v>
      </c>
    </row>
    <row r="31" spans="1:15" x14ac:dyDescent="0.35">
      <c r="A31" s="1" t="s">
        <v>81</v>
      </c>
      <c r="B31" s="1" t="s">
        <v>126</v>
      </c>
      <c r="C31" s="1">
        <v>2020</v>
      </c>
      <c r="D31" s="8">
        <f>Tabelle223[[#This Row],[Produktionskapazität Mt]]*Tabelle223[[#This Row],[spez. Verbrauch (kWh/t)]]*10^-3</f>
        <v>47.238188828817592</v>
      </c>
      <c r="E31" s="8">
        <f>E30*(1+G30)^(Tabelle223[[#This Row],[Jahr]]-C30)</f>
        <v>499.33281849453027</v>
      </c>
      <c r="F31" s="8">
        <f>F30*(1+H30)^(Tabelle223[[#This Row],[Jahr]]-C30)</f>
        <v>94.602611883671017</v>
      </c>
      <c r="G31" s="37">
        <v>-5.0000000000000001E-3</v>
      </c>
      <c r="H31" s="37">
        <v>5.0000000000000001E-3</v>
      </c>
      <c r="I31" s="37"/>
      <c r="J31" s="37"/>
      <c r="K31" s="1"/>
      <c r="L31" s="19"/>
      <c r="M31" s="19"/>
      <c r="N31" s="19"/>
      <c r="O31" s="19" t="s">
        <v>400</v>
      </c>
    </row>
    <row r="32" spans="1:15" x14ac:dyDescent="0.35">
      <c r="A32" s="1" t="s">
        <v>81</v>
      </c>
      <c r="B32" s="1" t="s">
        <v>126</v>
      </c>
      <c r="C32" s="1">
        <v>2030</v>
      </c>
      <c r="D32" s="8">
        <f>Tabelle223[[#This Row],[Produktionskapazität Mt]]*Tabelle223[[#This Row],[spez. Verbrauch (kWh/t)]]*10^-3</f>
        <v>47.226380610095823</v>
      </c>
      <c r="E32" s="8">
        <f>E31*(1+G31)^(Tabelle223[[#This Row],[Jahr]]-C31)</f>
        <v>474.92050214417435</v>
      </c>
      <c r="F32" s="8">
        <f>F31*(1+H31)^(Tabelle223[[#This Row],[Jahr]]-C31)</f>
        <v>99.440601946805486</v>
      </c>
      <c r="G32" s="37">
        <v>-5.0000000000000001E-3</v>
      </c>
      <c r="H32" s="37">
        <v>5.0000000000000001E-3</v>
      </c>
      <c r="I32" s="37"/>
      <c r="J32" s="37"/>
      <c r="K32" s="1"/>
      <c r="L32" s="19"/>
      <c r="M32" s="19"/>
      <c r="N32" s="19"/>
      <c r="O32" s="19" t="s">
        <v>400</v>
      </c>
    </row>
    <row r="33" spans="1:15" x14ac:dyDescent="0.35">
      <c r="A33" s="1" t="s">
        <v>81</v>
      </c>
      <c r="B33" s="1" t="s">
        <v>126</v>
      </c>
      <c r="C33" s="1">
        <v>2050</v>
      </c>
      <c r="D33" s="8">
        <f>Tabelle223[[#This Row],[Produktionskapazität Mt]]*Tabelle223[[#This Row],[spez. Verbrauch (kWh/t)]]*10^-3</f>
        <v>47.202773027082209</v>
      </c>
      <c r="E33" s="8">
        <f>E32*(1+G32)^(Tabelle223[[#This Row],[Jahr]]-C32)</f>
        <v>429.61806353690417</v>
      </c>
      <c r="F33" s="8">
        <f>F32*(1+H32)^(Tabelle223[[#This Row],[Jahr]]-C32)</f>
        <v>109.87148128381126</v>
      </c>
      <c r="G33" s="37">
        <v>-5.0000000000000001E-3</v>
      </c>
      <c r="H33" s="37">
        <v>5.0000000000000001E-3</v>
      </c>
      <c r="I33" s="37"/>
      <c r="J33" s="37"/>
      <c r="K33" s="1"/>
      <c r="L33" s="19"/>
      <c r="M33" s="19"/>
      <c r="N33" s="19"/>
      <c r="O33" s="19" t="s">
        <v>400</v>
      </c>
    </row>
    <row r="34" spans="1:15" x14ac:dyDescent="0.35">
      <c r="A34" s="1" t="s">
        <v>167</v>
      </c>
      <c r="B34" s="1" t="s">
        <v>126</v>
      </c>
      <c r="C34" s="1">
        <v>2010</v>
      </c>
      <c r="D34" s="8">
        <f>Tabelle223[[#This Row],[Produktionskapazität Mt]]*Tabelle223[[#This Row],[spez. Verbrauch (kWh/t)]]*10^-3</f>
        <v>37.18</v>
      </c>
      <c r="E34" s="8">
        <v>110</v>
      </c>
      <c r="F34" s="8">
        <v>338</v>
      </c>
      <c r="G34" s="37">
        <v>-5.0000000000000001E-3</v>
      </c>
      <c r="H34" s="37">
        <v>0</v>
      </c>
      <c r="I34" s="37"/>
      <c r="J34" s="37"/>
      <c r="K34" s="1"/>
      <c r="L34" s="19"/>
      <c r="M34" s="19"/>
      <c r="N34" s="19"/>
      <c r="O34" s="11">
        <v>56</v>
      </c>
    </row>
    <row r="35" spans="1:15" x14ac:dyDescent="0.35">
      <c r="A35" s="1" t="s">
        <v>167</v>
      </c>
      <c r="B35" s="1" t="s">
        <v>126</v>
      </c>
      <c r="C35" s="1">
        <v>2020</v>
      </c>
      <c r="D35" s="8">
        <f>Tabelle223[[#This Row],[Produktionskapazität Mt]]*Tabelle223[[#This Row],[spez. Verbrauch (kWh/t)]]*10^-3</f>
        <v>35.362274650717403</v>
      </c>
      <c r="E35" s="8">
        <f>E34*(1+G34)^(Tabelle223[[#This Row],[Jahr]]-C34)</f>
        <v>104.62211435123491</v>
      </c>
      <c r="F35" s="8">
        <f>F34*(1+H34)^(Tabelle223[[#This Row],[Jahr]]-C34)</f>
        <v>338</v>
      </c>
      <c r="G35" s="37">
        <v>-5.0000000000000001E-3</v>
      </c>
      <c r="H35" s="37">
        <v>0</v>
      </c>
      <c r="I35" s="37"/>
      <c r="J35" s="37"/>
      <c r="K35" s="1"/>
      <c r="L35" s="19"/>
      <c r="M35" s="19"/>
      <c r="N35" s="19"/>
      <c r="O35" s="19" t="s">
        <v>400</v>
      </c>
    </row>
    <row r="36" spans="1:15" x14ac:dyDescent="0.35">
      <c r="A36" s="1" t="s">
        <v>167</v>
      </c>
      <c r="B36" s="1" t="s">
        <v>126</v>
      </c>
      <c r="C36" s="1">
        <v>2030</v>
      </c>
      <c r="D36" s="8">
        <f>Tabelle223[[#This Row],[Produktionskapazität Mt]]*Tabelle223[[#This Row],[spez. Verbrauch (kWh/t)]]*10^-3</f>
        <v>33.633417656610291</v>
      </c>
      <c r="E36" s="8">
        <f>E35*(1+G35)^(Tabelle223[[#This Row],[Jahr]]-C35)</f>
        <v>99.507152830207957</v>
      </c>
      <c r="F36" s="8">
        <f>F35*(1+H35)^(Tabelle223[[#This Row],[Jahr]]-C35)</f>
        <v>338</v>
      </c>
      <c r="G36" s="37">
        <v>-5.0000000000000001E-3</v>
      </c>
      <c r="H36" s="37">
        <v>0</v>
      </c>
      <c r="I36" s="37"/>
      <c r="J36" s="37"/>
      <c r="K36" s="1"/>
      <c r="L36" s="19"/>
      <c r="M36" s="19"/>
      <c r="N36" s="19"/>
      <c r="O36" s="19" t="s">
        <v>400</v>
      </c>
    </row>
    <row r="37" spans="1:15" x14ac:dyDescent="0.35">
      <c r="A37" s="1" t="s">
        <v>167</v>
      </c>
      <c r="B37" s="1" t="s">
        <v>126</v>
      </c>
      <c r="C37" s="1">
        <v>2050</v>
      </c>
      <c r="D37" s="8">
        <f>Tabelle223[[#This Row],[Produktionskapazität Mt]]*Tabelle223[[#This Row],[spez. Verbrauch (kWh/t)]]*10^-3</f>
        <v>30.425142099623045</v>
      </c>
      <c r="E37" s="8">
        <f>E36*(1+G36)^(Tabelle223[[#This Row],[Jahr]]-C36)</f>
        <v>90.015213312494211</v>
      </c>
      <c r="F37" s="8">
        <f>F36*(1+H36)^(Tabelle223[[#This Row],[Jahr]]-C36)</f>
        <v>338</v>
      </c>
      <c r="G37" s="37">
        <v>-5.0000000000000001E-3</v>
      </c>
      <c r="H37" s="37">
        <v>0</v>
      </c>
      <c r="I37" s="37"/>
      <c r="J37" s="37"/>
      <c r="K37" s="1"/>
      <c r="L37" s="19"/>
      <c r="M37" s="19"/>
      <c r="N37" s="19"/>
      <c r="O37" s="19" t="s">
        <v>400</v>
      </c>
    </row>
    <row r="38" spans="1:15" x14ac:dyDescent="0.35">
      <c r="A38" s="1" t="s">
        <v>370</v>
      </c>
      <c r="B38" s="1" t="s">
        <v>126</v>
      </c>
      <c r="C38" s="1">
        <v>2010</v>
      </c>
      <c r="D38" s="8">
        <f>Tabelle223[[#This Row],[Produktionskapazität Mt]]*Tabelle223[[#This Row],[spez. Verbrauch (kWh/t)]]*10^-3</f>
        <v>1.24</v>
      </c>
      <c r="E38" s="8">
        <v>3100</v>
      </c>
      <c r="F38" s="8">
        <v>0.4</v>
      </c>
      <c r="G38" s="37">
        <v>-3.0000000000000001E-3</v>
      </c>
      <c r="H38" s="37">
        <v>-0.01</v>
      </c>
      <c r="I38" s="37"/>
      <c r="J38" s="37"/>
      <c r="K38" s="1"/>
      <c r="L38" s="19"/>
      <c r="M38" s="19"/>
      <c r="N38" s="19"/>
      <c r="O38" s="11">
        <v>56</v>
      </c>
    </row>
    <row r="39" spans="1:15" x14ac:dyDescent="0.35">
      <c r="A39" s="1" t="s">
        <v>370</v>
      </c>
      <c r="B39" s="1" t="s">
        <v>126</v>
      </c>
      <c r="C39" s="1">
        <v>2020</v>
      </c>
      <c r="D39" s="8">
        <f>Tabelle223[[#This Row],[Produktionskapazität Mt]]*Tabelle223[[#This Row],[spez. Verbrauch (kWh/t)]]*10^-3</f>
        <v>1.0882413260603228</v>
      </c>
      <c r="E39" s="8">
        <f>E38*(1+G38)^(Tabelle223[[#This Row],[Jahr]]-C38)</f>
        <v>3008.2455085416427</v>
      </c>
      <c r="F39" s="8">
        <f>F38*(1+H38)^(Tabelle223[[#This Row],[Jahr]]-C38)</f>
        <v>0.36175283000352176</v>
      </c>
      <c r="G39" s="37">
        <v>-3.0000000000000001E-3</v>
      </c>
      <c r="H39" s="37">
        <v>-0.01</v>
      </c>
      <c r="I39" s="37"/>
      <c r="J39" s="37"/>
      <c r="K39" s="1"/>
      <c r="L39" s="19"/>
      <c r="M39" s="19"/>
      <c r="N39" s="19"/>
      <c r="O39" s="19" t="s">
        <v>400</v>
      </c>
    </row>
    <row r="40" spans="1:15" x14ac:dyDescent="0.35">
      <c r="A40" s="1" t="s">
        <v>370</v>
      </c>
      <c r="B40" s="1" t="s">
        <v>126</v>
      </c>
      <c r="C40" s="1">
        <v>2030</v>
      </c>
      <c r="D40" s="8">
        <f>Tabelle223[[#This Row],[Produktionskapazität Mt]]*Tabelle223[[#This Row],[spez. Verbrauch (kWh/t)]]*10^-3</f>
        <v>0.95505579334316892</v>
      </c>
      <c r="E40" s="8">
        <f>E39*(1+G39)^(Tabelle223[[#This Row],[Jahr]]-C39)</f>
        <v>2919.2067869874086</v>
      </c>
      <c r="F40" s="8">
        <f>F39*(1+H39)^(Tabelle223[[#This Row],[Jahr]]-C39)</f>
        <v>0.32716277503889224</v>
      </c>
      <c r="G40" s="37">
        <v>-3.0000000000000001E-3</v>
      </c>
      <c r="H40" s="37">
        <v>-0.01</v>
      </c>
      <c r="I40" s="37"/>
      <c r="J40" s="37"/>
      <c r="K40" s="1"/>
      <c r="L40" s="19"/>
      <c r="M40" s="19"/>
      <c r="N40" s="19"/>
      <c r="O40" s="19" t="s">
        <v>400</v>
      </c>
    </row>
    <row r="41" spans="1:15" x14ac:dyDescent="0.35">
      <c r="A41" s="1" t="s">
        <v>370</v>
      </c>
      <c r="B41" s="1" t="s">
        <v>126</v>
      </c>
      <c r="C41" s="1">
        <v>2050</v>
      </c>
      <c r="D41" s="8">
        <f>Tabelle223[[#This Row],[Produktionskapazität Mt]]*Tabelle223[[#This Row],[spez. Verbrauch (kWh/t)]]*10^-3</f>
        <v>0.73558997451479824</v>
      </c>
      <c r="E41" s="8">
        <f>E40*(1+G40)^(Tabelle223[[#This Row],[Jahr]]-C40)</f>
        <v>2748.95750490108</v>
      </c>
      <c r="F41" s="8">
        <f>F40*(1+H40)^(Tabelle223[[#This Row],[Jahr]]-C40)</f>
        <v>0.26758870342787205</v>
      </c>
      <c r="G41" s="37">
        <v>-3.0000000000000001E-3</v>
      </c>
      <c r="H41" s="37">
        <v>-0.01</v>
      </c>
      <c r="I41" s="37"/>
      <c r="J41" s="37"/>
      <c r="K41" s="1"/>
      <c r="L41" s="19"/>
      <c r="M41" s="19"/>
      <c r="N41" s="19"/>
      <c r="O41" s="19" t="s">
        <v>400</v>
      </c>
    </row>
    <row r="42" spans="1:15" x14ac:dyDescent="0.35">
      <c r="A42" s="1" t="s">
        <v>371</v>
      </c>
      <c r="B42" s="1" t="s">
        <v>126</v>
      </c>
      <c r="C42" s="1">
        <v>2010</v>
      </c>
      <c r="D42" s="8">
        <f>Tabelle223[[#This Row],[Produktionskapazität Mt]]*Tabelle223[[#This Row],[spez. Verbrauch (kWh/t)]]*10^-3</f>
        <v>9.5134000000000025</v>
      </c>
      <c r="E42" s="8">
        <f>(23.3*238+13.6*160+8*224)/SUM(23.3,13.6,8)</f>
        <v>211.87973273942097</v>
      </c>
      <c r="F42" s="8">
        <f>23.3+13.6+8</f>
        <v>44.9</v>
      </c>
      <c r="G42" s="37">
        <v>-3.0000000000000001E-3</v>
      </c>
      <c r="H42" s="37">
        <v>5.0000000000000001E-3</v>
      </c>
      <c r="I42" s="37"/>
      <c r="J42" s="37"/>
      <c r="K42" s="1"/>
      <c r="L42" s="19"/>
      <c r="M42" s="19"/>
      <c r="N42" s="19"/>
      <c r="O42" s="11">
        <v>56</v>
      </c>
    </row>
    <row r="43" spans="1:15" x14ac:dyDescent="0.35">
      <c r="A43" s="1" t="s">
        <v>371</v>
      </c>
      <c r="B43" s="1" t="s">
        <v>126</v>
      </c>
      <c r="C43" s="1">
        <v>2020</v>
      </c>
      <c r="D43" s="8">
        <f>Tabelle223[[#This Row],[Produktionskapazität Mt]]*Tabelle223[[#This Row],[spez. Verbrauch (kWh/t)]]*10^-3</f>
        <v>9.7039367721458536</v>
      </c>
      <c r="E43" s="8">
        <f>E42*(1+G42)^(Tabelle223[[#This Row],[Jahr]]-C42)</f>
        <v>205.60846914979572</v>
      </c>
      <c r="F43" s="8">
        <f>F42*(1+H42)^(Tabelle223[[#This Row],[Jahr]]-C42)</f>
        <v>47.196191928631428</v>
      </c>
      <c r="G43" s="37">
        <v>-3.0000000000000001E-3</v>
      </c>
      <c r="H43" s="37">
        <v>5.0000000000000001E-3</v>
      </c>
      <c r="I43" s="37"/>
      <c r="J43" s="37"/>
      <c r="K43" s="1"/>
      <c r="L43" s="19"/>
      <c r="M43" s="19"/>
      <c r="N43" s="19"/>
      <c r="O43" s="19" t="s">
        <v>400</v>
      </c>
    </row>
    <row r="44" spans="1:15" x14ac:dyDescent="0.35">
      <c r="A44" s="1" t="s">
        <v>371</v>
      </c>
      <c r="B44" s="1" t="s">
        <v>126</v>
      </c>
      <c r="C44" s="1">
        <v>2030</v>
      </c>
      <c r="D44" s="8">
        <f>Tabelle223[[#This Row],[Produktionskapazität Mt]]*Tabelle223[[#This Row],[spez. Verbrauch (kWh/t)]]*10^-3</f>
        <v>9.8982896627708765</v>
      </c>
      <c r="E44" s="8">
        <f>E43*(1+G43)^(Tabelle223[[#This Row],[Jahr]]-C43)</f>
        <v>199.52282381870833</v>
      </c>
      <c r="F44" s="8">
        <f>F43*(1+H43)^(Tabelle223[[#This Row],[Jahr]]-C43)</f>
        <v>49.609811415684064</v>
      </c>
      <c r="G44" s="37">
        <v>-3.0000000000000001E-3</v>
      </c>
      <c r="H44" s="37">
        <v>5.0000000000000001E-3</v>
      </c>
      <c r="I44" s="37"/>
      <c r="J44" s="37"/>
      <c r="K44" s="1"/>
      <c r="L44" s="19"/>
      <c r="M44" s="19"/>
      <c r="N44" s="19"/>
      <c r="O44" s="19" t="s">
        <v>400</v>
      </c>
    </row>
    <row r="45" spans="1:15" x14ac:dyDescent="0.35">
      <c r="A45" s="1" t="s">
        <v>371</v>
      </c>
      <c r="B45" s="1" t="s">
        <v>126</v>
      </c>
      <c r="C45" s="1">
        <v>2050</v>
      </c>
      <c r="D45" s="8">
        <f>Tabelle223[[#This Row],[Produktionskapazität Mt]]*Tabelle223[[#This Row],[spez. Verbrauch (kWh/t)]]*10^-3</f>
        <v>10.298751050950953</v>
      </c>
      <c r="E45" s="8">
        <f>E44*(1+G44)^(Tabelle223[[#This Row],[Jahr]]-C44)</f>
        <v>187.88657466144073</v>
      </c>
      <c r="F45" s="8">
        <f>F44*(1+H44)^(Tabelle223[[#This Row],[Jahr]]-C44)</f>
        <v>54.813661218256946</v>
      </c>
      <c r="G45" s="37">
        <v>-3.0000000000000001E-3</v>
      </c>
      <c r="H45" s="37">
        <v>5.0000000000000001E-3</v>
      </c>
      <c r="I45" s="37"/>
      <c r="J45" s="37"/>
      <c r="K45" s="1"/>
      <c r="L45" s="19"/>
      <c r="M45" s="19"/>
      <c r="N45" s="19"/>
      <c r="O45" s="19" t="s">
        <v>400</v>
      </c>
    </row>
    <row r="46" spans="1:15" x14ac:dyDescent="0.35">
      <c r="A46" s="1" t="s">
        <v>97</v>
      </c>
      <c r="B46" s="1" t="s">
        <v>126</v>
      </c>
      <c r="C46" s="1">
        <v>2010</v>
      </c>
      <c r="D46" s="1">
        <f>Tabelle223[[#This Row],[Produktionskapazität Mt]]*Tabelle223[[#This Row],[spez. Verbrauch (kWh/t)]]*10^-3</f>
        <v>0</v>
      </c>
      <c r="E46" s="1"/>
      <c r="F46" s="1"/>
      <c r="G46" s="1"/>
      <c r="H46" s="1"/>
      <c r="I46" s="1"/>
      <c r="J46" s="1"/>
      <c r="K46" s="1"/>
      <c r="L46" s="19"/>
      <c r="M46" s="19"/>
      <c r="N46" s="19"/>
      <c r="O46" s="19"/>
    </row>
    <row r="47" spans="1:15" x14ac:dyDescent="0.35">
      <c r="A47" s="1" t="s">
        <v>97</v>
      </c>
      <c r="B47" s="1" t="s">
        <v>126</v>
      </c>
      <c r="C47" s="1">
        <v>2020</v>
      </c>
      <c r="D47" s="1">
        <f>Tabelle223[[#This Row],[Produktionskapazität Mt]]*Tabelle223[[#This Row],[spez. Verbrauch (kWh/t)]]*10^-3</f>
        <v>0</v>
      </c>
      <c r="E47" s="1"/>
      <c r="F47" s="1"/>
      <c r="G47" s="1"/>
      <c r="H47" s="1"/>
      <c r="I47" s="1"/>
      <c r="J47" s="1"/>
      <c r="K47" s="1"/>
      <c r="L47" s="19"/>
      <c r="M47" s="19"/>
      <c r="N47" s="19"/>
      <c r="O47" s="19"/>
    </row>
    <row r="48" spans="1:15" x14ac:dyDescent="0.35">
      <c r="A48" s="1" t="s">
        <v>97</v>
      </c>
      <c r="B48" s="1" t="s">
        <v>126</v>
      </c>
      <c r="C48" s="1">
        <v>2030</v>
      </c>
      <c r="D48" s="1">
        <f>Tabelle223[[#This Row],[Produktionskapazität Mt]]*Tabelle223[[#This Row],[spez. Verbrauch (kWh/t)]]*10^-3</f>
        <v>0</v>
      </c>
      <c r="E48" s="1"/>
      <c r="F48" s="1"/>
      <c r="G48" s="1"/>
      <c r="H48" s="1"/>
      <c r="I48" s="1"/>
      <c r="J48" s="1"/>
      <c r="K48" s="1"/>
      <c r="L48" s="19"/>
      <c r="M48" s="19"/>
      <c r="N48" s="19"/>
      <c r="O48" s="19"/>
    </row>
    <row r="49" spans="1:15" x14ac:dyDescent="0.35">
      <c r="A49" s="1" t="s">
        <v>97</v>
      </c>
      <c r="B49" s="1" t="s">
        <v>126</v>
      </c>
      <c r="C49" s="1">
        <v>2050</v>
      </c>
      <c r="D49" s="1">
        <f>Tabelle223[[#This Row],[Produktionskapazität Mt]]*Tabelle223[[#This Row],[spez. Verbrauch (kWh/t)]]*10^-3</f>
        <v>0</v>
      </c>
      <c r="E49" s="1"/>
      <c r="F49" s="1"/>
      <c r="G49" s="1"/>
      <c r="H49" s="1"/>
      <c r="I49" s="1"/>
      <c r="J49" s="1"/>
      <c r="K49" s="1"/>
      <c r="L49" s="19"/>
      <c r="M49" s="19"/>
      <c r="N49" s="19"/>
      <c r="O49" s="19"/>
    </row>
    <row r="50" spans="1:15" x14ac:dyDescent="0.35">
      <c r="A50" s="1" t="s">
        <v>208</v>
      </c>
      <c r="B50" s="1" t="s">
        <v>126</v>
      </c>
      <c r="C50" s="1">
        <v>2010</v>
      </c>
      <c r="D50" s="1">
        <f>Tabelle223[[#This Row],[Produktionskapazität Mt]]*Tabelle223[[#This Row],[spez. Verbrauch (kWh/t)]]*10^-3</f>
        <v>0</v>
      </c>
      <c r="E50" s="1"/>
      <c r="F50" s="1"/>
      <c r="G50" s="1"/>
      <c r="H50" s="1"/>
      <c r="I50" s="1"/>
      <c r="J50" s="1"/>
      <c r="K50" s="1"/>
      <c r="L50" s="19"/>
      <c r="M50" s="19"/>
      <c r="N50" s="19"/>
      <c r="O50" s="19"/>
    </row>
    <row r="51" spans="1:15" x14ac:dyDescent="0.35">
      <c r="A51" s="1" t="s">
        <v>208</v>
      </c>
      <c r="B51" s="1" t="s">
        <v>126</v>
      </c>
      <c r="C51" s="1">
        <v>2020</v>
      </c>
      <c r="D51" s="1">
        <f>Tabelle223[[#This Row],[Produktionskapazität Mt]]*Tabelle223[[#This Row],[spez. Verbrauch (kWh/t)]]*10^-3</f>
        <v>0</v>
      </c>
      <c r="E51" s="1"/>
      <c r="F51" s="1"/>
      <c r="G51" s="1"/>
      <c r="H51" s="1"/>
      <c r="I51" s="1"/>
      <c r="J51" s="1"/>
      <c r="K51" s="1"/>
      <c r="L51" s="19"/>
      <c r="M51" s="19"/>
      <c r="N51" s="19"/>
      <c r="O51" s="19"/>
    </row>
    <row r="52" spans="1:15" x14ac:dyDescent="0.35">
      <c r="A52" s="1" t="s">
        <v>208</v>
      </c>
      <c r="B52" s="1" t="s">
        <v>126</v>
      </c>
      <c r="C52" s="1">
        <v>2030</v>
      </c>
      <c r="D52" s="1">
        <f>Tabelle223[[#This Row],[Produktionskapazität Mt]]*Tabelle223[[#This Row],[spez. Verbrauch (kWh/t)]]*10^-3</f>
        <v>0</v>
      </c>
      <c r="E52" s="1"/>
      <c r="F52" s="1"/>
      <c r="G52" s="1"/>
      <c r="H52" s="1"/>
      <c r="I52" s="1"/>
      <c r="J52" s="1"/>
      <c r="K52" s="1"/>
      <c r="L52" s="19"/>
      <c r="M52" s="19"/>
      <c r="N52" s="19"/>
      <c r="O52" s="19"/>
    </row>
    <row r="53" spans="1:15" x14ac:dyDescent="0.35">
      <c r="A53" s="1" t="s">
        <v>208</v>
      </c>
      <c r="B53" s="1" t="s">
        <v>126</v>
      </c>
      <c r="C53" s="1">
        <v>2050</v>
      </c>
      <c r="D53" s="1">
        <f>Tabelle223[[#This Row],[Produktionskapazität Mt]]*Tabelle223[[#This Row],[spez. Verbrauch (kWh/t)]]*10^-3</f>
        <v>0</v>
      </c>
      <c r="E53" s="1"/>
      <c r="F53" s="1"/>
      <c r="G53" s="1"/>
      <c r="H53" s="1"/>
      <c r="I53" s="1"/>
      <c r="J53" s="1"/>
      <c r="K53" s="1"/>
      <c r="L53" s="19"/>
      <c r="M53" s="19"/>
      <c r="N53" s="19"/>
      <c r="O53" s="19"/>
    </row>
    <row r="54" spans="1:15" x14ac:dyDescent="0.35">
      <c r="A54" s="1" t="s">
        <v>398</v>
      </c>
      <c r="B54" s="1" t="s">
        <v>127</v>
      </c>
      <c r="C54" s="1">
        <v>2010</v>
      </c>
      <c r="D54" s="1">
        <v>136.19999999999999</v>
      </c>
      <c r="E54" s="1"/>
      <c r="F54" s="1"/>
      <c r="G54" s="1"/>
      <c r="H54" s="1"/>
      <c r="I54" s="1"/>
      <c r="J54" s="1"/>
      <c r="K54" s="1"/>
      <c r="L54" s="19"/>
      <c r="M54" s="19"/>
      <c r="N54" s="19"/>
      <c r="O54" s="19"/>
    </row>
    <row r="55" spans="1:15" x14ac:dyDescent="0.35">
      <c r="A55" s="1" t="s">
        <v>398</v>
      </c>
      <c r="B55" s="1" t="s">
        <v>127</v>
      </c>
      <c r="C55" s="1">
        <v>2020</v>
      </c>
      <c r="D55" s="1">
        <v>146.5</v>
      </c>
      <c r="E55" s="1"/>
      <c r="F55" s="1"/>
      <c r="G55" s="1"/>
      <c r="H55" s="1"/>
      <c r="I55" s="1"/>
      <c r="J55" s="1"/>
      <c r="K55" s="1"/>
      <c r="L55" s="19"/>
      <c r="M55" s="19"/>
      <c r="N55" s="19"/>
      <c r="O55" s="19"/>
    </row>
    <row r="56" spans="1:15" x14ac:dyDescent="0.35">
      <c r="A56" s="1" t="s">
        <v>398</v>
      </c>
      <c r="B56" s="1" t="s">
        <v>127</v>
      </c>
      <c r="C56" s="1">
        <v>2030</v>
      </c>
      <c r="D56" s="1">
        <v>150.9</v>
      </c>
      <c r="E56" s="1"/>
      <c r="F56" s="1"/>
      <c r="G56" s="1"/>
      <c r="H56" s="1"/>
      <c r="I56" s="1"/>
      <c r="J56" s="1"/>
      <c r="K56" s="1"/>
      <c r="L56" s="19"/>
      <c r="M56" s="19"/>
      <c r="N56" s="19"/>
      <c r="O56" s="19"/>
    </row>
    <row r="57" spans="1:15" x14ac:dyDescent="0.35">
      <c r="A57" s="1" t="s">
        <v>398</v>
      </c>
      <c r="B57" s="1" t="s">
        <v>127</v>
      </c>
      <c r="C57" s="1">
        <v>2050</v>
      </c>
      <c r="D57" s="1">
        <v>131.80000000000001</v>
      </c>
      <c r="E57" s="1"/>
      <c r="F57" s="1"/>
      <c r="G57" s="1"/>
      <c r="H57" s="1"/>
      <c r="I57" s="1"/>
      <c r="J57" s="1"/>
      <c r="K57" s="1"/>
      <c r="L57" s="19"/>
      <c r="M57" s="19"/>
      <c r="N57" s="19"/>
      <c r="O57" s="19"/>
    </row>
    <row r="58" spans="1:15" x14ac:dyDescent="0.35">
      <c r="A58" s="6" t="s">
        <v>97</v>
      </c>
      <c r="B58" s="1" t="s">
        <v>127</v>
      </c>
      <c r="C58" s="6">
        <v>2010</v>
      </c>
      <c r="D58" s="6"/>
      <c r="E58" s="6"/>
      <c r="F58" s="6"/>
      <c r="G58" s="6"/>
      <c r="H58" s="6"/>
      <c r="I58" s="38">
        <v>8.6999999999999994E-2</v>
      </c>
      <c r="J58" s="38"/>
      <c r="K58" s="1"/>
      <c r="L58" s="19"/>
      <c r="M58" s="19"/>
      <c r="N58" s="19"/>
      <c r="O58" s="11">
        <v>56</v>
      </c>
    </row>
    <row r="59" spans="1:15" x14ac:dyDescent="0.35">
      <c r="A59" s="6" t="s">
        <v>97</v>
      </c>
      <c r="B59" s="1" t="s">
        <v>127</v>
      </c>
      <c r="C59" s="6">
        <v>2020</v>
      </c>
      <c r="D59" s="6">
        <f>Tabelle223[[#This Row],[Produktionskapazität Mt]]*Tabelle223[[#This Row],[spez. Verbrauch (kWh/t)]]*10^-3</f>
        <v>0</v>
      </c>
      <c r="E59" s="6"/>
      <c r="F59" s="6"/>
      <c r="G59" s="6"/>
      <c r="H59" s="6"/>
      <c r="I59" s="38">
        <f>I58+(Tabelle223[[#This Row],[Jahr]]-C58)*($I$61-$I$58)/($C$61-$C$58)</f>
        <v>9.0249999999999997E-2</v>
      </c>
      <c r="J59" s="38"/>
      <c r="K59" s="1"/>
      <c r="L59" s="19"/>
      <c r="M59" s="19"/>
      <c r="N59" s="19"/>
      <c r="O59" s="11"/>
    </row>
    <row r="60" spans="1:15" x14ac:dyDescent="0.35">
      <c r="A60" s="6" t="s">
        <v>97</v>
      </c>
      <c r="B60" s="1" t="s">
        <v>127</v>
      </c>
      <c r="C60" s="6">
        <v>2030</v>
      </c>
      <c r="D60" s="6">
        <f>Tabelle223[[#This Row],[Produktionskapazität Mt]]*Tabelle223[[#This Row],[spez. Verbrauch (kWh/t)]]*10^-3</f>
        <v>0</v>
      </c>
      <c r="E60" s="6"/>
      <c r="F60" s="6"/>
      <c r="G60" s="6"/>
      <c r="H60" s="6"/>
      <c r="I60" s="38">
        <f>I59+(Tabelle223[[#This Row],[Jahr]]-C59)*($I$61-$I$58)/($C$61-$C$58)</f>
        <v>9.35E-2</v>
      </c>
      <c r="J60" s="38"/>
      <c r="K60" s="1"/>
      <c r="L60" s="19"/>
      <c r="M60" s="19"/>
      <c r="N60" s="19"/>
      <c r="O60" s="11"/>
    </row>
    <row r="61" spans="1:15" x14ac:dyDescent="0.35">
      <c r="A61" s="6" t="s">
        <v>97</v>
      </c>
      <c r="B61" s="1" t="s">
        <v>127</v>
      </c>
      <c r="C61" s="6">
        <v>2050</v>
      </c>
      <c r="D61" s="6"/>
      <c r="E61" s="6"/>
      <c r="F61" s="6"/>
      <c r="G61" s="6"/>
      <c r="H61" s="6"/>
      <c r="I61" s="7">
        <v>0.1</v>
      </c>
      <c r="J61" s="7"/>
      <c r="K61" s="1"/>
      <c r="L61" s="19"/>
      <c r="M61" s="19"/>
      <c r="N61" s="19"/>
      <c r="O61" s="11">
        <v>56</v>
      </c>
    </row>
    <row r="62" spans="1:15" x14ac:dyDescent="0.35">
      <c r="A62" s="6" t="s">
        <v>208</v>
      </c>
      <c r="B62" s="1" t="s">
        <v>127</v>
      </c>
      <c r="C62" s="6">
        <v>2010</v>
      </c>
      <c r="D62" s="6"/>
      <c r="E62" s="6"/>
      <c r="F62" s="6"/>
      <c r="G62" s="6"/>
      <c r="H62" s="6"/>
      <c r="I62" s="37">
        <v>0.126</v>
      </c>
      <c r="J62" s="37"/>
      <c r="K62" s="1"/>
      <c r="L62" s="19"/>
      <c r="M62" s="19"/>
      <c r="N62" s="19"/>
      <c r="O62" s="11">
        <v>56</v>
      </c>
    </row>
    <row r="63" spans="1:15" x14ac:dyDescent="0.35">
      <c r="A63" s="6" t="s">
        <v>208</v>
      </c>
      <c r="B63" s="1" t="s">
        <v>127</v>
      </c>
      <c r="C63" s="6">
        <v>2020</v>
      </c>
      <c r="D63" s="6">
        <f>Tabelle223[[#This Row],[Produktionskapazität Mt]]*Tabelle223[[#This Row],[spez. Verbrauch (kWh/t)]]*10^-3</f>
        <v>0</v>
      </c>
      <c r="E63" s="6"/>
      <c r="F63" s="6"/>
      <c r="G63" s="6"/>
      <c r="H63" s="6"/>
      <c r="I63" s="38">
        <f>I62+(Tabelle223[[#This Row],[Jahr]]-C62)*($I$65-$I$62)/($C$65-$C$62)</f>
        <v>0.127</v>
      </c>
      <c r="J63" s="37"/>
      <c r="K63" s="1"/>
      <c r="L63" s="19"/>
      <c r="M63" s="19"/>
      <c r="N63" s="19"/>
      <c r="O63" s="11"/>
    </row>
    <row r="64" spans="1:15" x14ac:dyDescent="0.35">
      <c r="A64" s="6" t="s">
        <v>208</v>
      </c>
      <c r="B64" s="1" t="s">
        <v>127</v>
      </c>
      <c r="C64" s="6">
        <v>2030</v>
      </c>
      <c r="D64" s="6">
        <f>Tabelle223[[#This Row],[Produktionskapazität Mt]]*Tabelle223[[#This Row],[spez. Verbrauch (kWh/t)]]*10^-3</f>
        <v>0</v>
      </c>
      <c r="E64" s="6"/>
      <c r="F64" s="6"/>
      <c r="G64" s="6"/>
      <c r="H64" s="6"/>
      <c r="I64" s="38">
        <f>I63+(Tabelle223[[#This Row],[Jahr]]-C63)*($I$65-$I$62)/($C$65-$C$62)</f>
        <v>0.128</v>
      </c>
      <c r="J64" s="37"/>
      <c r="K64" s="1"/>
      <c r="L64" s="19"/>
      <c r="M64" s="19"/>
      <c r="N64" s="19"/>
      <c r="O64" s="11"/>
    </row>
    <row r="65" spans="1:15" x14ac:dyDescent="0.35">
      <c r="A65" s="6" t="s">
        <v>208</v>
      </c>
      <c r="B65" s="1" t="s">
        <v>127</v>
      </c>
      <c r="C65" s="6">
        <v>2050</v>
      </c>
      <c r="D65" s="6"/>
      <c r="E65" s="6"/>
      <c r="F65" s="6"/>
      <c r="G65" s="6"/>
      <c r="H65" s="6"/>
      <c r="I65" s="7">
        <v>0.13</v>
      </c>
      <c r="J65" s="7"/>
      <c r="K65" s="1"/>
      <c r="L65" s="19"/>
      <c r="M65" s="19"/>
      <c r="N65" s="19"/>
      <c r="O65" s="11">
        <v>56</v>
      </c>
    </row>
    <row r="66" spans="1:15" x14ac:dyDescent="0.35">
      <c r="A66" s="1" t="s">
        <v>221</v>
      </c>
      <c r="B66" s="1" t="s">
        <v>127</v>
      </c>
      <c r="C66" s="6">
        <v>2010</v>
      </c>
      <c r="D66" s="6">
        <f>Tabelle223[[#This Row],[Produktionskapazität Mt]]*Tabelle223[[#This Row],[spez. Verbrauch (kWh/t)]]*10^-3</f>
        <v>0</v>
      </c>
      <c r="E66" s="6"/>
      <c r="F66" s="6"/>
      <c r="G66" s="6"/>
      <c r="H66" s="6"/>
      <c r="I66" s="37"/>
      <c r="J66" s="7">
        <v>0</v>
      </c>
      <c r="K66" s="1"/>
      <c r="L66" s="19"/>
      <c r="M66" s="19"/>
      <c r="N66" s="19"/>
      <c r="O66" s="19"/>
    </row>
    <row r="67" spans="1:15" x14ac:dyDescent="0.35">
      <c r="A67" s="1" t="s">
        <v>221</v>
      </c>
      <c r="B67" s="1" t="s">
        <v>127</v>
      </c>
      <c r="C67" s="6">
        <v>2020</v>
      </c>
      <c r="D67" s="6">
        <f>Tabelle223[[#This Row],[Produktionskapazität Mt]]*Tabelle223[[#This Row],[spez. Verbrauch (kWh/t)]]*10^-3</f>
        <v>0</v>
      </c>
      <c r="E67" s="6"/>
      <c r="F67" s="6"/>
      <c r="G67" s="6"/>
      <c r="H67" s="6"/>
      <c r="I67" s="38"/>
      <c r="J67" s="38">
        <f>J66+(Tabelle223[[#This Row],[Jahr]]-C66)*($J$69-$J$66)/($C$69-$C$66)</f>
        <v>0.125</v>
      </c>
      <c r="K67" s="1"/>
      <c r="L67" s="19"/>
      <c r="M67" s="19"/>
      <c r="N67" s="19"/>
      <c r="O67" s="19"/>
    </row>
    <row r="68" spans="1:15" x14ac:dyDescent="0.35">
      <c r="A68" s="1" t="s">
        <v>221</v>
      </c>
      <c r="B68" s="1" t="s">
        <v>127</v>
      </c>
      <c r="C68" s="6">
        <v>2030</v>
      </c>
      <c r="D68" s="6">
        <f>Tabelle223[[#This Row],[Produktionskapazität Mt]]*Tabelle223[[#This Row],[spez. Verbrauch (kWh/t)]]*10^-3</f>
        <v>0</v>
      </c>
      <c r="E68" s="6"/>
      <c r="F68" s="6"/>
      <c r="G68" s="6"/>
      <c r="H68" s="6"/>
      <c r="I68" s="38"/>
      <c r="J68" s="38">
        <f>J67+(Tabelle223[[#This Row],[Jahr]]-C67)*($J$69-$J$66)/($C$69-$C$66)</f>
        <v>0.25</v>
      </c>
      <c r="K68" s="1"/>
      <c r="L68" s="19"/>
      <c r="M68" s="19"/>
      <c r="N68" s="19"/>
      <c r="O68" s="19"/>
    </row>
    <row r="69" spans="1:15" x14ac:dyDescent="0.35">
      <c r="A69" s="6" t="s">
        <v>221</v>
      </c>
      <c r="B69" s="1" t="s">
        <v>127</v>
      </c>
      <c r="C69" s="6">
        <v>2050</v>
      </c>
      <c r="D69" s="6">
        <f>Tabelle223[[#This Row],[Produktionskapazität Mt]]*Tabelle223[[#This Row],[spez. Verbrauch (kWh/t)]]*10^-3</f>
        <v>0</v>
      </c>
      <c r="E69" s="6"/>
      <c r="F69" s="6"/>
      <c r="G69" s="6"/>
      <c r="H69" s="6"/>
      <c r="I69" s="1"/>
      <c r="J69" s="7">
        <v>0.5</v>
      </c>
      <c r="K69" s="1"/>
      <c r="L69" s="19"/>
      <c r="M69" s="19"/>
      <c r="N69" s="19"/>
      <c r="O69" s="19"/>
    </row>
    <row r="70" spans="1:15" x14ac:dyDescent="0.35">
      <c r="A70" s="6" t="s">
        <v>136</v>
      </c>
      <c r="B70" s="1" t="s">
        <v>127</v>
      </c>
      <c r="C70" s="6">
        <v>2010</v>
      </c>
      <c r="D70" s="6">
        <f>Tabelle223[[#This Row],[Produktionskapazität Mt]]*Tabelle223[[#This Row],[spez. Verbrauch (kWh/t)]]*10^-3</f>
        <v>0</v>
      </c>
      <c r="E70" s="6"/>
      <c r="F70" s="6"/>
      <c r="G70" s="6"/>
      <c r="H70" s="6"/>
      <c r="I70" s="7"/>
      <c r="J70" s="7">
        <v>0</v>
      </c>
      <c r="K70" s="1"/>
      <c r="L70" s="19"/>
      <c r="M70" s="19"/>
      <c r="N70" s="19"/>
      <c r="O70" s="19"/>
    </row>
    <row r="71" spans="1:15" x14ac:dyDescent="0.35">
      <c r="A71" s="6" t="s">
        <v>136</v>
      </c>
      <c r="B71" s="1" t="s">
        <v>127</v>
      </c>
      <c r="C71" s="6">
        <v>2020</v>
      </c>
      <c r="D71" s="6">
        <f>Tabelle223[[#This Row],[Produktionskapazität Mt]]*Tabelle223[[#This Row],[spez. Verbrauch (kWh/t)]]*10^-3</f>
        <v>0</v>
      </c>
      <c r="E71" s="6"/>
      <c r="F71" s="6"/>
      <c r="G71" s="6"/>
      <c r="H71" s="6"/>
      <c r="I71" s="7"/>
      <c r="J71" s="7">
        <f>J70+(Tabelle223[[#This Row],[Jahr]]-C70)*($J$73-$J$70)/($C$73-$C$70)</f>
        <v>-0.1</v>
      </c>
      <c r="K71" s="1"/>
      <c r="L71" s="19"/>
      <c r="M71" s="19"/>
      <c r="N71" s="19"/>
      <c r="O71" s="19"/>
    </row>
    <row r="72" spans="1:15" x14ac:dyDescent="0.35">
      <c r="A72" s="6" t="s">
        <v>136</v>
      </c>
      <c r="B72" s="1" t="s">
        <v>127</v>
      </c>
      <c r="C72" s="6">
        <v>2030</v>
      </c>
      <c r="D72" s="6">
        <f>Tabelle223[[#This Row],[Produktionskapazität Mt]]*Tabelle223[[#This Row],[spez. Verbrauch (kWh/t)]]*10^-3</f>
        <v>0</v>
      </c>
      <c r="E72" s="6"/>
      <c r="F72" s="6"/>
      <c r="G72" s="6"/>
      <c r="H72" s="6"/>
      <c r="I72" s="7"/>
      <c r="J72" s="7">
        <f>J71+(Tabelle223[[#This Row],[Jahr]]-C71)*($J$73-$J$70)/($C$73-$C$70)</f>
        <v>-0.2</v>
      </c>
      <c r="K72" s="1"/>
      <c r="L72" s="19"/>
      <c r="M72" s="19"/>
      <c r="N72" s="19"/>
      <c r="O72" s="19"/>
    </row>
    <row r="73" spans="1:15" x14ac:dyDescent="0.35">
      <c r="A73" s="6" t="s">
        <v>136</v>
      </c>
      <c r="B73" s="1" t="s">
        <v>127</v>
      </c>
      <c r="C73" s="6">
        <v>2050</v>
      </c>
      <c r="D73" s="6">
        <f>Tabelle223[[#This Row],[Produktionskapazität Mt]]*Tabelle223[[#This Row],[spez. Verbrauch (kWh/t)]]*10^-3</f>
        <v>0</v>
      </c>
      <c r="E73" s="6"/>
      <c r="F73" s="6"/>
      <c r="G73" s="6"/>
      <c r="H73" s="6"/>
      <c r="I73" s="7"/>
      <c r="J73" s="7">
        <v>-0.4</v>
      </c>
      <c r="K73" s="1"/>
      <c r="L73" s="19"/>
      <c r="M73" s="19"/>
      <c r="N73" s="19"/>
      <c r="O73" s="19"/>
    </row>
    <row r="74" spans="1:15" x14ac:dyDescent="0.35">
      <c r="A74" s="6" t="s">
        <v>374</v>
      </c>
      <c r="B74" s="1" t="s">
        <v>127</v>
      </c>
      <c r="C74" s="6">
        <v>2010</v>
      </c>
      <c r="D74" s="6">
        <f>Tabelle223[[#This Row],[Produktionskapazität Mt]]*Tabelle223[[#This Row],[spez. Verbrauch (kWh/t)]]*10^-3</f>
        <v>0</v>
      </c>
      <c r="E74" s="6"/>
      <c r="F74" s="6"/>
      <c r="G74" s="6"/>
      <c r="H74" s="6"/>
      <c r="I74" s="7">
        <v>0.03</v>
      </c>
      <c r="K74" s="1"/>
      <c r="L74" s="19"/>
      <c r="M74" s="19"/>
      <c r="N74" s="19"/>
      <c r="O74" s="19"/>
    </row>
    <row r="75" spans="1:15" x14ac:dyDescent="0.35">
      <c r="A75" s="6" t="s">
        <v>374</v>
      </c>
      <c r="B75" s="1" t="s">
        <v>127</v>
      </c>
      <c r="C75" s="6">
        <v>2020</v>
      </c>
      <c r="D75" s="6">
        <f>Tabelle223[[#This Row],[Produktionskapazität Mt]]*Tabelle223[[#This Row],[spez. Verbrauch (kWh/t)]]*10^-3</f>
        <v>0</v>
      </c>
      <c r="E75" s="6"/>
      <c r="F75" s="6"/>
      <c r="G75" s="6"/>
      <c r="H75" s="6"/>
      <c r="I75" s="39">
        <f>I74+(Tabelle223[[#This Row],[Jahr]]-C74)*($I$77-$I$74)/($C$77-$C$74)</f>
        <v>2.8749999999999998E-2</v>
      </c>
      <c r="K75" s="1"/>
      <c r="L75" s="19"/>
      <c r="M75" s="19"/>
      <c r="N75" s="19"/>
      <c r="O75" s="19"/>
    </row>
    <row r="76" spans="1:15" x14ac:dyDescent="0.35">
      <c r="A76" s="6" t="s">
        <v>374</v>
      </c>
      <c r="B76" s="1" t="s">
        <v>127</v>
      </c>
      <c r="C76" s="6">
        <v>2030</v>
      </c>
      <c r="D76" s="6">
        <f>Tabelle223[[#This Row],[Produktionskapazität Mt]]*Tabelle223[[#This Row],[spez. Verbrauch (kWh/t)]]*10^-3</f>
        <v>0</v>
      </c>
      <c r="E76" s="6"/>
      <c r="F76" s="6"/>
      <c r="G76" s="6"/>
      <c r="H76" s="6"/>
      <c r="I76" s="39">
        <f>I75+(Tabelle223[[#This Row],[Jahr]]-C75)*($I$77-$I$74)/($C$77-$C$74)</f>
        <v>2.7499999999999997E-2</v>
      </c>
      <c r="K76" s="1"/>
      <c r="L76" s="19"/>
      <c r="M76" s="19"/>
      <c r="N76" s="19"/>
      <c r="O76" s="19"/>
    </row>
    <row r="77" spans="1:15" x14ac:dyDescent="0.35">
      <c r="A77" s="6" t="s">
        <v>374</v>
      </c>
      <c r="B77" s="1" t="s">
        <v>127</v>
      </c>
      <c r="C77" s="6">
        <v>2050</v>
      </c>
      <c r="D77" s="6">
        <f>Tabelle223[[#This Row],[Produktionskapazität Mt]]*Tabelle223[[#This Row],[spez. Verbrauch (kWh/t)]]*10^-3</f>
        <v>0</v>
      </c>
      <c r="E77" s="6"/>
      <c r="F77" s="6"/>
      <c r="G77" s="6"/>
      <c r="H77" s="6"/>
      <c r="I77" s="37">
        <v>2.5000000000000001E-2</v>
      </c>
      <c r="K77" s="1"/>
      <c r="L77" s="19"/>
      <c r="M77" s="19"/>
      <c r="N77" s="19"/>
      <c r="O77" s="19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Dropdown!$C$2:$C$4</xm:f>
          </x14:formula1>
          <xm:sqref>B2:B77</xm:sqref>
        </x14:dataValidation>
        <x14:dataValidation type="list" allowBlank="1" showInputMessage="1" showErrorMessage="1" xr:uid="{00000000-0002-0000-0B00-000001000000}">
          <x14:formula1>
            <xm:f>Dropdown!$A$2:$A$91</xm:f>
          </x14:formula1>
          <xm:sqref>A2:A77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9AF8-DB53-4922-81D1-6A97F299DA21}">
  <sheetPr codeName="Tabelle3"/>
  <dimension ref="A1:T3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7" sqref="B27"/>
    </sheetView>
  </sheetViews>
  <sheetFormatPr baseColWidth="10" defaultColWidth="11.453125" defaultRowHeight="12.5" x14ac:dyDescent="0.25"/>
  <cols>
    <col min="1" max="1" width="33.453125" style="1" bestFit="1" customWidth="1"/>
    <col min="2" max="2" width="20.816406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7" width="17.7265625" style="1" customWidth="1"/>
    <col min="8" max="8" width="38.81640625" style="1" bestFit="1" customWidth="1"/>
    <col min="9" max="9" width="29.26953125" style="1" bestFit="1" customWidth="1"/>
    <col min="10" max="10" width="29.26953125" style="1" customWidth="1"/>
    <col min="11" max="12" width="24.54296875" style="1" customWidth="1"/>
    <col min="13" max="15" width="24.453125" style="1" customWidth="1"/>
    <col min="16" max="16" width="24.7265625" style="1" customWidth="1"/>
    <col min="17" max="17" width="25.7265625" style="1" bestFit="1" customWidth="1"/>
    <col min="18" max="18" width="25.7265625" style="1" customWidth="1"/>
    <col min="19" max="19" width="31.81640625" style="1" customWidth="1"/>
    <col min="20" max="20" width="28.26953125" style="1" bestFit="1" customWidth="1"/>
    <col min="21" max="21" width="31" style="1" bestFit="1" customWidth="1"/>
    <col min="22" max="22" width="28.81640625" style="1" bestFit="1" customWidth="1"/>
    <col min="23" max="16384" width="11.453125" style="1"/>
  </cols>
  <sheetData>
    <row r="1" spans="1:20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833</v>
      </c>
      <c r="H1" s="2" t="s">
        <v>146</v>
      </c>
      <c r="I1" s="2" t="s">
        <v>48</v>
      </c>
      <c r="J1" s="2" t="s">
        <v>846</v>
      </c>
      <c r="K1" s="2" t="s">
        <v>155</v>
      </c>
      <c r="L1" s="2" t="s">
        <v>845</v>
      </c>
      <c r="M1" s="2" t="s">
        <v>854</v>
      </c>
      <c r="N1" s="2" t="s">
        <v>232</v>
      </c>
      <c r="O1" s="2" t="s">
        <v>113</v>
      </c>
      <c r="P1" s="2" t="s">
        <v>55</v>
      </c>
      <c r="Q1" s="2" t="s">
        <v>20</v>
      </c>
      <c r="R1" s="2" t="s">
        <v>161</v>
      </c>
      <c r="S1" s="2" t="s">
        <v>162</v>
      </c>
      <c r="T1" s="2" t="s">
        <v>21</v>
      </c>
    </row>
    <row r="2" spans="1:20" x14ac:dyDescent="0.25">
      <c r="A2" s="55" t="s">
        <v>27</v>
      </c>
      <c r="B2" s="1" t="s">
        <v>126</v>
      </c>
      <c r="C2" s="55">
        <v>2011</v>
      </c>
      <c r="D2" s="55">
        <v>0</v>
      </c>
      <c r="E2" s="55">
        <v>1</v>
      </c>
      <c r="F2" s="55">
        <v>0</v>
      </c>
      <c r="G2" s="55">
        <f t="shared" ref="G2" si="0">0.46+5.27</f>
        <v>5.7299999999999995</v>
      </c>
      <c r="H2" s="56"/>
      <c r="I2" s="56"/>
      <c r="J2" s="56"/>
      <c r="K2" s="56"/>
      <c r="L2" s="56"/>
      <c r="M2" s="88">
        <f>Tabelle58971114292527[[#This Row],[Durchschnittsauslastung]]*8760</f>
        <v>7358.4</v>
      </c>
      <c r="N2" s="58">
        <v>0.84</v>
      </c>
      <c r="O2" s="57">
        <f>Tabelle58971114292527[[#This Row],[Durchschnittsauslastung]]*Tabelle58971114292527[[#This Row],[installierte Leistung MW]]</f>
        <v>2108.4</v>
      </c>
      <c r="P2" s="56">
        <f>1100+1410</f>
        <v>2510</v>
      </c>
      <c r="Q2" s="1" t="s">
        <v>979</v>
      </c>
      <c r="R2" s="55">
        <v>5</v>
      </c>
      <c r="S2" s="55">
        <v>5</v>
      </c>
      <c r="T2" s="55">
        <v>5</v>
      </c>
    </row>
    <row r="3" spans="1:20" x14ac:dyDescent="0.25">
      <c r="A3" s="55" t="s">
        <v>81</v>
      </c>
      <c r="B3" s="1" t="s">
        <v>126</v>
      </c>
      <c r="C3" s="55">
        <v>2011</v>
      </c>
      <c r="D3" s="55">
        <v>0</v>
      </c>
      <c r="E3" s="55">
        <v>1</v>
      </c>
      <c r="F3" s="55">
        <v>0</v>
      </c>
      <c r="G3" s="55">
        <v>11.25</v>
      </c>
      <c r="H3" s="56"/>
      <c r="I3" s="56"/>
      <c r="J3" s="56"/>
      <c r="K3" s="56"/>
      <c r="L3" s="56"/>
      <c r="M3" s="88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6502.8901734104047</v>
      </c>
      <c r="N3" s="58">
        <f>IF(Tabelle58971114292527[[#This Row],[Vollbenutzungsstunden h/a]]&lt;&gt;"",Tabelle58971114292527[[#This Row],[Vollbenutzungsstunden h/a]]/8760,"")</f>
        <v>0.74233906089159873</v>
      </c>
      <c r="O3" s="57">
        <f>Tabelle58971114292527[[#This Row],[Durchschnittsauslastung]]*Tabelle58971114292527[[#This Row],[installierte Leistung MW]]</f>
        <v>1284.2465753424658</v>
      </c>
      <c r="P3" s="56">
        <v>1730</v>
      </c>
      <c r="Q3" s="1" t="s">
        <v>982</v>
      </c>
      <c r="R3" s="55">
        <v>5</v>
      </c>
      <c r="S3" s="55">
        <v>5</v>
      </c>
      <c r="T3" s="55">
        <v>5</v>
      </c>
    </row>
    <row r="4" spans="1:20" x14ac:dyDescent="0.25">
      <c r="A4" s="55" t="s">
        <v>74</v>
      </c>
      <c r="B4" s="1" t="s">
        <v>126</v>
      </c>
      <c r="C4" s="55">
        <v>2011</v>
      </c>
      <c r="D4" s="55">
        <v>0</v>
      </c>
      <c r="E4" s="55">
        <v>1</v>
      </c>
      <c r="F4" s="55">
        <v>0</v>
      </c>
      <c r="G4" s="55">
        <v>5.04</v>
      </c>
      <c r="H4" s="56"/>
      <c r="I4" s="56"/>
      <c r="J4" s="56"/>
      <c r="K4" s="56"/>
      <c r="L4" s="56"/>
      <c r="M4" s="88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6072.2891566265062</v>
      </c>
      <c r="N4" s="58">
        <f>IF(Tabelle58971114292527[[#This Row],[Vollbenutzungsstunden h/a]]&lt;&gt;"",Tabelle58971114292527[[#This Row],[Vollbenutzungsstunden h/a]]/8760,"")</f>
        <v>0.69318369367882493</v>
      </c>
      <c r="O4" s="57">
        <f>Tabelle58971114292527[[#This Row],[Durchschnittsauslastung]]*Tabelle58971114292527[[#This Row],[installierte Leistung MW]]</f>
        <v>575.34246575342468</v>
      </c>
      <c r="P4" s="56">
        <v>830</v>
      </c>
      <c r="Q4" s="1" t="s">
        <v>981</v>
      </c>
      <c r="R4" s="55">
        <v>5</v>
      </c>
      <c r="S4" s="55">
        <v>5</v>
      </c>
      <c r="T4" s="55">
        <v>5</v>
      </c>
    </row>
    <row r="5" spans="1:20" x14ac:dyDescent="0.25">
      <c r="A5" s="55" t="s">
        <v>51</v>
      </c>
      <c r="B5" s="1" t="s">
        <v>126</v>
      </c>
      <c r="C5" s="55">
        <v>2011</v>
      </c>
      <c r="D5" s="55">
        <v>1</v>
      </c>
      <c r="E5" s="55">
        <v>1</v>
      </c>
      <c r="F5" s="55">
        <v>0</v>
      </c>
      <c r="G5" s="55">
        <v>6.27</v>
      </c>
      <c r="H5" s="56"/>
      <c r="I5" s="56"/>
      <c r="J5" s="56"/>
      <c r="K5" s="56"/>
      <c r="L5" s="56"/>
      <c r="M5" s="88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8708.3333333333339</v>
      </c>
      <c r="N5" s="58">
        <f>IF(Tabelle58971114292527[[#This Row],[Vollbenutzungsstunden h/a]]&lt;&gt;"",Tabelle58971114292527[[#This Row],[Vollbenutzungsstunden h/a]]/8760,"")</f>
        <v>0.99410197869101991</v>
      </c>
      <c r="O5" s="57">
        <f>Tabelle58971114292527[[#This Row],[Durchschnittsauslastung]]*Tabelle58971114292527[[#This Row],[installierte Leistung MW]]</f>
        <v>715.75342465753431</v>
      </c>
      <c r="P5" s="56">
        <v>720</v>
      </c>
      <c r="Q5" s="1" t="s">
        <v>980</v>
      </c>
      <c r="R5" s="55">
        <v>5</v>
      </c>
      <c r="S5" s="55">
        <v>5</v>
      </c>
      <c r="T5" s="55">
        <v>5</v>
      </c>
    </row>
    <row r="6" spans="1:20" x14ac:dyDescent="0.25">
      <c r="A6" s="55" t="s">
        <v>938</v>
      </c>
      <c r="B6" s="1" t="s">
        <v>126</v>
      </c>
      <c r="C6" s="55">
        <v>2011</v>
      </c>
      <c r="D6" s="55">
        <v>1</v>
      </c>
      <c r="E6" s="55">
        <v>1</v>
      </c>
      <c r="F6" s="55">
        <v>0</v>
      </c>
      <c r="G6" s="55">
        <v>2.4300000000000002</v>
      </c>
      <c r="H6" s="56"/>
      <c r="I6" s="56"/>
      <c r="J6" s="56"/>
      <c r="K6" s="56"/>
      <c r="L6" s="56"/>
      <c r="M6" s="88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7593.75</v>
      </c>
      <c r="N6" s="58">
        <f>IF(Tabelle58971114292527[[#This Row],[Vollbenutzungsstunden h/a]]&lt;&gt;"",Tabelle58971114292527[[#This Row],[Vollbenutzungsstunden h/a]]/8760,"")</f>
        <v>0.86686643835616439</v>
      </c>
      <c r="O6" s="57">
        <f>Tabelle58971114292527[[#This Row],[Durchschnittsauslastung]]*Tabelle58971114292527[[#This Row],[installierte Leistung MW]]</f>
        <v>277.39726027397262</v>
      </c>
      <c r="P6" s="56">
        <v>320</v>
      </c>
      <c r="Q6" s="1" t="s">
        <v>983</v>
      </c>
      <c r="R6" s="55">
        <v>5</v>
      </c>
      <c r="S6" s="55">
        <v>5</v>
      </c>
      <c r="T6" s="55">
        <v>5</v>
      </c>
    </row>
    <row r="7" spans="1:20" x14ac:dyDescent="0.25">
      <c r="A7" s="1" t="s">
        <v>990</v>
      </c>
      <c r="B7" s="1" t="s">
        <v>126</v>
      </c>
      <c r="C7" s="55">
        <v>2011</v>
      </c>
      <c r="D7" s="55">
        <v>1</v>
      </c>
      <c r="E7" s="55">
        <v>0</v>
      </c>
      <c r="F7" s="55">
        <v>0</v>
      </c>
      <c r="G7" s="55"/>
      <c r="H7" s="56">
        <v>1180</v>
      </c>
      <c r="I7" s="56"/>
      <c r="J7" s="56">
        <v>4920</v>
      </c>
      <c r="K7" s="56">
        <v>230</v>
      </c>
      <c r="L7" s="56">
        <v>1860</v>
      </c>
      <c r="M7" s="88" t="str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/>
      </c>
      <c r="N7" s="58" t="str">
        <f>IF(Tabelle58971114292527[[#This Row],[Vollbenutzungsstunden h/a]]&lt;&gt;"",Tabelle58971114292527[[#This Row],[Vollbenutzungsstunden h/a]]/8760,"")</f>
        <v/>
      </c>
      <c r="O7" s="57"/>
      <c r="P7" s="56"/>
      <c r="Q7" s="55"/>
      <c r="R7" s="55"/>
      <c r="S7" s="55"/>
      <c r="T7" s="55"/>
    </row>
    <row r="8" spans="1:20" x14ac:dyDescent="0.25">
      <c r="A8" s="55" t="s">
        <v>991</v>
      </c>
      <c r="B8" s="1" t="s">
        <v>126</v>
      </c>
      <c r="C8" s="55">
        <v>2011</v>
      </c>
      <c r="D8" s="55">
        <v>0</v>
      </c>
      <c r="E8" s="55">
        <v>1</v>
      </c>
      <c r="F8" s="55">
        <v>0</v>
      </c>
      <c r="G8" s="55"/>
      <c r="H8" s="56"/>
      <c r="I8" s="56">
        <v>1490</v>
      </c>
      <c r="J8" s="56">
        <v>6750</v>
      </c>
      <c r="K8" s="56"/>
      <c r="L8" s="56"/>
      <c r="M8" s="88" t="str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/>
      </c>
      <c r="N8" s="58" t="str">
        <f>IF(Tabelle58971114292527[[#This Row],[Vollbenutzungsstunden h/a]]&lt;&gt;"",Tabelle58971114292527[[#This Row],[Vollbenutzungsstunden h/a]]/8760,"")</f>
        <v/>
      </c>
      <c r="O8" s="57"/>
      <c r="P8" s="56"/>
      <c r="Q8" s="55"/>
      <c r="R8" s="55"/>
      <c r="S8" s="55"/>
      <c r="T8" s="55"/>
    </row>
    <row r="37" spans="2:2" ht="13" x14ac:dyDescent="0.3">
      <c r="B37" s="2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BC63FC-85C2-4030-8EB9-3E81FFDA1D9D}">
          <x14:formula1>
            <xm:f>Dropdown!$C$2:$C$4</xm:f>
          </x14:formula1>
          <xm:sqref>B2:B8</xm:sqref>
        </x14:dataValidation>
        <x14:dataValidation type="list" allowBlank="1" showInputMessage="1" showErrorMessage="1" xr:uid="{7CAC4724-FA99-478D-8781-10AB501BCBC7}">
          <x14:formula1>
            <xm:f>Dropdown!$A$1:$A$97</xm:f>
          </x14:formula1>
          <xm:sqref>A2:A8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7"/>
  <dimension ref="A1:M41"/>
  <sheetViews>
    <sheetView zoomScaleNormal="100" workbookViewId="0">
      <selection activeCell="E3" sqref="E3"/>
    </sheetView>
  </sheetViews>
  <sheetFormatPr baseColWidth="10" defaultColWidth="11.453125" defaultRowHeight="12.5" x14ac:dyDescent="0.25"/>
  <cols>
    <col min="1" max="1" width="23.26953125" style="1" bestFit="1" customWidth="1"/>
    <col min="2" max="2" width="23.26953125" style="1" customWidth="1"/>
    <col min="3" max="3" width="11.453125" style="1"/>
    <col min="4" max="4" width="25" style="1" bestFit="1" customWidth="1"/>
    <col min="5" max="5" width="17.81640625" style="1" bestFit="1" customWidth="1"/>
    <col min="6" max="6" width="17.81640625" style="1" customWidth="1"/>
    <col min="7" max="10" width="24.26953125" style="1" customWidth="1"/>
    <col min="11" max="11" width="17.54296875" style="1" customWidth="1"/>
    <col min="12" max="12" width="17.81640625" style="1" customWidth="1"/>
    <col min="13" max="13" width="30.7265625" style="1" bestFit="1" customWidth="1"/>
    <col min="14" max="16384" width="11.453125" style="1"/>
  </cols>
  <sheetData>
    <row r="1" spans="1:13" ht="13" x14ac:dyDescent="0.3">
      <c r="A1" s="2" t="s">
        <v>0</v>
      </c>
      <c r="B1" s="2" t="s">
        <v>128</v>
      </c>
      <c r="C1" s="2" t="s">
        <v>8</v>
      </c>
      <c r="D1" s="2" t="s">
        <v>482</v>
      </c>
      <c r="E1" s="1" t="s">
        <v>485</v>
      </c>
      <c r="F1" s="1" t="s">
        <v>486</v>
      </c>
      <c r="G1" s="1" t="s">
        <v>23</v>
      </c>
      <c r="H1" s="1" t="s">
        <v>483</v>
      </c>
      <c r="I1" s="1" t="s">
        <v>487</v>
      </c>
      <c r="J1" s="1" t="s">
        <v>484</v>
      </c>
      <c r="K1" s="1" t="s">
        <v>488</v>
      </c>
      <c r="L1" s="1" t="s">
        <v>489</v>
      </c>
      <c r="M1" s="1" t="s">
        <v>26</v>
      </c>
    </row>
    <row r="2" spans="1:13" x14ac:dyDescent="0.25">
      <c r="A2" s="30" t="s">
        <v>362</v>
      </c>
      <c r="B2" s="30" t="s">
        <v>139</v>
      </c>
      <c r="C2" s="6">
        <v>2010</v>
      </c>
      <c r="D2" s="6">
        <v>39.799999999999997</v>
      </c>
      <c r="E2" s="27">
        <f>Tabelle234[[#This Row],[Leistung je Einheit (kW)]]*Tabelle234[[#This Row],[Anzahl Haushalte (Mio.)]]*Tabelle234[[#This Row],[Vollbenutzungsstunden]]*Tabelle234[[#This Row],[Ausstattungsraten]]/10^3</f>
        <v>0.36118499999999992</v>
      </c>
      <c r="F2" s="27">
        <f>Tabelle234[[#This Row],[Anzahl Haushalte (Mio.)]]*Tabelle234[[#This Row],[Ausstattungsraten]]*Tabelle234[[#This Row],[Leistung je Einheit (kW)]]*10^3</f>
        <v>1313.3999999999999</v>
      </c>
      <c r="G2" s="11">
        <v>275</v>
      </c>
      <c r="H2" s="9">
        <v>0.02</v>
      </c>
      <c r="I2" s="42"/>
      <c r="J2" s="43">
        <v>1.65</v>
      </c>
      <c r="K2" s="19">
        <v>32</v>
      </c>
      <c r="L2" s="19">
        <v>985</v>
      </c>
      <c r="M2" s="1" t="s">
        <v>490</v>
      </c>
    </row>
    <row r="3" spans="1:13" x14ac:dyDescent="0.25">
      <c r="A3" s="30" t="s">
        <v>362</v>
      </c>
      <c r="B3" s="30" t="s">
        <v>139</v>
      </c>
      <c r="C3" s="1">
        <v>2020</v>
      </c>
      <c r="D3" s="1">
        <v>40.659999999999997</v>
      </c>
      <c r="E3" s="27">
        <f>Tabelle234[[#This Row],[Leistung je Einheit (kW)]]*Tabelle234[[#This Row],[Anzahl Haushalte (Mio.)]]*Tabelle234[[#This Row],[Vollbenutzungsstunden]]*Tabelle234[[#This Row],[Ausstattungsraten]]/10^3</f>
        <v>0.70016519999999993</v>
      </c>
      <c r="F3" s="27">
        <f>Tabelle234[[#This Row],[Anzahl Haushalte (Mio.)]]*Tabelle234[[#This Row],[Ausstattungsraten]]*Tabelle234[[#This Row],[Leistung je Einheit (kW)]]*10^3</f>
        <v>2439.5999999999995</v>
      </c>
      <c r="G3" s="11">
        <v>287</v>
      </c>
      <c r="H3" s="9">
        <f>$H$2+(Tabelle234[[#This Row],[Jahr]]-$C$2)*($H$5-$H$2)/($C$5-$C$2)</f>
        <v>0.04</v>
      </c>
      <c r="I3" s="42"/>
      <c r="J3" s="43">
        <v>1.5</v>
      </c>
      <c r="K3" s="19">
        <f>Tabelle234[[#This Row],[Leistung gesamt (MW)]]/F2*K2</f>
        <v>59.439013248058465</v>
      </c>
      <c r="L3" s="19">
        <f>Tabelle234[[#This Row],[Leistung gesamt (MW)]]/F2*L2</f>
        <v>1829.6071265417997</v>
      </c>
      <c r="M3" s="1" t="s">
        <v>490</v>
      </c>
    </row>
    <row r="4" spans="1:13" x14ac:dyDescent="0.25">
      <c r="A4" s="30" t="s">
        <v>362</v>
      </c>
      <c r="B4" s="30" t="s">
        <v>139</v>
      </c>
      <c r="C4" s="6">
        <v>2030</v>
      </c>
      <c r="D4" s="6">
        <v>41.2</v>
      </c>
      <c r="E4" s="27">
        <f>Tabelle234[[#This Row],[Leistung je Einheit (kW)]]*Tabelle234[[#This Row],[Anzahl Haushalte (Mio.)]]*Tabelle234[[#This Row],[Vollbenutzungsstunden]]*Tabelle234[[#This Row],[Ausstattungsraten]]/10^3</f>
        <v>1.00116</v>
      </c>
      <c r="F4" s="27">
        <f>Tabelle234[[#This Row],[Anzahl Haushalte (Mio.)]]*Tabelle234[[#This Row],[Ausstattungsraten]]*Tabelle234[[#This Row],[Leistung je Einheit (kW)]]*10^3</f>
        <v>3337.2000000000003</v>
      </c>
      <c r="G4" s="11">
        <v>300</v>
      </c>
      <c r="H4" s="9">
        <f>$H$2+(Tabelle234[[#This Row],[Jahr]]-$C$2)*($H$5-$H$2)/($C$5-$C$2)</f>
        <v>0.06</v>
      </c>
      <c r="I4" s="42"/>
      <c r="J4" s="43">
        <v>1.35</v>
      </c>
      <c r="K4" s="19">
        <f>Tabelle234[[#This Row],[Leistung gesamt (MW)]]/F3*K3</f>
        <v>81.308359981726824</v>
      </c>
      <c r="L4" s="19">
        <f>Tabelle234[[#This Row],[Leistung gesamt (MW)]]/F3*L3</f>
        <v>2502.7729556875292</v>
      </c>
      <c r="M4" s="1" t="s">
        <v>490</v>
      </c>
    </row>
    <row r="5" spans="1:13" x14ac:dyDescent="0.25">
      <c r="A5" s="30" t="s">
        <v>362</v>
      </c>
      <c r="B5" s="30" t="s">
        <v>139</v>
      </c>
      <c r="C5" s="1">
        <v>2050</v>
      </c>
      <c r="D5" s="1">
        <v>39.68</v>
      </c>
      <c r="E5" s="27">
        <f>Tabelle234[[#This Row],[Leistung je Einheit (kW)]]*Tabelle234[[#This Row],[Anzahl Haushalte (Mio.)]]*Tabelle234[[#This Row],[Vollbenutzungsstunden]]*Tabelle234[[#This Row],[Ausstattungsraten]]/10^3</f>
        <v>1.4360192000000003</v>
      </c>
      <c r="F5" s="27">
        <f>Tabelle234[[#This Row],[Anzahl Haushalte (Mio.)]]*Tabelle234[[#This Row],[Ausstattungsraten]]*Tabelle234[[#This Row],[Leistung je Einheit (kW)]]*10^3</f>
        <v>4364.8000000000011</v>
      </c>
      <c r="G5" s="11">
        <v>329</v>
      </c>
      <c r="H5" s="9">
        <v>0.1</v>
      </c>
      <c r="I5" s="42"/>
      <c r="J5" s="43">
        <v>1.1000000000000001</v>
      </c>
      <c r="K5" s="19">
        <f>Tabelle234[[#This Row],[Leistung gesamt (MW)]]/F4*K4</f>
        <v>106.34505862646569</v>
      </c>
      <c r="L5" s="19">
        <f>Tabelle234[[#This Row],[Leistung gesamt (MW)]]/F4*L4</f>
        <v>3273.4338358458976</v>
      </c>
      <c r="M5" s="1" t="s">
        <v>490</v>
      </c>
    </row>
    <row r="6" spans="1:13" x14ac:dyDescent="0.25">
      <c r="A6" s="30" t="s">
        <v>150</v>
      </c>
      <c r="B6" s="30" t="s">
        <v>139</v>
      </c>
      <c r="C6" s="6">
        <v>2010</v>
      </c>
      <c r="D6" s="6">
        <v>39.799999999999997</v>
      </c>
      <c r="E6" s="27">
        <f>Tabelle234[[#This Row],[Leistung je Einheit (kW)]]*Tabelle234[[#This Row],[Anzahl Haushalte (Mio.)]]*Tabelle234[[#This Row],[Vollbenutzungsstunden]]*Tabelle234[[#This Row],[Ausstattungsraten]]/10^3</f>
        <v>11.636724000000001</v>
      </c>
      <c r="F6" s="27">
        <f>Tabelle234[[#This Row],[Anzahl Haushalte (Mio.)]]*Tabelle234[[#This Row],[Ausstattungsraten]]*Tabelle234[[#This Row],[Leistung je Einheit (kW)]]*10^3</f>
        <v>2388</v>
      </c>
      <c r="G6" s="11">
        <v>4873</v>
      </c>
      <c r="H6" s="7">
        <v>0.6</v>
      </c>
      <c r="I6" s="41"/>
      <c r="J6" s="3">
        <v>0.1</v>
      </c>
      <c r="K6" s="19">
        <v>1330</v>
      </c>
      <c r="L6" s="19">
        <v>1058</v>
      </c>
      <c r="M6" s="1" t="s">
        <v>490</v>
      </c>
    </row>
    <row r="7" spans="1:13" x14ac:dyDescent="0.25">
      <c r="A7" s="30" t="s">
        <v>150</v>
      </c>
      <c r="B7" s="30" t="s">
        <v>139</v>
      </c>
      <c r="C7" s="1">
        <v>2020</v>
      </c>
      <c r="D7" s="1">
        <v>40.659999999999997</v>
      </c>
      <c r="E7" s="27">
        <f>Tabelle234[[#This Row],[Leistung je Einheit (kW)]]*Tabelle234[[#This Row],[Anzahl Haushalte (Mio.)]]*Tabelle234[[#This Row],[Vollbenutzungsstunden]]*Tabelle234[[#This Row],[Ausstattungsraten]]/10^3</f>
        <v>10.311538639999998</v>
      </c>
      <c r="F7" s="27">
        <f>Tabelle234[[#This Row],[Anzahl Haushalte (Mio.)]]*Tabelle234[[#This Row],[Ausstattungsraten]]*Tabelle234[[#This Row],[Leistung je Einheit (kW)]]*10^3</f>
        <v>2114.3199999999997</v>
      </c>
      <c r="G7" s="11">
        <v>4877</v>
      </c>
      <c r="H7" s="9">
        <f>$H$6+(Tabelle234[[#This Row],[Jahr]]-$C$6)*($H$9-$H$6)/($C$9-$C$6)</f>
        <v>0.65</v>
      </c>
      <c r="I7" s="42"/>
      <c r="J7" s="43">
        <v>0.08</v>
      </c>
      <c r="K7" s="19">
        <f>Tabelle234[[#This Row],[Leistung gesamt (MW)]]/F6*K6</f>
        <v>1177.5735343383583</v>
      </c>
      <c r="L7" s="19">
        <f>Tabelle234[[#This Row],[Leistung gesamt (MW)]]/F6*L6</f>
        <v>936.74646566164142</v>
      </c>
      <c r="M7" s="1" t="s">
        <v>490</v>
      </c>
    </row>
    <row r="8" spans="1:13" x14ac:dyDescent="0.25">
      <c r="A8" s="30" t="s">
        <v>150</v>
      </c>
      <c r="B8" s="30" t="s">
        <v>139</v>
      </c>
      <c r="C8" s="6">
        <v>2030</v>
      </c>
      <c r="D8" s="6">
        <v>41.2</v>
      </c>
      <c r="E8" s="27">
        <f>Tabelle234[[#This Row],[Leistung je Einheit (kW)]]*Tabelle234[[#This Row],[Anzahl Haushalte (Mio.)]]*Tabelle234[[#This Row],[Vollbenutzungsstunden]]*Tabelle234[[#This Row],[Ausstattungsraten]]/10^3</f>
        <v>8.4322392000000015</v>
      </c>
      <c r="F8" s="27">
        <f>Tabelle234[[#This Row],[Anzahl Haushalte (Mio.)]]*Tabelle234[[#This Row],[Ausstattungsraten]]*Tabelle234[[#This Row],[Leistung je Einheit (kW)]]*10^3</f>
        <v>1730.4</v>
      </c>
      <c r="G8" s="11">
        <v>4873</v>
      </c>
      <c r="H8" s="9">
        <f>$H$6+(Tabelle234[[#This Row],[Jahr]]-$C$6)*($H$9-$H$6)/($C$9-$C$6)</f>
        <v>0.70000000000000007</v>
      </c>
      <c r="I8" s="42"/>
      <c r="J8" s="43">
        <v>0.06</v>
      </c>
      <c r="K8" s="19">
        <f>Tabelle234[[#This Row],[Leistung gesamt (MW)]]/F7*K7</f>
        <v>963.748743718593</v>
      </c>
      <c r="L8" s="19">
        <f>Tabelle234[[#This Row],[Leistung gesamt (MW)]]/F7*L7</f>
        <v>766.65125628140709</v>
      </c>
      <c r="M8" s="1" t="s">
        <v>490</v>
      </c>
    </row>
    <row r="9" spans="1:13" x14ac:dyDescent="0.25">
      <c r="A9" s="30" t="s">
        <v>150</v>
      </c>
      <c r="B9" s="30" t="s">
        <v>139</v>
      </c>
      <c r="C9" s="1">
        <v>2050</v>
      </c>
      <c r="D9" s="1">
        <v>39.68</v>
      </c>
      <c r="E9" s="27">
        <f>Tabelle234[[#This Row],[Leistung je Einheit (kW)]]*Tabelle234[[#This Row],[Anzahl Haushalte (Mio.)]]*Tabelle234[[#This Row],[Vollbenutzungsstunden]]*Tabelle234[[#This Row],[Ausstattungsraten]]/10^3</f>
        <v>3.0740889600000001</v>
      </c>
      <c r="F9" s="27">
        <f>Tabelle234[[#This Row],[Anzahl Haushalte (Mio.)]]*Tabelle234[[#This Row],[Ausstattungsraten]]*Tabelle234[[#This Row],[Leistung je Einheit (kW)]]*10^3</f>
        <v>634.88</v>
      </c>
      <c r="G9" s="11">
        <v>4842</v>
      </c>
      <c r="H9" s="7">
        <v>0.8</v>
      </c>
      <c r="I9" s="41"/>
      <c r="J9" s="3">
        <v>0.02</v>
      </c>
      <c r="K9" s="19">
        <f>Tabelle234[[#This Row],[Leistung gesamt (MW)]]/F8*K8</f>
        <v>353.59731993299829</v>
      </c>
      <c r="L9" s="19">
        <f>Tabelle234[[#This Row],[Leistung gesamt (MW)]]/F8*L8</f>
        <v>281.28268006700165</v>
      </c>
      <c r="M9" s="1" t="s">
        <v>490</v>
      </c>
    </row>
    <row r="10" spans="1:13" x14ac:dyDescent="0.25">
      <c r="A10" s="30" t="s">
        <v>132</v>
      </c>
      <c r="B10" s="30" t="s">
        <v>139</v>
      </c>
      <c r="C10" s="6">
        <v>2010</v>
      </c>
      <c r="D10" s="6">
        <v>39.799999999999997</v>
      </c>
      <c r="E10" s="27">
        <f>Tabelle234[[#This Row],[Anzahl Haushalte (Mio.)]]*Tabelle234[[#This Row],[Ausstattungsraten]]*Tabelle234[[#This Row],[Stromverbrauch je Einheit (kWh)]]/10^3</f>
        <v>15.740899999999996</v>
      </c>
      <c r="F10" s="27">
        <f>Tabelle234[[#This Row],[Stromverbrauch gesamt (TWh)]]+E14</f>
        <v>25.213299999999997</v>
      </c>
      <c r="G10" s="11"/>
      <c r="H10" s="7">
        <v>1.1299999999999999</v>
      </c>
      <c r="I10" s="41">
        <v>350</v>
      </c>
      <c r="J10" s="3"/>
      <c r="K10" s="19">
        <v>2885</v>
      </c>
      <c r="L10" s="19">
        <v>3614</v>
      </c>
      <c r="M10" s="1" t="s">
        <v>490</v>
      </c>
    </row>
    <row r="11" spans="1:13" x14ac:dyDescent="0.25">
      <c r="A11" s="30" t="s">
        <v>132</v>
      </c>
      <c r="B11" s="30" t="s">
        <v>139</v>
      </c>
      <c r="C11" s="1">
        <v>2020</v>
      </c>
      <c r="D11" s="1">
        <v>40.659999999999997</v>
      </c>
      <c r="E11" s="27">
        <f>Tabelle234[[#This Row],[Anzahl Haushalte (Mio.)]]*Tabelle234[[#This Row],[Ausstattungsraten]]*Tabelle234[[#This Row],[Stromverbrauch je Einheit (kWh)]]/10^3</f>
        <v>11.156087499999998</v>
      </c>
      <c r="F11" s="27">
        <f>Tabelle234[[#This Row],[Stromverbrauch gesamt (TWh)]]+E15</f>
        <v>18.373237499999998</v>
      </c>
      <c r="G11" s="11"/>
      <c r="H11" s="9">
        <f>$H$10+(Tabelle234[[#This Row],[Jahr]]-$C$10)*($H$13-$H$10)/($C$13-$C$10)</f>
        <v>1.0974999999999999</v>
      </c>
      <c r="I11" s="42">
        <v>250</v>
      </c>
      <c r="J11" s="43"/>
      <c r="K11" s="19">
        <f>Tabelle234[[#This Row],[Stromverbrauch gesamt (TWh)]]/E10*K10</f>
        <v>2044.6932791327054</v>
      </c>
      <c r="L11" s="19">
        <f>Tabelle234[[#This Row],[Stromverbrauch gesamt (TWh)]]/E10*L10</f>
        <v>2561.3592758355621</v>
      </c>
      <c r="M11" s="1" t="s">
        <v>490</v>
      </c>
    </row>
    <row r="12" spans="1:13" x14ac:dyDescent="0.25">
      <c r="A12" s="30" t="s">
        <v>132</v>
      </c>
      <c r="B12" s="30" t="s">
        <v>139</v>
      </c>
      <c r="C12" s="6">
        <v>2030</v>
      </c>
      <c r="D12" s="6">
        <v>41.2</v>
      </c>
      <c r="E12" s="27">
        <f>Tabelle234[[#This Row],[Anzahl Haushalte (Mio.)]]*Tabelle234[[#This Row],[Ausstattungsraten]]*Tabelle234[[#This Row],[Stromverbrauch je Einheit (kWh)]]/10^3</f>
        <v>7.6786499999999993</v>
      </c>
      <c r="F12" s="27">
        <f>Tabelle234[[#This Row],[Stromverbrauch gesamt (TWh)]]+E16</f>
        <v>13.014050000000001</v>
      </c>
      <c r="G12" s="11"/>
      <c r="H12" s="9">
        <f>$H$10+(Tabelle234[[#This Row],[Jahr]]-$C$10)*($H$13-$H$10)/($C$13-$C$10)</f>
        <v>1.0649999999999999</v>
      </c>
      <c r="I12" s="42">
        <v>175</v>
      </c>
      <c r="J12" s="43"/>
      <c r="K12" s="19">
        <f>Tabelle234[[#This Row],[Stromverbrauch gesamt (TWh)]]/E11*K11</f>
        <v>1407.3468003735493</v>
      </c>
      <c r="L12" s="19">
        <f>Tabelle234[[#This Row],[Stromverbrauch gesamt (TWh)]]/E11*L11</f>
        <v>1762.9640681282519</v>
      </c>
      <c r="M12" s="1" t="s">
        <v>490</v>
      </c>
    </row>
    <row r="13" spans="1:13" x14ac:dyDescent="0.25">
      <c r="A13" s="30" t="s">
        <v>132</v>
      </c>
      <c r="B13" s="30" t="s">
        <v>139</v>
      </c>
      <c r="C13" s="1">
        <v>2050</v>
      </c>
      <c r="D13" s="1">
        <v>39.68</v>
      </c>
      <c r="E13" s="27">
        <f>Tabelle234[[#This Row],[Anzahl Haushalte (Mio.)]]*Tabelle234[[#This Row],[Ausstattungsraten]]*Tabelle234[[#This Row],[Stromverbrauch je Einheit (kWh)]]/10^3</f>
        <v>3.968</v>
      </c>
      <c r="F13" s="27">
        <f>Tabelle234[[#This Row],[Stromverbrauch gesamt (TWh)]]+E17</f>
        <v>7.1424000000000003</v>
      </c>
      <c r="G13" s="11"/>
      <c r="H13" s="7">
        <v>1</v>
      </c>
      <c r="I13" s="41">
        <v>100</v>
      </c>
      <c r="J13" s="3"/>
      <c r="K13" s="19">
        <f>Tabelle234[[#This Row],[Stromverbrauch gesamt (TWh)]]/E12*K12</f>
        <v>727.25701834075574</v>
      </c>
      <c r="L13" s="19">
        <f>Tabelle234[[#This Row],[Stromverbrauch gesamt (TWh)]]/E12*L12</f>
        <v>911.02490963032608</v>
      </c>
      <c r="M13" s="1" t="s">
        <v>490</v>
      </c>
    </row>
    <row r="14" spans="1:13" x14ac:dyDescent="0.25">
      <c r="A14" s="30" t="s">
        <v>133</v>
      </c>
      <c r="B14" s="30" t="s">
        <v>139</v>
      </c>
      <c r="C14" s="6">
        <v>2010</v>
      </c>
      <c r="D14" s="6">
        <v>39.799999999999997</v>
      </c>
      <c r="E14" s="27">
        <f>Tabelle234[[#This Row],[Anzahl Haushalte (Mio.)]]*Tabelle234[[#This Row],[Ausstattungsraten]]*Tabelle234[[#This Row],[Stromverbrauch je Einheit (kWh)]]/10^3</f>
        <v>9.4724000000000004</v>
      </c>
      <c r="F14" s="27"/>
      <c r="G14" s="11"/>
      <c r="H14" s="7">
        <v>0.68</v>
      </c>
      <c r="I14" s="41">
        <v>350</v>
      </c>
      <c r="J14" s="3"/>
      <c r="K14" s="19"/>
      <c r="L14" s="19"/>
      <c r="M14" s="1" t="s">
        <v>490</v>
      </c>
    </row>
    <row r="15" spans="1:13" x14ac:dyDescent="0.25">
      <c r="A15" s="30" t="s">
        <v>133</v>
      </c>
      <c r="B15" s="30" t="s">
        <v>139</v>
      </c>
      <c r="C15" s="1">
        <v>2020</v>
      </c>
      <c r="D15" s="1">
        <v>40.659999999999997</v>
      </c>
      <c r="E15" s="27">
        <f>Tabelle234[[#This Row],[Anzahl Haushalte (Mio.)]]*Tabelle234[[#This Row],[Ausstattungsraten]]*Tabelle234[[#This Row],[Stromverbrauch je Einheit (kWh)]]/10^3</f>
        <v>7.2171500000000002</v>
      </c>
      <c r="F15" s="27"/>
      <c r="G15" s="11"/>
      <c r="H15" s="9">
        <f>$H$14+(Tabelle234[[#This Row],[Jahr]]-$C$14)*($H$17-$H$14)/($C$17-$C$14)</f>
        <v>0.71000000000000008</v>
      </c>
      <c r="I15" s="42">
        <v>250</v>
      </c>
      <c r="J15" s="43"/>
      <c r="K15" s="19"/>
      <c r="L15" s="19"/>
      <c r="M15" s="1" t="s">
        <v>490</v>
      </c>
    </row>
    <row r="16" spans="1:13" x14ac:dyDescent="0.25">
      <c r="A16" s="30" t="s">
        <v>133</v>
      </c>
      <c r="B16" s="30" t="s">
        <v>139</v>
      </c>
      <c r="C16" s="6">
        <v>2030</v>
      </c>
      <c r="D16" s="6">
        <v>41.2</v>
      </c>
      <c r="E16" s="27">
        <f>Tabelle234[[#This Row],[Anzahl Haushalte (Mio.)]]*Tabelle234[[#This Row],[Ausstattungsraten]]*Tabelle234[[#This Row],[Stromverbrauch je Einheit (kWh)]]/10^3</f>
        <v>5.3354000000000008</v>
      </c>
      <c r="F16" s="27"/>
      <c r="G16" s="11"/>
      <c r="H16" s="9">
        <f>$H$14+(Tabelle234[[#This Row],[Jahr]]-$C$14)*($H$17-$H$14)/($C$17-$C$14)</f>
        <v>0.74</v>
      </c>
      <c r="I16" s="42">
        <v>175</v>
      </c>
      <c r="J16" s="43"/>
      <c r="K16" s="19"/>
      <c r="L16" s="19"/>
      <c r="M16" s="1" t="s">
        <v>490</v>
      </c>
    </row>
    <row r="17" spans="1:13" x14ac:dyDescent="0.25">
      <c r="A17" s="30" t="s">
        <v>133</v>
      </c>
      <c r="B17" s="30" t="s">
        <v>139</v>
      </c>
      <c r="C17" s="1">
        <v>2050</v>
      </c>
      <c r="D17" s="1">
        <v>39.68</v>
      </c>
      <c r="E17" s="27">
        <f>Tabelle234[[#This Row],[Anzahl Haushalte (Mio.)]]*Tabelle234[[#This Row],[Ausstattungsraten]]*Tabelle234[[#This Row],[Stromverbrauch je Einheit (kWh)]]/10^3</f>
        <v>3.1743999999999999</v>
      </c>
      <c r="F17" s="27"/>
      <c r="G17" s="11"/>
      <c r="H17" s="7">
        <v>0.8</v>
      </c>
      <c r="I17" s="41">
        <v>100</v>
      </c>
      <c r="J17" s="3"/>
      <c r="K17" s="19"/>
      <c r="L17" s="19"/>
      <c r="M17" s="1" t="s">
        <v>490</v>
      </c>
    </row>
    <row r="18" spans="1:13" x14ac:dyDescent="0.25">
      <c r="A18" s="30" t="s">
        <v>129</v>
      </c>
      <c r="B18" s="30" t="s">
        <v>139</v>
      </c>
      <c r="C18" s="6">
        <v>2010</v>
      </c>
      <c r="D18" s="6">
        <v>39.799999999999997</v>
      </c>
      <c r="E18" s="27">
        <f>Tabelle234[[#This Row],[Anzahl Haushalte (Mio.)]]*Tabelle234[[#This Row],[Ausstattungsraten]]*Tabelle234[[#This Row],[Stromverbrauch je Einheit (kWh)]]/10^3</f>
        <v>7.4959319999999989</v>
      </c>
      <c r="F18" s="27">
        <f>Tabelle234[[#This Row],[Anzahl Haushalte (Mio.)]]*Tabelle234[[#This Row],[Ausstattungsraten]]*Tabelle234[[#This Row],[Leistung je Einheit (kW)]]*10^3</f>
        <v>25670.999999999996</v>
      </c>
      <c r="G18" s="11">
        <f>Tabelle234[[#This Row],[Stromverbrauch gesamt (TWh)]]*10^6/Tabelle234[[#This Row],[Leistung gesamt (MW)]]</f>
        <v>292</v>
      </c>
      <c r="H18" s="7">
        <v>0.86</v>
      </c>
      <c r="I18" s="41">
        <v>219</v>
      </c>
      <c r="J18" s="3">
        <v>0.75</v>
      </c>
      <c r="K18" s="19">
        <v>854</v>
      </c>
      <c r="L18" s="19">
        <v>24770</v>
      </c>
      <c r="M18" s="1" t="s">
        <v>490</v>
      </c>
    </row>
    <row r="19" spans="1:13" x14ac:dyDescent="0.25">
      <c r="A19" s="30" t="s">
        <v>129</v>
      </c>
      <c r="B19" s="30" t="s">
        <v>139</v>
      </c>
      <c r="C19" s="1">
        <v>2020</v>
      </c>
      <c r="D19" s="1">
        <v>40.659999999999997</v>
      </c>
      <c r="E19" s="27">
        <f>Tabelle234[[#This Row],[Leistung je Einheit (kW)]]*Tabelle234[[#This Row],[Anzahl Haushalte (Mio.)]]*Tabelle234[[#This Row],[Vollbenutzungsstunden]]*Tabelle234[[#This Row],[Ausstattungsraten]]/10^3</f>
        <v>5.7953714499999993</v>
      </c>
      <c r="F19" s="27">
        <f>Tabelle234[[#This Row],[Anzahl Haushalte (Mio.)]]*Tabelle234[[#This Row],[Ausstattungsraten]]*Tabelle234[[#This Row],[Leistung je Einheit (kW)]]*10^3</f>
        <v>19847.162499999999</v>
      </c>
      <c r="G19" s="11">
        <f>G18</f>
        <v>292</v>
      </c>
      <c r="H19" s="9">
        <f>$H$18+(Tabelle234[[#This Row],[Jahr]]-$C$18)*($H$21-$H$18)/($C$21-$C$18)</f>
        <v>0.88749999999999996</v>
      </c>
      <c r="I19" s="42"/>
      <c r="J19" s="43">
        <v>0.55000000000000004</v>
      </c>
      <c r="K19" s="19">
        <f>Tabelle234[[#This Row],[Leistung gesamt (MW)]]/F18*K18</f>
        <v>660.25775291184607</v>
      </c>
      <c r="L19" s="19">
        <f>Tabelle234[[#This Row],[Leistung gesamt (MW)]]/F18*L18</f>
        <v>19150.567376611743</v>
      </c>
      <c r="M19" s="1" t="s">
        <v>490</v>
      </c>
    </row>
    <row r="20" spans="1:13" x14ac:dyDescent="0.25">
      <c r="A20" s="30" t="s">
        <v>129</v>
      </c>
      <c r="B20" s="30" t="s">
        <v>139</v>
      </c>
      <c r="C20" s="6">
        <v>2030</v>
      </c>
      <c r="D20" s="6">
        <v>41.2</v>
      </c>
      <c r="E20" s="27">
        <f>Tabelle234[[#This Row],[Leistung je Einheit (kW)]]*Tabelle234[[#This Row],[Anzahl Haushalte (Mio.)]]*Tabelle234[[#This Row],[Vollbenutzungsstunden]]*Tabelle234[[#This Row],[Ausstattungsraten]]/10^3</f>
        <v>4.4031263999999997</v>
      </c>
      <c r="F20" s="27">
        <f>Tabelle234[[#This Row],[Anzahl Haushalte (Mio.)]]*Tabelle234[[#This Row],[Ausstattungsraten]]*Tabelle234[[#This Row],[Leistung je Einheit (kW)]]*10^3</f>
        <v>15079.200000000004</v>
      </c>
      <c r="G20" s="11">
        <f>G19</f>
        <v>292</v>
      </c>
      <c r="H20" s="9">
        <f>$H$18+(Tabelle234[[#This Row],[Jahr]]-$C$18)*($H$21-$H$18)/($C$21-$C$18)</f>
        <v>0.91500000000000004</v>
      </c>
      <c r="I20" s="42"/>
      <c r="J20" s="43">
        <v>0.4</v>
      </c>
      <c r="K20" s="19">
        <f>Tabelle234[[#This Row],[Leistung gesamt (MW)]]/F19*K19</f>
        <v>501.64141638424701</v>
      </c>
      <c r="L20" s="19">
        <f>Tabelle234[[#This Row],[Leistung gesamt (MW)]]/F19*L19</f>
        <v>14549.950683650819</v>
      </c>
      <c r="M20" s="1" t="s">
        <v>490</v>
      </c>
    </row>
    <row r="21" spans="1:13" x14ac:dyDescent="0.25">
      <c r="A21" s="30" t="s">
        <v>129</v>
      </c>
      <c r="B21" s="30" t="s">
        <v>139</v>
      </c>
      <c r="C21" s="1">
        <v>2050</v>
      </c>
      <c r="D21" s="1">
        <v>39.68</v>
      </c>
      <c r="E21" s="27">
        <f>Tabelle234[[#This Row],[Leistung je Einheit (kW)]]*Tabelle234[[#This Row],[Anzahl Haushalte (Mio.)]]*Tabelle234[[#This Row],[Vollbenutzungsstunden]]*Tabelle234[[#This Row],[Ausstattungsraten]]/10^3</f>
        <v>3.3716889599999997</v>
      </c>
      <c r="F21" s="27">
        <f>Tabelle234[[#This Row],[Anzahl Haushalte (Mio.)]]*Tabelle234[[#This Row],[Ausstattungsraten]]*Tabelle234[[#This Row],[Leistung je Einheit (kW)]]*10^3</f>
        <v>11546.879999999997</v>
      </c>
      <c r="G21" s="11">
        <f>G20</f>
        <v>292</v>
      </c>
      <c r="H21" s="7">
        <v>0.97</v>
      </c>
      <c r="I21" s="41"/>
      <c r="J21" s="3">
        <v>0.3</v>
      </c>
      <c r="K21" s="19">
        <f>Tabelle234[[#This Row],[Leistung gesamt (MW)]]/F20*K20</f>
        <v>384.13133574850991</v>
      </c>
      <c r="L21" s="19">
        <f>Tabelle234[[#This Row],[Leistung gesamt (MW)]]/F20*L20</f>
        <v>11141.607946710295</v>
      </c>
      <c r="M21" s="1" t="s">
        <v>490</v>
      </c>
    </row>
    <row r="22" spans="1:13" x14ac:dyDescent="0.25">
      <c r="A22" s="30" t="s">
        <v>130</v>
      </c>
      <c r="B22" s="30" t="s">
        <v>139</v>
      </c>
      <c r="C22" s="6">
        <v>2010</v>
      </c>
      <c r="D22" s="6">
        <v>39.799999999999997</v>
      </c>
      <c r="E22" s="27">
        <f>Tabelle234[[#This Row],[Anzahl Haushalte (Mio.)]]*Tabelle234[[#This Row],[Ausstattungsraten]]*Tabelle234[[#This Row],[Stromverbrauch je Einheit (kWh)]]/10^3</f>
        <v>4.7497319999999998</v>
      </c>
      <c r="F22" s="27">
        <f>Tabelle234[[#This Row],[Anzahl Haushalte (Mio.)]]*Tabelle234[[#This Row],[Ausstattungsraten]]*Tabelle234[[#This Row],[Leistung je Einheit (kW)]]*10^3</f>
        <v>23283</v>
      </c>
      <c r="G22" s="11">
        <f>Tabelle234[[#This Row],[Stromverbrauch gesamt (TWh)]]*10^6/Tabelle234[[#This Row],[Leistung gesamt (MW)]]</f>
        <v>204</v>
      </c>
      <c r="H22" s="7">
        <v>0.39</v>
      </c>
      <c r="I22" s="41">
        <v>306</v>
      </c>
      <c r="J22" s="3">
        <v>1.5</v>
      </c>
      <c r="K22" s="19">
        <v>543</v>
      </c>
      <c r="L22" s="19">
        <v>22743</v>
      </c>
      <c r="M22" s="1" t="s">
        <v>490</v>
      </c>
    </row>
    <row r="23" spans="1:13" x14ac:dyDescent="0.25">
      <c r="A23" s="30" t="s">
        <v>130</v>
      </c>
      <c r="B23" s="30" t="s">
        <v>139</v>
      </c>
      <c r="C23" s="1">
        <v>2020</v>
      </c>
      <c r="D23" s="1">
        <v>40.659999999999997</v>
      </c>
      <c r="E23" s="27">
        <f>Tabelle234[[#This Row],[Leistung je Einheit (kW)]]*Tabelle234[[#This Row],[Anzahl Haushalte (Mio.)]]*Tabelle234[[#This Row],[Vollbenutzungsstunden]]*Tabelle234[[#This Row],[Ausstattungsraten]]/10^3</f>
        <v>4.3287652499999991</v>
      </c>
      <c r="F23" s="27">
        <f>Tabelle234[[#This Row],[Anzahl Haushalte (Mio.)]]*Tabelle234[[#This Row],[Ausstattungsraten]]*Tabelle234[[#This Row],[Leistung je Einheit (kW)]]*10^3</f>
        <v>21219.437499999996</v>
      </c>
      <c r="G23" s="11">
        <f>G22</f>
        <v>204</v>
      </c>
      <c r="H23" s="9">
        <f>$H$22+(Tabelle234[[#This Row],[Jahr]]-$C$22)*($H$25-$H$22)/($C$25-$C$22)</f>
        <v>0.41749999999999998</v>
      </c>
      <c r="I23" s="42"/>
      <c r="J23" s="43">
        <v>1.25</v>
      </c>
      <c r="K23" s="19">
        <f>Tabelle234[[#This Row],[Leistung gesamt (MW)]]/F22*K22</f>
        <v>494.87413831980405</v>
      </c>
      <c r="L23" s="19">
        <f>Tabelle234[[#This Row],[Leistung gesamt (MW)]]/F22*L22</f>
        <v>20727.297472941627</v>
      </c>
      <c r="M23" s="1" t="s">
        <v>490</v>
      </c>
    </row>
    <row r="24" spans="1:13" x14ac:dyDescent="0.25">
      <c r="A24" s="30" t="s">
        <v>130</v>
      </c>
      <c r="B24" s="30" t="s">
        <v>139</v>
      </c>
      <c r="C24" s="6">
        <v>2030</v>
      </c>
      <c r="D24" s="6">
        <v>41.2</v>
      </c>
      <c r="E24" s="27">
        <f>Tabelle234[[#This Row],[Leistung je Einheit (kW)]]*Tabelle234[[#This Row],[Anzahl Haushalte (Mio.)]]*Tabelle234[[#This Row],[Vollbenutzungsstunden]]*Tabelle234[[#This Row],[Ausstattungsraten]]/10^3</f>
        <v>3.9271428000000004</v>
      </c>
      <c r="F24" s="27">
        <f>Tabelle234[[#This Row],[Anzahl Haushalte (Mio.)]]*Tabelle234[[#This Row],[Ausstattungsraten]]*Tabelle234[[#This Row],[Leistung je Einheit (kW)]]*10^3</f>
        <v>19250.700000000004</v>
      </c>
      <c r="G24" s="11">
        <f>G23</f>
        <v>204</v>
      </c>
      <c r="H24" s="9">
        <f>$H$22+(Tabelle234[[#This Row],[Jahr]]-$C$22)*($H$25-$H$22)/($C$25-$C$22)</f>
        <v>0.44500000000000001</v>
      </c>
      <c r="I24" s="42"/>
      <c r="J24" s="43">
        <v>1.05</v>
      </c>
      <c r="K24" s="19">
        <f>Tabelle234[[#This Row],[Leistung gesamt (MW)]]/F23*K23</f>
        <v>448.9597603401624</v>
      </c>
      <c r="L24" s="19">
        <f>Tabelle234[[#This Row],[Leistung gesamt (MW)]]/F23*L23</f>
        <v>18804.220680324703</v>
      </c>
      <c r="M24" s="1" t="s">
        <v>490</v>
      </c>
    </row>
    <row r="25" spans="1:13" x14ac:dyDescent="0.25">
      <c r="A25" s="30" t="s">
        <v>130</v>
      </c>
      <c r="B25" s="30" t="s">
        <v>139</v>
      </c>
      <c r="C25" s="1">
        <v>2050</v>
      </c>
      <c r="D25" s="1">
        <v>39.68</v>
      </c>
      <c r="E25" s="27">
        <f>Tabelle234[[#This Row],[Leistung je Einheit (kW)]]*Tabelle234[[#This Row],[Anzahl Haushalte (Mio.)]]*Tabelle234[[#This Row],[Vollbenutzungsstunden]]*Tabelle234[[#This Row],[Ausstattungsraten]]/10^3</f>
        <v>2.8331520000000001</v>
      </c>
      <c r="F25" s="27">
        <f>Tabelle234[[#This Row],[Anzahl Haushalte (Mio.)]]*Tabelle234[[#This Row],[Ausstattungsraten]]*Tabelle234[[#This Row],[Leistung je Einheit (kW)]]*10^3</f>
        <v>13888</v>
      </c>
      <c r="G25" s="11">
        <f>G24</f>
        <v>204</v>
      </c>
      <c r="H25" s="7">
        <v>0.5</v>
      </c>
      <c r="I25" s="41"/>
      <c r="J25" s="3">
        <v>0.7</v>
      </c>
      <c r="K25" s="19">
        <f>Tabelle234[[#This Row],[Leistung gesamt (MW)]]/F24*K24</f>
        <v>323.89228192243263</v>
      </c>
      <c r="L25" s="19">
        <f>Tabelle234[[#This Row],[Leistung gesamt (MW)]]/F24*L24</f>
        <v>13565.897178198684</v>
      </c>
      <c r="M25" s="1" t="s">
        <v>490</v>
      </c>
    </row>
    <row r="26" spans="1:13" x14ac:dyDescent="0.25">
      <c r="A26" s="30" t="s">
        <v>131</v>
      </c>
      <c r="B26" s="30" t="s">
        <v>139</v>
      </c>
      <c r="C26" s="6">
        <v>2010</v>
      </c>
      <c r="D26" s="6">
        <v>39.799999999999997</v>
      </c>
      <c r="E26" s="27">
        <f>Tabelle234[[#This Row],[Anzahl Haushalte (Mio.)]]*Tabelle234[[#This Row],[Ausstattungsraten]]*Tabelle234[[#This Row],[Stromverbrauch je Einheit (kWh)]]/10^3</f>
        <v>6.87744</v>
      </c>
      <c r="F26" s="27">
        <f>Tabelle234[[#This Row],[Anzahl Haushalte (Mio.)]]*Tabelle234[[#This Row],[Ausstattungsraten]]*Tabelle234[[#This Row],[Leistung je Einheit (kW)]]*10^3</f>
        <v>16556.8</v>
      </c>
      <c r="G26" s="11">
        <f>Tabelle234[[#This Row],[Stromverbrauch gesamt (TWh)]]*10^6/Tabelle234[[#This Row],[Leistung gesamt (MW)]]</f>
        <v>415.38461538461542</v>
      </c>
      <c r="H26" s="7">
        <v>0.64</v>
      </c>
      <c r="I26" s="41">
        <v>270</v>
      </c>
      <c r="J26" s="3">
        <v>0.65</v>
      </c>
      <c r="K26" s="19">
        <v>791</v>
      </c>
      <c r="L26" s="19">
        <v>15863</v>
      </c>
      <c r="M26" s="1" t="s">
        <v>490</v>
      </c>
    </row>
    <row r="27" spans="1:13" x14ac:dyDescent="0.25">
      <c r="A27" s="30" t="s">
        <v>131</v>
      </c>
      <c r="B27" s="30" t="s">
        <v>139</v>
      </c>
      <c r="C27" s="1">
        <v>2020</v>
      </c>
      <c r="D27" s="1">
        <v>40.659999999999997</v>
      </c>
      <c r="E27" s="27">
        <f>Tabelle234[[#This Row],[Leistung je Einheit (kW)]]*Tabelle234[[#This Row],[Anzahl Haushalte (Mio.)]]*Tabelle234[[#This Row],[Vollbenutzungsstunden]]*Tabelle234[[#This Row],[Ausstattungsraten]]/10^3</f>
        <v>5.6368834615384609</v>
      </c>
      <c r="F27" s="27">
        <f>Tabelle234[[#This Row],[Anzahl Haushalte (Mio.)]]*Tabelle234[[#This Row],[Ausstattungsraten]]*Tabelle234[[#This Row],[Leistung je Einheit (kW)]]*10^3</f>
        <v>13570.275</v>
      </c>
      <c r="G27" s="11">
        <f>G26</f>
        <v>415.38461538461542</v>
      </c>
      <c r="H27" s="9">
        <f>$H$26+(Tabelle234[[#This Row],[Jahr]]-$C$26)*($H$29-$H$26)/($C$29-$C$26)</f>
        <v>0.66749999999999998</v>
      </c>
      <c r="I27" s="42"/>
      <c r="J27" s="43">
        <v>0.5</v>
      </c>
      <c r="K27" s="19">
        <f>Tabelle234[[#This Row],[Leistung gesamt (MW)]]/F26*K26</f>
        <v>648.31897015123695</v>
      </c>
      <c r="L27" s="19">
        <f>Tabelle234[[#This Row],[Leistung gesamt (MW)]]/F26*L26</f>
        <v>13001.623038570255</v>
      </c>
      <c r="M27" s="1" t="s">
        <v>490</v>
      </c>
    </row>
    <row r="28" spans="1:13" x14ac:dyDescent="0.25">
      <c r="A28" s="30" t="s">
        <v>131</v>
      </c>
      <c r="B28" s="30" t="s">
        <v>139</v>
      </c>
      <c r="C28" s="6">
        <v>2030</v>
      </c>
      <c r="D28" s="6">
        <v>41.2</v>
      </c>
      <c r="E28" s="27">
        <f>Tabelle234[[#This Row],[Leistung je Einheit (kW)]]*Tabelle234[[#This Row],[Anzahl Haushalte (Mio.)]]*Tabelle234[[#This Row],[Vollbenutzungsstunden]]*Tabelle234[[#This Row],[Ausstattungsraten]]/10^3</f>
        <v>4.7576492307692311</v>
      </c>
      <c r="F28" s="27">
        <f>Tabelle234[[#This Row],[Anzahl Haushalte (Mio.)]]*Tabelle234[[#This Row],[Ausstattungsraten]]*Tabelle234[[#This Row],[Leistung je Einheit (kW)]]*10^3</f>
        <v>11453.600000000002</v>
      </c>
      <c r="G28" s="11">
        <f>G27</f>
        <v>415.38461538461542</v>
      </c>
      <c r="H28" s="9">
        <f>$H$26+(Tabelle234[[#This Row],[Jahr]]-$C$26)*($H$29-$H$26)/($C$29-$C$26)</f>
        <v>0.69500000000000006</v>
      </c>
      <c r="I28" s="42"/>
      <c r="J28" s="43">
        <v>0.4</v>
      </c>
      <c r="K28" s="19">
        <f>Tabelle234[[#This Row],[Leistung gesamt (MW)]]/F27*K27</f>
        <v>547.1949652106689</v>
      </c>
      <c r="L28" s="19">
        <f>Tabelle234[[#This Row],[Leistung gesamt (MW)]]/F27*L27</f>
        <v>10973.645680324702</v>
      </c>
      <c r="M28" s="1" t="s">
        <v>490</v>
      </c>
    </row>
    <row r="29" spans="1:13" x14ac:dyDescent="0.25">
      <c r="A29" s="30" t="s">
        <v>131</v>
      </c>
      <c r="B29" s="30" t="s">
        <v>139</v>
      </c>
      <c r="C29" s="1">
        <v>2050</v>
      </c>
      <c r="D29" s="1">
        <v>39.68</v>
      </c>
      <c r="E29" s="27">
        <f>Tabelle234[[#This Row],[Leistung je Einheit (kW)]]*Tabelle234[[#This Row],[Anzahl Haushalte (Mio.)]]*Tabelle234[[#This Row],[Vollbenutzungsstunden]]*Tabelle234[[#This Row],[Ausstattungsraten]]/10^3</f>
        <v>3.7085538461538463</v>
      </c>
      <c r="F29" s="27">
        <f>Tabelle234[[#This Row],[Anzahl Haushalte (Mio.)]]*Tabelle234[[#This Row],[Ausstattungsraten]]*Tabelle234[[#This Row],[Leistung je Einheit (kW)]]*10^3</f>
        <v>8927.9999999999982</v>
      </c>
      <c r="G29" s="11">
        <f>G28</f>
        <v>415.38461538461542</v>
      </c>
      <c r="H29" s="7">
        <v>0.75</v>
      </c>
      <c r="I29" s="41"/>
      <c r="J29" s="3">
        <v>0.3</v>
      </c>
      <c r="K29" s="19">
        <f>Tabelle234[[#This Row],[Leistung gesamt (MW)]]/F28*K28</f>
        <v>426.53459605720906</v>
      </c>
      <c r="L29" s="19">
        <f>Tabelle234[[#This Row],[Leistung gesamt (MW)]]/F28*L28</f>
        <v>8553.8790104367963</v>
      </c>
      <c r="M29" s="1" t="s">
        <v>490</v>
      </c>
    </row>
    <row r="30" spans="1:13" x14ac:dyDescent="0.25">
      <c r="A30" s="30" t="s">
        <v>135</v>
      </c>
      <c r="B30" s="30" t="s">
        <v>139</v>
      </c>
      <c r="C30" s="6">
        <v>2010</v>
      </c>
      <c r="D30" s="6">
        <v>39.799999999999997</v>
      </c>
      <c r="E30" s="27"/>
      <c r="F30" s="27"/>
      <c r="G30" s="11"/>
      <c r="H30" s="7">
        <v>0.11</v>
      </c>
      <c r="I30" s="41"/>
      <c r="J30" s="3"/>
      <c r="K30" s="19">
        <v>250</v>
      </c>
      <c r="L30" s="19">
        <v>8507</v>
      </c>
      <c r="M30" s="1" t="s">
        <v>490</v>
      </c>
    </row>
    <row r="31" spans="1:13" x14ac:dyDescent="0.25">
      <c r="A31" s="30" t="s">
        <v>135</v>
      </c>
      <c r="B31" s="30" t="s">
        <v>139</v>
      </c>
      <c r="C31" s="1">
        <v>2020</v>
      </c>
      <c r="D31" s="1">
        <v>40.659999999999997</v>
      </c>
      <c r="E31" s="27"/>
      <c r="F31" s="27"/>
      <c r="G31" s="11"/>
      <c r="H31" s="9">
        <f>$H$30+(Tabelle234[[#This Row],[Jahr]]-$C$30)*($H$33-$H$30)/($C$33-$C$30)</f>
        <v>9.5000000000000001E-2</v>
      </c>
      <c r="I31" s="42"/>
      <c r="J31" s="43"/>
      <c r="K31" s="19"/>
      <c r="L31" s="19"/>
      <c r="M31" s="1" t="s">
        <v>490</v>
      </c>
    </row>
    <row r="32" spans="1:13" x14ac:dyDescent="0.25">
      <c r="A32" s="30" t="s">
        <v>135</v>
      </c>
      <c r="B32" s="30" t="s">
        <v>139</v>
      </c>
      <c r="C32" s="6">
        <v>2030</v>
      </c>
      <c r="D32" s="6">
        <v>41.2</v>
      </c>
      <c r="E32" s="27"/>
      <c r="F32" s="27"/>
      <c r="G32" s="11"/>
      <c r="H32" s="9">
        <f>$H$30+(Tabelle234[[#This Row],[Jahr]]-$C$30)*($H$33-$H$30)/($C$33-$C$30)</f>
        <v>0.08</v>
      </c>
      <c r="I32" s="42"/>
      <c r="J32" s="43"/>
      <c r="K32" s="19"/>
      <c r="L32" s="19"/>
      <c r="M32" s="1" t="s">
        <v>490</v>
      </c>
    </row>
    <row r="33" spans="1:13" x14ac:dyDescent="0.25">
      <c r="A33" s="30" t="s">
        <v>135</v>
      </c>
      <c r="B33" s="30" t="s">
        <v>139</v>
      </c>
      <c r="C33" s="1">
        <v>2050</v>
      </c>
      <c r="D33" s="1">
        <v>39.68</v>
      </c>
      <c r="E33" s="27"/>
      <c r="F33" s="27"/>
      <c r="G33" s="11"/>
      <c r="H33" s="7">
        <v>0.05</v>
      </c>
      <c r="I33" s="41"/>
      <c r="J33" s="3"/>
      <c r="K33" s="19"/>
      <c r="L33" s="19"/>
      <c r="M33" s="1" t="s">
        <v>490</v>
      </c>
    </row>
    <row r="34" spans="1:13" x14ac:dyDescent="0.25">
      <c r="A34" s="30" t="s">
        <v>138</v>
      </c>
      <c r="B34" s="30" t="s">
        <v>139</v>
      </c>
      <c r="C34" s="6">
        <v>2010</v>
      </c>
      <c r="D34" s="6">
        <v>39.799999999999997</v>
      </c>
      <c r="E34" s="27"/>
      <c r="F34" s="27"/>
      <c r="G34" s="11"/>
      <c r="H34" s="7">
        <v>0.04</v>
      </c>
      <c r="I34" s="41"/>
      <c r="J34" s="3"/>
      <c r="K34" s="19">
        <v>1654</v>
      </c>
      <c r="L34" s="19">
        <v>20637</v>
      </c>
      <c r="M34" s="1" t="s">
        <v>490</v>
      </c>
    </row>
    <row r="35" spans="1:13" x14ac:dyDescent="0.25">
      <c r="A35" s="30" t="s">
        <v>138</v>
      </c>
      <c r="B35" s="30" t="s">
        <v>139</v>
      </c>
      <c r="C35" s="1">
        <v>2020</v>
      </c>
      <c r="D35" s="1">
        <v>40.659999999999997</v>
      </c>
      <c r="E35" s="27"/>
      <c r="F35" s="27"/>
      <c r="G35" s="11"/>
      <c r="H35" s="9">
        <f>$H$34+(Tabelle234[[#This Row],[Jahr]]-$C$34)*($H$37-$H$34)/($C$37-$C$34)</f>
        <v>3.2500000000000001E-2</v>
      </c>
      <c r="I35" s="42"/>
      <c r="J35" s="43"/>
      <c r="K35" s="19"/>
      <c r="L35" s="19"/>
      <c r="M35" s="1" t="s">
        <v>490</v>
      </c>
    </row>
    <row r="36" spans="1:13" x14ac:dyDescent="0.25">
      <c r="A36" s="30" t="s">
        <v>138</v>
      </c>
      <c r="B36" s="30" t="s">
        <v>139</v>
      </c>
      <c r="C36" s="6">
        <v>2030</v>
      </c>
      <c r="D36" s="6">
        <v>41.2</v>
      </c>
      <c r="E36" s="27"/>
      <c r="F36" s="27"/>
      <c r="G36" s="11"/>
      <c r="H36" s="9">
        <f>$H$34+(Tabelle234[[#This Row],[Jahr]]-$C$34)*($H$37-$H$34)/($C$37-$C$34)</f>
        <v>2.5000000000000001E-2</v>
      </c>
      <c r="I36" s="42"/>
      <c r="J36" s="43"/>
      <c r="K36" s="19"/>
      <c r="L36" s="19"/>
      <c r="M36" s="1" t="s">
        <v>490</v>
      </c>
    </row>
    <row r="37" spans="1:13" x14ac:dyDescent="0.25">
      <c r="A37" s="30" t="s">
        <v>138</v>
      </c>
      <c r="B37" s="30" t="s">
        <v>139</v>
      </c>
      <c r="C37" s="1">
        <v>2050</v>
      </c>
      <c r="D37" s="1">
        <v>39.68</v>
      </c>
      <c r="E37" s="27"/>
      <c r="F37" s="27"/>
      <c r="G37" s="11"/>
      <c r="H37" s="7">
        <v>0.01</v>
      </c>
      <c r="I37" s="41"/>
      <c r="J37" s="3"/>
      <c r="K37" s="19"/>
      <c r="L37" s="19"/>
      <c r="M37" s="1" t="s">
        <v>490</v>
      </c>
    </row>
    <row r="38" spans="1:13" x14ac:dyDescent="0.25">
      <c r="A38" s="30"/>
      <c r="B38" s="30" t="s">
        <v>127</v>
      </c>
      <c r="C38" s="6">
        <v>2010</v>
      </c>
      <c r="D38" s="6"/>
      <c r="E38" s="6">
        <v>136.16999999999999</v>
      </c>
      <c r="F38" s="27"/>
      <c r="G38" s="11"/>
      <c r="H38" s="7"/>
      <c r="I38" s="41"/>
      <c r="J38" s="3"/>
      <c r="K38" s="19"/>
      <c r="L38" s="19"/>
      <c r="M38" s="1">
        <v>192</v>
      </c>
    </row>
    <row r="39" spans="1:13" x14ac:dyDescent="0.25">
      <c r="A39" s="30"/>
      <c r="B39" s="30" t="s">
        <v>127</v>
      </c>
      <c r="C39" s="1">
        <v>2020</v>
      </c>
      <c r="E39" s="1">
        <v>146.46</v>
      </c>
      <c r="F39" s="27"/>
      <c r="G39" s="11"/>
      <c r="H39" s="9"/>
      <c r="I39" s="42"/>
      <c r="J39" s="43"/>
      <c r="K39" s="19"/>
      <c r="L39" s="19"/>
      <c r="M39" s="1">
        <v>192</v>
      </c>
    </row>
    <row r="40" spans="1:13" x14ac:dyDescent="0.25">
      <c r="A40" s="30"/>
      <c r="B40" s="30" t="s">
        <v>127</v>
      </c>
      <c r="C40" s="6">
        <v>2030</v>
      </c>
      <c r="D40" s="6"/>
      <c r="E40" s="6">
        <v>150.86000000000001</v>
      </c>
      <c r="F40" s="27"/>
      <c r="G40" s="11"/>
      <c r="H40" s="9"/>
      <c r="I40" s="42"/>
      <c r="J40" s="43"/>
      <c r="K40" s="19"/>
      <c r="L40" s="19"/>
      <c r="M40" s="1">
        <v>192</v>
      </c>
    </row>
    <row r="41" spans="1:13" x14ac:dyDescent="0.25">
      <c r="A41" s="30"/>
      <c r="B41" s="30" t="s">
        <v>127</v>
      </c>
      <c r="C41" s="1">
        <v>2050</v>
      </c>
      <c r="E41" s="1">
        <v>131.83000000000001</v>
      </c>
      <c r="F41" s="27"/>
      <c r="G41" s="11"/>
      <c r="H41" s="7"/>
      <c r="I41" s="41"/>
      <c r="J41" s="3"/>
      <c r="K41" s="19"/>
      <c r="L41" s="19"/>
      <c r="M41" s="1">
        <v>192</v>
      </c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Dropdown!$C$2:$C$4</xm:f>
          </x14:formula1>
          <xm:sqref>B2:B41</xm:sqref>
        </x14:dataValidation>
        <x14:dataValidation type="list" allowBlank="1" showInputMessage="1" showErrorMessage="1" xr:uid="{00000000-0002-0000-0C00-000000000000}">
          <x14:formula1>
            <xm:f>Dropdown!$A$2:$A$91</xm:f>
          </x14:formula1>
          <xm:sqref>A2:A41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A0B4-1B32-44CC-A1BD-118A7704A6BF}">
  <dimension ref="A1:AN40"/>
  <sheetViews>
    <sheetView zoomScale="85" zoomScaleNormal="85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N5" sqref="N5"/>
    </sheetView>
  </sheetViews>
  <sheetFormatPr baseColWidth="10" defaultColWidth="11.453125" defaultRowHeight="14" x14ac:dyDescent="0.3"/>
  <cols>
    <col min="1" max="1" width="31.81640625" style="17" bestFit="1" customWidth="1"/>
    <col min="2" max="2" width="21.26953125" style="17" bestFit="1" customWidth="1"/>
    <col min="3" max="3" width="7.26953125" style="17" bestFit="1" customWidth="1"/>
    <col min="4" max="4" width="19.26953125" style="17" bestFit="1" customWidth="1"/>
    <col min="5" max="5" width="14.1796875" style="17" bestFit="1" customWidth="1"/>
    <col min="6" max="7" width="14.1796875" style="17" customWidth="1"/>
    <col min="8" max="8" width="37.54296875" style="17" bestFit="1" customWidth="1"/>
    <col min="9" max="14" width="20.26953125" style="17" customWidth="1"/>
    <col min="15" max="15" width="35" style="17" bestFit="1" customWidth="1"/>
    <col min="16" max="16" width="35" style="17" customWidth="1"/>
    <col min="17" max="20" width="21.54296875" style="17" customWidth="1"/>
    <col min="21" max="21" width="43.1796875" style="17" bestFit="1" customWidth="1"/>
    <col min="22" max="22" width="44.54296875" style="17" bestFit="1" customWidth="1"/>
    <col min="23" max="24" width="44.54296875" style="17" customWidth="1"/>
    <col min="25" max="26" width="21.54296875" style="17" customWidth="1"/>
    <col min="27" max="27" width="89.81640625" style="17" bestFit="1" customWidth="1"/>
    <col min="28" max="30" width="89.81640625" style="17" customWidth="1"/>
    <col min="31" max="31" width="26.453125" style="17" bestFit="1" customWidth="1"/>
    <col min="32" max="32" width="26.453125" style="17" customWidth="1"/>
    <col min="33" max="33" width="24.54296875" style="17" bestFit="1" customWidth="1"/>
    <col min="34" max="39" width="24.54296875" style="17" customWidth="1"/>
    <col min="40" max="40" width="44.26953125" style="17" bestFit="1" customWidth="1"/>
    <col min="41" max="16384" width="11.453125" style="17"/>
  </cols>
  <sheetData>
    <row r="1" spans="1:40" s="1" customFormat="1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55</v>
      </c>
      <c r="H1" s="2" t="s">
        <v>541</v>
      </c>
      <c r="I1" s="2" t="s">
        <v>47</v>
      </c>
      <c r="J1" s="2" t="s">
        <v>48</v>
      </c>
      <c r="K1" s="2" t="s">
        <v>146</v>
      </c>
      <c r="L1" s="2" t="s">
        <v>153</v>
      </c>
      <c r="M1" s="2" t="s">
        <v>154</v>
      </c>
      <c r="N1" s="2" t="s">
        <v>155</v>
      </c>
      <c r="O1" s="2" t="s">
        <v>1131</v>
      </c>
      <c r="P1" s="2" t="s">
        <v>156</v>
      </c>
      <c r="Q1" s="2" t="s">
        <v>3</v>
      </c>
      <c r="R1" s="2" t="s">
        <v>211</v>
      </c>
      <c r="S1" s="2" t="s">
        <v>212</v>
      </c>
      <c r="T1" s="2" t="s">
        <v>10</v>
      </c>
      <c r="U1" s="2" t="s">
        <v>1260</v>
      </c>
      <c r="V1" s="2" t="s">
        <v>1261</v>
      </c>
      <c r="W1" s="2" t="s">
        <v>618</v>
      </c>
      <c r="X1" s="2" t="s">
        <v>1246</v>
      </c>
      <c r="Y1" s="2" t="s">
        <v>1137</v>
      </c>
      <c r="Z1" s="2" t="s">
        <v>14</v>
      </c>
      <c r="AA1" s="2" t="s">
        <v>20</v>
      </c>
      <c r="AB1" s="2" t="s">
        <v>161</v>
      </c>
      <c r="AC1" s="2" t="s">
        <v>1174</v>
      </c>
      <c r="AD1" s="2" t="s">
        <v>58</v>
      </c>
      <c r="AE1" s="2" t="s">
        <v>1</v>
      </c>
      <c r="AF1" s="2" t="s">
        <v>2</v>
      </c>
      <c r="AG1" s="2" t="s">
        <v>5</v>
      </c>
      <c r="AH1" s="2" t="s">
        <v>6</v>
      </c>
      <c r="AI1" s="2" t="s">
        <v>15</v>
      </c>
      <c r="AJ1" s="2" t="s">
        <v>1200</v>
      </c>
      <c r="AK1" s="2" t="s">
        <v>18</v>
      </c>
      <c r="AL1" s="2" t="s">
        <v>1198</v>
      </c>
      <c r="AM1" s="2" t="s">
        <v>16</v>
      </c>
      <c r="AN1" s="2" t="s">
        <v>49</v>
      </c>
    </row>
    <row r="2" spans="1:40" s="1" customFormat="1" ht="12.5" x14ac:dyDescent="0.25">
      <c r="A2" s="6" t="s">
        <v>81</v>
      </c>
      <c r="B2" s="1" t="s">
        <v>126</v>
      </c>
      <c r="C2" s="1">
        <v>2018</v>
      </c>
      <c r="D2" s="1">
        <v>1</v>
      </c>
      <c r="E2" s="1">
        <v>1</v>
      </c>
      <c r="F2" s="1">
        <v>0</v>
      </c>
      <c r="G2" s="1">
        <f t="shared" ref="G2" si="0">1388+443+215</f>
        <v>2046</v>
      </c>
      <c r="H2" s="19">
        <f>520</f>
        <v>520</v>
      </c>
      <c r="I2" s="19"/>
      <c r="J2" s="19">
        <f>766*0.1</f>
        <v>76.600000000000009</v>
      </c>
      <c r="K2" s="19"/>
      <c r="L2" s="19"/>
      <c r="M2" s="19">
        <f>766*0.1</f>
        <v>76.600000000000009</v>
      </c>
      <c r="N2" s="19"/>
      <c r="O2" s="1">
        <f t="shared" ref="O2" si="1">5/60</f>
        <v>8.3333333333333329E-2</v>
      </c>
      <c r="Q2" s="1">
        <f>1/3</f>
        <v>0.33333333333333331</v>
      </c>
      <c r="Y2" s="1">
        <v>270</v>
      </c>
      <c r="Z2" s="1" t="s">
        <v>1187</v>
      </c>
      <c r="AB2" s="1" t="s">
        <v>1175</v>
      </c>
      <c r="AC2" s="1" t="s">
        <v>1175</v>
      </c>
      <c r="AD2" s="1" t="s">
        <v>1176</v>
      </c>
      <c r="AE2" s="1" t="s">
        <v>1175</v>
      </c>
      <c r="AG2" s="1" t="s">
        <v>1188</v>
      </c>
      <c r="AH2" s="1" t="s">
        <v>1189</v>
      </c>
      <c r="AM2" s="13" t="s">
        <v>1177</v>
      </c>
    </row>
    <row r="3" spans="1:40" x14ac:dyDescent="0.3">
      <c r="A3" s="112" t="s">
        <v>39</v>
      </c>
      <c r="B3" s="112" t="s">
        <v>126</v>
      </c>
      <c r="C3" s="1">
        <v>2018</v>
      </c>
      <c r="D3" s="1">
        <v>1</v>
      </c>
      <c r="E3" s="112"/>
      <c r="F3" s="1"/>
      <c r="G3" s="1">
        <v>930</v>
      </c>
      <c r="H3" s="113"/>
      <c r="I3" s="113">
        <v>70</v>
      </c>
      <c r="J3" s="113">
        <f>280+300</f>
        <v>580</v>
      </c>
      <c r="K3" s="113"/>
      <c r="L3" s="113">
        <f>Tabelle589242[[#This Row],[Potenzial pos. min MW]]</f>
        <v>70</v>
      </c>
      <c r="M3" s="113">
        <f>Tabelle589242[[#This Row],[Potenzial pos. max MW]]</f>
        <v>580</v>
      </c>
      <c r="N3" s="113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"/>
      <c r="AA3" s="112"/>
      <c r="AB3" s="112" t="s">
        <v>1183</v>
      </c>
      <c r="AC3" s="112"/>
      <c r="AD3" s="1" t="s">
        <v>1178</v>
      </c>
      <c r="AE3" s="114" t="s">
        <v>1183</v>
      </c>
      <c r="AF3" s="114" t="s">
        <v>1183</v>
      </c>
      <c r="AG3" s="112"/>
      <c r="AH3" s="112"/>
      <c r="AI3" s="112"/>
      <c r="AJ3" s="112"/>
      <c r="AK3" s="112"/>
      <c r="AL3" s="112"/>
      <c r="AM3" s="112"/>
      <c r="AN3" s="112"/>
    </row>
    <row r="4" spans="1:40" x14ac:dyDescent="0.3">
      <c r="A4" s="112" t="s">
        <v>189</v>
      </c>
      <c r="B4" s="112" t="s">
        <v>126</v>
      </c>
      <c r="C4" s="1">
        <v>2018</v>
      </c>
      <c r="D4" s="1">
        <v>1</v>
      </c>
      <c r="E4" s="112"/>
      <c r="F4" s="1"/>
      <c r="G4" s="65">
        <v>75</v>
      </c>
      <c r="H4" s="113"/>
      <c r="I4" s="113">
        <v>15</v>
      </c>
      <c r="J4" s="113">
        <v>25</v>
      </c>
      <c r="K4" s="113"/>
      <c r="L4" s="113"/>
      <c r="M4" s="113">
        <v>25</v>
      </c>
      <c r="N4" s="113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2"/>
      <c r="Z4" s="1"/>
      <c r="AA4" s="112"/>
      <c r="AB4" s="112" t="s">
        <v>1179</v>
      </c>
      <c r="AC4" s="112"/>
      <c r="AD4" s="1" t="s">
        <v>1186</v>
      </c>
      <c r="AE4" s="112" t="s">
        <v>1179</v>
      </c>
      <c r="AF4" s="112" t="s">
        <v>1179</v>
      </c>
      <c r="AG4" s="112"/>
      <c r="AH4" s="112"/>
      <c r="AI4" s="112"/>
      <c r="AJ4" s="112"/>
      <c r="AK4" s="112"/>
      <c r="AL4" s="112"/>
      <c r="AM4" s="112"/>
      <c r="AN4" s="112"/>
    </row>
    <row r="5" spans="1:40" x14ac:dyDescent="0.3">
      <c r="A5" s="112" t="s">
        <v>938</v>
      </c>
      <c r="B5" s="112" t="s">
        <v>126</v>
      </c>
      <c r="C5" s="1">
        <v>2018</v>
      </c>
      <c r="D5" s="1">
        <v>1</v>
      </c>
      <c r="E5" s="112"/>
      <c r="F5" s="1"/>
      <c r="G5" s="65"/>
      <c r="H5" s="113"/>
      <c r="I5" s="113"/>
      <c r="J5" s="113">
        <v>470</v>
      </c>
      <c r="K5" s="113">
        <v>172</v>
      </c>
      <c r="L5" s="113"/>
      <c r="M5" s="17">
        <v>470</v>
      </c>
      <c r="N5" s="17">
        <v>172</v>
      </c>
      <c r="O5" s="115"/>
      <c r="P5" s="115">
        <v>2</v>
      </c>
      <c r="Q5" s="115">
        <v>24</v>
      </c>
      <c r="R5" s="115">
        <v>12</v>
      </c>
      <c r="S5" s="115">
        <v>72</v>
      </c>
      <c r="T5" s="115">
        <v>4</v>
      </c>
      <c r="U5" s="115"/>
      <c r="V5" s="115"/>
      <c r="W5" s="115"/>
      <c r="X5" s="115"/>
      <c r="Z5" s="1" t="s">
        <v>1191</v>
      </c>
      <c r="AA5" s="112"/>
      <c r="AB5" s="112" t="s">
        <v>1179</v>
      </c>
      <c r="AD5" s="1"/>
      <c r="AE5" s="1" t="s">
        <v>1195</v>
      </c>
      <c r="AF5" s="1" t="s">
        <v>1195</v>
      </c>
      <c r="AG5" s="112" t="s">
        <v>1190</v>
      </c>
      <c r="AH5" s="112" t="s">
        <v>1194</v>
      </c>
      <c r="AI5" s="112" t="s">
        <v>1193</v>
      </c>
      <c r="AJ5" s="112"/>
      <c r="AK5" s="112"/>
      <c r="AL5" s="112"/>
      <c r="AM5" s="17" t="s">
        <v>1192</v>
      </c>
      <c r="AN5" s="112"/>
    </row>
    <row r="6" spans="1:40" x14ac:dyDescent="0.3">
      <c r="A6" s="112" t="s">
        <v>27</v>
      </c>
      <c r="B6" s="112" t="s">
        <v>126</v>
      </c>
      <c r="C6" s="1">
        <v>2018</v>
      </c>
      <c r="D6" s="1">
        <v>1</v>
      </c>
      <c r="E6" s="112">
        <v>1</v>
      </c>
      <c r="F6" s="1">
        <v>1</v>
      </c>
      <c r="G6" s="65">
        <v>1292</v>
      </c>
      <c r="H6" s="113">
        <v>421</v>
      </c>
      <c r="I6" s="113"/>
      <c r="J6" s="17">
        <v>15</v>
      </c>
      <c r="L6" s="116"/>
      <c r="M6" s="17">
        <v>15</v>
      </c>
      <c r="O6" s="115"/>
      <c r="P6" s="115"/>
      <c r="Q6" s="17">
        <v>0.25</v>
      </c>
      <c r="S6" s="17">
        <v>4</v>
      </c>
      <c r="U6" s="17">
        <f>230/Umrechnungsfaktoren!B15</f>
        <v>234.43159922928709</v>
      </c>
      <c r="V6" s="17">
        <f>600/Umrechnungsfaktoren!B15</f>
        <v>611.56069364161851</v>
      </c>
      <c r="W6" s="17">
        <v>365</v>
      </c>
      <c r="X6" s="17">
        <f>1000/Umrechnungsfaktoren!B15/Umrechnungsfaktoren!B17</f>
        <v>1019.2678227360308</v>
      </c>
      <c r="Z6" s="1"/>
      <c r="AA6" s="112"/>
      <c r="AB6" s="17" t="s">
        <v>1196</v>
      </c>
      <c r="AC6" s="17" t="s">
        <v>1196</v>
      </c>
      <c r="AD6" s="1" t="s">
        <v>1181</v>
      </c>
      <c r="AE6" s="112" t="s">
        <v>1182</v>
      </c>
      <c r="AF6" s="112" t="s">
        <v>1182</v>
      </c>
      <c r="AG6" s="112"/>
      <c r="AH6" s="1" t="s">
        <v>1197</v>
      </c>
      <c r="AI6" s="112"/>
      <c r="AJ6" s="1" t="s">
        <v>1201</v>
      </c>
      <c r="AK6" s="112" t="s">
        <v>1180</v>
      </c>
      <c r="AL6" s="1" t="s">
        <v>1199</v>
      </c>
      <c r="AN6" s="112"/>
    </row>
    <row r="7" spans="1:40" x14ac:dyDescent="0.3">
      <c r="A7" s="112" t="s">
        <v>572</v>
      </c>
      <c r="B7" s="112" t="s">
        <v>126</v>
      </c>
      <c r="C7" s="1">
        <v>2018</v>
      </c>
      <c r="D7" s="1">
        <v>0</v>
      </c>
      <c r="E7" s="112">
        <v>1</v>
      </c>
      <c r="F7" s="1">
        <v>0</v>
      </c>
      <c r="G7" s="65"/>
      <c r="H7" s="113">
        <v>130</v>
      </c>
      <c r="I7" s="113"/>
      <c r="L7" s="113"/>
      <c r="O7" s="115">
        <v>1</v>
      </c>
      <c r="P7" s="115"/>
      <c r="U7" s="117"/>
      <c r="V7" s="117"/>
      <c r="W7" s="117"/>
      <c r="X7" s="117"/>
      <c r="Z7" s="1"/>
      <c r="AA7" s="112"/>
      <c r="AC7" s="17" t="s">
        <v>1184</v>
      </c>
      <c r="AD7" s="1"/>
      <c r="AE7" s="114" t="s">
        <v>1184</v>
      </c>
      <c r="AF7" s="114"/>
      <c r="AG7" s="112"/>
      <c r="AH7" s="112"/>
      <c r="AI7" s="112"/>
      <c r="AJ7" s="112"/>
      <c r="AK7" s="112"/>
      <c r="AL7" s="112"/>
      <c r="AN7" s="112"/>
    </row>
    <row r="8" spans="1:40" x14ac:dyDescent="0.3">
      <c r="A8" s="112" t="s">
        <v>88</v>
      </c>
      <c r="B8" s="112" t="s">
        <v>126</v>
      </c>
      <c r="C8" s="1">
        <v>2018</v>
      </c>
      <c r="D8" s="1">
        <v>1</v>
      </c>
      <c r="E8" s="112">
        <v>0</v>
      </c>
      <c r="F8" s="1">
        <v>0</v>
      </c>
      <c r="G8" s="65"/>
      <c r="H8" s="113"/>
      <c r="I8" s="113"/>
      <c r="L8" s="113"/>
      <c r="O8" s="115"/>
      <c r="P8" s="115"/>
      <c r="U8" s="117"/>
      <c r="V8" s="117"/>
      <c r="W8" s="117"/>
      <c r="X8" s="117"/>
      <c r="Z8" s="1"/>
      <c r="AA8" s="112"/>
      <c r="AB8" s="17" t="s">
        <v>1185</v>
      </c>
      <c r="AD8" s="1"/>
      <c r="AE8" s="114"/>
      <c r="AF8" s="112"/>
      <c r="AG8" s="112"/>
      <c r="AH8" s="112"/>
      <c r="AI8" s="112"/>
      <c r="AJ8" s="112"/>
      <c r="AK8" s="112"/>
      <c r="AL8" s="112"/>
      <c r="AN8" s="112"/>
    </row>
    <row r="40" spans="8:8" x14ac:dyDescent="0.3">
      <c r="H40" s="118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53CB36-3C5B-4B16-9558-ABB7DFE383FE}">
          <x14:formula1>
            <xm:f>Dropdown!$A$2:$A$54</xm:f>
          </x14:formula1>
          <xm:sqref>A2:A6</xm:sqref>
        </x14:dataValidation>
        <x14:dataValidation type="list" allowBlank="1" showInputMessage="1" showErrorMessage="1" xr:uid="{84FA0C2E-FFA8-4087-88DA-C07A4985234A}">
          <x14:formula1>
            <xm:f>Dropdown!$C$2:$C$4</xm:f>
          </x14:formula1>
          <xm:sqref>B2:B8</xm:sqref>
        </x14:dataValidation>
        <x14:dataValidation type="list" allowBlank="1" showInputMessage="1" showErrorMessage="1" xr:uid="{F84B5507-6D06-4151-8492-D6DB6D503FDA}">
          <x14:formula1>
            <xm:f>Dropdown!$A$2:$A$100</xm:f>
          </x14:formula1>
          <xm:sqref>A7:A8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C1D1-6C0C-4ACA-A874-1A416FF6E8B6}">
  <sheetPr codeName="Tabelle28"/>
  <dimension ref="A1:AK13"/>
  <sheetViews>
    <sheetView workbookViewId="0">
      <pane xSplit="7" ySplit="1" topLeftCell="AC2" activePane="bottomRight" state="frozen"/>
      <selection pane="topRight" activeCell="H1" sqref="H1"/>
      <selection pane="bottomLeft" activeCell="A2" sqref="A2"/>
      <selection pane="bottomRight" activeCell="AG1" sqref="AG1"/>
    </sheetView>
  </sheetViews>
  <sheetFormatPr baseColWidth="10" defaultRowHeight="14.5" x14ac:dyDescent="0.35"/>
  <cols>
    <col min="1" max="1" width="26.54296875" bestFit="1" customWidth="1"/>
    <col min="2" max="2" width="21.26953125" bestFit="1" customWidth="1"/>
    <col min="3" max="3" width="21.26953125" customWidth="1"/>
    <col min="4" max="4" width="7.26953125" bestFit="1" customWidth="1"/>
    <col min="5" max="5" width="19.26953125" bestFit="1" customWidth="1"/>
    <col min="6" max="6" width="14.1796875" bestFit="1" customWidth="1"/>
    <col min="7" max="11" width="14.1796875" customWidth="1"/>
    <col min="12" max="12" width="29.26953125" bestFit="1" customWidth="1"/>
    <col min="13" max="13" width="24.453125" bestFit="1" customWidth="1"/>
    <col min="14" max="14" width="32.26953125" bestFit="1" customWidth="1"/>
    <col min="15" max="15" width="28.81640625" bestFit="1" customWidth="1"/>
    <col min="16" max="16" width="24.7265625" bestFit="1" customWidth="1"/>
    <col min="17" max="17" width="32.54296875" bestFit="1" customWidth="1"/>
    <col min="18" max="18" width="25.26953125" bestFit="1" customWidth="1"/>
    <col min="19" max="19" width="31.54296875" bestFit="1" customWidth="1"/>
    <col min="20" max="20" width="22.453125" bestFit="1" customWidth="1"/>
    <col min="21" max="21" width="25.453125" bestFit="1" customWidth="1"/>
    <col min="22" max="22" width="25.54296875" bestFit="1" customWidth="1"/>
    <col min="23" max="23" width="26.26953125" bestFit="1" customWidth="1"/>
    <col min="24" max="24" width="21.54296875" bestFit="1" customWidth="1"/>
    <col min="25" max="25" width="25.453125" bestFit="1" customWidth="1"/>
    <col min="26" max="26" width="26.54296875" bestFit="1" customWidth="1"/>
    <col min="27" max="27" width="21.81640625" bestFit="1" customWidth="1"/>
    <col min="28" max="28" width="26.453125" bestFit="1" customWidth="1"/>
    <col min="29" max="29" width="24.453125" bestFit="1" customWidth="1"/>
    <col min="30" max="32" width="24.453125" customWidth="1"/>
    <col min="33" max="33" width="26.453125" bestFit="1" customWidth="1"/>
    <col min="34" max="34" width="26.7265625" bestFit="1" customWidth="1"/>
    <col min="35" max="35" width="28.7265625" bestFit="1" customWidth="1"/>
    <col min="36" max="36" width="31.54296875" bestFit="1" customWidth="1"/>
    <col min="37" max="37" width="24.54296875" bestFit="1" customWidth="1"/>
  </cols>
  <sheetData>
    <row r="1" spans="1:37" s="1" customFormat="1" ht="13" x14ac:dyDescent="0.3">
      <c r="A1" s="2" t="s">
        <v>0</v>
      </c>
      <c r="B1" s="2" t="s">
        <v>128</v>
      </c>
      <c r="C1" s="2" t="s">
        <v>883</v>
      </c>
      <c r="D1" s="2" t="s">
        <v>8</v>
      </c>
      <c r="E1" s="2" t="s">
        <v>158</v>
      </c>
      <c r="F1" s="2" t="s">
        <v>159</v>
      </c>
      <c r="G1" s="2" t="s">
        <v>310</v>
      </c>
      <c r="H1" s="2" t="s">
        <v>914</v>
      </c>
      <c r="I1" s="2" t="s">
        <v>915</v>
      </c>
      <c r="J1" s="2" t="s">
        <v>913</v>
      </c>
      <c r="K1" s="2" t="s">
        <v>833</v>
      </c>
      <c r="L1" s="2" t="s">
        <v>916</v>
      </c>
      <c r="M1" s="2" t="s">
        <v>47</v>
      </c>
      <c r="N1" s="2" t="s">
        <v>146</v>
      </c>
      <c r="O1" s="2" t="s">
        <v>48</v>
      </c>
      <c r="P1" s="2" t="s">
        <v>153</v>
      </c>
      <c r="Q1" s="2" t="s">
        <v>155</v>
      </c>
      <c r="R1" s="2" t="s">
        <v>154</v>
      </c>
      <c r="S1" s="2" t="s">
        <v>113</v>
      </c>
      <c r="T1" s="2" t="s">
        <v>54</v>
      </c>
      <c r="U1" s="2" t="s">
        <v>55</v>
      </c>
      <c r="V1" s="2" t="s">
        <v>426</v>
      </c>
      <c r="W1" s="2" t="s">
        <v>222</v>
      </c>
      <c r="X1" s="2" t="s">
        <v>156</v>
      </c>
      <c r="Y1" s="2" t="s">
        <v>224</v>
      </c>
      <c r="Z1" s="2" t="s">
        <v>225</v>
      </c>
      <c r="AA1" s="2" t="s">
        <v>157</v>
      </c>
      <c r="AB1" s="2" t="s">
        <v>211</v>
      </c>
      <c r="AC1" s="2" t="s">
        <v>162</v>
      </c>
      <c r="AD1" s="2" t="s">
        <v>901</v>
      </c>
      <c r="AE1" s="2" t="s">
        <v>867</v>
      </c>
      <c r="AF1" s="2" t="s">
        <v>917</v>
      </c>
      <c r="AG1" s="2" t="s">
        <v>1</v>
      </c>
      <c r="AH1" s="2" t="s">
        <v>2</v>
      </c>
      <c r="AI1" s="2" t="s">
        <v>57</v>
      </c>
      <c r="AJ1" s="2" t="s">
        <v>58</v>
      </c>
      <c r="AK1" s="2" t="s">
        <v>5</v>
      </c>
    </row>
    <row r="2" spans="1:37" s="1" customFormat="1" ht="12.5" x14ac:dyDescent="0.25">
      <c r="A2" s="1" t="s">
        <v>138</v>
      </c>
      <c r="B2" s="1" t="s">
        <v>139</v>
      </c>
      <c r="D2" s="30">
        <v>1996</v>
      </c>
      <c r="E2" s="30">
        <v>1</v>
      </c>
      <c r="F2" s="30">
        <v>0</v>
      </c>
      <c r="G2" s="30">
        <v>0</v>
      </c>
      <c r="H2" s="30">
        <v>60</v>
      </c>
      <c r="I2" s="30">
        <v>130</v>
      </c>
      <c r="J2" s="30">
        <v>2.5920000000000001</v>
      </c>
      <c r="K2" s="30">
        <v>26.68</v>
      </c>
      <c r="L2" s="30"/>
      <c r="M2" s="19"/>
      <c r="N2" s="19"/>
      <c r="O2" s="19"/>
      <c r="P2" s="31"/>
      <c r="Q2" s="31"/>
      <c r="R2" s="31"/>
      <c r="S2" s="32"/>
      <c r="T2" s="31">
        <v>39910</v>
      </c>
      <c r="U2" s="31">
        <v>39910</v>
      </c>
      <c r="V2" s="30"/>
      <c r="W2" s="30"/>
      <c r="X2" s="30"/>
      <c r="Y2" s="30"/>
      <c r="Z2" s="30"/>
      <c r="AA2" s="30"/>
      <c r="AB2" s="30"/>
      <c r="AC2" s="30"/>
      <c r="AD2" s="30">
        <v>49</v>
      </c>
      <c r="AE2" s="30">
        <v>49</v>
      </c>
      <c r="AF2" s="30"/>
      <c r="AG2" s="35"/>
      <c r="AH2" s="30"/>
      <c r="AI2" s="30">
        <v>49</v>
      </c>
      <c r="AJ2" s="35">
        <v>49</v>
      </c>
      <c r="AK2" s="30"/>
    </row>
    <row r="3" spans="1:37" x14ac:dyDescent="0.35">
      <c r="A3" s="74" t="s">
        <v>921</v>
      </c>
      <c r="B3" s="1" t="s">
        <v>876</v>
      </c>
      <c r="C3" s="1"/>
      <c r="D3" s="30">
        <v>1996</v>
      </c>
      <c r="E3" s="74">
        <v>1</v>
      </c>
      <c r="F3" s="74">
        <v>0</v>
      </c>
      <c r="G3" s="1">
        <v>0</v>
      </c>
      <c r="H3" s="1"/>
      <c r="I3" s="1"/>
      <c r="J3" s="1">
        <v>15000</v>
      </c>
      <c r="K3" s="1">
        <v>28</v>
      </c>
      <c r="L3" s="65">
        <v>7</v>
      </c>
      <c r="M3" s="75">
        <v>70</v>
      </c>
      <c r="N3" s="75"/>
      <c r="O3" s="75">
        <v>770</v>
      </c>
      <c r="P3" s="75"/>
      <c r="Q3" s="75">
        <v>4950</v>
      </c>
      <c r="R3" s="75"/>
      <c r="S3" s="76"/>
      <c r="T3" s="75"/>
      <c r="U3" s="75"/>
      <c r="V3" s="77"/>
      <c r="W3" s="77"/>
      <c r="X3" s="74"/>
      <c r="Y3" s="74"/>
      <c r="Z3" s="74"/>
      <c r="AA3" s="74"/>
      <c r="AB3" s="74"/>
      <c r="AC3" s="74"/>
      <c r="AD3" s="30">
        <v>62</v>
      </c>
      <c r="AE3" s="30">
        <v>62</v>
      </c>
      <c r="AF3" s="30">
        <v>64</v>
      </c>
      <c r="AG3" s="78">
        <v>68</v>
      </c>
      <c r="AH3" s="74">
        <v>69</v>
      </c>
      <c r="AI3" s="74"/>
      <c r="AJ3" s="78"/>
      <c r="AK3" s="74"/>
    </row>
    <row r="4" spans="1:37" x14ac:dyDescent="0.35">
      <c r="A4" s="74" t="s">
        <v>208</v>
      </c>
      <c r="B4" s="74" t="s">
        <v>126</v>
      </c>
      <c r="C4" s="1"/>
      <c r="D4" s="74">
        <v>1997</v>
      </c>
      <c r="E4" s="74">
        <v>1</v>
      </c>
      <c r="F4" s="74">
        <v>0</v>
      </c>
      <c r="G4" s="1">
        <v>0</v>
      </c>
      <c r="H4" s="1"/>
      <c r="I4" s="1"/>
      <c r="J4" s="1"/>
      <c r="K4" s="65">
        <v>43.216999999999999</v>
      </c>
      <c r="M4" s="75">
        <v>0</v>
      </c>
      <c r="N4" s="75"/>
      <c r="O4" s="75">
        <f>6000+4000</f>
        <v>10000</v>
      </c>
      <c r="P4" s="75">
        <v>0</v>
      </c>
      <c r="Q4" s="75"/>
      <c r="R4" s="75">
        <f>10000+16000</f>
        <v>26000</v>
      </c>
      <c r="S4" s="76"/>
      <c r="T4" s="75"/>
      <c r="U4" s="75"/>
      <c r="V4" s="77">
        <v>0.5</v>
      </c>
      <c r="W4" s="77">
        <v>2</v>
      </c>
      <c r="X4" s="74"/>
      <c r="Y4" s="74">
        <f>10/60</f>
        <v>0.16666666666666666</v>
      </c>
      <c r="Z4" s="74">
        <v>1</v>
      </c>
      <c r="AA4" s="74"/>
      <c r="AB4" s="74"/>
      <c r="AC4" s="74"/>
      <c r="AD4" s="1"/>
      <c r="AE4" s="1">
        <v>88</v>
      </c>
      <c r="AF4" s="1"/>
      <c r="AG4" s="13" t="s">
        <v>918</v>
      </c>
      <c r="AH4" s="1" t="s">
        <v>919</v>
      </c>
      <c r="AI4" s="74"/>
      <c r="AJ4" s="78"/>
      <c r="AK4" s="1" t="s">
        <v>920</v>
      </c>
    </row>
    <row r="5" spans="1:37" x14ac:dyDescent="0.35">
      <c r="A5" s="1" t="s">
        <v>132</v>
      </c>
      <c r="B5" s="1" t="s">
        <v>139</v>
      </c>
      <c r="C5" s="1"/>
      <c r="D5" s="1">
        <v>1999</v>
      </c>
      <c r="E5" s="1">
        <v>1</v>
      </c>
      <c r="F5" s="1">
        <v>0</v>
      </c>
      <c r="G5" s="1">
        <v>0</v>
      </c>
      <c r="H5" s="1"/>
      <c r="I5" s="1"/>
      <c r="J5" s="1"/>
      <c r="K5" s="65">
        <v>66.179000000000002</v>
      </c>
      <c r="M5" s="19">
        <v>1500</v>
      </c>
      <c r="N5" s="19"/>
      <c r="O5" s="19">
        <v>4200</v>
      </c>
      <c r="P5" s="19">
        <v>500</v>
      </c>
      <c r="Q5" s="19"/>
      <c r="R5" s="19">
        <v>1484</v>
      </c>
      <c r="S5" s="20"/>
      <c r="T5" s="19"/>
      <c r="U5" s="19"/>
      <c r="V5" s="65">
        <v>4</v>
      </c>
      <c r="W5" s="65">
        <v>5</v>
      </c>
      <c r="X5" s="1"/>
      <c r="Y5" s="65">
        <v>10</v>
      </c>
      <c r="Z5" s="1">
        <v>16</v>
      </c>
      <c r="AA5" s="1"/>
      <c r="AB5" s="1"/>
      <c r="AC5" s="1"/>
      <c r="AD5" s="1"/>
      <c r="AE5" s="1">
        <v>99</v>
      </c>
      <c r="AF5" s="1"/>
      <c r="AG5" s="13">
        <v>114</v>
      </c>
      <c r="AH5" s="1">
        <v>114</v>
      </c>
      <c r="AI5" s="1"/>
      <c r="AJ5" s="13"/>
      <c r="AK5" s="1">
        <v>114</v>
      </c>
    </row>
    <row r="6" spans="1:37" x14ac:dyDescent="0.35">
      <c r="A6" s="1" t="s">
        <v>133</v>
      </c>
      <c r="B6" s="1" t="s">
        <v>139</v>
      </c>
      <c r="C6" s="1"/>
      <c r="D6" s="1">
        <v>1999</v>
      </c>
      <c r="E6" s="1">
        <v>1</v>
      </c>
      <c r="F6" s="1">
        <v>0</v>
      </c>
      <c r="G6" s="1">
        <v>0</v>
      </c>
      <c r="H6" s="1"/>
      <c r="I6" s="1"/>
      <c r="J6" s="1"/>
      <c r="K6" s="65">
        <v>66.179000000000002</v>
      </c>
      <c r="M6" s="19">
        <v>500</v>
      </c>
      <c r="N6" s="19"/>
      <c r="O6" s="19">
        <v>3500</v>
      </c>
      <c r="P6" s="19">
        <v>1404</v>
      </c>
      <c r="Q6" s="19"/>
      <c r="R6" s="19">
        <v>500</v>
      </c>
      <c r="S6" s="20"/>
      <c r="T6" s="19"/>
      <c r="U6" s="19"/>
      <c r="V6" s="65">
        <v>2</v>
      </c>
      <c r="W6" s="65">
        <v>3</v>
      </c>
      <c r="X6" s="1"/>
      <c r="Y6" s="65">
        <v>3.5</v>
      </c>
      <c r="Z6" s="1">
        <v>6</v>
      </c>
      <c r="AA6" s="1"/>
      <c r="AB6" s="1"/>
      <c r="AC6" s="1"/>
      <c r="AD6" s="1"/>
      <c r="AE6" s="1">
        <v>99</v>
      </c>
      <c r="AF6" s="1"/>
      <c r="AG6" s="13">
        <v>116</v>
      </c>
      <c r="AH6" s="1">
        <v>116</v>
      </c>
      <c r="AI6" s="1"/>
      <c r="AJ6" s="13"/>
      <c r="AK6" s="1">
        <v>116</v>
      </c>
    </row>
    <row r="7" spans="1:37" x14ac:dyDescent="0.35">
      <c r="A7" s="1" t="s">
        <v>389</v>
      </c>
      <c r="B7" s="1" t="s">
        <v>127</v>
      </c>
      <c r="C7" s="1"/>
      <c r="D7" s="1">
        <v>1999</v>
      </c>
      <c r="E7" s="1">
        <v>1</v>
      </c>
      <c r="F7" s="1">
        <v>0</v>
      </c>
      <c r="G7" s="1">
        <v>0</v>
      </c>
      <c r="H7" s="1"/>
      <c r="I7" s="1"/>
      <c r="J7" s="1"/>
      <c r="K7" s="65">
        <v>66.179000000000002</v>
      </c>
      <c r="M7" s="19">
        <v>250</v>
      </c>
      <c r="N7" s="19"/>
      <c r="O7" s="19">
        <v>2800</v>
      </c>
      <c r="P7" s="19">
        <v>250</v>
      </c>
      <c r="Q7" s="19"/>
      <c r="R7" s="19">
        <v>1119</v>
      </c>
      <c r="S7" s="20"/>
      <c r="T7" s="19"/>
      <c r="U7" s="19"/>
      <c r="V7" s="65">
        <v>1</v>
      </c>
      <c r="W7" s="65">
        <v>2</v>
      </c>
      <c r="X7" s="1"/>
      <c r="Y7" s="65">
        <v>2</v>
      </c>
      <c r="Z7" s="1">
        <v>4</v>
      </c>
      <c r="AA7" s="1"/>
      <c r="AB7" s="1"/>
      <c r="AC7" s="1"/>
      <c r="AD7" s="1"/>
      <c r="AE7" s="1"/>
      <c r="AF7" s="1"/>
      <c r="AG7" s="13">
        <v>122</v>
      </c>
      <c r="AH7" s="1">
        <v>122</v>
      </c>
      <c r="AI7" s="1"/>
      <c r="AJ7" s="13"/>
      <c r="AK7" s="1">
        <v>122</v>
      </c>
    </row>
    <row r="8" spans="1:37" x14ac:dyDescent="0.35">
      <c r="A8" s="1" t="s">
        <v>150</v>
      </c>
      <c r="B8" s="1" t="s">
        <v>876</v>
      </c>
      <c r="C8" s="1"/>
      <c r="D8" s="30">
        <v>1996</v>
      </c>
      <c r="E8" s="1">
        <v>0</v>
      </c>
      <c r="F8" s="1">
        <v>1</v>
      </c>
      <c r="G8" s="1">
        <v>0</v>
      </c>
      <c r="H8" s="1"/>
      <c r="I8" s="1"/>
      <c r="J8" s="1"/>
      <c r="K8" s="65">
        <v>15</v>
      </c>
      <c r="M8" s="19"/>
      <c r="N8" s="19"/>
      <c r="O8" s="19"/>
      <c r="P8" s="19"/>
      <c r="Q8" s="19"/>
      <c r="R8" s="19"/>
      <c r="S8" s="20"/>
      <c r="T8" s="19"/>
      <c r="U8" s="19"/>
      <c r="V8" s="65"/>
      <c r="W8" s="65"/>
      <c r="X8" s="1"/>
      <c r="Y8" s="65"/>
      <c r="Z8" s="1"/>
      <c r="AA8" s="1"/>
      <c r="AB8" s="1"/>
      <c r="AC8" s="1">
        <v>140</v>
      </c>
      <c r="AD8" s="1"/>
      <c r="AE8" s="1"/>
      <c r="AF8" s="1"/>
      <c r="AG8" s="13"/>
      <c r="AH8" s="1"/>
      <c r="AI8" s="1"/>
      <c r="AJ8" s="13"/>
      <c r="AK8" s="1"/>
    </row>
    <row r="9" spans="1:37" x14ac:dyDescent="0.35">
      <c r="A9" s="1" t="s">
        <v>219</v>
      </c>
      <c r="B9" s="1" t="s">
        <v>126</v>
      </c>
      <c r="C9" s="1"/>
      <c r="D9" s="30">
        <v>1996</v>
      </c>
      <c r="E9" s="1">
        <v>1</v>
      </c>
      <c r="F9" s="1">
        <v>0</v>
      </c>
      <c r="G9" s="1">
        <v>0</v>
      </c>
      <c r="H9" s="1"/>
      <c r="I9" s="1"/>
      <c r="J9" s="1"/>
      <c r="K9" s="65">
        <v>14</v>
      </c>
      <c r="M9" s="19"/>
      <c r="N9" s="19">
        <v>223.7</v>
      </c>
      <c r="O9" s="19"/>
      <c r="P9" s="19"/>
      <c r="Q9" s="19">
        <v>91</v>
      </c>
      <c r="R9" s="19"/>
      <c r="S9" s="20">
        <v>1598</v>
      </c>
      <c r="T9" s="19"/>
      <c r="U9" s="19"/>
      <c r="V9" s="65"/>
      <c r="W9" s="65"/>
      <c r="X9" s="1"/>
      <c r="Y9" s="65"/>
      <c r="Z9" s="1"/>
      <c r="AA9" s="1"/>
      <c r="AB9" s="1"/>
      <c r="AC9" s="1"/>
      <c r="AD9" s="1"/>
      <c r="AE9" s="1">
        <v>162</v>
      </c>
      <c r="AF9" s="1"/>
      <c r="AG9" s="13">
        <v>162</v>
      </c>
      <c r="AH9" s="1">
        <v>162</v>
      </c>
      <c r="AI9" s="1"/>
      <c r="AJ9" s="13"/>
      <c r="AK9" s="1"/>
    </row>
    <row r="10" spans="1:37" x14ac:dyDescent="0.35">
      <c r="A10" s="1" t="s">
        <v>129</v>
      </c>
      <c r="B10" s="1" t="s">
        <v>139</v>
      </c>
      <c r="C10" s="1"/>
      <c r="D10" s="1">
        <v>1997</v>
      </c>
      <c r="E10" s="1">
        <v>1</v>
      </c>
      <c r="F10" s="1">
        <v>0</v>
      </c>
      <c r="G10" s="1">
        <v>0</v>
      </c>
      <c r="H10" s="1"/>
      <c r="I10" s="1"/>
      <c r="J10" s="1"/>
      <c r="K10" s="65"/>
      <c r="M10" s="19">
        <v>0</v>
      </c>
      <c r="N10" s="19">
        <v>578</v>
      </c>
      <c r="O10" s="19">
        <v>1438</v>
      </c>
      <c r="P10" s="19"/>
      <c r="Q10" s="19"/>
      <c r="R10" s="19"/>
      <c r="S10" s="20"/>
      <c r="T10" s="19"/>
      <c r="U10" s="19"/>
      <c r="V10" s="65"/>
      <c r="W10" s="65"/>
      <c r="X10" s="1">
        <v>2</v>
      </c>
      <c r="Y10" s="65"/>
      <c r="Z10" s="1"/>
      <c r="AA10" s="1">
        <v>2</v>
      </c>
      <c r="AB10" s="1">
        <v>24</v>
      </c>
      <c r="AC10" s="1"/>
      <c r="AD10" s="1"/>
      <c r="AE10" s="1"/>
      <c r="AF10" s="1"/>
      <c r="AG10" s="13" t="s">
        <v>922</v>
      </c>
      <c r="AH10" s="1"/>
      <c r="AI10" s="1"/>
      <c r="AJ10" s="13"/>
      <c r="AK10" s="1">
        <v>169</v>
      </c>
    </row>
    <row r="11" spans="1:37" x14ac:dyDescent="0.35">
      <c r="A11" s="1" t="s">
        <v>130</v>
      </c>
      <c r="B11" s="1" t="s">
        <v>139</v>
      </c>
      <c r="C11" s="1"/>
      <c r="D11" s="1">
        <v>1997</v>
      </c>
      <c r="E11" s="1">
        <v>1</v>
      </c>
      <c r="F11" s="1">
        <v>0</v>
      </c>
      <c r="G11" s="1">
        <v>0</v>
      </c>
      <c r="H11" s="1"/>
      <c r="I11" s="1"/>
      <c r="J11" s="1"/>
      <c r="K11" s="65"/>
      <c r="M11" s="19">
        <v>0</v>
      </c>
      <c r="N11" s="19">
        <v>580.49999999999989</v>
      </c>
      <c r="O11" s="19">
        <v>1885</v>
      </c>
      <c r="P11" s="19"/>
      <c r="Q11" s="19"/>
      <c r="R11" s="19"/>
      <c r="S11" s="20"/>
      <c r="T11" s="19"/>
      <c r="U11" s="19"/>
      <c r="V11" s="65"/>
      <c r="W11" s="65"/>
      <c r="X11" s="1">
        <v>2</v>
      </c>
      <c r="Y11" s="65"/>
      <c r="Z11" s="1"/>
      <c r="AA11" s="1">
        <v>2</v>
      </c>
      <c r="AB11" s="1">
        <v>24</v>
      </c>
      <c r="AC11" s="1"/>
      <c r="AD11" s="1"/>
      <c r="AE11" s="1"/>
      <c r="AF11" s="1"/>
      <c r="AG11" s="13" t="s">
        <v>922</v>
      </c>
      <c r="AH11" s="1"/>
      <c r="AI11" s="1"/>
      <c r="AJ11" s="13"/>
      <c r="AK11" s="1">
        <v>169</v>
      </c>
    </row>
    <row r="12" spans="1:37" x14ac:dyDescent="0.35">
      <c r="A12" s="1" t="s">
        <v>283</v>
      </c>
      <c r="B12" s="1" t="s">
        <v>139</v>
      </c>
      <c r="C12" s="1"/>
      <c r="D12" s="1">
        <v>1997</v>
      </c>
      <c r="E12" s="1">
        <v>1</v>
      </c>
      <c r="F12" s="1">
        <v>0</v>
      </c>
      <c r="G12" s="1">
        <v>0</v>
      </c>
      <c r="H12" s="1"/>
      <c r="I12" s="1"/>
      <c r="J12" s="1"/>
      <c r="K12" s="65"/>
      <c r="M12" s="19">
        <v>0</v>
      </c>
      <c r="N12" s="19">
        <v>570.96820464750033</v>
      </c>
      <c r="O12" s="19">
        <v>1661.4793977026998</v>
      </c>
      <c r="P12" s="19"/>
      <c r="Q12" s="19"/>
      <c r="R12" s="19"/>
      <c r="S12" s="20"/>
      <c r="T12" s="19"/>
      <c r="U12" s="19"/>
      <c r="V12" s="65"/>
      <c r="W12" s="65"/>
      <c r="X12" s="1">
        <v>2</v>
      </c>
      <c r="Y12" s="65"/>
      <c r="Z12" s="1"/>
      <c r="AA12" s="1">
        <v>2</v>
      </c>
      <c r="AB12" s="1">
        <v>24</v>
      </c>
      <c r="AC12" s="1"/>
      <c r="AD12" s="1"/>
      <c r="AE12" s="1"/>
      <c r="AF12" s="1"/>
      <c r="AG12" s="13" t="s">
        <v>922</v>
      </c>
      <c r="AH12" s="1"/>
      <c r="AI12" s="1"/>
      <c r="AJ12" s="13"/>
      <c r="AK12" s="1">
        <v>169</v>
      </c>
    </row>
    <row r="13" spans="1:37" x14ac:dyDescent="0.35">
      <c r="A13" s="1" t="s">
        <v>164</v>
      </c>
      <c r="B13" s="1" t="s">
        <v>139</v>
      </c>
      <c r="C13" s="1"/>
      <c r="D13" s="1">
        <v>1997</v>
      </c>
      <c r="E13" s="1">
        <v>1</v>
      </c>
      <c r="F13" s="1">
        <v>0</v>
      </c>
      <c r="G13" s="1">
        <v>0</v>
      </c>
      <c r="H13" s="1"/>
      <c r="I13" s="1"/>
      <c r="J13" s="1"/>
      <c r="K13" s="65"/>
      <c r="M13" s="19"/>
      <c r="N13" s="19"/>
      <c r="O13" s="19"/>
      <c r="P13" s="19">
        <v>17003.040582987822</v>
      </c>
      <c r="Q13" s="19">
        <v>19070.240128685829</v>
      </c>
      <c r="R13" s="19">
        <v>20800</v>
      </c>
      <c r="S13" s="20"/>
      <c r="T13" s="19"/>
      <c r="U13" s="19"/>
      <c r="V13" s="65"/>
      <c r="W13" s="65"/>
      <c r="X13" s="1">
        <v>2</v>
      </c>
      <c r="Y13" s="65"/>
      <c r="Z13" s="1"/>
      <c r="AA13" s="1">
        <v>2</v>
      </c>
      <c r="AB13" s="1">
        <v>24</v>
      </c>
      <c r="AC13" s="1"/>
      <c r="AD13" s="1"/>
      <c r="AE13" s="1"/>
      <c r="AF13" s="1"/>
      <c r="AG13" s="13"/>
      <c r="AH13" s="1">
        <v>169</v>
      </c>
      <c r="AI13" s="1"/>
      <c r="AJ13" s="13"/>
      <c r="AK13" s="1">
        <v>169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19B1FF-E9B1-42BE-8079-C6AAEA6C468A}">
          <x14:formula1>
            <xm:f>Dropdown!$B$2:$B$6</xm:f>
          </x14:formula1>
          <xm:sqref>C2:C13</xm:sqref>
        </x14:dataValidation>
        <x14:dataValidation type="list" allowBlank="1" showInputMessage="1" showErrorMessage="1" xr:uid="{8A760510-2611-4800-8238-6B1028F2145B}">
          <x14:formula1>
            <xm:f>Dropdown!$C$2:$C$7</xm:f>
          </x14:formula1>
          <xm:sqref>B2:B13</xm:sqref>
        </x14:dataValidation>
        <x14:dataValidation type="list" allowBlank="1" showInputMessage="1" showErrorMessage="1" xr:uid="{F8F0996D-19BF-496F-82F1-CB46DB7B32A2}">
          <x14:formula1>
            <xm:f>Dropdown!$A$2:$A$91</xm:f>
          </x14:formula1>
          <xm:sqref>A2 A4:A7</xm:sqref>
        </x14:dataValidation>
        <x14:dataValidation type="list" allowBlank="1" showInputMessage="1" showErrorMessage="1" xr:uid="{DAF9991D-A25C-4455-855C-51AB6965E64C}">
          <x14:formula1>
            <xm:f>Dropdown!$A$2:$A$93</xm:f>
          </x14:formula1>
          <xm:sqref>A3 A8:A13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29"/>
  <dimension ref="A1:HO249"/>
  <sheetViews>
    <sheetView zoomScale="70" zoomScaleNormal="70" workbookViewId="0">
      <pane xSplit="10" ySplit="1" topLeftCell="DU101" activePane="bottomRight" state="frozen"/>
      <selection pane="topRight" activeCell="K1" sqref="K1"/>
      <selection pane="bottomLeft" activeCell="A2" sqref="A2"/>
      <selection pane="bottomRight" activeCell="A10" sqref="A10:E17"/>
    </sheetView>
  </sheetViews>
  <sheetFormatPr baseColWidth="10" defaultColWidth="11.453125" defaultRowHeight="12.5" x14ac:dyDescent="0.25"/>
  <cols>
    <col min="1" max="1" width="23.81640625" style="1" customWidth="1"/>
    <col min="2" max="2" width="28.26953125" style="1" customWidth="1"/>
    <col min="3" max="3" width="26.453125" style="1" customWidth="1"/>
    <col min="4" max="4" width="14.81640625" style="1" customWidth="1"/>
    <col min="5" max="5" width="11.26953125" style="1" customWidth="1"/>
    <col min="6" max="6" width="12.54296875" style="1" customWidth="1"/>
    <col min="7" max="7" width="9.54296875" style="1" bestFit="1" customWidth="1"/>
    <col min="8" max="8" width="23.453125" style="1" bestFit="1" customWidth="1"/>
    <col min="9" max="9" width="17.7265625" style="1" bestFit="1" customWidth="1"/>
    <col min="10" max="10" width="17.7265625" style="1" customWidth="1"/>
    <col min="11" max="11" width="28.81640625" style="1" bestFit="1" customWidth="1"/>
    <col min="12" max="12" width="38.81640625" style="1" bestFit="1" customWidth="1"/>
    <col min="13" max="13" width="29.26953125" style="1" bestFit="1" customWidth="1"/>
    <col min="14" max="94" width="29.26953125" style="1" customWidth="1"/>
    <col min="95" max="97" width="24.54296875" style="1" customWidth="1"/>
    <col min="98" max="98" width="24.453125" style="1" bestFit="1" customWidth="1"/>
    <col min="99" max="137" width="24.453125" style="1" customWidth="1"/>
    <col min="138" max="138" width="27.81640625" style="1" customWidth="1"/>
    <col min="139" max="139" width="27.1796875" style="1" bestFit="1" customWidth="1"/>
    <col min="140" max="140" width="29" style="1" bestFit="1" customWidth="1"/>
    <col min="141" max="146" width="24.7265625" style="1" customWidth="1"/>
    <col min="147" max="149" width="28.453125" style="1" customWidth="1"/>
    <col min="150" max="150" width="27.453125" style="1" bestFit="1" customWidth="1"/>
    <col min="151" max="160" width="27.453125" style="1" customWidth="1"/>
    <col min="161" max="163" width="20.7265625" style="1" customWidth="1"/>
    <col min="164" max="164" width="24.1796875" style="1" customWidth="1"/>
    <col min="165" max="165" width="20.7265625" style="1" customWidth="1"/>
    <col min="166" max="166" width="25.81640625" style="1" bestFit="1" customWidth="1"/>
    <col min="167" max="168" width="25.81640625" style="1" customWidth="1"/>
    <col min="169" max="169" width="29.7265625" style="1" bestFit="1" customWidth="1"/>
    <col min="170" max="170" width="24" style="1" bestFit="1" customWidth="1"/>
    <col min="171" max="171" width="38.26953125" style="1" bestFit="1" customWidth="1"/>
    <col min="172" max="194" width="38.26953125" style="1" customWidth="1"/>
    <col min="195" max="195" width="33.453125" style="1" bestFit="1" customWidth="1"/>
    <col min="196" max="197" width="33.453125" style="1" customWidth="1"/>
    <col min="198" max="198" width="25.7265625" style="1" bestFit="1" customWidth="1"/>
    <col min="199" max="199" width="25.7265625" style="1" customWidth="1"/>
    <col min="200" max="200" width="56.7265625" style="1" bestFit="1" customWidth="1"/>
    <col min="201" max="203" width="35.54296875" style="1" customWidth="1"/>
    <col min="204" max="204" width="31.7265625" style="1" bestFit="1" customWidth="1"/>
    <col min="205" max="205" width="31.54296875" style="1" bestFit="1" customWidth="1"/>
    <col min="206" max="210" width="31.54296875" style="1" customWidth="1"/>
    <col min="211" max="211" width="37.453125" style="1" bestFit="1" customWidth="1"/>
    <col min="212" max="212" width="35.7265625" style="1" bestFit="1" customWidth="1"/>
    <col min="213" max="213" width="28.81640625" style="1" bestFit="1" customWidth="1"/>
    <col min="214" max="214" width="34" style="1" bestFit="1" customWidth="1"/>
    <col min="215" max="215" width="37.81640625" style="1" bestFit="1" customWidth="1"/>
    <col min="216" max="216" width="34.453125" style="1" bestFit="1" customWidth="1"/>
    <col min="217" max="217" width="38.1796875" style="1" bestFit="1" customWidth="1"/>
    <col min="218" max="218" width="22.81640625" style="1" bestFit="1" customWidth="1"/>
    <col min="219" max="219" width="28.54296875" style="1" bestFit="1" customWidth="1"/>
    <col min="220" max="220" width="28.26953125" style="1" bestFit="1" customWidth="1"/>
    <col min="221" max="221" width="28.26953125" style="1" customWidth="1"/>
    <col min="222" max="222" width="31" style="1" bestFit="1" customWidth="1"/>
    <col min="223" max="223" width="78.1796875" style="1" bestFit="1" customWidth="1"/>
    <col min="224" max="16384" width="11.453125" style="1"/>
  </cols>
  <sheetData>
    <row r="1" spans="1:223" ht="13" x14ac:dyDescent="0.3">
      <c r="A1" s="2" t="s">
        <v>0</v>
      </c>
      <c r="B1" s="2" t="s">
        <v>741</v>
      </c>
      <c r="C1" s="2" t="s">
        <v>649</v>
      </c>
      <c r="D1" s="2" t="s">
        <v>235</v>
      </c>
      <c r="E1" s="2" t="s">
        <v>128</v>
      </c>
      <c r="F1" s="2" t="s">
        <v>740</v>
      </c>
      <c r="G1" s="2" t="s">
        <v>8</v>
      </c>
      <c r="H1" s="2" t="s">
        <v>158</v>
      </c>
      <c r="I1" s="2" t="s">
        <v>159</v>
      </c>
      <c r="J1" s="2" t="s">
        <v>310</v>
      </c>
      <c r="K1" s="2" t="s">
        <v>584</v>
      </c>
      <c r="L1" s="2" t="s">
        <v>146</v>
      </c>
      <c r="M1" s="2" t="s">
        <v>585</v>
      </c>
      <c r="N1" s="2" t="s">
        <v>1138</v>
      </c>
      <c r="O1" s="2" t="s">
        <v>1130</v>
      </c>
      <c r="P1" s="2" t="s">
        <v>1139</v>
      </c>
      <c r="Q1" s="2" t="s">
        <v>750</v>
      </c>
      <c r="R1" s="2" t="s">
        <v>751</v>
      </c>
      <c r="S1" s="2" t="s">
        <v>752</v>
      </c>
      <c r="T1" s="2" t="s">
        <v>1161</v>
      </c>
      <c r="U1" s="2" t="s">
        <v>1162</v>
      </c>
      <c r="V1" s="2" t="s">
        <v>1163</v>
      </c>
      <c r="W1" s="2" t="s">
        <v>753</v>
      </c>
      <c r="X1" s="2" t="s">
        <v>754</v>
      </c>
      <c r="Y1" s="2" t="s">
        <v>755</v>
      </c>
      <c r="Z1" s="2" t="s">
        <v>756</v>
      </c>
      <c r="AA1" s="2" t="s">
        <v>757</v>
      </c>
      <c r="AB1" s="2" t="s">
        <v>758</v>
      </c>
      <c r="AC1" s="2" t="s">
        <v>1158</v>
      </c>
      <c r="AD1" s="2" t="s">
        <v>1159</v>
      </c>
      <c r="AE1" s="2" t="s">
        <v>1160</v>
      </c>
      <c r="AF1" s="2" t="s">
        <v>759</v>
      </c>
      <c r="AG1" s="2" t="s">
        <v>760</v>
      </c>
      <c r="AH1" s="2" t="s">
        <v>761</v>
      </c>
      <c r="AI1" s="2" t="s">
        <v>762</v>
      </c>
      <c r="AJ1" s="2" t="s">
        <v>763</v>
      </c>
      <c r="AK1" s="2" t="s">
        <v>764</v>
      </c>
      <c r="AL1" s="2" t="s">
        <v>765</v>
      </c>
      <c r="AM1" s="2" t="s">
        <v>766</v>
      </c>
      <c r="AN1" s="2" t="s">
        <v>767</v>
      </c>
      <c r="AO1" s="2" t="s">
        <v>768</v>
      </c>
      <c r="AP1" s="2" t="s">
        <v>769</v>
      </c>
      <c r="AQ1" s="2" t="s">
        <v>770</v>
      </c>
      <c r="AR1" s="2" t="s">
        <v>1155</v>
      </c>
      <c r="AS1" s="2" t="s">
        <v>1156</v>
      </c>
      <c r="AT1" s="2" t="s">
        <v>1157</v>
      </c>
      <c r="AU1" s="2" t="s">
        <v>771</v>
      </c>
      <c r="AV1" s="2" t="s">
        <v>772</v>
      </c>
      <c r="AW1" s="2" t="s">
        <v>773</v>
      </c>
      <c r="AX1" s="2" t="s">
        <v>774</v>
      </c>
      <c r="AY1" s="2" t="s">
        <v>775</v>
      </c>
      <c r="AZ1" s="2" t="s">
        <v>776</v>
      </c>
      <c r="BA1" s="2" t="s">
        <v>1152</v>
      </c>
      <c r="BB1" s="2" t="s">
        <v>1153</v>
      </c>
      <c r="BC1" s="2" t="s">
        <v>1154</v>
      </c>
      <c r="BD1" s="2" t="s">
        <v>777</v>
      </c>
      <c r="BE1" s="2" t="s">
        <v>778</v>
      </c>
      <c r="BF1" s="2" t="s">
        <v>779</v>
      </c>
      <c r="BG1" s="2" t="s">
        <v>780</v>
      </c>
      <c r="BH1" s="2" t="s">
        <v>781</v>
      </c>
      <c r="BI1" s="2" t="s">
        <v>782</v>
      </c>
      <c r="BJ1" s="2" t="s">
        <v>1149</v>
      </c>
      <c r="BK1" s="2" t="s">
        <v>1150</v>
      </c>
      <c r="BL1" s="2" t="s">
        <v>1151</v>
      </c>
      <c r="BM1" s="2" t="s">
        <v>783</v>
      </c>
      <c r="BN1" s="2" t="s">
        <v>784</v>
      </c>
      <c r="BO1" s="2" t="s">
        <v>785</v>
      </c>
      <c r="BP1" s="2" t="s">
        <v>786</v>
      </c>
      <c r="BQ1" s="2" t="s">
        <v>787</v>
      </c>
      <c r="BR1" s="2" t="s">
        <v>788</v>
      </c>
      <c r="BS1" s="2" t="s">
        <v>1146</v>
      </c>
      <c r="BT1" s="2" t="s">
        <v>1147</v>
      </c>
      <c r="BU1" s="2" t="s">
        <v>1148</v>
      </c>
      <c r="BV1" s="2" t="s">
        <v>789</v>
      </c>
      <c r="BW1" s="2" t="s">
        <v>790</v>
      </c>
      <c r="BX1" s="2" t="s">
        <v>791</v>
      </c>
      <c r="BY1" s="2" t="s">
        <v>792</v>
      </c>
      <c r="BZ1" s="2" t="s">
        <v>793</v>
      </c>
      <c r="CA1" s="2" t="s">
        <v>794</v>
      </c>
      <c r="CB1" s="2" t="s">
        <v>1143</v>
      </c>
      <c r="CC1" s="2" t="s">
        <v>1144</v>
      </c>
      <c r="CD1" s="2" t="s">
        <v>1145</v>
      </c>
      <c r="CE1" s="2" t="s">
        <v>795</v>
      </c>
      <c r="CF1" s="2" t="s">
        <v>796</v>
      </c>
      <c r="CG1" s="2" t="s">
        <v>797</v>
      </c>
      <c r="CH1" s="2" t="s">
        <v>798</v>
      </c>
      <c r="CI1" s="2" t="s">
        <v>799</v>
      </c>
      <c r="CJ1" s="2" t="s">
        <v>800</v>
      </c>
      <c r="CK1" s="2" t="s">
        <v>1140</v>
      </c>
      <c r="CL1" s="2" t="s">
        <v>1141</v>
      </c>
      <c r="CM1" s="2" t="s">
        <v>1142</v>
      </c>
      <c r="CN1" s="2" t="s">
        <v>801</v>
      </c>
      <c r="CO1" s="2" t="s">
        <v>802</v>
      </c>
      <c r="CP1" s="2" t="s">
        <v>803</v>
      </c>
      <c r="CQ1" s="2" t="s">
        <v>94</v>
      </c>
      <c r="CR1" s="2" t="s">
        <v>586</v>
      </c>
      <c r="CS1" s="2" t="s">
        <v>155</v>
      </c>
      <c r="CT1" s="2" t="s">
        <v>587</v>
      </c>
      <c r="CU1" s="2" t="s">
        <v>600</v>
      </c>
      <c r="CV1" s="2" t="s">
        <v>599</v>
      </c>
      <c r="CW1" s="2" t="s">
        <v>601</v>
      </c>
      <c r="CX1" s="2" t="s">
        <v>602</v>
      </c>
      <c r="CY1" s="2" t="s">
        <v>588</v>
      </c>
      <c r="CZ1" s="2" t="s">
        <v>589</v>
      </c>
      <c r="DA1" s="2" t="s">
        <v>84</v>
      </c>
      <c r="DB1" s="53" t="s">
        <v>712</v>
      </c>
      <c r="DC1" s="53" t="s">
        <v>713</v>
      </c>
      <c r="DD1" s="53" t="s">
        <v>714</v>
      </c>
      <c r="DE1" s="53" t="s">
        <v>715</v>
      </c>
      <c r="DF1" s="53" t="s">
        <v>716</v>
      </c>
      <c r="DG1" s="53" t="s">
        <v>717</v>
      </c>
      <c r="DH1" s="53" t="s">
        <v>718</v>
      </c>
      <c r="DI1" s="53" t="s">
        <v>719</v>
      </c>
      <c r="DJ1" s="53" t="s">
        <v>720</v>
      </c>
      <c r="DK1" s="53" t="s">
        <v>721</v>
      </c>
      <c r="DL1" s="53" t="s">
        <v>722</v>
      </c>
      <c r="DM1" s="53" t="s">
        <v>723</v>
      </c>
      <c r="DN1" s="53" t="s">
        <v>724</v>
      </c>
      <c r="DO1" s="53" t="s">
        <v>725</v>
      </c>
      <c r="DP1" s="53" t="s">
        <v>726</v>
      </c>
      <c r="DQ1" s="53" t="s">
        <v>727</v>
      </c>
      <c r="DR1" s="53" t="s">
        <v>728</v>
      </c>
      <c r="DS1" s="53" t="s">
        <v>729</v>
      </c>
      <c r="DT1" s="53" t="s">
        <v>730</v>
      </c>
      <c r="DU1" s="53" t="s">
        <v>731</v>
      </c>
      <c r="DV1" s="53" t="s">
        <v>732</v>
      </c>
      <c r="DW1" s="53" t="s">
        <v>733</v>
      </c>
      <c r="DX1" s="53" t="s">
        <v>734</v>
      </c>
      <c r="DY1" s="53" t="s">
        <v>735</v>
      </c>
      <c r="DZ1" s="53" t="s">
        <v>736</v>
      </c>
      <c r="EA1" s="53" t="s">
        <v>737</v>
      </c>
      <c r="EB1" s="53" t="s">
        <v>738</v>
      </c>
      <c r="EC1" s="2" t="s">
        <v>590</v>
      </c>
      <c r="ED1" s="2" t="s">
        <v>595</v>
      </c>
      <c r="EE1" s="2" t="s">
        <v>591</v>
      </c>
      <c r="EF1" s="2" t="s">
        <v>603</v>
      </c>
      <c r="EG1" s="2" t="s">
        <v>604</v>
      </c>
      <c r="EH1" s="2" t="s">
        <v>605</v>
      </c>
      <c r="EI1" s="2" t="s">
        <v>606</v>
      </c>
      <c r="EJ1" s="2" t="s">
        <v>607</v>
      </c>
      <c r="EK1" s="2" t="s">
        <v>608</v>
      </c>
      <c r="EL1" s="2" t="s">
        <v>597</v>
      </c>
      <c r="EM1" s="2" t="s">
        <v>596</v>
      </c>
      <c r="EN1" s="2" t="s">
        <v>598</v>
      </c>
      <c r="EO1" s="2" t="s">
        <v>592</v>
      </c>
      <c r="EP1" s="2" t="s">
        <v>593</v>
      </c>
      <c r="EQ1" s="2" t="s">
        <v>594</v>
      </c>
      <c r="ER1" s="2" t="s">
        <v>609</v>
      </c>
      <c r="ES1" s="2" t="s">
        <v>610</v>
      </c>
      <c r="ET1" s="2" t="s">
        <v>611</v>
      </c>
      <c r="EU1" s="2" t="s">
        <v>612</v>
      </c>
      <c r="EV1" s="2" t="s">
        <v>613</v>
      </c>
      <c r="EW1" s="2" t="s">
        <v>614</v>
      </c>
      <c r="EX1" s="2" t="s">
        <v>156</v>
      </c>
      <c r="EY1" s="2" t="s">
        <v>426</v>
      </c>
      <c r="EZ1" s="2" t="s">
        <v>222</v>
      </c>
      <c r="FA1" s="2" t="s">
        <v>1131</v>
      </c>
      <c r="FB1" s="2" t="s">
        <v>1128</v>
      </c>
      <c r="FC1" s="2" t="s">
        <v>1129</v>
      </c>
      <c r="FD1" s="2" t="s">
        <v>157</v>
      </c>
      <c r="FE1" s="2" t="s">
        <v>224</v>
      </c>
      <c r="FF1" s="2" t="s">
        <v>225</v>
      </c>
      <c r="FG1" s="2" t="s">
        <v>3</v>
      </c>
      <c r="FH1" s="2" t="s">
        <v>211</v>
      </c>
      <c r="FI1" s="2" t="s">
        <v>212</v>
      </c>
      <c r="FJ1" s="2" t="s">
        <v>615</v>
      </c>
      <c r="FK1" s="2" t="s">
        <v>616</v>
      </c>
      <c r="FL1" s="2" t="s">
        <v>617</v>
      </c>
      <c r="FM1" s="2" t="s">
        <v>10</v>
      </c>
      <c r="FN1" s="2" t="s">
        <v>14</v>
      </c>
      <c r="FO1" s="2" t="s">
        <v>4</v>
      </c>
      <c r="FP1" s="2" t="s">
        <v>618</v>
      </c>
      <c r="FQ1" s="2" t="s">
        <v>619</v>
      </c>
      <c r="FR1" s="2" t="s">
        <v>620</v>
      </c>
      <c r="FS1" s="2" t="s">
        <v>621</v>
      </c>
      <c r="FT1" s="2" t="s">
        <v>622</v>
      </c>
      <c r="FU1" s="2" t="s">
        <v>623</v>
      </c>
      <c r="FV1" s="2" t="s">
        <v>624</v>
      </c>
      <c r="FW1" s="2" t="s">
        <v>625</v>
      </c>
      <c r="FX1" s="2" t="s">
        <v>626</v>
      </c>
      <c r="FY1" s="2" t="s">
        <v>1246</v>
      </c>
      <c r="FZ1" s="2" t="s">
        <v>1251</v>
      </c>
      <c r="GA1" s="2" t="s">
        <v>1252</v>
      </c>
      <c r="GB1" s="2" t="s">
        <v>1257</v>
      </c>
      <c r="GC1" s="2" t="s">
        <v>1269</v>
      </c>
      <c r="GD1" s="2" t="s">
        <v>1270</v>
      </c>
      <c r="GE1" s="2" t="s">
        <v>1264</v>
      </c>
      <c r="GF1" s="2" t="s">
        <v>1258</v>
      </c>
      <c r="GG1" s="2" t="s">
        <v>1259</v>
      </c>
      <c r="GH1" s="2" t="s">
        <v>635</v>
      </c>
      <c r="GI1" s="2" t="s">
        <v>636</v>
      </c>
      <c r="GJ1" s="2" t="s">
        <v>637</v>
      </c>
      <c r="GK1" s="2" t="s">
        <v>638</v>
      </c>
      <c r="GL1" s="2" t="s">
        <v>639</v>
      </c>
      <c r="GM1" s="2" t="s">
        <v>640</v>
      </c>
      <c r="GN1" s="2" t="s">
        <v>1250</v>
      </c>
      <c r="GO1" s="2" t="s">
        <v>1271</v>
      </c>
      <c r="GP1" s="2" t="s">
        <v>1272</v>
      </c>
      <c r="GQ1" s="2" t="s">
        <v>1255</v>
      </c>
      <c r="GR1" s="2" t="s">
        <v>20</v>
      </c>
      <c r="GS1" s="2" t="s">
        <v>161</v>
      </c>
      <c r="GT1" s="2" t="s">
        <v>162</v>
      </c>
      <c r="GU1" s="2" t="s">
        <v>739</v>
      </c>
      <c r="GV1" s="2" t="s">
        <v>1</v>
      </c>
      <c r="GW1" s="2" t="s">
        <v>2</v>
      </c>
      <c r="GX1" s="2" t="s">
        <v>56</v>
      </c>
      <c r="GY1" s="2" t="s">
        <v>1123</v>
      </c>
      <c r="GZ1" s="2" t="s">
        <v>233</v>
      </c>
      <c r="HA1" s="2" t="s">
        <v>114</v>
      </c>
      <c r="HB1" s="2" t="s">
        <v>57</v>
      </c>
      <c r="HC1" s="2" t="s">
        <v>58</v>
      </c>
      <c r="HD1" s="2" t="s">
        <v>95</v>
      </c>
      <c r="HE1" s="2" t="s">
        <v>5</v>
      </c>
      <c r="HF1" s="2" t="s">
        <v>6</v>
      </c>
      <c r="HG1" s="2" t="s">
        <v>15</v>
      </c>
      <c r="HH1" s="2" t="s">
        <v>16</v>
      </c>
      <c r="HI1" s="2" t="s">
        <v>7</v>
      </c>
      <c r="HJ1" s="2" t="s">
        <v>17</v>
      </c>
      <c r="HK1" s="2" t="s">
        <v>18</v>
      </c>
      <c r="HL1" s="2" t="s">
        <v>19</v>
      </c>
      <c r="HM1" s="2" t="s">
        <v>145</v>
      </c>
      <c r="HN1" s="2" t="s">
        <v>21</v>
      </c>
      <c r="HO1" s="2" t="s">
        <v>49</v>
      </c>
    </row>
    <row r="2" spans="1:223" s="79" customFormat="1" ht="12.75" customHeight="1" x14ac:dyDescent="0.25">
      <c r="A2" s="79" t="s">
        <v>535</v>
      </c>
      <c r="B2" s="79" t="s">
        <v>535</v>
      </c>
      <c r="E2" s="79" t="s">
        <v>127</v>
      </c>
      <c r="F2" s="79">
        <v>2</v>
      </c>
      <c r="G2" s="79">
        <v>2015</v>
      </c>
      <c r="H2" s="79">
        <v>1</v>
      </c>
      <c r="I2" s="79">
        <v>0</v>
      </c>
      <c r="J2" s="79">
        <v>0</v>
      </c>
      <c r="K2" s="80"/>
      <c r="L2" s="80"/>
      <c r="M2" s="80"/>
      <c r="N2" s="80"/>
      <c r="O2" s="80"/>
      <c r="P2" s="80"/>
      <c r="Q2" s="80">
        <v>0</v>
      </c>
      <c r="R2" s="80">
        <v>0</v>
      </c>
      <c r="S2" s="80">
        <v>0</v>
      </c>
      <c r="T2" s="80"/>
      <c r="U2" s="80"/>
      <c r="V2" s="80"/>
      <c r="W2" s="80">
        <v>7.9539999999999997</v>
      </c>
      <c r="X2" s="80">
        <v>4.4400000000000004</v>
      </c>
      <c r="Y2" s="80">
        <v>12.06</v>
      </c>
      <c r="Z2" s="80">
        <v>0</v>
      </c>
      <c r="AA2" s="80">
        <v>0</v>
      </c>
      <c r="AB2" s="80">
        <v>0</v>
      </c>
      <c r="AC2" s="80"/>
      <c r="AD2" s="80"/>
      <c r="AE2" s="80"/>
      <c r="AF2" s="80">
        <v>7.9539999999999997</v>
      </c>
      <c r="AG2" s="80">
        <v>4.4400000000000004</v>
      </c>
      <c r="AH2" s="80">
        <v>12.06</v>
      </c>
      <c r="AI2" s="80">
        <v>0</v>
      </c>
      <c r="AJ2" s="80">
        <v>0</v>
      </c>
      <c r="AK2" s="80">
        <v>0</v>
      </c>
      <c r="AL2" s="80">
        <v>7.9539999999999997</v>
      </c>
      <c r="AM2" s="80">
        <v>4.4400000000000004</v>
      </c>
      <c r="AN2" s="80">
        <v>12.06</v>
      </c>
      <c r="AO2" s="80">
        <v>3.1040000000000001</v>
      </c>
      <c r="AP2" s="80">
        <v>1.92</v>
      </c>
      <c r="AQ2" s="80">
        <v>4.2880000000000003</v>
      </c>
      <c r="AR2" s="80"/>
      <c r="AS2" s="80"/>
      <c r="AT2" s="80"/>
      <c r="AU2" s="80">
        <v>4.8499999999999996</v>
      </c>
      <c r="AV2" s="80">
        <v>2.52</v>
      </c>
      <c r="AW2" s="80">
        <v>7.7720000000000002</v>
      </c>
      <c r="AX2" s="80">
        <v>3.1040000000000001</v>
      </c>
      <c r="AY2" s="80">
        <v>1.92</v>
      </c>
      <c r="AZ2" s="80">
        <v>4.2880000000000003</v>
      </c>
      <c r="BA2" s="80"/>
      <c r="BB2" s="80"/>
      <c r="BC2" s="80"/>
      <c r="BD2" s="80">
        <v>4.8499999999999996</v>
      </c>
      <c r="BE2" s="80">
        <v>2.52</v>
      </c>
      <c r="BF2" s="80">
        <v>7.7720000000000002</v>
      </c>
      <c r="BG2" s="80">
        <v>1.746</v>
      </c>
      <c r="BH2" s="80">
        <v>1.08</v>
      </c>
      <c r="BI2" s="80">
        <v>2.4119999999999999</v>
      </c>
      <c r="BJ2" s="80"/>
      <c r="BK2" s="80"/>
      <c r="BL2" s="80"/>
      <c r="BM2" s="80">
        <v>6.2079999999999993</v>
      </c>
      <c r="BN2" s="80">
        <v>3.36</v>
      </c>
      <c r="BO2" s="80">
        <v>9.6480000000000015</v>
      </c>
      <c r="BP2" s="80">
        <v>15.907999999999999</v>
      </c>
      <c r="BQ2" s="80">
        <v>9.84</v>
      </c>
      <c r="BR2" s="80">
        <v>21.975999999999999</v>
      </c>
      <c r="BS2" s="80"/>
      <c r="BT2" s="80"/>
      <c r="BU2" s="80"/>
      <c r="BV2" s="80">
        <v>0</v>
      </c>
      <c r="BW2" s="80">
        <v>0</v>
      </c>
      <c r="BX2" s="80">
        <v>0</v>
      </c>
      <c r="BY2" s="80">
        <v>15.907999999999999</v>
      </c>
      <c r="BZ2" s="80">
        <v>9.84</v>
      </c>
      <c r="CA2" s="80">
        <v>21.975999999999999</v>
      </c>
      <c r="CB2" s="80"/>
      <c r="CC2" s="80"/>
      <c r="CD2" s="80"/>
      <c r="CE2" s="80">
        <v>0</v>
      </c>
      <c r="CF2" s="80">
        <v>0</v>
      </c>
      <c r="CG2" s="80">
        <v>0</v>
      </c>
      <c r="CH2" s="80">
        <v>8.3419999999999987</v>
      </c>
      <c r="CI2" s="80">
        <v>5.16</v>
      </c>
      <c r="CJ2" s="80">
        <v>11.523999999999999</v>
      </c>
      <c r="CK2" s="80"/>
      <c r="CL2" s="80"/>
      <c r="CM2" s="80"/>
      <c r="CN2" s="80">
        <v>0</v>
      </c>
      <c r="CO2" s="80">
        <v>0</v>
      </c>
      <c r="CP2" s="80">
        <v>0.53600000000000003</v>
      </c>
      <c r="CQ2" s="80"/>
      <c r="CR2" s="80"/>
      <c r="CS2" s="80"/>
      <c r="CT2" s="80"/>
      <c r="CU2" s="81">
        <f>Tabelle58971121[[#This Row],[Mindestauslastung durch]]*Tabelle58971121[[#This Row],[installierte Leistung MW durch]]</f>
        <v>0</v>
      </c>
      <c r="CV2" s="81">
        <f>Tabelle58971121[[#This Row],[Mindestauslastung min]]*Tabelle58971121[[#This Row],[installierte Leistung MW min]]</f>
        <v>0</v>
      </c>
      <c r="CW2" s="81">
        <f>Tabelle58971121[[#This Row],[Mindestauslastung max]]*Tabelle58971121[[#This Row],[installierte Leistung MW max]]</f>
        <v>0</v>
      </c>
      <c r="CX2" s="82">
        <v>0</v>
      </c>
      <c r="CY2" s="82">
        <v>0</v>
      </c>
      <c r="CZ2" s="82">
        <v>0</v>
      </c>
      <c r="DA2" s="82"/>
      <c r="DB2" s="82">
        <v>0</v>
      </c>
      <c r="DC2" s="82">
        <v>0</v>
      </c>
      <c r="DD2" s="82">
        <v>0</v>
      </c>
      <c r="DE2" s="82">
        <v>0</v>
      </c>
      <c r="DF2" s="82">
        <v>0</v>
      </c>
      <c r="DG2" s="82">
        <v>0</v>
      </c>
      <c r="DH2" s="82">
        <v>0</v>
      </c>
      <c r="DI2" s="82">
        <v>0</v>
      </c>
      <c r="DJ2" s="82">
        <v>0</v>
      </c>
      <c r="DK2" s="82">
        <v>0.16</v>
      </c>
      <c r="DL2" s="82">
        <v>0.16</v>
      </c>
      <c r="DM2" s="82">
        <v>0.16</v>
      </c>
      <c r="DN2" s="82">
        <v>0.16</v>
      </c>
      <c r="DO2" s="82">
        <v>0.16</v>
      </c>
      <c r="DP2" s="82">
        <v>0.16</v>
      </c>
      <c r="DQ2" s="82">
        <v>0.09</v>
      </c>
      <c r="DR2" s="82">
        <v>0.09</v>
      </c>
      <c r="DS2" s="82">
        <v>0.09</v>
      </c>
      <c r="DT2" s="82">
        <v>0.82</v>
      </c>
      <c r="DU2" s="82">
        <v>0.82</v>
      </c>
      <c r="DV2" s="82">
        <v>0.82</v>
      </c>
      <c r="DW2" s="82">
        <v>0.82</v>
      </c>
      <c r="DX2" s="82">
        <v>0.82</v>
      </c>
      <c r="DY2" s="82">
        <v>0.82</v>
      </c>
      <c r="DZ2" s="82">
        <v>0.43</v>
      </c>
      <c r="EA2" s="82">
        <v>0.43</v>
      </c>
      <c r="EB2" s="82">
        <v>0.43</v>
      </c>
      <c r="EC2" s="82"/>
      <c r="ED2" s="82"/>
      <c r="EE2" s="82"/>
      <c r="EF2" s="83">
        <f>Tabelle58971121[[#This Row],[Durchschnittsauslastung min]]*Tabelle58971121[[#This Row],[installierte Leistung MW min]]</f>
        <v>0</v>
      </c>
      <c r="EG2" s="83">
        <f>Tabelle58971121[[#This Row],[Durchschnittsauslastung durch]]*Tabelle58971121[[#This Row],[installierte Leistung MW durch]]</f>
        <v>0</v>
      </c>
      <c r="EH2" s="83">
        <f>Tabelle58971121[[#This Row],[Durchschnittsauslastung max]]*Tabelle58971121[[#This Row],[installierte Leistung MW max]]</f>
        <v>0</v>
      </c>
      <c r="EI2" s="83">
        <f>Tabelle58971121[[#This Row],[Maximalauslastung durch]]*Tabelle58971121[[#This Row],[installierte Leistung MW min]]</f>
        <v>4.92</v>
      </c>
      <c r="EJ2" s="83">
        <f>Tabelle58971121[[#This Row],[Maximalauslastung durch]]*Tabelle58971121[[#This Row],[installierte Leistung MW durch]]</f>
        <v>7.9539999999999988</v>
      </c>
      <c r="EK2" s="80">
        <f>Tabelle58971121[[#This Row],[Maximalauslastung max]]*Tabelle58971121[[#This Row],[installierte Leistung MW durch]]</f>
        <v>8.73</v>
      </c>
      <c r="EL2" s="82">
        <v>0.41</v>
      </c>
      <c r="EM2" s="82">
        <v>0.37</v>
      </c>
      <c r="EN2" s="82">
        <v>0.45</v>
      </c>
      <c r="EO2" s="79">
        <v>19.399999999999999</v>
      </c>
      <c r="EP2" s="79">
        <v>12</v>
      </c>
      <c r="EQ2" s="79">
        <v>26.8</v>
      </c>
      <c r="ER2" s="80"/>
      <c r="ES2" s="80"/>
      <c r="EX2" s="79">
        <v>2</v>
      </c>
      <c r="EY2" s="79">
        <v>1.6</v>
      </c>
      <c r="EZ2" s="79">
        <v>2.4</v>
      </c>
      <c r="FD2" s="79">
        <v>2</v>
      </c>
      <c r="FE2" s="79">
        <v>1.6</v>
      </c>
      <c r="FF2" s="79">
        <v>2.4</v>
      </c>
      <c r="FG2" s="79">
        <v>24</v>
      </c>
      <c r="FJ2" s="79">
        <v>2.6</v>
      </c>
      <c r="FK2" s="79">
        <v>1.8</v>
      </c>
      <c r="FL2" s="79">
        <v>3.4</v>
      </c>
      <c r="FP2" s="79">
        <v>243</v>
      </c>
      <c r="FQ2" s="79">
        <v>219</v>
      </c>
      <c r="FR2" s="79">
        <v>267</v>
      </c>
      <c r="FS2" s="81"/>
      <c r="FT2" s="81"/>
      <c r="FU2" s="81"/>
      <c r="FV2" s="79">
        <v>243</v>
      </c>
      <c r="FW2" s="79">
        <v>219</v>
      </c>
      <c r="FX2" s="79">
        <v>267</v>
      </c>
      <c r="FZ2" s="80"/>
      <c r="GA2" s="80"/>
      <c r="GB2" s="80"/>
      <c r="GC2" s="84"/>
      <c r="GD2" s="84"/>
      <c r="GE2" s="84"/>
      <c r="GF2" s="84"/>
      <c r="GG2" s="84"/>
      <c r="GH2" s="84"/>
      <c r="GI2" s="84"/>
      <c r="GJ2" s="84"/>
      <c r="GK2" s="84"/>
      <c r="GL2" s="84"/>
      <c r="GM2" s="84"/>
      <c r="GN2" s="84" t="s">
        <v>1084</v>
      </c>
      <c r="GO2" s="84" t="s">
        <v>1084</v>
      </c>
      <c r="GP2" s="84" t="s">
        <v>1084</v>
      </c>
      <c r="GS2" s="79">
        <v>67</v>
      </c>
      <c r="GT2" s="79">
        <v>67</v>
      </c>
      <c r="GU2" s="79">
        <v>67</v>
      </c>
      <c r="GV2" s="85" t="s">
        <v>806</v>
      </c>
      <c r="GW2" s="85" t="s">
        <v>806</v>
      </c>
      <c r="GX2" s="85" t="s">
        <v>806</v>
      </c>
      <c r="GY2" s="85"/>
      <c r="GZ2" s="85" t="s">
        <v>806</v>
      </c>
      <c r="HA2" s="85" t="s">
        <v>806</v>
      </c>
      <c r="HB2" s="85" t="s">
        <v>806</v>
      </c>
      <c r="HC2" s="85" t="s">
        <v>806</v>
      </c>
      <c r="HD2" s="85" t="s">
        <v>806</v>
      </c>
      <c r="HE2" s="85" t="s">
        <v>806</v>
      </c>
      <c r="HF2" s="85" t="s">
        <v>806</v>
      </c>
      <c r="HI2" s="85" t="s">
        <v>806</v>
      </c>
      <c r="HJ2" s="85" t="s">
        <v>806</v>
      </c>
      <c r="HL2" s="85" t="s">
        <v>806</v>
      </c>
    </row>
    <row r="3" spans="1:223" ht="12.75" customHeight="1" x14ac:dyDescent="0.25">
      <c r="A3" s="1" t="s">
        <v>535</v>
      </c>
      <c r="B3" s="1" t="s">
        <v>535</v>
      </c>
      <c r="E3" s="1" t="s">
        <v>127</v>
      </c>
      <c r="F3" s="1">
        <v>2</v>
      </c>
      <c r="G3" s="1">
        <v>2020</v>
      </c>
      <c r="H3" s="1">
        <v>1</v>
      </c>
      <c r="I3" s="1">
        <v>0</v>
      </c>
      <c r="J3" s="1">
        <v>0</v>
      </c>
      <c r="K3" s="19"/>
      <c r="L3" s="19"/>
      <c r="M3" s="19"/>
      <c r="N3" s="19"/>
      <c r="O3" s="19"/>
      <c r="P3" s="19"/>
      <c r="Q3" s="19">
        <v>0</v>
      </c>
      <c r="R3" s="19">
        <v>0</v>
      </c>
      <c r="S3" s="19">
        <v>0</v>
      </c>
      <c r="T3" s="19"/>
      <c r="U3" s="19"/>
      <c r="V3" s="19"/>
      <c r="W3" s="19">
        <v>7.9539999999999997</v>
      </c>
      <c r="X3" s="19">
        <v>4.4400000000000004</v>
      </c>
      <c r="Y3" s="19">
        <v>12.06</v>
      </c>
      <c r="Z3" s="19">
        <v>0</v>
      </c>
      <c r="AA3" s="19">
        <v>0</v>
      </c>
      <c r="AB3" s="19">
        <v>0</v>
      </c>
      <c r="AC3" s="19"/>
      <c r="AD3" s="19"/>
      <c r="AE3" s="19"/>
      <c r="AF3" s="19">
        <v>7.9539999999999997</v>
      </c>
      <c r="AG3" s="19">
        <v>4.4400000000000004</v>
      </c>
      <c r="AH3" s="19">
        <v>12.06</v>
      </c>
      <c r="AI3" s="19">
        <v>0</v>
      </c>
      <c r="AJ3" s="19">
        <v>0</v>
      </c>
      <c r="AK3" s="19">
        <v>0</v>
      </c>
      <c r="AL3" s="19">
        <v>7.9539999999999997</v>
      </c>
      <c r="AM3" s="19">
        <v>4.4400000000000004</v>
      </c>
      <c r="AN3" s="19">
        <v>12.06</v>
      </c>
      <c r="AO3" s="19">
        <v>3.1040000000000001</v>
      </c>
      <c r="AP3" s="19">
        <v>1.92</v>
      </c>
      <c r="AQ3" s="19">
        <v>4.2880000000000003</v>
      </c>
      <c r="AR3" s="19"/>
      <c r="AS3" s="19"/>
      <c r="AT3" s="19"/>
      <c r="AU3" s="19">
        <v>4.8499999999999996</v>
      </c>
      <c r="AV3" s="19">
        <v>2.52</v>
      </c>
      <c r="AW3" s="19">
        <v>7.7720000000000002</v>
      </c>
      <c r="AX3" s="19">
        <v>3.1040000000000001</v>
      </c>
      <c r="AY3" s="19">
        <v>1.92</v>
      </c>
      <c r="AZ3" s="19">
        <v>4.2880000000000003</v>
      </c>
      <c r="BA3" s="19"/>
      <c r="BB3" s="19"/>
      <c r="BC3" s="19"/>
      <c r="BD3" s="19">
        <v>4.8499999999999996</v>
      </c>
      <c r="BE3" s="19">
        <v>2.52</v>
      </c>
      <c r="BF3" s="19">
        <v>7.7720000000000002</v>
      </c>
      <c r="BG3" s="19">
        <v>1.746</v>
      </c>
      <c r="BH3" s="19">
        <v>1.08</v>
      </c>
      <c r="BI3" s="19">
        <v>2.4119999999999999</v>
      </c>
      <c r="BJ3" s="19"/>
      <c r="BK3" s="19"/>
      <c r="BL3" s="19"/>
      <c r="BM3" s="19">
        <v>6.2079999999999993</v>
      </c>
      <c r="BN3" s="19">
        <v>3.36</v>
      </c>
      <c r="BO3" s="19">
        <v>9.6480000000000015</v>
      </c>
      <c r="BP3" s="19">
        <v>15.907999999999999</v>
      </c>
      <c r="BQ3" s="19">
        <v>9.84</v>
      </c>
      <c r="BR3" s="19">
        <v>21.975999999999999</v>
      </c>
      <c r="BS3" s="19"/>
      <c r="BT3" s="19"/>
      <c r="BU3" s="19"/>
      <c r="BV3" s="19">
        <v>0</v>
      </c>
      <c r="BW3" s="19">
        <v>0</v>
      </c>
      <c r="BX3" s="19">
        <v>0</v>
      </c>
      <c r="BY3" s="19">
        <v>15.907999999999999</v>
      </c>
      <c r="BZ3" s="19">
        <v>9.84</v>
      </c>
      <c r="CA3" s="19">
        <v>21.975999999999999</v>
      </c>
      <c r="CB3" s="19"/>
      <c r="CC3" s="19"/>
      <c r="CD3" s="19"/>
      <c r="CE3" s="19">
        <v>0</v>
      </c>
      <c r="CF3" s="19">
        <v>0</v>
      </c>
      <c r="CG3" s="19">
        <v>0</v>
      </c>
      <c r="CH3" s="19">
        <v>8.3419999999999987</v>
      </c>
      <c r="CI3" s="19">
        <v>5.16</v>
      </c>
      <c r="CJ3" s="19">
        <v>11.523999999999999</v>
      </c>
      <c r="CK3" s="19"/>
      <c r="CL3" s="19"/>
      <c r="CM3" s="19"/>
      <c r="CN3" s="19">
        <v>0</v>
      </c>
      <c r="CO3" s="19">
        <v>0</v>
      </c>
      <c r="CP3" s="19">
        <v>0.53600000000000003</v>
      </c>
      <c r="CQ3" s="19"/>
      <c r="CR3" s="19"/>
      <c r="CS3" s="19"/>
      <c r="CT3" s="19"/>
      <c r="CU3" s="11">
        <f>Tabelle58971121[[#This Row],[Mindestauslastung durch]]*Tabelle58971121[[#This Row],[installierte Leistung MW durch]]</f>
        <v>0</v>
      </c>
      <c r="CV3" s="11">
        <f>Tabelle58971121[[#This Row],[Mindestauslastung min]]*Tabelle58971121[[#This Row],[installierte Leistung MW min]]</f>
        <v>0</v>
      </c>
      <c r="CW3" s="11">
        <f>Tabelle58971121[[#This Row],[Mindestauslastung max]]*Tabelle58971121[[#This Row],[installierte Leistung MW max]]</f>
        <v>0</v>
      </c>
      <c r="CX3" s="9">
        <v>0</v>
      </c>
      <c r="CY3" s="9">
        <v>0</v>
      </c>
      <c r="CZ3" s="9">
        <v>0</v>
      </c>
      <c r="DA3" s="9"/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0.16</v>
      </c>
      <c r="DL3" s="9">
        <v>0.16</v>
      </c>
      <c r="DM3" s="9">
        <v>0.16</v>
      </c>
      <c r="DN3" s="9">
        <v>0.16</v>
      </c>
      <c r="DO3" s="9">
        <v>0.16</v>
      </c>
      <c r="DP3" s="9">
        <v>0.16</v>
      </c>
      <c r="DQ3" s="9">
        <v>0.09</v>
      </c>
      <c r="DR3" s="9">
        <v>0.09</v>
      </c>
      <c r="DS3" s="9">
        <v>0.09</v>
      </c>
      <c r="DT3" s="9">
        <v>0.82</v>
      </c>
      <c r="DU3" s="9">
        <v>0.82</v>
      </c>
      <c r="DV3" s="9">
        <v>0.82</v>
      </c>
      <c r="DW3" s="9">
        <v>0.82</v>
      </c>
      <c r="DX3" s="9">
        <v>0.82</v>
      </c>
      <c r="DY3" s="9">
        <v>0.82</v>
      </c>
      <c r="DZ3" s="9">
        <v>0.43</v>
      </c>
      <c r="EA3" s="9">
        <v>0.43</v>
      </c>
      <c r="EB3" s="9">
        <v>0.43</v>
      </c>
      <c r="EC3" s="9"/>
      <c r="ED3" s="9"/>
      <c r="EE3" s="9"/>
      <c r="EF3" s="46">
        <f>Tabelle58971121[[#This Row],[Durchschnittsauslastung min]]*Tabelle58971121[[#This Row],[installierte Leistung MW min]]</f>
        <v>0</v>
      </c>
      <c r="EG3" s="46">
        <f>Tabelle58971121[[#This Row],[Durchschnittsauslastung durch]]*Tabelle58971121[[#This Row],[installierte Leistung MW durch]]</f>
        <v>0</v>
      </c>
      <c r="EH3" s="46">
        <f>Tabelle58971121[[#This Row],[Durchschnittsauslastung max]]*Tabelle58971121[[#This Row],[installierte Leistung MW max]]</f>
        <v>0</v>
      </c>
      <c r="EI3" s="83">
        <f>Tabelle58971121[[#This Row],[Maximalauslastung durch]]*Tabelle58971121[[#This Row],[installierte Leistung MW min]]</f>
        <v>4.92</v>
      </c>
      <c r="EJ3" s="46">
        <f>Tabelle58971121[[#This Row],[Maximalauslastung durch]]*Tabelle58971121[[#This Row],[installierte Leistung MW durch]]</f>
        <v>7.9539999999999988</v>
      </c>
      <c r="EK3" s="19">
        <f>Tabelle58971121[[#This Row],[Maximalauslastung max]]*Tabelle58971121[[#This Row],[installierte Leistung MW durch]]</f>
        <v>8.73</v>
      </c>
      <c r="EL3" s="9">
        <v>0.41</v>
      </c>
      <c r="EM3" s="9">
        <v>0.37</v>
      </c>
      <c r="EN3" s="9">
        <v>0.45</v>
      </c>
      <c r="EO3" s="1">
        <v>19.399999999999999</v>
      </c>
      <c r="EP3" s="1">
        <v>12</v>
      </c>
      <c r="EQ3" s="1">
        <v>26.8</v>
      </c>
      <c r="ER3" s="19"/>
      <c r="ES3" s="19"/>
      <c r="EX3" s="1">
        <v>2</v>
      </c>
      <c r="EY3" s="1">
        <v>1.6</v>
      </c>
      <c r="EZ3" s="1">
        <v>2.4</v>
      </c>
      <c r="FD3" s="1">
        <v>2</v>
      </c>
      <c r="FE3" s="1">
        <v>1.6</v>
      </c>
      <c r="FF3" s="1">
        <v>2.4</v>
      </c>
      <c r="FG3" s="1">
        <v>24</v>
      </c>
      <c r="FJ3" s="1">
        <v>2.6</v>
      </c>
      <c r="FK3" s="1">
        <v>1.8</v>
      </c>
      <c r="FL3" s="1">
        <v>3.4</v>
      </c>
      <c r="FP3" s="1">
        <v>243</v>
      </c>
      <c r="FQ3" s="1">
        <v>219</v>
      </c>
      <c r="FR3" s="1">
        <v>267</v>
      </c>
      <c r="FS3" s="11"/>
      <c r="FT3" s="11"/>
      <c r="FU3" s="11"/>
      <c r="FV3" s="1">
        <v>243</v>
      </c>
      <c r="FW3" s="1">
        <v>219</v>
      </c>
      <c r="FX3" s="1">
        <v>267</v>
      </c>
      <c r="FZ3" s="19"/>
      <c r="GA3" s="19"/>
      <c r="GB3" s="19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 t="s">
        <v>1084</v>
      </c>
      <c r="GO3" s="8" t="s">
        <v>1084</v>
      </c>
      <c r="GP3" s="8" t="s">
        <v>1084</v>
      </c>
      <c r="GS3" s="1">
        <v>67</v>
      </c>
      <c r="GT3" s="1">
        <v>67</v>
      </c>
      <c r="GU3" s="1">
        <v>67</v>
      </c>
      <c r="GV3" s="13" t="s">
        <v>806</v>
      </c>
      <c r="GW3" s="13" t="s">
        <v>806</v>
      </c>
      <c r="GX3" s="13" t="s">
        <v>806</v>
      </c>
      <c r="GY3" s="13"/>
      <c r="GZ3" s="13" t="s">
        <v>806</v>
      </c>
      <c r="HA3" s="13" t="s">
        <v>806</v>
      </c>
      <c r="HB3" s="13" t="s">
        <v>806</v>
      </c>
      <c r="HC3" s="13" t="s">
        <v>806</v>
      </c>
      <c r="HD3" s="13" t="s">
        <v>806</v>
      </c>
      <c r="HE3" s="13" t="s">
        <v>806</v>
      </c>
      <c r="HF3" s="13" t="s">
        <v>806</v>
      </c>
      <c r="HI3" s="13" t="s">
        <v>806</v>
      </c>
      <c r="HJ3" s="13" t="s">
        <v>806</v>
      </c>
      <c r="HL3" s="13" t="s">
        <v>806</v>
      </c>
    </row>
    <row r="4" spans="1:223" ht="12.75" customHeight="1" x14ac:dyDescent="0.25">
      <c r="A4" s="1" t="s">
        <v>535</v>
      </c>
      <c r="B4" s="1" t="s">
        <v>535</v>
      </c>
      <c r="E4" s="1" t="s">
        <v>127</v>
      </c>
      <c r="F4" s="1">
        <v>2</v>
      </c>
      <c r="G4" s="1">
        <v>2025</v>
      </c>
      <c r="H4" s="1">
        <v>1</v>
      </c>
      <c r="I4" s="1">
        <v>0</v>
      </c>
      <c r="J4" s="1">
        <v>0</v>
      </c>
      <c r="K4" s="19"/>
      <c r="L4" s="19"/>
      <c r="M4" s="19"/>
      <c r="N4" s="19"/>
      <c r="O4" s="19"/>
      <c r="P4" s="19"/>
      <c r="Q4" s="19">
        <v>0</v>
      </c>
      <c r="R4" s="19">
        <v>0</v>
      </c>
      <c r="S4" s="19">
        <v>0</v>
      </c>
      <c r="T4" s="19"/>
      <c r="U4" s="19"/>
      <c r="V4" s="19"/>
      <c r="W4" s="19">
        <v>7.9539999999999997</v>
      </c>
      <c r="X4" s="19">
        <v>4.4400000000000004</v>
      </c>
      <c r="Y4" s="19">
        <v>12.06</v>
      </c>
      <c r="Z4" s="19">
        <v>0</v>
      </c>
      <c r="AA4" s="19">
        <v>0</v>
      </c>
      <c r="AB4" s="19">
        <v>0</v>
      </c>
      <c r="AC4" s="19"/>
      <c r="AD4" s="19"/>
      <c r="AE4" s="19"/>
      <c r="AF4" s="19">
        <v>7.9539999999999997</v>
      </c>
      <c r="AG4" s="19">
        <v>4.4400000000000004</v>
      </c>
      <c r="AH4" s="19">
        <v>12.06</v>
      </c>
      <c r="AI4" s="19">
        <v>0</v>
      </c>
      <c r="AJ4" s="19">
        <v>0</v>
      </c>
      <c r="AK4" s="19">
        <v>0</v>
      </c>
      <c r="AL4" s="19">
        <v>7.9539999999999997</v>
      </c>
      <c r="AM4" s="19">
        <v>4.4400000000000004</v>
      </c>
      <c r="AN4" s="19">
        <v>12.06</v>
      </c>
      <c r="AO4" s="19">
        <v>3.1040000000000001</v>
      </c>
      <c r="AP4" s="19">
        <v>1.92</v>
      </c>
      <c r="AQ4" s="19">
        <v>4.2880000000000003</v>
      </c>
      <c r="AR4" s="19"/>
      <c r="AS4" s="19"/>
      <c r="AT4" s="19"/>
      <c r="AU4" s="19">
        <v>4.8499999999999996</v>
      </c>
      <c r="AV4" s="19">
        <v>2.52</v>
      </c>
      <c r="AW4" s="19">
        <v>7.7720000000000002</v>
      </c>
      <c r="AX4" s="19">
        <v>3.1040000000000001</v>
      </c>
      <c r="AY4" s="19">
        <v>1.92</v>
      </c>
      <c r="AZ4" s="19">
        <v>4.2880000000000003</v>
      </c>
      <c r="BA4" s="19"/>
      <c r="BB4" s="19"/>
      <c r="BC4" s="19"/>
      <c r="BD4" s="19">
        <v>4.8499999999999996</v>
      </c>
      <c r="BE4" s="19">
        <v>2.52</v>
      </c>
      <c r="BF4" s="19">
        <v>7.7720000000000002</v>
      </c>
      <c r="BG4" s="19">
        <v>1.746</v>
      </c>
      <c r="BH4" s="19">
        <v>1.08</v>
      </c>
      <c r="BI4" s="19">
        <v>2.4119999999999999</v>
      </c>
      <c r="BJ4" s="19"/>
      <c r="BK4" s="19"/>
      <c r="BL4" s="19"/>
      <c r="BM4" s="19">
        <v>6.2079999999999993</v>
      </c>
      <c r="BN4" s="19">
        <v>3.36</v>
      </c>
      <c r="BO4" s="19">
        <v>9.6480000000000015</v>
      </c>
      <c r="BP4" s="19">
        <v>15.907999999999999</v>
      </c>
      <c r="BQ4" s="19">
        <v>9.84</v>
      </c>
      <c r="BR4" s="19">
        <v>21.975999999999999</v>
      </c>
      <c r="BS4" s="19"/>
      <c r="BT4" s="19"/>
      <c r="BU4" s="19"/>
      <c r="BV4" s="19">
        <v>0</v>
      </c>
      <c r="BW4" s="19">
        <v>0</v>
      </c>
      <c r="BX4" s="19">
        <v>0</v>
      </c>
      <c r="BY4" s="19">
        <v>15.907999999999999</v>
      </c>
      <c r="BZ4" s="19">
        <v>9.84</v>
      </c>
      <c r="CA4" s="19">
        <v>21.975999999999999</v>
      </c>
      <c r="CB4" s="19"/>
      <c r="CC4" s="19"/>
      <c r="CD4" s="19"/>
      <c r="CE4" s="19">
        <v>0</v>
      </c>
      <c r="CF4" s="19">
        <v>0</v>
      </c>
      <c r="CG4" s="19">
        <v>0</v>
      </c>
      <c r="CH4" s="19">
        <v>8.3419999999999987</v>
      </c>
      <c r="CI4" s="19">
        <v>5.16</v>
      </c>
      <c r="CJ4" s="19">
        <v>11.523999999999999</v>
      </c>
      <c r="CK4" s="19"/>
      <c r="CL4" s="19"/>
      <c r="CM4" s="19"/>
      <c r="CN4" s="19">
        <v>0</v>
      </c>
      <c r="CO4" s="19">
        <v>0</v>
      </c>
      <c r="CP4" s="19">
        <v>0.53600000000000003</v>
      </c>
      <c r="CQ4" s="19"/>
      <c r="CR4" s="19"/>
      <c r="CS4" s="19"/>
      <c r="CT4" s="19"/>
      <c r="CU4" s="11">
        <f>Tabelle58971121[[#This Row],[Mindestauslastung durch]]*Tabelle58971121[[#This Row],[installierte Leistung MW durch]]</f>
        <v>0</v>
      </c>
      <c r="CV4" s="11">
        <f>Tabelle58971121[[#This Row],[Mindestauslastung min]]*Tabelle58971121[[#This Row],[installierte Leistung MW min]]</f>
        <v>0</v>
      </c>
      <c r="CW4" s="11">
        <f>Tabelle58971121[[#This Row],[Mindestauslastung max]]*Tabelle58971121[[#This Row],[installierte Leistung MW max]]</f>
        <v>0</v>
      </c>
      <c r="CX4" s="9">
        <v>0</v>
      </c>
      <c r="CY4" s="9">
        <v>0</v>
      </c>
      <c r="CZ4" s="9">
        <v>0</v>
      </c>
      <c r="DA4" s="9"/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9">
        <v>0.16</v>
      </c>
      <c r="DL4" s="9">
        <v>0.16</v>
      </c>
      <c r="DM4" s="9">
        <v>0.16</v>
      </c>
      <c r="DN4" s="9">
        <v>0.16</v>
      </c>
      <c r="DO4" s="9">
        <v>0.16</v>
      </c>
      <c r="DP4" s="9">
        <v>0.16</v>
      </c>
      <c r="DQ4" s="9">
        <v>0.09</v>
      </c>
      <c r="DR4" s="9">
        <v>0.09</v>
      </c>
      <c r="DS4" s="9">
        <v>0.09</v>
      </c>
      <c r="DT4" s="9">
        <v>0.82</v>
      </c>
      <c r="DU4" s="9">
        <v>0.82</v>
      </c>
      <c r="DV4" s="9">
        <v>0.82</v>
      </c>
      <c r="DW4" s="9">
        <v>0.82</v>
      </c>
      <c r="DX4" s="9">
        <v>0.82</v>
      </c>
      <c r="DY4" s="9">
        <v>0.82</v>
      </c>
      <c r="DZ4" s="9">
        <v>0.43</v>
      </c>
      <c r="EA4" s="9">
        <v>0.43</v>
      </c>
      <c r="EB4" s="9">
        <v>0.43</v>
      </c>
      <c r="EC4" s="9"/>
      <c r="ED4" s="9"/>
      <c r="EE4" s="9"/>
      <c r="EF4" s="46">
        <f>Tabelle58971121[[#This Row],[Durchschnittsauslastung min]]*Tabelle58971121[[#This Row],[installierte Leistung MW min]]</f>
        <v>0</v>
      </c>
      <c r="EG4" s="46">
        <f>Tabelle58971121[[#This Row],[Durchschnittsauslastung durch]]*Tabelle58971121[[#This Row],[installierte Leistung MW durch]]</f>
        <v>0</v>
      </c>
      <c r="EH4" s="46">
        <f>Tabelle58971121[[#This Row],[Durchschnittsauslastung max]]*Tabelle58971121[[#This Row],[installierte Leistung MW max]]</f>
        <v>0</v>
      </c>
      <c r="EI4" s="83">
        <f>Tabelle58971121[[#This Row],[Maximalauslastung durch]]*Tabelle58971121[[#This Row],[installierte Leistung MW min]]</f>
        <v>4.92</v>
      </c>
      <c r="EJ4" s="46">
        <f>Tabelle58971121[[#This Row],[Maximalauslastung durch]]*Tabelle58971121[[#This Row],[installierte Leistung MW durch]]</f>
        <v>7.9539999999999988</v>
      </c>
      <c r="EK4" s="19">
        <f>Tabelle58971121[[#This Row],[Maximalauslastung max]]*Tabelle58971121[[#This Row],[installierte Leistung MW durch]]</f>
        <v>8.73</v>
      </c>
      <c r="EL4" s="9">
        <v>0.41</v>
      </c>
      <c r="EM4" s="9">
        <v>0.37</v>
      </c>
      <c r="EN4" s="9">
        <v>0.45</v>
      </c>
      <c r="EO4" s="1">
        <v>19.399999999999999</v>
      </c>
      <c r="EP4" s="1">
        <v>12</v>
      </c>
      <c r="EQ4" s="1">
        <v>26.8</v>
      </c>
      <c r="ER4" s="19"/>
      <c r="ES4" s="19"/>
      <c r="EX4" s="1">
        <v>2</v>
      </c>
      <c r="EY4" s="1">
        <v>1.6</v>
      </c>
      <c r="EZ4" s="1">
        <v>2.4</v>
      </c>
      <c r="FD4" s="1">
        <v>2</v>
      </c>
      <c r="FE4" s="1">
        <v>1.6</v>
      </c>
      <c r="FF4" s="1">
        <v>2.4</v>
      </c>
      <c r="FG4" s="1">
        <v>24</v>
      </c>
      <c r="FJ4" s="1">
        <v>2.6</v>
      </c>
      <c r="FK4" s="1">
        <v>1.8</v>
      </c>
      <c r="FL4" s="1">
        <v>3.4</v>
      </c>
      <c r="FP4" s="1">
        <v>243</v>
      </c>
      <c r="FQ4" s="1">
        <v>219</v>
      </c>
      <c r="FR4" s="1">
        <v>267</v>
      </c>
      <c r="FS4" s="11"/>
      <c r="FT4" s="11"/>
      <c r="FU4" s="11"/>
      <c r="FV4" s="1">
        <v>243</v>
      </c>
      <c r="FW4" s="1">
        <v>219</v>
      </c>
      <c r="FX4" s="1">
        <v>267</v>
      </c>
      <c r="FZ4" s="19"/>
      <c r="GA4" s="19"/>
      <c r="GB4" s="19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 t="s">
        <v>1084</v>
      </c>
      <c r="GO4" s="8" t="s">
        <v>1084</v>
      </c>
      <c r="GP4" s="8" t="s">
        <v>1084</v>
      </c>
      <c r="GS4" s="1">
        <v>67</v>
      </c>
      <c r="GT4" s="1">
        <v>67</v>
      </c>
      <c r="GU4" s="1">
        <v>67</v>
      </c>
      <c r="GV4" s="13" t="s">
        <v>806</v>
      </c>
      <c r="GW4" s="13" t="s">
        <v>806</v>
      </c>
      <c r="GX4" s="13" t="s">
        <v>806</v>
      </c>
      <c r="GY4" s="13"/>
      <c r="GZ4" s="13" t="s">
        <v>806</v>
      </c>
      <c r="HA4" s="13" t="s">
        <v>806</v>
      </c>
      <c r="HB4" s="13" t="s">
        <v>806</v>
      </c>
      <c r="HC4" s="13" t="s">
        <v>806</v>
      </c>
      <c r="HD4" s="13" t="s">
        <v>806</v>
      </c>
      <c r="HE4" s="13" t="s">
        <v>806</v>
      </c>
      <c r="HF4" s="13" t="s">
        <v>806</v>
      </c>
      <c r="HI4" s="13" t="s">
        <v>806</v>
      </c>
      <c r="HJ4" s="13" t="s">
        <v>806</v>
      </c>
      <c r="HL4" s="13" t="s">
        <v>806</v>
      </c>
    </row>
    <row r="5" spans="1:223" ht="12.75" customHeight="1" x14ac:dyDescent="0.25">
      <c r="A5" s="1" t="s">
        <v>535</v>
      </c>
      <c r="B5" s="1" t="s">
        <v>535</v>
      </c>
      <c r="E5" s="1" t="s">
        <v>127</v>
      </c>
      <c r="F5" s="1">
        <v>2</v>
      </c>
      <c r="G5" s="1">
        <v>2030</v>
      </c>
      <c r="H5" s="1">
        <v>1</v>
      </c>
      <c r="I5" s="1">
        <v>0</v>
      </c>
      <c r="J5" s="1">
        <v>0</v>
      </c>
      <c r="K5" s="19"/>
      <c r="L5" s="19"/>
      <c r="M5" s="19"/>
      <c r="N5" s="19"/>
      <c r="O5" s="19"/>
      <c r="P5" s="19"/>
      <c r="Q5" s="19">
        <v>0</v>
      </c>
      <c r="R5" s="19">
        <v>0</v>
      </c>
      <c r="S5" s="19">
        <v>0</v>
      </c>
      <c r="T5" s="19"/>
      <c r="U5" s="19"/>
      <c r="V5" s="19"/>
      <c r="W5" s="19">
        <v>7.9539999999999997</v>
      </c>
      <c r="X5" s="19">
        <v>4.4400000000000004</v>
      </c>
      <c r="Y5" s="19">
        <v>12.06</v>
      </c>
      <c r="Z5" s="19">
        <v>0</v>
      </c>
      <c r="AA5" s="19">
        <v>0</v>
      </c>
      <c r="AB5" s="19">
        <v>0</v>
      </c>
      <c r="AC5" s="19"/>
      <c r="AD5" s="19"/>
      <c r="AE5" s="19"/>
      <c r="AF5" s="19">
        <v>7.9539999999999997</v>
      </c>
      <c r="AG5" s="19">
        <v>4.4400000000000004</v>
      </c>
      <c r="AH5" s="19">
        <v>12.06</v>
      </c>
      <c r="AI5" s="19">
        <v>0</v>
      </c>
      <c r="AJ5" s="19">
        <v>0</v>
      </c>
      <c r="AK5" s="19">
        <v>0</v>
      </c>
      <c r="AL5" s="19">
        <v>7.9539999999999997</v>
      </c>
      <c r="AM5" s="19">
        <v>4.4400000000000004</v>
      </c>
      <c r="AN5" s="19">
        <v>12.06</v>
      </c>
      <c r="AO5" s="19">
        <v>3.1040000000000001</v>
      </c>
      <c r="AP5" s="19">
        <v>1.92</v>
      </c>
      <c r="AQ5" s="19">
        <v>4.2880000000000003</v>
      </c>
      <c r="AR5" s="19"/>
      <c r="AS5" s="19"/>
      <c r="AT5" s="19"/>
      <c r="AU5" s="19">
        <v>4.8499999999999996</v>
      </c>
      <c r="AV5" s="19">
        <v>2.52</v>
      </c>
      <c r="AW5" s="19">
        <v>7.7720000000000002</v>
      </c>
      <c r="AX5" s="19">
        <v>3.1040000000000001</v>
      </c>
      <c r="AY5" s="19">
        <v>1.92</v>
      </c>
      <c r="AZ5" s="19">
        <v>4.2880000000000003</v>
      </c>
      <c r="BA5" s="19"/>
      <c r="BB5" s="19"/>
      <c r="BC5" s="19"/>
      <c r="BD5" s="19">
        <v>4.8499999999999996</v>
      </c>
      <c r="BE5" s="19">
        <v>2.52</v>
      </c>
      <c r="BF5" s="19">
        <v>7.7720000000000002</v>
      </c>
      <c r="BG5" s="19">
        <v>1.746</v>
      </c>
      <c r="BH5" s="19">
        <v>1.08</v>
      </c>
      <c r="BI5" s="19">
        <v>2.4119999999999999</v>
      </c>
      <c r="BJ5" s="19"/>
      <c r="BK5" s="19"/>
      <c r="BL5" s="19"/>
      <c r="BM5" s="19">
        <v>6.2079999999999993</v>
      </c>
      <c r="BN5" s="19">
        <v>3.36</v>
      </c>
      <c r="BO5" s="19">
        <v>9.6480000000000015</v>
      </c>
      <c r="BP5" s="19">
        <v>15.907999999999999</v>
      </c>
      <c r="BQ5" s="19">
        <v>9.84</v>
      </c>
      <c r="BR5" s="19">
        <v>21.975999999999999</v>
      </c>
      <c r="BS5" s="19"/>
      <c r="BT5" s="19"/>
      <c r="BU5" s="19"/>
      <c r="BV5" s="19">
        <v>0</v>
      </c>
      <c r="BW5" s="19">
        <v>0</v>
      </c>
      <c r="BX5" s="19">
        <v>0</v>
      </c>
      <c r="BY5" s="19">
        <v>15.907999999999999</v>
      </c>
      <c r="BZ5" s="19">
        <v>9.84</v>
      </c>
      <c r="CA5" s="19">
        <v>21.975999999999999</v>
      </c>
      <c r="CB5" s="19"/>
      <c r="CC5" s="19"/>
      <c r="CD5" s="19"/>
      <c r="CE5" s="19">
        <v>0</v>
      </c>
      <c r="CF5" s="19">
        <v>0</v>
      </c>
      <c r="CG5" s="19">
        <v>0</v>
      </c>
      <c r="CH5" s="19">
        <v>8.3419999999999987</v>
      </c>
      <c r="CI5" s="19">
        <v>5.16</v>
      </c>
      <c r="CJ5" s="19">
        <v>11.523999999999999</v>
      </c>
      <c r="CK5" s="19"/>
      <c r="CL5" s="19"/>
      <c r="CM5" s="19"/>
      <c r="CN5" s="19">
        <v>0</v>
      </c>
      <c r="CO5" s="19">
        <v>0</v>
      </c>
      <c r="CP5" s="19">
        <v>0.53600000000000003</v>
      </c>
      <c r="CQ5" s="19"/>
      <c r="CR5" s="19"/>
      <c r="CS5" s="19"/>
      <c r="CT5" s="19"/>
      <c r="CU5" s="11">
        <f>Tabelle58971121[[#This Row],[Mindestauslastung durch]]*Tabelle58971121[[#This Row],[installierte Leistung MW durch]]</f>
        <v>0</v>
      </c>
      <c r="CV5" s="11">
        <f>Tabelle58971121[[#This Row],[Mindestauslastung min]]*Tabelle58971121[[#This Row],[installierte Leistung MW min]]</f>
        <v>0</v>
      </c>
      <c r="CW5" s="11">
        <f>Tabelle58971121[[#This Row],[Mindestauslastung max]]*Tabelle58971121[[#This Row],[installierte Leistung MW max]]</f>
        <v>0</v>
      </c>
      <c r="CX5" s="9">
        <v>0</v>
      </c>
      <c r="CY5" s="9">
        <v>0</v>
      </c>
      <c r="CZ5" s="9">
        <v>0</v>
      </c>
      <c r="DA5" s="9"/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0.16</v>
      </c>
      <c r="DL5" s="9">
        <v>0.16</v>
      </c>
      <c r="DM5" s="9">
        <v>0.16</v>
      </c>
      <c r="DN5" s="9">
        <v>0.16</v>
      </c>
      <c r="DO5" s="9">
        <v>0.16</v>
      </c>
      <c r="DP5" s="9">
        <v>0.16</v>
      </c>
      <c r="DQ5" s="9">
        <v>0.09</v>
      </c>
      <c r="DR5" s="9">
        <v>0.09</v>
      </c>
      <c r="DS5" s="9">
        <v>0.09</v>
      </c>
      <c r="DT5" s="9">
        <v>0.82</v>
      </c>
      <c r="DU5" s="9">
        <v>0.82</v>
      </c>
      <c r="DV5" s="9">
        <v>0.82</v>
      </c>
      <c r="DW5" s="9">
        <v>0.82</v>
      </c>
      <c r="DX5" s="9">
        <v>0.82</v>
      </c>
      <c r="DY5" s="9">
        <v>0.82</v>
      </c>
      <c r="DZ5" s="9">
        <v>0.43</v>
      </c>
      <c r="EA5" s="9">
        <v>0.43</v>
      </c>
      <c r="EB5" s="9">
        <v>0.43</v>
      </c>
      <c r="EC5" s="9"/>
      <c r="ED5" s="9"/>
      <c r="EE5" s="9"/>
      <c r="EF5" s="46">
        <f>Tabelle58971121[[#This Row],[Durchschnittsauslastung min]]*Tabelle58971121[[#This Row],[installierte Leistung MW min]]</f>
        <v>0</v>
      </c>
      <c r="EG5" s="46">
        <f>Tabelle58971121[[#This Row],[Durchschnittsauslastung durch]]*Tabelle58971121[[#This Row],[installierte Leistung MW durch]]</f>
        <v>0</v>
      </c>
      <c r="EH5" s="46">
        <f>Tabelle58971121[[#This Row],[Durchschnittsauslastung max]]*Tabelle58971121[[#This Row],[installierte Leistung MW max]]</f>
        <v>0</v>
      </c>
      <c r="EI5" s="83">
        <f>Tabelle58971121[[#This Row],[Maximalauslastung durch]]*Tabelle58971121[[#This Row],[installierte Leistung MW min]]</f>
        <v>4.92</v>
      </c>
      <c r="EJ5" s="46">
        <f>Tabelle58971121[[#This Row],[Maximalauslastung durch]]*Tabelle58971121[[#This Row],[installierte Leistung MW durch]]</f>
        <v>7.9539999999999988</v>
      </c>
      <c r="EK5" s="19">
        <f>Tabelle58971121[[#This Row],[Maximalauslastung max]]*Tabelle58971121[[#This Row],[installierte Leistung MW durch]]</f>
        <v>8.73</v>
      </c>
      <c r="EL5" s="9">
        <v>0.41</v>
      </c>
      <c r="EM5" s="9">
        <v>0.37</v>
      </c>
      <c r="EN5" s="9">
        <v>0.45</v>
      </c>
      <c r="EO5" s="1">
        <v>19.399999999999999</v>
      </c>
      <c r="EP5" s="1">
        <v>12</v>
      </c>
      <c r="EQ5" s="1">
        <v>26.8</v>
      </c>
      <c r="ER5" s="19"/>
      <c r="ES5" s="19"/>
      <c r="EX5" s="1">
        <v>2</v>
      </c>
      <c r="EY5" s="1">
        <v>1.6</v>
      </c>
      <c r="EZ5" s="1">
        <v>2.4</v>
      </c>
      <c r="FD5" s="1">
        <v>2</v>
      </c>
      <c r="FE5" s="1">
        <v>1.6</v>
      </c>
      <c r="FF5" s="1">
        <v>2.4</v>
      </c>
      <c r="FG5" s="1">
        <v>24</v>
      </c>
      <c r="FJ5" s="1">
        <v>2.6</v>
      </c>
      <c r="FK5" s="1">
        <v>1.8</v>
      </c>
      <c r="FL5" s="1">
        <v>3.4</v>
      </c>
      <c r="FP5" s="1">
        <v>243</v>
      </c>
      <c r="FQ5" s="1">
        <v>219</v>
      </c>
      <c r="FR5" s="1">
        <v>267</v>
      </c>
      <c r="FS5" s="11"/>
      <c r="FT5" s="11"/>
      <c r="FU5" s="11"/>
      <c r="FV5" s="1">
        <v>243</v>
      </c>
      <c r="FW5" s="1">
        <v>219</v>
      </c>
      <c r="FX5" s="1">
        <v>267</v>
      </c>
      <c r="FZ5" s="19"/>
      <c r="GA5" s="19"/>
      <c r="GB5" s="19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 t="s">
        <v>1084</v>
      </c>
      <c r="GO5" s="8" t="s">
        <v>1084</v>
      </c>
      <c r="GP5" s="8" t="s">
        <v>1084</v>
      </c>
      <c r="GS5" s="1">
        <v>67</v>
      </c>
      <c r="GT5" s="1">
        <v>67</v>
      </c>
      <c r="GU5" s="1">
        <v>67</v>
      </c>
      <c r="GV5" s="13" t="s">
        <v>806</v>
      </c>
      <c r="GW5" s="13" t="s">
        <v>806</v>
      </c>
      <c r="GX5" s="13" t="s">
        <v>806</v>
      </c>
      <c r="GY5" s="13"/>
      <c r="GZ5" s="13" t="s">
        <v>806</v>
      </c>
      <c r="HA5" s="13" t="s">
        <v>806</v>
      </c>
      <c r="HB5" s="13" t="s">
        <v>806</v>
      </c>
      <c r="HC5" s="13" t="s">
        <v>806</v>
      </c>
      <c r="HD5" s="13" t="s">
        <v>806</v>
      </c>
      <c r="HE5" s="13" t="s">
        <v>806</v>
      </c>
      <c r="HF5" s="13" t="s">
        <v>806</v>
      </c>
      <c r="HI5" s="13" t="s">
        <v>806</v>
      </c>
      <c r="HJ5" s="13" t="s">
        <v>806</v>
      </c>
      <c r="HL5" s="13" t="s">
        <v>806</v>
      </c>
    </row>
    <row r="6" spans="1:223" ht="12.75" customHeight="1" x14ac:dyDescent="0.25">
      <c r="A6" s="1" t="s">
        <v>535</v>
      </c>
      <c r="B6" s="1" t="s">
        <v>535</v>
      </c>
      <c r="E6" s="1" t="s">
        <v>127</v>
      </c>
      <c r="F6" s="1">
        <v>2</v>
      </c>
      <c r="G6" s="1">
        <v>2035</v>
      </c>
      <c r="H6" s="1">
        <v>1</v>
      </c>
      <c r="I6" s="1">
        <v>0</v>
      </c>
      <c r="J6" s="1">
        <v>0</v>
      </c>
      <c r="K6" s="19"/>
      <c r="L6" s="19"/>
      <c r="M6" s="19"/>
      <c r="N6" s="19"/>
      <c r="O6" s="19"/>
      <c r="P6" s="19"/>
      <c r="Q6" s="19">
        <v>0</v>
      </c>
      <c r="R6" s="19">
        <v>0</v>
      </c>
      <c r="S6" s="19">
        <v>0</v>
      </c>
      <c r="T6" s="19"/>
      <c r="U6" s="19"/>
      <c r="V6" s="19"/>
      <c r="W6" s="19">
        <v>7.9539999999999997</v>
      </c>
      <c r="X6" s="19">
        <v>4.4400000000000004</v>
      </c>
      <c r="Y6" s="19">
        <v>12.06</v>
      </c>
      <c r="Z6" s="19">
        <v>0</v>
      </c>
      <c r="AA6" s="19">
        <v>0</v>
      </c>
      <c r="AB6" s="19">
        <v>0</v>
      </c>
      <c r="AC6" s="19"/>
      <c r="AD6" s="19"/>
      <c r="AE6" s="19"/>
      <c r="AF6" s="19">
        <v>7.9539999999999997</v>
      </c>
      <c r="AG6" s="19">
        <v>4.4400000000000004</v>
      </c>
      <c r="AH6" s="19">
        <v>12.06</v>
      </c>
      <c r="AI6" s="19">
        <v>0</v>
      </c>
      <c r="AJ6" s="19">
        <v>0</v>
      </c>
      <c r="AK6" s="19">
        <v>0</v>
      </c>
      <c r="AL6" s="19">
        <v>7.9539999999999997</v>
      </c>
      <c r="AM6" s="19">
        <v>4.4400000000000004</v>
      </c>
      <c r="AN6" s="19">
        <v>12.06</v>
      </c>
      <c r="AO6" s="19">
        <v>3.1040000000000001</v>
      </c>
      <c r="AP6" s="19">
        <v>1.92</v>
      </c>
      <c r="AQ6" s="19">
        <v>4.2880000000000003</v>
      </c>
      <c r="AR6" s="19"/>
      <c r="AS6" s="19"/>
      <c r="AT6" s="19"/>
      <c r="AU6" s="19">
        <v>4.8499999999999996</v>
      </c>
      <c r="AV6" s="19">
        <v>2.52</v>
      </c>
      <c r="AW6" s="19">
        <v>7.7720000000000002</v>
      </c>
      <c r="AX6" s="19">
        <v>3.1040000000000001</v>
      </c>
      <c r="AY6" s="19">
        <v>1.92</v>
      </c>
      <c r="AZ6" s="19">
        <v>4.2880000000000003</v>
      </c>
      <c r="BA6" s="19"/>
      <c r="BB6" s="19"/>
      <c r="BC6" s="19"/>
      <c r="BD6" s="19">
        <v>4.8499999999999996</v>
      </c>
      <c r="BE6" s="19">
        <v>2.52</v>
      </c>
      <c r="BF6" s="19">
        <v>7.7720000000000002</v>
      </c>
      <c r="BG6" s="19">
        <v>1.746</v>
      </c>
      <c r="BH6" s="19">
        <v>1.08</v>
      </c>
      <c r="BI6" s="19">
        <v>2.4119999999999999</v>
      </c>
      <c r="BJ6" s="19"/>
      <c r="BK6" s="19"/>
      <c r="BL6" s="19"/>
      <c r="BM6" s="19">
        <v>6.2079999999999993</v>
      </c>
      <c r="BN6" s="19">
        <v>3.36</v>
      </c>
      <c r="BO6" s="19">
        <v>9.6480000000000015</v>
      </c>
      <c r="BP6" s="19">
        <v>15.907999999999999</v>
      </c>
      <c r="BQ6" s="19">
        <v>9.84</v>
      </c>
      <c r="BR6" s="19">
        <v>21.975999999999999</v>
      </c>
      <c r="BS6" s="19"/>
      <c r="BT6" s="19"/>
      <c r="BU6" s="19"/>
      <c r="BV6" s="19">
        <v>0</v>
      </c>
      <c r="BW6" s="19">
        <v>0</v>
      </c>
      <c r="BX6" s="19">
        <v>0</v>
      </c>
      <c r="BY6" s="19">
        <v>15.907999999999999</v>
      </c>
      <c r="BZ6" s="19">
        <v>9.84</v>
      </c>
      <c r="CA6" s="19">
        <v>21.975999999999999</v>
      </c>
      <c r="CB6" s="19"/>
      <c r="CC6" s="19"/>
      <c r="CD6" s="19"/>
      <c r="CE6" s="19">
        <v>0</v>
      </c>
      <c r="CF6" s="19">
        <v>0</v>
      </c>
      <c r="CG6" s="19">
        <v>0</v>
      </c>
      <c r="CH6" s="19">
        <v>8.3419999999999987</v>
      </c>
      <c r="CI6" s="19">
        <v>5.16</v>
      </c>
      <c r="CJ6" s="19">
        <v>11.523999999999999</v>
      </c>
      <c r="CK6" s="19"/>
      <c r="CL6" s="19"/>
      <c r="CM6" s="19"/>
      <c r="CN6" s="19">
        <v>0</v>
      </c>
      <c r="CO6" s="19">
        <v>0</v>
      </c>
      <c r="CP6" s="19">
        <v>0.53600000000000003</v>
      </c>
      <c r="CQ6" s="19"/>
      <c r="CR6" s="19"/>
      <c r="CS6" s="19"/>
      <c r="CT6" s="19"/>
      <c r="CU6" s="11">
        <f>Tabelle58971121[[#This Row],[Mindestauslastung durch]]*Tabelle58971121[[#This Row],[installierte Leistung MW durch]]</f>
        <v>0</v>
      </c>
      <c r="CV6" s="11">
        <f>Tabelle58971121[[#This Row],[Mindestauslastung min]]*Tabelle58971121[[#This Row],[installierte Leistung MW min]]</f>
        <v>0</v>
      </c>
      <c r="CW6" s="11">
        <f>Tabelle58971121[[#This Row],[Mindestauslastung max]]*Tabelle58971121[[#This Row],[installierte Leistung MW max]]</f>
        <v>0</v>
      </c>
      <c r="CX6" s="9">
        <v>0</v>
      </c>
      <c r="CY6" s="9">
        <v>0</v>
      </c>
      <c r="CZ6" s="9">
        <v>0</v>
      </c>
      <c r="DA6" s="9"/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0.16</v>
      </c>
      <c r="DL6" s="9">
        <v>0.16</v>
      </c>
      <c r="DM6" s="9">
        <v>0.16</v>
      </c>
      <c r="DN6" s="9">
        <v>0.16</v>
      </c>
      <c r="DO6" s="9">
        <v>0.16</v>
      </c>
      <c r="DP6" s="9">
        <v>0.16</v>
      </c>
      <c r="DQ6" s="9">
        <v>0.09</v>
      </c>
      <c r="DR6" s="9">
        <v>0.09</v>
      </c>
      <c r="DS6" s="9">
        <v>0.09</v>
      </c>
      <c r="DT6" s="9">
        <v>0.82</v>
      </c>
      <c r="DU6" s="9">
        <v>0.82</v>
      </c>
      <c r="DV6" s="9">
        <v>0.82</v>
      </c>
      <c r="DW6" s="9">
        <v>0.82</v>
      </c>
      <c r="DX6" s="9">
        <v>0.82</v>
      </c>
      <c r="DY6" s="9">
        <v>0.82</v>
      </c>
      <c r="DZ6" s="9">
        <v>0.43</v>
      </c>
      <c r="EA6" s="9">
        <v>0.43</v>
      </c>
      <c r="EB6" s="9">
        <v>0.43</v>
      </c>
      <c r="EC6" s="9"/>
      <c r="ED6" s="9"/>
      <c r="EE6" s="9"/>
      <c r="EF6" s="46">
        <f>Tabelle58971121[[#This Row],[Durchschnittsauslastung min]]*Tabelle58971121[[#This Row],[installierte Leistung MW min]]</f>
        <v>0</v>
      </c>
      <c r="EG6" s="46">
        <f>Tabelle58971121[[#This Row],[Durchschnittsauslastung durch]]*Tabelle58971121[[#This Row],[installierte Leistung MW durch]]</f>
        <v>0</v>
      </c>
      <c r="EH6" s="46">
        <f>Tabelle58971121[[#This Row],[Durchschnittsauslastung max]]*Tabelle58971121[[#This Row],[installierte Leistung MW max]]</f>
        <v>0</v>
      </c>
      <c r="EI6" s="83">
        <f>Tabelle58971121[[#This Row],[Maximalauslastung durch]]*Tabelle58971121[[#This Row],[installierte Leistung MW min]]</f>
        <v>4.92</v>
      </c>
      <c r="EJ6" s="46">
        <f>Tabelle58971121[[#This Row],[Maximalauslastung durch]]*Tabelle58971121[[#This Row],[installierte Leistung MW durch]]</f>
        <v>7.9539999999999988</v>
      </c>
      <c r="EK6" s="19">
        <f>Tabelle58971121[[#This Row],[Maximalauslastung max]]*Tabelle58971121[[#This Row],[installierte Leistung MW durch]]</f>
        <v>8.73</v>
      </c>
      <c r="EL6" s="9">
        <v>0.41</v>
      </c>
      <c r="EM6" s="9">
        <v>0.37</v>
      </c>
      <c r="EN6" s="9">
        <v>0.45</v>
      </c>
      <c r="EO6" s="1">
        <v>19.399999999999999</v>
      </c>
      <c r="EP6" s="1">
        <v>12</v>
      </c>
      <c r="EQ6" s="1">
        <v>26.8</v>
      </c>
      <c r="ER6" s="19"/>
      <c r="ES6" s="19"/>
      <c r="EX6" s="1">
        <v>2</v>
      </c>
      <c r="EY6" s="1">
        <v>1.6</v>
      </c>
      <c r="EZ6" s="1">
        <v>2.4</v>
      </c>
      <c r="FD6" s="1">
        <v>2</v>
      </c>
      <c r="FE6" s="1">
        <v>1.6</v>
      </c>
      <c r="FF6" s="1">
        <v>2.4</v>
      </c>
      <c r="FG6" s="1">
        <v>24</v>
      </c>
      <c r="FJ6" s="1">
        <v>2.6</v>
      </c>
      <c r="FK6" s="1">
        <v>1.8</v>
      </c>
      <c r="FL6" s="1">
        <v>3.4</v>
      </c>
      <c r="FP6" s="1">
        <v>243</v>
      </c>
      <c r="FQ6" s="1">
        <v>219</v>
      </c>
      <c r="FR6" s="1">
        <v>267</v>
      </c>
      <c r="FS6" s="11"/>
      <c r="FT6" s="11"/>
      <c r="FU6" s="11"/>
      <c r="FV6" s="1">
        <v>243</v>
      </c>
      <c r="FW6" s="1">
        <v>219</v>
      </c>
      <c r="FX6" s="1">
        <v>267</v>
      </c>
      <c r="FZ6" s="19"/>
      <c r="GA6" s="19"/>
      <c r="GB6" s="19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 t="s">
        <v>1084</v>
      </c>
      <c r="GO6" s="8" t="s">
        <v>1084</v>
      </c>
      <c r="GP6" s="8" t="s">
        <v>1084</v>
      </c>
      <c r="GS6" s="1">
        <v>67</v>
      </c>
      <c r="GT6" s="1">
        <v>67</v>
      </c>
      <c r="GU6" s="1">
        <v>67</v>
      </c>
      <c r="GV6" s="13" t="s">
        <v>806</v>
      </c>
      <c r="GW6" s="13" t="s">
        <v>806</v>
      </c>
      <c r="GX6" s="13" t="s">
        <v>806</v>
      </c>
      <c r="GY6" s="13"/>
      <c r="GZ6" s="13" t="s">
        <v>806</v>
      </c>
      <c r="HA6" s="13" t="s">
        <v>806</v>
      </c>
      <c r="HB6" s="13" t="s">
        <v>806</v>
      </c>
      <c r="HC6" s="13" t="s">
        <v>806</v>
      </c>
      <c r="HD6" s="13" t="s">
        <v>806</v>
      </c>
      <c r="HE6" s="13" t="s">
        <v>806</v>
      </c>
      <c r="HF6" s="13" t="s">
        <v>806</v>
      </c>
      <c r="HI6" s="13" t="s">
        <v>806</v>
      </c>
      <c r="HJ6" s="13" t="s">
        <v>806</v>
      </c>
      <c r="HL6" s="13" t="s">
        <v>806</v>
      </c>
    </row>
    <row r="7" spans="1:223" ht="12.75" customHeight="1" x14ac:dyDescent="0.25">
      <c r="A7" s="1" t="s">
        <v>535</v>
      </c>
      <c r="B7" s="1" t="s">
        <v>535</v>
      </c>
      <c r="E7" s="1" t="s">
        <v>127</v>
      </c>
      <c r="F7" s="1">
        <v>2</v>
      </c>
      <c r="G7" s="1">
        <v>2040</v>
      </c>
      <c r="H7" s="1">
        <v>1</v>
      </c>
      <c r="I7" s="1">
        <v>0</v>
      </c>
      <c r="J7" s="1">
        <v>0</v>
      </c>
      <c r="K7" s="19"/>
      <c r="L7" s="19"/>
      <c r="M7" s="19"/>
      <c r="N7" s="19"/>
      <c r="O7" s="19"/>
      <c r="P7" s="19"/>
      <c r="Q7" s="19">
        <v>0</v>
      </c>
      <c r="R7" s="19">
        <v>0</v>
      </c>
      <c r="S7" s="19">
        <v>0</v>
      </c>
      <c r="T7" s="19"/>
      <c r="U7" s="19"/>
      <c r="V7" s="19"/>
      <c r="W7" s="19">
        <v>7.9539999999999997</v>
      </c>
      <c r="X7" s="19">
        <v>4.4400000000000004</v>
      </c>
      <c r="Y7" s="19">
        <v>12.06</v>
      </c>
      <c r="Z7" s="19">
        <v>0</v>
      </c>
      <c r="AA7" s="19">
        <v>0</v>
      </c>
      <c r="AB7" s="19">
        <v>0</v>
      </c>
      <c r="AC7" s="19"/>
      <c r="AD7" s="19"/>
      <c r="AE7" s="19"/>
      <c r="AF7" s="19">
        <v>7.9539999999999997</v>
      </c>
      <c r="AG7" s="19">
        <v>4.4400000000000004</v>
      </c>
      <c r="AH7" s="19">
        <v>12.06</v>
      </c>
      <c r="AI7" s="19">
        <v>0</v>
      </c>
      <c r="AJ7" s="19">
        <v>0</v>
      </c>
      <c r="AK7" s="19">
        <v>0</v>
      </c>
      <c r="AL7" s="19">
        <v>7.9539999999999997</v>
      </c>
      <c r="AM7" s="19">
        <v>4.4400000000000004</v>
      </c>
      <c r="AN7" s="19">
        <v>12.06</v>
      </c>
      <c r="AO7" s="19">
        <v>3.1040000000000001</v>
      </c>
      <c r="AP7" s="19">
        <v>1.92</v>
      </c>
      <c r="AQ7" s="19">
        <v>4.2880000000000003</v>
      </c>
      <c r="AR7" s="19"/>
      <c r="AS7" s="19"/>
      <c r="AT7" s="19"/>
      <c r="AU7" s="19">
        <v>4.8499999999999996</v>
      </c>
      <c r="AV7" s="19">
        <v>2.52</v>
      </c>
      <c r="AW7" s="19">
        <v>7.7720000000000002</v>
      </c>
      <c r="AX7" s="19">
        <v>3.1040000000000001</v>
      </c>
      <c r="AY7" s="19">
        <v>1.92</v>
      </c>
      <c r="AZ7" s="19">
        <v>4.2880000000000003</v>
      </c>
      <c r="BA7" s="19"/>
      <c r="BB7" s="19"/>
      <c r="BC7" s="19"/>
      <c r="BD7" s="19">
        <v>4.8499999999999996</v>
      </c>
      <c r="BE7" s="19">
        <v>2.52</v>
      </c>
      <c r="BF7" s="19">
        <v>7.7720000000000002</v>
      </c>
      <c r="BG7" s="19">
        <v>1.746</v>
      </c>
      <c r="BH7" s="19">
        <v>1.08</v>
      </c>
      <c r="BI7" s="19">
        <v>2.4119999999999999</v>
      </c>
      <c r="BJ7" s="19"/>
      <c r="BK7" s="19"/>
      <c r="BL7" s="19"/>
      <c r="BM7" s="19">
        <v>6.2079999999999993</v>
      </c>
      <c r="BN7" s="19">
        <v>3.36</v>
      </c>
      <c r="BO7" s="19">
        <v>9.6480000000000015</v>
      </c>
      <c r="BP7" s="19">
        <v>15.907999999999999</v>
      </c>
      <c r="BQ7" s="19">
        <v>9.84</v>
      </c>
      <c r="BR7" s="19">
        <v>21.975999999999999</v>
      </c>
      <c r="BS7" s="19"/>
      <c r="BT7" s="19"/>
      <c r="BU7" s="19"/>
      <c r="BV7" s="19">
        <v>0</v>
      </c>
      <c r="BW7" s="19">
        <v>0</v>
      </c>
      <c r="BX7" s="19">
        <v>0</v>
      </c>
      <c r="BY7" s="19">
        <v>15.907999999999999</v>
      </c>
      <c r="BZ7" s="19">
        <v>9.84</v>
      </c>
      <c r="CA7" s="19">
        <v>21.975999999999999</v>
      </c>
      <c r="CB7" s="19"/>
      <c r="CC7" s="19"/>
      <c r="CD7" s="19"/>
      <c r="CE7" s="19">
        <v>0</v>
      </c>
      <c r="CF7" s="19">
        <v>0</v>
      </c>
      <c r="CG7" s="19">
        <v>0</v>
      </c>
      <c r="CH7" s="19">
        <v>8.3419999999999987</v>
      </c>
      <c r="CI7" s="19">
        <v>5.16</v>
      </c>
      <c r="CJ7" s="19">
        <v>11.523999999999999</v>
      </c>
      <c r="CK7" s="19"/>
      <c r="CL7" s="19"/>
      <c r="CM7" s="19"/>
      <c r="CN7" s="19">
        <v>0</v>
      </c>
      <c r="CO7" s="19">
        <v>0</v>
      </c>
      <c r="CP7" s="19">
        <v>0.53600000000000003</v>
      </c>
      <c r="CQ7" s="19"/>
      <c r="CR7" s="19"/>
      <c r="CS7" s="19"/>
      <c r="CT7" s="19"/>
      <c r="CU7" s="11">
        <f>Tabelle58971121[[#This Row],[Mindestauslastung durch]]*Tabelle58971121[[#This Row],[installierte Leistung MW durch]]</f>
        <v>0</v>
      </c>
      <c r="CV7" s="11">
        <f>Tabelle58971121[[#This Row],[Mindestauslastung min]]*Tabelle58971121[[#This Row],[installierte Leistung MW min]]</f>
        <v>0</v>
      </c>
      <c r="CW7" s="11">
        <f>Tabelle58971121[[#This Row],[Mindestauslastung max]]*Tabelle58971121[[#This Row],[installierte Leistung MW max]]</f>
        <v>0</v>
      </c>
      <c r="CX7" s="9">
        <v>0</v>
      </c>
      <c r="CY7" s="9">
        <v>0</v>
      </c>
      <c r="CZ7" s="9">
        <v>0</v>
      </c>
      <c r="DA7" s="9"/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0.16</v>
      </c>
      <c r="DL7" s="9">
        <v>0.16</v>
      </c>
      <c r="DM7" s="9">
        <v>0.16</v>
      </c>
      <c r="DN7" s="9">
        <v>0.16</v>
      </c>
      <c r="DO7" s="9">
        <v>0.16</v>
      </c>
      <c r="DP7" s="9">
        <v>0.16</v>
      </c>
      <c r="DQ7" s="9">
        <v>0.09</v>
      </c>
      <c r="DR7" s="9">
        <v>0.09</v>
      </c>
      <c r="DS7" s="9">
        <v>0.09</v>
      </c>
      <c r="DT7" s="9">
        <v>0.82</v>
      </c>
      <c r="DU7" s="9">
        <v>0.82</v>
      </c>
      <c r="DV7" s="9">
        <v>0.82</v>
      </c>
      <c r="DW7" s="9">
        <v>0.82</v>
      </c>
      <c r="DX7" s="9">
        <v>0.82</v>
      </c>
      <c r="DY7" s="9">
        <v>0.82</v>
      </c>
      <c r="DZ7" s="9">
        <v>0.43</v>
      </c>
      <c r="EA7" s="9">
        <v>0.43</v>
      </c>
      <c r="EB7" s="9">
        <v>0.43</v>
      </c>
      <c r="EC7" s="9"/>
      <c r="ED7" s="9"/>
      <c r="EE7" s="9"/>
      <c r="EF7" s="46">
        <f>Tabelle58971121[[#This Row],[Durchschnittsauslastung min]]*Tabelle58971121[[#This Row],[installierte Leistung MW min]]</f>
        <v>0</v>
      </c>
      <c r="EG7" s="46">
        <f>Tabelle58971121[[#This Row],[Durchschnittsauslastung durch]]*Tabelle58971121[[#This Row],[installierte Leistung MW durch]]</f>
        <v>0</v>
      </c>
      <c r="EH7" s="46">
        <f>Tabelle58971121[[#This Row],[Durchschnittsauslastung max]]*Tabelle58971121[[#This Row],[installierte Leistung MW max]]</f>
        <v>0</v>
      </c>
      <c r="EI7" s="83">
        <f>Tabelle58971121[[#This Row],[Maximalauslastung durch]]*Tabelle58971121[[#This Row],[installierte Leistung MW min]]</f>
        <v>4.92</v>
      </c>
      <c r="EJ7" s="46">
        <f>Tabelle58971121[[#This Row],[Maximalauslastung durch]]*Tabelle58971121[[#This Row],[installierte Leistung MW durch]]</f>
        <v>7.9539999999999988</v>
      </c>
      <c r="EK7" s="19">
        <f>Tabelle58971121[[#This Row],[Maximalauslastung max]]*Tabelle58971121[[#This Row],[installierte Leistung MW durch]]</f>
        <v>8.73</v>
      </c>
      <c r="EL7" s="9">
        <v>0.41</v>
      </c>
      <c r="EM7" s="9">
        <v>0.37</v>
      </c>
      <c r="EN7" s="9">
        <v>0.45</v>
      </c>
      <c r="EO7" s="1">
        <v>19.399999999999999</v>
      </c>
      <c r="EP7" s="1">
        <v>12</v>
      </c>
      <c r="EQ7" s="1">
        <v>26.8</v>
      </c>
      <c r="ER7" s="19"/>
      <c r="ES7" s="19"/>
      <c r="EX7" s="1">
        <v>2</v>
      </c>
      <c r="EY7" s="1">
        <v>1.6</v>
      </c>
      <c r="EZ7" s="1">
        <v>2.4</v>
      </c>
      <c r="FD7" s="1">
        <v>2</v>
      </c>
      <c r="FE7" s="1">
        <v>1.6</v>
      </c>
      <c r="FF7" s="1">
        <v>2.4</v>
      </c>
      <c r="FG7" s="1">
        <v>24</v>
      </c>
      <c r="FJ7" s="1">
        <v>2.6</v>
      </c>
      <c r="FK7" s="1">
        <v>1.8</v>
      </c>
      <c r="FL7" s="1">
        <v>3.4</v>
      </c>
      <c r="FP7" s="1">
        <v>243</v>
      </c>
      <c r="FQ7" s="1">
        <v>219</v>
      </c>
      <c r="FR7" s="1">
        <v>267</v>
      </c>
      <c r="FS7" s="11"/>
      <c r="FT7" s="11"/>
      <c r="FU7" s="11"/>
      <c r="FV7" s="1">
        <v>243</v>
      </c>
      <c r="FW7" s="1">
        <v>219</v>
      </c>
      <c r="FX7" s="1">
        <v>267</v>
      </c>
      <c r="FZ7" s="19"/>
      <c r="GA7" s="19"/>
      <c r="GB7" s="19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 t="s">
        <v>1084</v>
      </c>
      <c r="GO7" s="8" t="s">
        <v>1084</v>
      </c>
      <c r="GP7" s="8" t="s">
        <v>1084</v>
      </c>
      <c r="GS7" s="1">
        <v>67</v>
      </c>
      <c r="GT7" s="1">
        <v>67</v>
      </c>
      <c r="GU7" s="1">
        <v>67</v>
      </c>
      <c r="GV7" s="13" t="s">
        <v>806</v>
      </c>
      <c r="GW7" s="13" t="s">
        <v>806</v>
      </c>
      <c r="GX7" s="13" t="s">
        <v>806</v>
      </c>
      <c r="GY7" s="13"/>
      <c r="GZ7" s="13" t="s">
        <v>806</v>
      </c>
      <c r="HA7" s="13" t="s">
        <v>806</v>
      </c>
      <c r="HB7" s="13" t="s">
        <v>806</v>
      </c>
      <c r="HC7" s="13" t="s">
        <v>806</v>
      </c>
      <c r="HD7" s="13" t="s">
        <v>806</v>
      </c>
      <c r="HE7" s="13" t="s">
        <v>806</v>
      </c>
      <c r="HF7" s="13" t="s">
        <v>806</v>
      </c>
      <c r="HI7" s="13" t="s">
        <v>806</v>
      </c>
      <c r="HJ7" s="13" t="s">
        <v>806</v>
      </c>
      <c r="HL7" s="13" t="s">
        <v>806</v>
      </c>
    </row>
    <row r="8" spans="1:223" ht="12.75" customHeight="1" x14ac:dyDescent="0.25">
      <c r="A8" s="1" t="s">
        <v>535</v>
      </c>
      <c r="B8" s="1" t="s">
        <v>535</v>
      </c>
      <c r="E8" s="1" t="s">
        <v>127</v>
      </c>
      <c r="F8" s="1">
        <v>2</v>
      </c>
      <c r="G8" s="1">
        <v>2045</v>
      </c>
      <c r="H8" s="1">
        <v>1</v>
      </c>
      <c r="I8" s="1">
        <v>0</v>
      </c>
      <c r="J8" s="1">
        <v>0</v>
      </c>
      <c r="K8" s="19"/>
      <c r="L8" s="19"/>
      <c r="M8" s="19"/>
      <c r="N8" s="19"/>
      <c r="O8" s="19"/>
      <c r="P8" s="19"/>
      <c r="Q8" s="19">
        <v>0</v>
      </c>
      <c r="R8" s="19">
        <v>0</v>
      </c>
      <c r="S8" s="19">
        <v>0</v>
      </c>
      <c r="T8" s="19"/>
      <c r="U8" s="19"/>
      <c r="V8" s="19"/>
      <c r="W8" s="19">
        <v>7.9539999999999997</v>
      </c>
      <c r="X8" s="19">
        <v>4.4400000000000004</v>
      </c>
      <c r="Y8" s="19">
        <v>12.06</v>
      </c>
      <c r="Z8" s="19">
        <v>0</v>
      </c>
      <c r="AA8" s="19">
        <v>0</v>
      </c>
      <c r="AB8" s="19">
        <v>0</v>
      </c>
      <c r="AC8" s="19"/>
      <c r="AD8" s="19"/>
      <c r="AE8" s="19"/>
      <c r="AF8" s="19">
        <v>7.9539999999999997</v>
      </c>
      <c r="AG8" s="19">
        <v>4.4400000000000004</v>
      </c>
      <c r="AH8" s="19">
        <v>12.06</v>
      </c>
      <c r="AI8" s="19">
        <v>0</v>
      </c>
      <c r="AJ8" s="19">
        <v>0</v>
      </c>
      <c r="AK8" s="19">
        <v>0</v>
      </c>
      <c r="AL8" s="19">
        <v>7.9539999999999997</v>
      </c>
      <c r="AM8" s="19">
        <v>4.4400000000000004</v>
      </c>
      <c r="AN8" s="19">
        <v>12.06</v>
      </c>
      <c r="AO8" s="19">
        <v>3.1040000000000001</v>
      </c>
      <c r="AP8" s="19">
        <v>1.92</v>
      </c>
      <c r="AQ8" s="19">
        <v>4.2880000000000003</v>
      </c>
      <c r="AR8" s="19"/>
      <c r="AS8" s="19"/>
      <c r="AT8" s="19"/>
      <c r="AU8" s="19">
        <v>4.8499999999999996</v>
      </c>
      <c r="AV8" s="19">
        <v>2.52</v>
      </c>
      <c r="AW8" s="19">
        <v>7.7720000000000002</v>
      </c>
      <c r="AX8" s="19">
        <v>3.1040000000000001</v>
      </c>
      <c r="AY8" s="19">
        <v>1.92</v>
      </c>
      <c r="AZ8" s="19">
        <v>4.2880000000000003</v>
      </c>
      <c r="BA8" s="19"/>
      <c r="BB8" s="19"/>
      <c r="BC8" s="19"/>
      <c r="BD8" s="19">
        <v>4.8499999999999996</v>
      </c>
      <c r="BE8" s="19">
        <v>2.52</v>
      </c>
      <c r="BF8" s="19">
        <v>7.7720000000000002</v>
      </c>
      <c r="BG8" s="19">
        <v>1.746</v>
      </c>
      <c r="BH8" s="19">
        <v>1.08</v>
      </c>
      <c r="BI8" s="19">
        <v>2.4119999999999999</v>
      </c>
      <c r="BJ8" s="19"/>
      <c r="BK8" s="19"/>
      <c r="BL8" s="19"/>
      <c r="BM8" s="19">
        <v>6.2079999999999993</v>
      </c>
      <c r="BN8" s="19">
        <v>3.36</v>
      </c>
      <c r="BO8" s="19">
        <v>9.6480000000000015</v>
      </c>
      <c r="BP8" s="19">
        <v>15.907999999999999</v>
      </c>
      <c r="BQ8" s="19">
        <v>9.84</v>
      </c>
      <c r="BR8" s="19">
        <v>21.975999999999999</v>
      </c>
      <c r="BS8" s="19"/>
      <c r="BT8" s="19"/>
      <c r="BU8" s="19"/>
      <c r="BV8" s="19">
        <v>0</v>
      </c>
      <c r="BW8" s="19">
        <v>0</v>
      </c>
      <c r="BX8" s="19">
        <v>0</v>
      </c>
      <c r="BY8" s="19">
        <v>15.907999999999999</v>
      </c>
      <c r="BZ8" s="19">
        <v>9.84</v>
      </c>
      <c r="CA8" s="19">
        <v>21.975999999999999</v>
      </c>
      <c r="CB8" s="19"/>
      <c r="CC8" s="19"/>
      <c r="CD8" s="19"/>
      <c r="CE8" s="19">
        <v>0</v>
      </c>
      <c r="CF8" s="19">
        <v>0</v>
      </c>
      <c r="CG8" s="19">
        <v>0</v>
      </c>
      <c r="CH8" s="19">
        <v>8.3419999999999987</v>
      </c>
      <c r="CI8" s="19">
        <v>5.16</v>
      </c>
      <c r="CJ8" s="19">
        <v>11.523999999999999</v>
      </c>
      <c r="CK8" s="19"/>
      <c r="CL8" s="19"/>
      <c r="CM8" s="19"/>
      <c r="CN8" s="19">
        <v>0</v>
      </c>
      <c r="CO8" s="19">
        <v>0</v>
      </c>
      <c r="CP8" s="19">
        <v>0.53600000000000003</v>
      </c>
      <c r="CQ8" s="19"/>
      <c r="CR8" s="19"/>
      <c r="CS8" s="19"/>
      <c r="CT8" s="19"/>
      <c r="CU8" s="11">
        <f>Tabelle58971121[[#This Row],[Mindestauslastung durch]]*Tabelle58971121[[#This Row],[installierte Leistung MW durch]]</f>
        <v>0</v>
      </c>
      <c r="CV8" s="11">
        <f>Tabelle58971121[[#This Row],[Mindestauslastung min]]*Tabelle58971121[[#This Row],[installierte Leistung MW min]]</f>
        <v>0</v>
      </c>
      <c r="CW8" s="11">
        <f>Tabelle58971121[[#This Row],[Mindestauslastung max]]*Tabelle58971121[[#This Row],[installierte Leistung MW max]]</f>
        <v>0</v>
      </c>
      <c r="CX8" s="9">
        <v>0</v>
      </c>
      <c r="CY8" s="9">
        <v>0</v>
      </c>
      <c r="CZ8" s="9">
        <v>0</v>
      </c>
      <c r="DA8" s="9"/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0.16</v>
      </c>
      <c r="DL8" s="9">
        <v>0.16</v>
      </c>
      <c r="DM8" s="9">
        <v>0.16</v>
      </c>
      <c r="DN8" s="9">
        <v>0.16</v>
      </c>
      <c r="DO8" s="9">
        <v>0.16</v>
      </c>
      <c r="DP8" s="9">
        <v>0.16</v>
      </c>
      <c r="DQ8" s="9">
        <v>0.09</v>
      </c>
      <c r="DR8" s="9">
        <v>0.09</v>
      </c>
      <c r="DS8" s="9">
        <v>0.09</v>
      </c>
      <c r="DT8" s="9">
        <v>0.82</v>
      </c>
      <c r="DU8" s="9">
        <v>0.82</v>
      </c>
      <c r="DV8" s="9">
        <v>0.82</v>
      </c>
      <c r="DW8" s="9">
        <v>0.82</v>
      </c>
      <c r="DX8" s="9">
        <v>0.82</v>
      </c>
      <c r="DY8" s="9">
        <v>0.82</v>
      </c>
      <c r="DZ8" s="9">
        <v>0.43</v>
      </c>
      <c r="EA8" s="9">
        <v>0.43</v>
      </c>
      <c r="EB8" s="9">
        <v>0.43</v>
      </c>
      <c r="EC8" s="9"/>
      <c r="ED8" s="9"/>
      <c r="EE8" s="9"/>
      <c r="EF8" s="46">
        <f>Tabelle58971121[[#This Row],[Durchschnittsauslastung min]]*Tabelle58971121[[#This Row],[installierte Leistung MW min]]</f>
        <v>0</v>
      </c>
      <c r="EG8" s="46">
        <f>Tabelle58971121[[#This Row],[Durchschnittsauslastung durch]]*Tabelle58971121[[#This Row],[installierte Leistung MW durch]]</f>
        <v>0</v>
      </c>
      <c r="EH8" s="46">
        <f>Tabelle58971121[[#This Row],[Durchschnittsauslastung max]]*Tabelle58971121[[#This Row],[installierte Leistung MW max]]</f>
        <v>0</v>
      </c>
      <c r="EI8" s="83">
        <f>Tabelle58971121[[#This Row],[Maximalauslastung durch]]*Tabelle58971121[[#This Row],[installierte Leistung MW min]]</f>
        <v>4.92</v>
      </c>
      <c r="EJ8" s="46">
        <f>Tabelle58971121[[#This Row],[Maximalauslastung durch]]*Tabelle58971121[[#This Row],[installierte Leistung MW durch]]</f>
        <v>7.9539999999999988</v>
      </c>
      <c r="EK8" s="19">
        <f>Tabelle58971121[[#This Row],[Maximalauslastung max]]*Tabelle58971121[[#This Row],[installierte Leistung MW durch]]</f>
        <v>8.73</v>
      </c>
      <c r="EL8" s="9">
        <v>0.41</v>
      </c>
      <c r="EM8" s="9">
        <v>0.37</v>
      </c>
      <c r="EN8" s="9">
        <v>0.45</v>
      </c>
      <c r="EO8" s="1">
        <v>19.399999999999999</v>
      </c>
      <c r="EP8" s="1">
        <v>12</v>
      </c>
      <c r="EQ8" s="1">
        <v>26.8</v>
      </c>
      <c r="ER8" s="19"/>
      <c r="ES8" s="19"/>
      <c r="EX8" s="1">
        <v>2</v>
      </c>
      <c r="EY8" s="1">
        <v>1.6</v>
      </c>
      <c r="EZ8" s="1">
        <v>2.4</v>
      </c>
      <c r="FD8" s="1">
        <v>2</v>
      </c>
      <c r="FE8" s="1">
        <v>1.6</v>
      </c>
      <c r="FF8" s="1">
        <v>2.4</v>
      </c>
      <c r="FG8" s="1">
        <v>24</v>
      </c>
      <c r="FJ8" s="1">
        <v>2.6</v>
      </c>
      <c r="FK8" s="1">
        <v>1.8</v>
      </c>
      <c r="FL8" s="1">
        <v>3.4</v>
      </c>
      <c r="FP8" s="1">
        <v>243</v>
      </c>
      <c r="FQ8" s="1">
        <v>219</v>
      </c>
      <c r="FR8" s="1">
        <v>267</v>
      </c>
      <c r="FS8" s="11"/>
      <c r="FT8" s="11"/>
      <c r="FU8" s="11"/>
      <c r="FV8" s="1">
        <v>243</v>
      </c>
      <c r="FW8" s="1">
        <v>219</v>
      </c>
      <c r="FX8" s="1">
        <v>267</v>
      </c>
      <c r="FZ8" s="19"/>
      <c r="GA8" s="19"/>
      <c r="GB8" s="19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 t="s">
        <v>1084</v>
      </c>
      <c r="GO8" s="8" t="s">
        <v>1084</v>
      </c>
      <c r="GP8" s="8" t="s">
        <v>1084</v>
      </c>
      <c r="GS8" s="1">
        <v>67</v>
      </c>
      <c r="GT8" s="1">
        <v>67</v>
      </c>
      <c r="GU8" s="1">
        <v>67</v>
      </c>
      <c r="GV8" s="13" t="s">
        <v>806</v>
      </c>
      <c r="GW8" s="13" t="s">
        <v>806</v>
      </c>
      <c r="GX8" s="13" t="s">
        <v>806</v>
      </c>
      <c r="GY8" s="13"/>
      <c r="GZ8" s="13" t="s">
        <v>806</v>
      </c>
      <c r="HA8" s="13" t="s">
        <v>806</v>
      </c>
      <c r="HB8" s="13" t="s">
        <v>806</v>
      </c>
      <c r="HC8" s="13" t="s">
        <v>806</v>
      </c>
      <c r="HD8" s="13" t="s">
        <v>806</v>
      </c>
      <c r="HE8" s="13" t="s">
        <v>806</v>
      </c>
      <c r="HF8" s="13" t="s">
        <v>806</v>
      </c>
      <c r="HI8" s="13" t="s">
        <v>806</v>
      </c>
      <c r="HJ8" s="13" t="s">
        <v>806</v>
      </c>
      <c r="HL8" s="13" t="s">
        <v>806</v>
      </c>
    </row>
    <row r="9" spans="1:223" ht="12.75" customHeight="1" x14ac:dyDescent="0.25">
      <c r="A9" s="1" t="s">
        <v>535</v>
      </c>
      <c r="B9" s="1" t="s">
        <v>535</v>
      </c>
      <c r="E9" s="1" t="s">
        <v>127</v>
      </c>
      <c r="F9" s="1">
        <v>2</v>
      </c>
      <c r="G9" s="1">
        <v>2050</v>
      </c>
      <c r="H9" s="1">
        <v>1</v>
      </c>
      <c r="I9" s="1">
        <v>0</v>
      </c>
      <c r="J9" s="1">
        <v>0</v>
      </c>
      <c r="K9" s="19"/>
      <c r="L9" s="19"/>
      <c r="M9" s="19"/>
      <c r="N9" s="19"/>
      <c r="O9" s="19"/>
      <c r="P9" s="19"/>
      <c r="Q9" s="19">
        <v>0</v>
      </c>
      <c r="R9" s="19">
        <v>0</v>
      </c>
      <c r="S9" s="19">
        <v>0</v>
      </c>
      <c r="T9" s="19"/>
      <c r="U9" s="19"/>
      <c r="V9" s="19"/>
      <c r="W9" s="19">
        <v>7.9539999999999997</v>
      </c>
      <c r="X9" s="19">
        <v>4.4400000000000004</v>
      </c>
      <c r="Y9" s="19">
        <v>12.06</v>
      </c>
      <c r="Z9" s="19">
        <v>0</v>
      </c>
      <c r="AA9" s="19">
        <v>0</v>
      </c>
      <c r="AB9" s="19">
        <v>0</v>
      </c>
      <c r="AC9" s="19"/>
      <c r="AD9" s="19"/>
      <c r="AE9" s="19"/>
      <c r="AF9" s="19">
        <v>7.9539999999999997</v>
      </c>
      <c r="AG9" s="19">
        <v>4.4400000000000004</v>
      </c>
      <c r="AH9" s="19">
        <v>12.06</v>
      </c>
      <c r="AI9" s="19">
        <v>0</v>
      </c>
      <c r="AJ9" s="19">
        <v>0</v>
      </c>
      <c r="AK9" s="19">
        <v>0</v>
      </c>
      <c r="AL9" s="19">
        <v>7.9539999999999997</v>
      </c>
      <c r="AM9" s="19">
        <v>4.4400000000000004</v>
      </c>
      <c r="AN9" s="19">
        <v>12.06</v>
      </c>
      <c r="AO9" s="19">
        <v>3.1040000000000001</v>
      </c>
      <c r="AP9" s="19">
        <v>1.92</v>
      </c>
      <c r="AQ9" s="19">
        <v>4.2880000000000003</v>
      </c>
      <c r="AR9" s="19"/>
      <c r="AS9" s="19"/>
      <c r="AT9" s="19"/>
      <c r="AU9" s="19">
        <v>4.8499999999999996</v>
      </c>
      <c r="AV9" s="19">
        <v>2.52</v>
      </c>
      <c r="AW9" s="19">
        <v>7.7720000000000002</v>
      </c>
      <c r="AX9" s="19">
        <v>3.1040000000000001</v>
      </c>
      <c r="AY9" s="19">
        <v>1.92</v>
      </c>
      <c r="AZ9" s="19">
        <v>4.2880000000000003</v>
      </c>
      <c r="BA9" s="19"/>
      <c r="BB9" s="19"/>
      <c r="BC9" s="19"/>
      <c r="BD9" s="19">
        <v>4.8499999999999996</v>
      </c>
      <c r="BE9" s="19">
        <v>2.52</v>
      </c>
      <c r="BF9" s="19">
        <v>7.7720000000000002</v>
      </c>
      <c r="BG9" s="19">
        <v>1.746</v>
      </c>
      <c r="BH9" s="19">
        <v>1.08</v>
      </c>
      <c r="BI9" s="19">
        <v>2.4119999999999999</v>
      </c>
      <c r="BJ9" s="19"/>
      <c r="BK9" s="19"/>
      <c r="BL9" s="19"/>
      <c r="BM9" s="19">
        <v>6.2079999999999993</v>
      </c>
      <c r="BN9" s="19">
        <v>3.36</v>
      </c>
      <c r="BO9" s="19">
        <v>9.6480000000000015</v>
      </c>
      <c r="BP9" s="19">
        <v>15.907999999999999</v>
      </c>
      <c r="BQ9" s="19">
        <v>9.84</v>
      </c>
      <c r="BR9" s="19">
        <v>21.975999999999999</v>
      </c>
      <c r="BS9" s="19"/>
      <c r="BT9" s="19"/>
      <c r="BU9" s="19"/>
      <c r="BV9" s="19">
        <v>0</v>
      </c>
      <c r="BW9" s="19">
        <v>0</v>
      </c>
      <c r="BX9" s="19">
        <v>0</v>
      </c>
      <c r="BY9" s="19">
        <v>15.907999999999999</v>
      </c>
      <c r="BZ9" s="19">
        <v>9.84</v>
      </c>
      <c r="CA9" s="19">
        <v>21.975999999999999</v>
      </c>
      <c r="CB9" s="19"/>
      <c r="CC9" s="19"/>
      <c r="CD9" s="19"/>
      <c r="CE9" s="19">
        <v>0</v>
      </c>
      <c r="CF9" s="19">
        <v>0</v>
      </c>
      <c r="CG9" s="19">
        <v>0</v>
      </c>
      <c r="CH9" s="19">
        <v>8.3419999999999987</v>
      </c>
      <c r="CI9" s="19">
        <v>5.16</v>
      </c>
      <c r="CJ9" s="19">
        <v>11.523999999999999</v>
      </c>
      <c r="CK9" s="19"/>
      <c r="CL9" s="19"/>
      <c r="CM9" s="19"/>
      <c r="CN9" s="19">
        <v>0</v>
      </c>
      <c r="CO9" s="19">
        <v>0</v>
      </c>
      <c r="CP9" s="19">
        <v>0.53600000000000003</v>
      </c>
      <c r="CQ9" s="19"/>
      <c r="CR9" s="19"/>
      <c r="CS9" s="19"/>
      <c r="CT9" s="19"/>
      <c r="CU9" s="11">
        <f>Tabelle58971121[[#This Row],[Mindestauslastung durch]]*Tabelle58971121[[#This Row],[installierte Leistung MW durch]]</f>
        <v>0</v>
      </c>
      <c r="CV9" s="11">
        <f>Tabelle58971121[[#This Row],[Mindestauslastung min]]*Tabelle58971121[[#This Row],[installierte Leistung MW min]]</f>
        <v>0</v>
      </c>
      <c r="CW9" s="11">
        <f>Tabelle58971121[[#This Row],[Mindestauslastung max]]*Tabelle58971121[[#This Row],[installierte Leistung MW max]]</f>
        <v>0</v>
      </c>
      <c r="CX9" s="9">
        <v>0</v>
      </c>
      <c r="CY9" s="9">
        <v>0</v>
      </c>
      <c r="CZ9" s="9">
        <v>0</v>
      </c>
      <c r="DA9" s="9"/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0.16</v>
      </c>
      <c r="DL9" s="9">
        <v>0.16</v>
      </c>
      <c r="DM9" s="9">
        <v>0.16</v>
      </c>
      <c r="DN9" s="9">
        <v>0.16</v>
      </c>
      <c r="DO9" s="9">
        <v>0.16</v>
      </c>
      <c r="DP9" s="9">
        <v>0.16</v>
      </c>
      <c r="DQ9" s="9">
        <v>0.09</v>
      </c>
      <c r="DR9" s="9">
        <v>0.09</v>
      </c>
      <c r="DS9" s="9">
        <v>0.09</v>
      </c>
      <c r="DT9" s="9">
        <v>0.82</v>
      </c>
      <c r="DU9" s="9">
        <v>0.82</v>
      </c>
      <c r="DV9" s="9">
        <v>0.82</v>
      </c>
      <c r="DW9" s="9">
        <v>0.82</v>
      </c>
      <c r="DX9" s="9">
        <v>0.82</v>
      </c>
      <c r="DY9" s="9">
        <v>0.82</v>
      </c>
      <c r="DZ9" s="9">
        <v>0.43</v>
      </c>
      <c r="EA9" s="9">
        <v>0.43</v>
      </c>
      <c r="EB9" s="9">
        <v>0.43</v>
      </c>
      <c r="EC9" s="9"/>
      <c r="ED9" s="9"/>
      <c r="EE9" s="9"/>
      <c r="EF9" s="46">
        <f>Tabelle58971121[[#This Row],[Durchschnittsauslastung min]]*Tabelle58971121[[#This Row],[installierte Leistung MW min]]</f>
        <v>0</v>
      </c>
      <c r="EG9" s="46">
        <f>Tabelle58971121[[#This Row],[Durchschnittsauslastung durch]]*Tabelle58971121[[#This Row],[installierte Leistung MW durch]]</f>
        <v>0</v>
      </c>
      <c r="EH9" s="46">
        <f>Tabelle58971121[[#This Row],[Durchschnittsauslastung max]]*Tabelle58971121[[#This Row],[installierte Leistung MW max]]</f>
        <v>0</v>
      </c>
      <c r="EI9" s="83">
        <f>Tabelle58971121[[#This Row],[Maximalauslastung durch]]*Tabelle58971121[[#This Row],[installierte Leistung MW min]]</f>
        <v>4.92</v>
      </c>
      <c r="EJ9" s="46">
        <f>Tabelle58971121[[#This Row],[Maximalauslastung durch]]*Tabelle58971121[[#This Row],[installierte Leistung MW durch]]</f>
        <v>7.9539999999999988</v>
      </c>
      <c r="EK9" s="19">
        <f>Tabelle58971121[[#This Row],[Maximalauslastung max]]*Tabelle58971121[[#This Row],[installierte Leistung MW durch]]</f>
        <v>8.73</v>
      </c>
      <c r="EL9" s="9">
        <v>0.41</v>
      </c>
      <c r="EM9" s="9">
        <v>0.37</v>
      </c>
      <c r="EN9" s="9">
        <v>0.45</v>
      </c>
      <c r="EO9" s="1">
        <v>19.399999999999999</v>
      </c>
      <c r="EP9" s="1">
        <v>12</v>
      </c>
      <c r="EQ9" s="1">
        <v>26.8</v>
      </c>
      <c r="ER9" s="19"/>
      <c r="ES9" s="19"/>
      <c r="EX9" s="1">
        <v>2</v>
      </c>
      <c r="EY9" s="1">
        <v>1.6</v>
      </c>
      <c r="EZ9" s="1">
        <v>2.4</v>
      </c>
      <c r="FD9" s="1">
        <v>2</v>
      </c>
      <c r="FE9" s="1">
        <v>1.6</v>
      </c>
      <c r="FF9" s="1">
        <v>2.4</v>
      </c>
      <c r="FG9" s="1">
        <v>24</v>
      </c>
      <c r="FJ9" s="1">
        <v>2.6</v>
      </c>
      <c r="FK9" s="1">
        <v>1.8</v>
      </c>
      <c r="FL9" s="1">
        <v>3.4</v>
      </c>
      <c r="FP9" s="1">
        <v>243</v>
      </c>
      <c r="FQ9" s="1">
        <v>219</v>
      </c>
      <c r="FR9" s="1">
        <v>267</v>
      </c>
      <c r="FS9" s="11"/>
      <c r="FT9" s="11"/>
      <c r="FU9" s="11"/>
      <c r="FV9" s="1">
        <v>243</v>
      </c>
      <c r="FW9" s="1">
        <v>219</v>
      </c>
      <c r="FX9" s="1">
        <v>267</v>
      </c>
      <c r="FZ9" s="19"/>
      <c r="GA9" s="19"/>
      <c r="GB9" s="19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 t="s">
        <v>1084</v>
      </c>
      <c r="GO9" s="8" t="s">
        <v>1084</v>
      </c>
      <c r="GP9" s="8" t="s">
        <v>1084</v>
      </c>
      <c r="GS9" s="1">
        <v>67</v>
      </c>
      <c r="GT9" s="1">
        <v>67</v>
      </c>
      <c r="GU9" s="1">
        <v>67</v>
      </c>
      <c r="GV9" s="13" t="s">
        <v>806</v>
      </c>
      <c r="GW9" s="13" t="s">
        <v>806</v>
      </c>
      <c r="GX9" s="13" t="s">
        <v>806</v>
      </c>
      <c r="GY9" s="13"/>
      <c r="GZ9" s="13" t="s">
        <v>806</v>
      </c>
      <c r="HA9" s="13" t="s">
        <v>806</v>
      </c>
      <c r="HB9" s="13" t="s">
        <v>806</v>
      </c>
      <c r="HC9" s="13" t="s">
        <v>806</v>
      </c>
      <c r="HD9" s="13" t="s">
        <v>806</v>
      </c>
      <c r="HE9" s="13" t="s">
        <v>806</v>
      </c>
      <c r="HF9" s="13" t="s">
        <v>806</v>
      </c>
      <c r="HI9" s="13" t="s">
        <v>806</v>
      </c>
      <c r="HJ9" s="13" t="s">
        <v>806</v>
      </c>
      <c r="HL9" s="13" t="s">
        <v>806</v>
      </c>
    </row>
    <row r="10" spans="1:223" ht="12.75" customHeight="1" x14ac:dyDescent="0.25">
      <c r="A10" s="1" t="s">
        <v>362</v>
      </c>
      <c r="B10" s="1" t="s">
        <v>650</v>
      </c>
      <c r="E10" s="1" t="s">
        <v>127</v>
      </c>
      <c r="F10" s="1">
        <v>2</v>
      </c>
      <c r="G10" s="1">
        <v>2015</v>
      </c>
      <c r="H10" s="1">
        <v>1</v>
      </c>
      <c r="I10" s="1">
        <v>0</v>
      </c>
      <c r="J10" s="1">
        <v>0</v>
      </c>
      <c r="K10" s="19"/>
      <c r="L10" s="19"/>
      <c r="M10" s="19"/>
      <c r="N10" s="19"/>
      <c r="O10" s="19"/>
      <c r="P10" s="19"/>
      <c r="Q10" s="19">
        <v>206.65199999999999</v>
      </c>
      <c r="R10" s="19">
        <v>135.39400000000001</v>
      </c>
      <c r="S10" s="19">
        <v>293.27</v>
      </c>
      <c r="T10" s="19"/>
      <c r="U10" s="19"/>
      <c r="V10" s="19"/>
      <c r="W10" s="19">
        <v>0.84600000000000009</v>
      </c>
      <c r="X10" s="19">
        <v>0</v>
      </c>
      <c r="Y10" s="19">
        <v>11.506</v>
      </c>
      <c r="Z10" s="19">
        <v>122.992</v>
      </c>
      <c r="AA10" s="19">
        <v>79.153999999999996</v>
      </c>
      <c r="AB10" s="19">
        <v>176.99</v>
      </c>
      <c r="AC10" s="19"/>
      <c r="AD10" s="19"/>
      <c r="AE10" s="19"/>
      <c r="AF10" s="19">
        <v>43.566000000000003</v>
      </c>
      <c r="AG10" s="19">
        <v>33.44</v>
      </c>
      <c r="AH10" s="19">
        <v>64.545999999999992</v>
      </c>
      <c r="AI10" s="19">
        <v>7.9859999999999998</v>
      </c>
      <c r="AJ10" s="19">
        <v>1.6160000000000001</v>
      </c>
      <c r="AK10" s="19">
        <v>17.481999999999999</v>
      </c>
      <c r="AL10" s="19">
        <v>115.148</v>
      </c>
      <c r="AM10" s="19">
        <v>80.513999999999996</v>
      </c>
      <c r="AN10" s="19">
        <v>156.43199999999999</v>
      </c>
      <c r="AO10" s="19">
        <v>39.497999999999998</v>
      </c>
      <c r="AP10" s="19">
        <v>7.0680000000000014</v>
      </c>
      <c r="AQ10" s="19">
        <v>82.207999999999998</v>
      </c>
      <c r="AR10" s="19"/>
      <c r="AS10" s="19"/>
      <c r="AT10" s="19"/>
      <c r="AU10" s="19">
        <v>76.98599999999999</v>
      </c>
      <c r="AV10" s="19">
        <v>27.745999999999999</v>
      </c>
      <c r="AW10" s="19">
        <v>140.59399999999999</v>
      </c>
      <c r="AX10" s="19">
        <v>21.698</v>
      </c>
      <c r="AY10" s="19">
        <v>7.0680000000000014</v>
      </c>
      <c r="AZ10" s="19">
        <v>41.408000000000001</v>
      </c>
      <c r="BA10" s="19"/>
      <c r="BB10" s="19"/>
      <c r="BC10" s="19"/>
      <c r="BD10" s="19">
        <v>94.785999999999987</v>
      </c>
      <c r="BE10" s="19">
        <v>58.146000000000001</v>
      </c>
      <c r="BF10" s="19">
        <v>140.59399999999999</v>
      </c>
      <c r="BG10" s="19">
        <v>1.75</v>
      </c>
      <c r="BH10" s="19">
        <v>0</v>
      </c>
      <c r="BI10" s="19">
        <v>9.92</v>
      </c>
      <c r="BJ10" s="19"/>
      <c r="BK10" s="19"/>
      <c r="BL10" s="19"/>
      <c r="BM10" s="19">
        <v>121.384</v>
      </c>
      <c r="BN10" s="19">
        <v>85.423999999999992</v>
      </c>
      <c r="BO10" s="19">
        <v>158.672</v>
      </c>
      <c r="BP10" s="19">
        <v>0</v>
      </c>
      <c r="BQ10" s="19">
        <v>0</v>
      </c>
      <c r="BR10" s="19">
        <v>0</v>
      </c>
      <c r="BS10" s="19"/>
      <c r="BT10" s="19"/>
      <c r="BU10" s="19"/>
      <c r="BV10" s="19">
        <v>123.134</v>
      </c>
      <c r="BW10" s="19">
        <v>91.683999999999997</v>
      </c>
      <c r="BX10" s="19">
        <v>158.672</v>
      </c>
      <c r="BY10" s="19">
        <v>0</v>
      </c>
      <c r="BZ10" s="19">
        <v>0</v>
      </c>
      <c r="CA10" s="19">
        <v>0</v>
      </c>
      <c r="CB10" s="19"/>
      <c r="CC10" s="19"/>
      <c r="CD10" s="19"/>
      <c r="CE10" s="19">
        <v>123.134</v>
      </c>
      <c r="CF10" s="19">
        <v>91.683999999999997</v>
      </c>
      <c r="CG10" s="19">
        <v>158.672</v>
      </c>
      <c r="CH10" s="19">
        <v>0</v>
      </c>
      <c r="CI10" s="19">
        <v>0</v>
      </c>
      <c r="CJ10" s="19">
        <v>0</v>
      </c>
      <c r="CK10" s="19"/>
      <c r="CL10" s="19"/>
      <c r="CM10" s="19"/>
      <c r="CN10" s="19">
        <v>123.134</v>
      </c>
      <c r="CO10" s="19">
        <v>91.683999999999997</v>
      </c>
      <c r="CP10" s="19">
        <v>158.672</v>
      </c>
      <c r="CQ10" s="19"/>
      <c r="CR10" s="19"/>
      <c r="CS10" s="19"/>
      <c r="CT10" s="19"/>
      <c r="CU10" s="11">
        <f>Tabelle58971121[[#This Row],[Mindestauslastung durch]]*Tabelle58971121[[#This Row],[installierte Leistung MW durch]]</f>
        <v>131.34</v>
      </c>
      <c r="CV10" s="11">
        <f>Tabelle58971121[[#This Row],[Mindestauslastung min]]*Tabelle58971121[[#This Row],[installierte Leistung MW min]]</f>
        <v>108.3</v>
      </c>
      <c r="CW10" s="11">
        <f>Tabelle58971121[[#This Row],[Mindestauslastung max]]*Tabelle58971121[[#This Row],[installierte Leistung MW max]]</f>
        <v>154.38</v>
      </c>
      <c r="CX10" s="9">
        <v>0.06</v>
      </c>
      <c r="CY10" s="9">
        <v>0.06</v>
      </c>
      <c r="CZ10" s="9">
        <v>0.06</v>
      </c>
      <c r="DA10" s="9"/>
      <c r="DB10" s="9">
        <v>0.47399999999999998</v>
      </c>
      <c r="DC10" s="9">
        <v>0.374</v>
      </c>
      <c r="DD10" s="9">
        <v>0.57399999999999995</v>
      </c>
      <c r="DE10" s="9">
        <v>0.38</v>
      </c>
      <c r="DF10" s="9">
        <v>0.3</v>
      </c>
      <c r="DG10" s="9">
        <v>0.46</v>
      </c>
      <c r="DH10" s="9">
        <v>3.5999999999999997E-2</v>
      </c>
      <c r="DI10" s="9">
        <v>8.0000000000000002E-3</v>
      </c>
      <c r="DJ10" s="9">
        <v>6.6000000000000003E-2</v>
      </c>
      <c r="DK10" s="9">
        <v>0.104</v>
      </c>
      <c r="DL10" s="9">
        <v>4.3999999999999997E-2</v>
      </c>
      <c r="DM10" s="9">
        <v>0.16400000000000001</v>
      </c>
      <c r="DN10" s="9">
        <v>8.4000000000000005E-2</v>
      </c>
      <c r="DO10" s="9">
        <v>4.3999999999999997E-2</v>
      </c>
      <c r="DP10" s="9">
        <v>0.124</v>
      </c>
      <c r="DQ10" s="9">
        <v>8.0000000000000002E-3</v>
      </c>
      <c r="DR10" s="9">
        <v>0</v>
      </c>
      <c r="DS10" s="9">
        <v>3.7999999999999999E-2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/>
      <c r="ED10" s="9"/>
      <c r="EE10" s="9"/>
      <c r="EF10" s="46">
        <f>Tabelle58971121[[#This Row],[Durchschnittsauslastung min]]*Tabelle58971121[[#This Row],[installierte Leistung MW min]]</f>
        <v>0</v>
      </c>
      <c r="EG10" s="46">
        <f>Tabelle58971121[[#This Row],[Durchschnittsauslastung durch]]*Tabelle58971121[[#This Row],[installierte Leistung MW durch]]</f>
        <v>0</v>
      </c>
      <c r="EH10" s="46">
        <f>Tabelle58971121[[#This Row],[Durchschnittsauslastung max]]*Tabelle58971121[[#This Row],[installierte Leistung MW max]]</f>
        <v>0</v>
      </c>
      <c r="EI10" s="83">
        <f>Tabelle58971121[[#This Row],[Maximalauslastung durch]]*Tabelle58971121[[#This Row],[installierte Leistung MW min]]</f>
        <v>548.72</v>
      </c>
      <c r="EJ10" s="46">
        <f>Tabelle58971121[[#This Row],[Maximalauslastung durch]]*Tabelle58971121[[#This Row],[installierte Leistung MW durch]]</f>
        <v>665.45600000000002</v>
      </c>
      <c r="EK10" s="19">
        <f>Tabelle58971121[[#This Row],[Maximalauslastung max]]*Tabelle58971121[[#This Row],[installierte Leistung MW durch]]</f>
        <v>726.74800000000005</v>
      </c>
      <c r="EL10" s="9">
        <v>0.30399999999999999</v>
      </c>
      <c r="EM10" s="9">
        <v>0.27600000000000002</v>
      </c>
      <c r="EN10" s="9">
        <v>0.33200000000000002</v>
      </c>
      <c r="EO10" s="1">
        <v>2189</v>
      </c>
      <c r="EP10" s="1">
        <v>1805</v>
      </c>
      <c r="EQ10" s="1">
        <v>2573</v>
      </c>
      <c r="ER10" s="19"/>
      <c r="ES10" s="19"/>
      <c r="EX10" s="1">
        <v>0.19400000000000001</v>
      </c>
      <c r="EY10" s="1">
        <v>3.9999999999999987E-2</v>
      </c>
      <c r="EZ10" s="1">
        <v>0.44</v>
      </c>
      <c r="FP10" s="1">
        <v>365</v>
      </c>
      <c r="FQ10" s="1">
        <v>292</v>
      </c>
      <c r="FR10" s="1">
        <v>438</v>
      </c>
      <c r="FS10" s="11"/>
      <c r="FT10" s="11"/>
      <c r="FU10" s="11"/>
      <c r="FV10" s="1">
        <v>365</v>
      </c>
      <c r="FW10" s="1">
        <v>292</v>
      </c>
      <c r="FX10" s="1">
        <v>438</v>
      </c>
      <c r="FZ10" s="19"/>
      <c r="GA10" s="19"/>
      <c r="GB10" s="19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 t="s">
        <v>1084</v>
      </c>
      <c r="GO10" s="8" t="s">
        <v>1084</v>
      </c>
      <c r="GP10" s="8" t="s">
        <v>1084</v>
      </c>
      <c r="GS10" s="1">
        <v>67</v>
      </c>
      <c r="GT10" s="1">
        <v>67</v>
      </c>
      <c r="GU10" s="1">
        <v>67</v>
      </c>
      <c r="GV10" s="13" t="s">
        <v>806</v>
      </c>
      <c r="GW10" s="13" t="s">
        <v>806</v>
      </c>
      <c r="GX10" s="13" t="s">
        <v>806</v>
      </c>
      <c r="GY10" s="13"/>
      <c r="GZ10" s="13" t="s">
        <v>806</v>
      </c>
      <c r="HA10" s="13" t="s">
        <v>806</v>
      </c>
      <c r="HB10" s="13" t="s">
        <v>806</v>
      </c>
      <c r="HC10" s="13" t="s">
        <v>806</v>
      </c>
      <c r="HD10" s="13" t="s">
        <v>806</v>
      </c>
      <c r="HE10" s="13" t="s">
        <v>806</v>
      </c>
      <c r="HF10" s="13" t="s">
        <v>806</v>
      </c>
      <c r="HI10" s="13" t="s">
        <v>806</v>
      </c>
      <c r="HJ10" s="13" t="s">
        <v>806</v>
      </c>
      <c r="HL10" s="13" t="s">
        <v>806</v>
      </c>
    </row>
    <row r="11" spans="1:223" ht="12.75" customHeight="1" x14ac:dyDescent="0.25">
      <c r="A11" s="1" t="s">
        <v>362</v>
      </c>
      <c r="B11" s="1" t="s">
        <v>650</v>
      </c>
      <c r="E11" s="1" t="s">
        <v>127</v>
      </c>
      <c r="F11" s="1">
        <v>2</v>
      </c>
      <c r="G11" s="1">
        <v>2020</v>
      </c>
      <c r="H11" s="1">
        <v>1</v>
      </c>
      <c r="I11" s="1">
        <v>0</v>
      </c>
      <c r="J11" s="1">
        <v>0</v>
      </c>
      <c r="K11" s="19"/>
      <c r="L11" s="19"/>
      <c r="M11" s="19"/>
      <c r="N11" s="19"/>
      <c r="O11" s="19"/>
      <c r="P11" s="19"/>
      <c r="Q11" s="19">
        <v>225.25067999999999</v>
      </c>
      <c r="R11" s="19">
        <v>147.57946000000001</v>
      </c>
      <c r="S11" s="19">
        <v>319.66430000000003</v>
      </c>
      <c r="T11" s="19"/>
      <c r="U11" s="19"/>
      <c r="V11" s="19"/>
      <c r="W11" s="19">
        <v>0.92214000000000018</v>
      </c>
      <c r="X11" s="19">
        <v>0</v>
      </c>
      <c r="Y11" s="19">
        <v>12.541540000000001</v>
      </c>
      <c r="Z11" s="19">
        <v>134.06128000000001</v>
      </c>
      <c r="AA11" s="19">
        <v>86.277860000000004</v>
      </c>
      <c r="AB11" s="19">
        <v>192.91910000000001</v>
      </c>
      <c r="AC11" s="19"/>
      <c r="AD11" s="19"/>
      <c r="AE11" s="19"/>
      <c r="AF11" s="19">
        <v>47.486940000000004</v>
      </c>
      <c r="AG11" s="19">
        <v>36.449599999999997</v>
      </c>
      <c r="AH11" s="19">
        <v>70.355139999999992</v>
      </c>
      <c r="AI11" s="19">
        <v>8.704740000000001</v>
      </c>
      <c r="AJ11" s="19">
        <v>1.7614400000000003</v>
      </c>
      <c r="AK11" s="19">
        <v>19.05538</v>
      </c>
      <c r="AL11" s="19">
        <v>125.51132000000001</v>
      </c>
      <c r="AM11" s="19">
        <v>87.760260000000002</v>
      </c>
      <c r="AN11" s="19">
        <v>170.51087999999999</v>
      </c>
      <c r="AO11" s="19">
        <v>43.052819999999997</v>
      </c>
      <c r="AP11" s="19">
        <v>7.7041200000000023</v>
      </c>
      <c r="AQ11" s="19">
        <v>89.60672000000001</v>
      </c>
      <c r="AR11" s="19"/>
      <c r="AS11" s="19"/>
      <c r="AT11" s="19"/>
      <c r="AU11" s="19">
        <v>83.914739999999995</v>
      </c>
      <c r="AV11" s="19">
        <v>30.24314</v>
      </c>
      <c r="AW11" s="19">
        <v>153.24746000000002</v>
      </c>
      <c r="AX11" s="19">
        <v>23.650820000000003</v>
      </c>
      <c r="AY11" s="19">
        <v>7.7041200000000023</v>
      </c>
      <c r="AZ11" s="19">
        <v>45.134720000000002</v>
      </c>
      <c r="BA11" s="19"/>
      <c r="BB11" s="19"/>
      <c r="BC11" s="19"/>
      <c r="BD11" s="19">
        <v>103.31674</v>
      </c>
      <c r="BE11" s="19">
        <v>63.379140000000007</v>
      </c>
      <c r="BF11" s="19">
        <v>153.24746000000002</v>
      </c>
      <c r="BG11" s="19">
        <v>1.9075000000000002</v>
      </c>
      <c r="BH11" s="19">
        <v>0</v>
      </c>
      <c r="BI11" s="19">
        <v>10.812800000000001</v>
      </c>
      <c r="BJ11" s="19"/>
      <c r="BK11" s="19"/>
      <c r="BL11" s="19"/>
      <c r="BM11" s="19">
        <v>132.30856</v>
      </c>
      <c r="BN11" s="19">
        <v>93.112160000000003</v>
      </c>
      <c r="BO11" s="19">
        <v>172.95248000000001</v>
      </c>
      <c r="BP11" s="19">
        <v>0</v>
      </c>
      <c r="BQ11" s="19">
        <v>0</v>
      </c>
      <c r="BR11" s="19">
        <v>0</v>
      </c>
      <c r="BS11" s="19"/>
      <c r="BT11" s="19"/>
      <c r="BU11" s="19"/>
      <c r="BV11" s="19">
        <v>134.21606</v>
      </c>
      <c r="BW11" s="19">
        <v>99.935560000000009</v>
      </c>
      <c r="BX11" s="19">
        <v>172.95248000000001</v>
      </c>
      <c r="BY11" s="19">
        <v>0</v>
      </c>
      <c r="BZ11" s="19">
        <v>0</v>
      </c>
      <c r="CA11" s="19">
        <v>0</v>
      </c>
      <c r="CB11" s="19"/>
      <c r="CC11" s="19"/>
      <c r="CD11" s="19"/>
      <c r="CE11" s="19">
        <v>134.21606</v>
      </c>
      <c r="CF11" s="19">
        <v>99.935560000000009</v>
      </c>
      <c r="CG11" s="19">
        <v>172.95248000000001</v>
      </c>
      <c r="CH11" s="19">
        <v>0</v>
      </c>
      <c r="CI11" s="19">
        <v>0</v>
      </c>
      <c r="CJ11" s="19">
        <v>0</v>
      </c>
      <c r="CK11" s="19"/>
      <c r="CL11" s="19"/>
      <c r="CM11" s="19"/>
      <c r="CN11" s="19">
        <v>134.21606</v>
      </c>
      <c r="CO11" s="19">
        <v>99.935560000000009</v>
      </c>
      <c r="CP11" s="19">
        <v>172.95248000000001</v>
      </c>
      <c r="CQ11" s="19"/>
      <c r="CR11" s="19"/>
      <c r="CS11" s="19"/>
      <c r="CT11" s="19"/>
      <c r="CU11" s="11">
        <f>Tabelle58971121[[#This Row],[Mindestauslastung durch]]*Tabelle58971121[[#This Row],[installierte Leistung MW durch]]</f>
        <v>142.10159999999999</v>
      </c>
      <c r="CV11" s="11">
        <f>Tabelle58971121[[#This Row],[Mindestauslastung min]]*Tabelle58971121[[#This Row],[installierte Leistung MW min]]</f>
        <v>117.0558</v>
      </c>
      <c r="CW11" s="11">
        <f>Tabelle58971121[[#This Row],[Mindestauslastung max]]*Tabelle58971121[[#This Row],[installierte Leistung MW max]]</f>
        <v>167.1474</v>
      </c>
      <c r="CX11" s="9">
        <v>0.06</v>
      </c>
      <c r="CY11" s="9">
        <v>0.06</v>
      </c>
      <c r="CZ11" s="9">
        <v>0.06</v>
      </c>
      <c r="DA11" s="9"/>
      <c r="DB11" s="9">
        <v>0.47399999999999998</v>
      </c>
      <c r="DC11" s="9">
        <v>0.374</v>
      </c>
      <c r="DD11" s="9">
        <v>0.57399999999999995</v>
      </c>
      <c r="DE11" s="9">
        <v>0.38</v>
      </c>
      <c r="DF11" s="9">
        <v>0.3</v>
      </c>
      <c r="DG11" s="9">
        <v>0.46</v>
      </c>
      <c r="DH11" s="9">
        <v>3.5999999999999997E-2</v>
      </c>
      <c r="DI11" s="9">
        <v>8.0000000000000002E-3</v>
      </c>
      <c r="DJ11" s="9">
        <v>6.6000000000000003E-2</v>
      </c>
      <c r="DK11" s="9">
        <v>0.104</v>
      </c>
      <c r="DL11" s="9">
        <v>4.3999999999999997E-2</v>
      </c>
      <c r="DM11" s="9">
        <v>0.16400000000000001</v>
      </c>
      <c r="DN11" s="9">
        <v>8.4000000000000005E-2</v>
      </c>
      <c r="DO11" s="9">
        <v>4.3999999999999997E-2</v>
      </c>
      <c r="DP11" s="9">
        <v>0.124</v>
      </c>
      <c r="DQ11" s="9">
        <v>8.0000000000000002E-3</v>
      </c>
      <c r="DR11" s="9">
        <v>0</v>
      </c>
      <c r="DS11" s="9">
        <v>3.7999999999999999E-2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/>
      <c r="ED11" s="9"/>
      <c r="EE11" s="9"/>
      <c r="EF11" s="46">
        <f>Tabelle58971121[[#This Row],[Durchschnittsauslastung min]]*Tabelle58971121[[#This Row],[installierte Leistung MW min]]</f>
        <v>0</v>
      </c>
      <c r="EG11" s="46">
        <f>Tabelle58971121[[#This Row],[Durchschnittsauslastung durch]]*Tabelle58971121[[#This Row],[installierte Leistung MW durch]]</f>
        <v>0</v>
      </c>
      <c r="EH11" s="46">
        <f>Tabelle58971121[[#This Row],[Durchschnittsauslastung max]]*Tabelle58971121[[#This Row],[installierte Leistung MW max]]</f>
        <v>0</v>
      </c>
      <c r="EI11" s="83">
        <f>Tabelle58971121[[#This Row],[Maximalauslastung durch]]*Tabelle58971121[[#This Row],[installierte Leistung MW min]]</f>
        <v>593.08271999999999</v>
      </c>
      <c r="EJ11" s="46">
        <f>Tabelle58971121[[#This Row],[Maximalauslastung durch]]*Tabelle58971121[[#This Row],[installierte Leistung MW durch]]</f>
        <v>719.98144000000002</v>
      </c>
      <c r="EK11" s="19">
        <f>Tabelle58971121[[#This Row],[Maximalauslastung max]]*Tabelle58971121[[#This Row],[installierte Leistung MW durch]]</f>
        <v>786.29552000000012</v>
      </c>
      <c r="EL11" s="9">
        <v>0.30399999999999999</v>
      </c>
      <c r="EM11" s="9">
        <v>0.27600000000000002</v>
      </c>
      <c r="EN11" s="9">
        <v>0.33200000000000002</v>
      </c>
      <c r="EO11" s="1">
        <v>2368.36</v>
      </c>
      <c r="EP11" s="1">
        <v>1950.93</v>
      </c>
      <c r="EQ11" s="1">
        <v>2785.79</v>
      </c>
      <c r="ER11" s="19"/>
      <c r="ES11" s="19"/>
      <c r="EX11" s="1">
        <v>0.19400000000000001</v>
      </c>
      <c r="EY11" s="1">
        <v>3.9999999999999987E-2</v>
      </c>
      <c r="EZ11" s="1">
        <v>0.44</v>
      </c>
      <c r="FP11" s="1">
        <v>365</v>
      </c>
      <c r="FQ11" s="1">
        <v>292</v>
      </c>
      <c r="FR11" s="1">
        <v>438</v>
      </c>
      <c r="FS11" s="11"/>
      <c r="FT11" s="11"/>
      <c r="FU11" s="11"/>
      <c r="FV11" s="1">
        <v>365</v>
      </c>
      <c r="FW11" s="1">
        <v>292</v>
      </c>
      <c r="FX11" s="1">
        <v>438</v>
      </c>
      <c r="FZ11" s="19"/>
      <c r="GA11" s="19"/>
      <c r="GB11" s="19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 t="s">
        <v>1084</v>
      </c>
      <c r="GO11" s="8" t="s">
        <v>1084</v>
      </c>
      <c r="GP11" s="8" t="s">
        <v>1084</v>
      </c>
      <c r="GS11" s="1">
        <v>67</v>
      </c>
      <c r="GT11" s="1">
        <v>67</v>
      </c>
      <c r="GU11" s="1">
        <v>67</v>
      </c>
      <c r="GV11" s="13" t="s">
        <v>806</v>
      </c>
      <c r="GW11" s="13" t="s">
        <v>806</v>
      </c>
      <c r="GX11" s="13" t="s">
        <v>806</v>
      </c>
      <c r="GY11" s="13"/>
      <c r="GZ11" s="13" t="s">
        <v>806</v>
      </c>
      <c r="HA11" s="13" t="s">
        <v>806</v>
      </c>
      <c r="HB11" s="13" t="s">
        <v>806</v>
      </c>
      <c r="HC11" s="13" t="s">
        <v>806</v>
      </c>
      <c r="HD11" s="13" t="s">
        <v>806</v>
      </c>
      <c r="HE11" s="13" t="s">
        <v>806</v>
      </c>
      <c r="HF11" s="13" t="s">
        <v>806</v>
      </c>
      <c r="HI11" s="13" t="s">
        <v>806</v>
      </c>
      <c r="HJ11" s="13" t="s">
        <v>806</v>
      </c>
      <c r="HL11" s="13" t="s">
        <v>806</v>
      </c>
    </row>
    <row r="12" spans="1:223" ht="12.75" customHeight="1" x14ac:dyDescent="0.25">
      <c r="A12" s="1" t="s">
        <v>362</v>
      </c>
      <c r="B12" s="1" t="s">
        <v>650</v>
      </c>
      <c r="E12" s="1" t="s">
        <v>127</v>
      </c>
      <c r="F12" s="1">
        <v>2</v>
      </c>
      <c r="G12" s="1">
        <v>2025</v>
      </c>
      <c r="H12" s="1">
        <v>1</v>
      </c>
      <c r="I12" s="1">
        <v>0</v>
      </c>
      <c r="J12" s="1">
        <v>0</v>
      </c>
      <c r="K12" s="19"/>
      <c r="L12" s="19"/>
      <c r="M12" s="19"/>
      <c r="N12" s="19"/>
      <c r="O12" s="19"/>
      <c r="P12" s="19"/>
      <c r="Q12" s="19">
        <v>247.15579199999996</v>
      </c>
      <c r="R12" s="19">
        <v>161.93122399999999</v>
      </c>
      <c r="S12" s="19">
        <v>350.75091999999995</v>
      </c>
      <c r="T12" s="19"/>
      <c r="U12" s="19"/>
      <c r="V12" s="19"/>
      <c r="W12" s="19">
        <v>1.011816</v>
      </c>
      <c r="X12" s="19">
        <v>0</v>
      </c>
      <c r="Y12" s="19">
        <v>13.761175999999999</v>
      </c>
      <c r="Z12" s="19">
        <v>147.098432</v>
      </c>
      <c r="AA12" s="19">
        <v>94.668183999999997</v>
      </c>
      <c r="AB12" s="19">
        <v>211.68003999999999</v>
      </c>
      <c r="AC12" s="19"/>
      <c r="AD12" s="19"/>
      <c r="AE12" s="19"/>
      <c r="AF12" s="19">
        <v>52.104936000000002</v>
      </c>
      <c r="AG12" s="19">
        <v>39.994239999999998</v>
      </c>
      <c r="AH12" s="19">
        <v>77.197015999999991</v>
      </c>
      <c r="AI12" s="19">
        <v>9.5512559999999986</v>
      </c>
      <c r="AJ12" s="19">
        <v>1.932736</v>
      </c>
      <c r="AK12" s="19">
        <v>20.908472</v>
      </c>
      <c r="AL12" s="19">
        <v>137.71700799999999</v>
      </c>
      <c r="AM12" s="19">
        <v>96.294743999999994</v>
      </c>
      <c r="AN12" s="19">
        <v>187.09267199999996</v>
      </c>
      <c r="AO12" s="19">
        <v>47.239607999999997</v>
      </c>
      <c r="AP12" s="19">
        <v>8.4533280000000008</v>
      </c>
      <c r="AQ12" s="19">
        <v>98.320768000000001</v>
      </c>
      <c r="AR12" s="19"/>
      <c r="AS12" s="19"/>
      <c r="AT12" s="19"/>
      <c r="AU12" s="19">
        <v>92.075255999999982</v>
      </c>
      <c r="AV12" s="19">
        <v>33.184215999999999</v>
      </c>
      <c r="AW12" s="19">
        <v>168.15042399999999</v>
      </c>
      <c r="AX12" s="19">
        <v>25.950807999999999</v>
      </c>
      <c r="AY12" s="19">
        <v>8.4533280000000008</v>
      </c>
      <c r="AZ12" s="19">
        <v>49.523967999999996</v>
      </c>
      <c r="BA12" s="19"/>
      <c r="BB12" s="19"/>
      <c r="BC12" s="19"/>
      <c r="BD12" s="19">
        <v>113.36405599999998</v>
      </c>
      <c r="BE12" s="19">
        <v>69.542615999999995</v>
      </c>
      <c r="BF12" s="19">
        <v>168.15042399999999</v>
      </c>
      <c r="BG12" s="19">
        <v>2.093</v>
      </c>
      <c r="BH12" s="19">
        <v>0</v>
      </c>
      <c r="BI12" s="19">
        <v>11.864319999999999</v>
      </c>
      <c r="BJ12" s="19"/>
      <c r="BK12" s="19"/>
      <c r="BL12" s="19"/>
      <c r="BM12" s="19">
        <v>145.175264</v>
      </c>
      <c r="BN12" s="19">
        <v>102.16710399999998</v>
      </c>
      <c r="BO12" s="19">
        <v>189.77171199999998</v>
      </c>
      <c r="BP12" s="19">
        <v>0</v>
      </c>
      <c r="BQ12" s="19">
        <v>0</v>
      </c>
      <c r="BR12" s="19">
        <v>0</v>
      </c>
      <c r="BS12" s="19"/>
      <c r="BT12" s="19"/>
      <c r="BU12" s="19"/>
      <c r="BV12" s="19">
        <v>147.26826399999999</v>
      </c>
      <c r="BW12" s="19">
        <v>109.65406399999999</v>
      </c>
      <c r="BX12" s="19">
        <v>189.77171199999998</v>
      </c>
      <c r="BY12" s="19">
        <v>0</v>
      </c>
      <c r="BZ12" s="19">
        <v>0</v>
      </c>
      <c r="CA12" s="19">
        <v>0</v>
      </c>
      <c r="CB12" s="19"/>
      <c r="CC12" s="19"/>
      <c r="CD12" s="19"/>
      <c r="CE12" s="19">
        <v>147.26826399999999</v>
      </c>
      <c r="CF12" s="19">
        <v>109.65406399999999</v>
      </c>
      <c r="CG12" s="19">
        <v>189.77171199999998</v>
      </c>
      <c r="CH12" s="19">
        <v>0</v>
      </c>
      <c r="CI12" s="19">
        <v>0</v>
      </c>
      <c r="CJ12" s="19">
        <v>0</v>
      </c>
      <c r="CK12" s="19"/>
      <c r="CL12" s="19"/>
      <c r="CM12" s="19"/>
      <c r="CN12" s="19">
        <v>147.26826399999999</v>
      </c>
      <c r="CO12" s="19">
        <v>109.65406399999999</v>
      </c>
      <c r="CP12" s="19">
        <v>189.77171199999998</v>
      </c>
      <c r="CQ12" s="19"/>
      <c r="CR12" s="19"/>
      <c r="CS12" s="19"/>
      <c r="CT12" s="19"/>
      <c r="CU12" s="11">
        <f>Tabelle58971121[[#This Row],[Mindestauslastung durch]]*Tabelle58971121[[#This Row],[installierte Leistung MW durch]]</f>
        <v>154.3092</v>
      </c>
      <c r="CV12" s="11">
        <f>Tabelle58971121[[#This Row],[Mindestauslastung min]]*Tabelle58971121[[#This Row],[installierte Leistung MW min]]</f>
        <v>126.96300000000001</v>
      </c>
      <c r="CW12" s="11">
        <f>Tabelle58971121[[#This Row],[Mindestauslastung max]]*Tabelle58971121[[#This Row],[installierte Leistung MW max]]</f>
        <v>181.65540000000001</v>
      </c>
      <c r="CX12" s="9">
        <v>0.06</v>
      </c>
      <c r="CY12" s="9">
        <v>0.06</v>
      </c>
      <c r="CZ12" s="9">
        <v>0.06</v>
      </c>
      <c r="DA12" s="9"/>
      <c r="DB12" s="9">
        <v>0.47399999999999998</v>
      </c>
      <c r="DC12" s="9">
        <v>0.374</v>
      </c>
      <c r="DD12" s="9">
        <v>0.57399999999999995</v>
      </c>
      <c r="DE12" s="9">
        <v>0.38</v>
      </c>
      <c r="DF12" s="9">
        <v>0.3</v>
      </c>
      <c r="DG12" s="9">
        <v>0.46</v>
      </c>
      <c r="DH12" s="9">
        <v>3.5999999999999997E-2</v>
      </c>
      <c r="DI12" s="9">
        <v>8.0000000000000002E-3</v>
      </c>
      <c r="DJ12" s="9">
        <v>6.6000000000000003E-2</v>
      </c>
      <c r="DK12" s="9">
        <v>0.104</v>
      </c>
      <c r="DL12" s="9">
        <v>4.3999999999999997E-2</v>
      </c>
      <c r="DM12" s="9">
        <v>0.16400000000000001</v>
      </c>
      <c r="DN12" s="9">
        <v>8.4000000000000005E-2</v>
      </c>
      <c r="DO12" s="9">
        <v>4.3999999999999997E-2</v>
      </c>
      <c r="DP12" s="9">
        <v>0.124</v>
      </c>
      <c r="DQ12" s="9">
        <v>8.0000000000000002E-3</v>
      </c>
      <c r="DR12" s="9">
        <v>0</v>
      </c>
      <c r="DS12" s="9">
        <v>3.7999999999999999E-2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/>
      <c r="ED12" s="9"/>
      <c r="EE12" s="9"/>
      <c r="EF12" s="46">
        <f>Tabelle58971121[[#This Row],[Durchschnittsauslastung min]]*Tabelle58971121[[#This Row],[installierte Leistung MW min]]</f>
        <v>0</v>
      </c>
      <c r="EG12" s="46">
        <f>Tabelle58971121[[#This Row],[Durchschnittsauslastung durch]]*Tabelle58971121[[#This Row],[installierte Leistung MW durch]]</f>
        <v>0</v>
      </c>
      <c r="EH12" s="46">
        <f>Tabelle58971121[[#This Row],[Durchschnittsauslastung max]]*Tabelle58971121[[#This Row],[installierte Leistung MW max]]</f>
        <v>0</v>
      </c>
      <c r="EI12" s="83">
        <f>Tabelle58971121[[#This Row],[Maximalauslastung durch]]*Tabelle58971121[[#This Row],[installierte Leistung MW min]]</f>
        <v>643.27920000000006</v>
      </c>
      <c r="EJ12" s="46">
        <f>Tabelle58971121[[#This Row],[Maximalauslastung durch]]*Tabelle58971121[[#This Row],[installierte Leistung MW durch]]</f>
        <v>781.83328000000006</v>
      </c>
      <c r="EK12" s="19">
        <f>Tabelle58971121[[#This Row],[Maximalauslastung max]]*Tabelle58971121[[#This Row],[installierte Leistung MW durch]]</f>
        <v>853.84424000000013</v>
      </c>
      <c r="EL12" s="9">
        <v>0.30399999999999999</v>
      </c>
      <c r="EM12" s="9">
        <v>0.27600000000000002</v>
      </c>
      <c r="EN12" s="9">
        <v>0.33200000000000002</v>
      </c>
      <c r="EO12" s="1">
        <v>2571.8200000000002</v>
      </c>
      <c r="EP12" s="1">
        <v>2116.0500000000002</v>
      </c>
      <c r="EQ12" s="1">
        <v>3027.59</v>
      </c>
      <c r="ER12" s="19"/>
      <c r="ES12" s="19"/>
      <c r="EX12" s="1">
        <v>0.19400000000000001</v>
      </c>
      <c r="EY12" s="1">
        <v>3.9999999999999987E-2</v>
      </c>
      <c r="EZ12" s="1">
        <v>0.44</v>
      </c>
      <c r="FP12" s="1">
        <v>365</v>
      </c>
      <c r="FQ12" s="1">
        <v>292</v>
      </c>
      <c r="FR12" s="1">
        <v>438</v>
      </c>
      <c r="FS12" s="11"/>
      <c r="FT12" s="11"/>
      <c r="FU12" s="11"/>
      <c r="FV12" s="1">
        <v>365</v>
      </c>
      <c r="FW12" s="1">
        <v>292</v>
      </c>
      <c r="FX12" s="1">
        <v>438</v>
      </c>
      <c r="FZ12" s="19"/>
      <c r="GA12" s="19"/>
      <c r="GB12" s="19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 t="s">
        <v>1084</v>
      </c>
      <c r="GO12" s="8" t="s">
        <v>1084</v>
      </c>
      <c r="GP12" s="8" t="s">
        <v>1084</v>
      </c>
      <c r="GS12" s="1">
        <v>67</v>
      </c>
      <c r="GT12" s="1">
        <v>67</v>
      </c>
      <c r="GU12" s="1">
        <v>67</v>
      </c>
      <c r="GV12" s="13" t="s">
        <v>806</v>
      </c>
      <c r="GW12" s="13" t="s">
        <v>806</v>
      </c>
      <c r="GX12" s="13" t="s">
        <v>806</v>
      </c>
      <c r="GY12" s="13"/>
      <c r="GZ12" s="13" t="s">
        <v>806</v>
      </c>
      <c r="HA12" s="13" t="s">
        <v>806</v>
      </c>
      <c r="HB12" s="13" t="s">
        <v>806</v>
      </c>
      <c r="HC12" s="13" t="s">
        <v>806</v>
      </c>
      <c r="HD12" s="13" t="s">
        <v>806</v>
      </c>
      <c r="HE12" s="13" t="s">
        <v>806</v>
      </c>
      <c r="HF12" s="13" t="s">
        <v>806</v>
      </c>
      <c r="HI12" s="13" t="s">
        <v>806</v>
      </c>
      <c r="HJ12" s="13" t="s">
        <v>806</v>
      </c>
      <c r="HL12" s="13" t="s">
        <v>806</v>
      </c>
    </row>
    <row r="13" spans="1:223" ht="12.75" customHeight="1" x14ac:dyDescent="0.25">
      <c r="A13" s="1" t="s">
        <v>362</v>
      </c>
      <c r="B13" s="1" t="s">
        <v>650</v>
      </c>
      <c r="E13" s="1" t="s">
        <v>127</v>
      </c>
      <c r="F13" s="1">
        <v>2</v>
      </c>
      <c r="G13" s="1">
        <v>2030</v>
      </c>
      <c r="H13" s="1">
        <v>1</v>
      </c>
      <c r="I13" s="1">
        <v>0</v>
      </c>
      <c r="J13" s="1">
        <v>0</v>
      </c>
      <c r="K13" s="19"/>
      <c r="L13" s="19"/>
      <c r="M13" s="19"/>
      <c r="N13" s="19"/>
      <c r="O13" s="19"/>
      <c r="P13" s="19"/>
      <c r="Q13" s="19">
        <v>274.43385599999999</v>
      </c>
      <c r="R13" s="19">
        <v>179.80323200000001</v>
      </c>
      <c r="S13" s="19">
        <v>389.46256</v>
      </c>
      <c r="T13" s="19"/>
      <c r="U13" s="19"/>
      <c r="V13" s="19"/>
      <c r="W13" s="19">
        <v>1.1234880000000003</v>
      </c>
      <c r="X13" s="19">
        <v>0</v>
      </c>
      <c r="Y13" s="19">
        <v>15.279968</v>
      </c>
      <c r="Z13" s="19">
        <v>163.33337600000002</v>
      </c>
      <c r="AA13" s="19">
        <v>105.116512</v>
      </c>
      <c r="AB13" s="19">
        <v>235.04272000000003</v>
      </c>
      <c r="AC13" s="19"/>
      <c r="AD13" s="19"/>
      <c r="AE13" s="19"/>
      <c r="AF13" s="19">
        <v>57.855648000000009</v>
      </c>
      <c r="AG13" s="19">
        <v>44.408319999999996</v>
      </c>
      <c r="AH13" s="19">
        <v>85.71708799999999</v>
      </c>
      <c r="AI13" s="19">
        <v>10.605408000000001</v>
      </c>
      <c r="AJ13" s="19">
        <v>2.1460480000000004</v>
      </c>
      <c r="AK13" s="19">
        <v>23.216096</v>
      </c>
      <c r="AL13" s="19">
        <v>152.91654400000002</v>
      </c>
      <c r="AM13" s="19">
        <v>106.92259199999999</v>
      </c>
      <c r="AN13" s="19">
        <v>207.74169599999999</v>
      </c>
      <c r="AO13" s="19">
        <v>52.453344000000001</v>
      </c>
      <c r="AP13" s="19">
        <v>9.3863040000000026</v>
      </c>
      <c r="AQ13" s="19">
        <v>109.172224</v>
      </c>
      <c r="AR13" s="19"/>
      <c r="AS13" s="19"/>
      <c r="AT13" s="19"/>
      <c r="AU13" s="19">
        <v>102.23740799999999</v>
      </c>
      <c r="AV13" s="19">
        <v>36.846688</v>
      </c>
      <c r="AW13" s="19">
        <v>186.708832</v>
      </c>
      <c r="AX13" s="19">
        <v>28.814944000000001</v>
      </c>
      <c r="AY13" s="19">
        <v>9.3863040000000026</v>
      </c>
      <c r="AZ13" s="19">
        <v>54.989824000000006</v>
      </c>
      <c r="BA13" s="19"/>
      <c r="BB13" s="19"/>
      <c r="BC13" s="19"/>
      <c r="BD13" s="19">
        <v>125.87580799999999</v>
      </c>
      <c r="BE13" s="19">
        <v>77.217888000000002</v>
      </c>
      <c r="BF13" s="19">
        <v>186.708832</v>
      </c>
      <c r="BG13" s="19">
        <v>2.3240000000000003</v>
      </c>
      <c r="BH13" s="19">
        <v>0</v>
      </c>
      <c r="BI13" s="19">
        <v>13.173760000000001</v>
      </c>
      <c r="BJ13" s="19"/>
      <c r="BK13" s="19"/>
      <c r="BL13" s="19"/>
      <c r="BM13" s="19">
        <v>161.19795200000002</v>
      </c>
      <c r="BN13" s="19">
        <v>113.443072</v>
      </c>
      <c r="BO13" s="19">
        <v>210.71641600000001</v>
      </c>
      <c r="BP13" s="19">
        <v>0</v>
      </c>
      <c r="BQ13" s="19">
        <v>0</v>
      </c>
      <c r="BR13" s="19">
        <v>0</v>
      </c>
      <c r="BS13" s="19"/>
      <c r="BT13" s="19"/>
      <c r="BU13" s="19"/>
      <c r="BV13" s="19">
        <v>163.521952</v>
      </c>
      <c r="BW13" s="19">
        <v>121.75635200000001</v>
      </c>
      <c r="BX13" s="19">
        <v>210.71641600000001</v>
      </c>
      <c r="BY13" s="19">
        <v>0</v>
      </c>
      <c r="BZ13" s="19">
        <v>0</v>
      </c>
      <c r="CA13" s="19">
        <v>0</v>
      </c>
      <c r="CB13" s="19"/>
      <c r="CC13" s="19"/>
      <c r="CD13" s="19"/>
      <c r="CE13" s="19">
        <v>163.521952</v>
      </c>
      <c r="CF13" s="19">
        <v>121.75635200000001</v>
      </c>
      <c r="CG13" s="19">
        <v>210.71641600000001</v>
      </c>
      <c r="CH13" s="19">
        <v>0</v>
      </c>
      <c r="CI13" s="19">
        <v>0</v>
      </c>
      <c r="CJ13" s="19">
        <v>0</v>
      </c>
      <c r="CK13" s="19"/>
      <c r="CL13" s="19"/>
      <c r="CM13" s="19"/>
      <c r="CN13" s="19">
        <v>163.521952</v>
      </c>
      <c r="CO13" s="19">
        <v>121.75635200000001</v>
      </c>
      <c r="CP13" s="19">
        <v>210.71641600000001</v>
      </c>
      <c r="CQ13" s="19"/>
      <c r="CR13" s="19"/>
      <c r="CS13" s="19"/>
      <c r="CT13" s="19"/>
      <c r="CU13" s="11">
        <f>Tabelle58971121[[#This Row],[Mindestauslastung durch]]*Tabelle58971121[[#This Row],[installierte Leistung MW durch]]</f>
        <v>168.96180000000001</v>
      </c>
      <c r="CV13" s="11">
        <f>Tabelle58971121[[#This Row],[Mindestauslastung min]]*Tabelle58971121[[#This Row],[installierte Leistung MW min]]</f>
        <v>138.8322</v>
      </c>
      <c r="CW13" s="11">
        <f>Tabelle58971121[[#This Row],[Mindestauslastung max]]*Tabelle58971121[[#This Row],[installierte Leistung MW max]]</f>
        <v>199.09139999999999</v>
      </c>
      <c r="CX13" s="9">
        <v>0.06</v>
      </c>
      <c r="CY13" s="9">
        <v>0.06</v>
      </c>
      <c r="CZ13" s="9">
        <v>0.06</v>
      </c>
      <c r="DA13" s="9"/>
      <c r="DB13" s="9">
        <v>0.47399999999999998</v>
      </c>
      <c r="DC13" s="9">
        <v>0.374</v>
      </c>
      <c r="DD13" s="9">
        <v>0.57399999999999995</v>
      </c>
      <c r="DE13" s="9">
        <v>0.38</v>
      </c>
      <c r="DF13" s="9">
        <v>0.3</v>
      </c>
      <c r="DG13" s="9">
        <v>0.46</v>
      </c>
      <c r="DH13" s="9">
        <v>3.5999999999999997E-2</v>
      </c>
      <c r="DI13" s="9">
        <v>8.0000000000000002E-3</v>
      </c>
      <c r="DJ13" s="9">
        <v>6.6000000000000003E-2</v>
      </c>
      <c r="DK13" s="9">
        <v>0.104</v>
      </c>
      <c r="DL13" s="9">
        <v>4.3999999999999997E-2</v>
      </c>
      <c r="DM13" s="9">
        <v>0.16400000000000001</v>
      </c>
      <c r="DN13" s="9">
        <v>8.4000000000000005E-2</v>
      </c>
      <c r="DO13" s="9">
        <v>4.3999999999999997E-2</v>
      </c>
      <c r="DP13" s="9">
        <v>0.124</v>
      </c>
      <c r="DQ13" s="9">
        <v>8.0000000000000002E-3</v>
      </c>
      <c r="DR13" s="9">
        <v>0</v>
      </c>
      <c r="DS13" s="9">
        <v>3.7999999999999999E-2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/>
      <c r="ED13" s="9"/>
      <c r="EE13" s="9"/>
      <c r="EF13" s="46">
        <f>Tabelle58971121[[#This Row],[Durchschnittsauslastung min]]*Tabelle58971121[[#This Row],[installierte Leistung MW min]]</f>
        <v>0</v>
      </c>
      <c r="EG13" s="46">
        <f>Tabelle58971121[[#This Row],[Durchschnittsauslastung durch]]*Tabelle58971121[[#This Row],[installierte Leistung MW durch]]</f>
        <v>0</v>
      </c>
      <c r="EH13" s="46">
        <f>Tabelle58971121[[#This Row],[Durchschnittsauslastung max]]*Tabelle58971121[[#This Row],[installierte Leistung MW max]]</f>
        <v>0</v>
      </c>
      <c r="EI13" s="83">
        <f>Tabelle58971121[[#This Row],[Maximalauslastung durch]]*Tabelle58971121[[#This Row],[installierte Leistung MW min]]</f>
        <v>703.41647999999998</v>
      </c>
      <c r="EJ13" s="46">
        <f>Tabelle58971121[[#This Row],[Maximalauslastung durch]]*Tabelle58971121[[#This Row],[installierte Leistung MW durch]]</f>
        <v>856.07312000000002</v>
      </c>
      <c r="EK13" s="19">
        <f>Tabelle58971121[[#This Row],[Maximalauslastung max]]*Tabelle58971121[[#This Row],[installierte Leistung MW durch]]</f>
        <v>934.92196000000013</v>
      </c>
      <c r="EL13" s="9">
        <v>0.30399999999999999</v>
      </c>
      <c r="EM13" s="9">
        <v>0.27600000000000002</v>
      </c>
      <c r="EN13" s="9">
        <v>0.33200000000000002</v>
      </c>
      <c r="EO13" s="1">
        <v>2816.03</v>
      </c>
      <c r="EP13" s="1">
        <v>2313.87</v>
      </c>
      <c r="EQ13" s="1">
        <v>3318.19</v>
      </c>
      <c r="ER13" s="19"/>
      <c r="ES13" s="19"/>
      <c r="EX13" s="1">
        <v>0.19400000000000001</v>
      </c>
      <c r="EY13" s="1">
        <v>3.9999999999999987E-2</v>
      </c>
      <c r="EZ13" s="1">
        <v>0.44</v>
      </c>
      <c r="FP13" s="1">
        <v>365</v>
      </c>
      <c r="FQ13" s="1">
        <v>292</v>
      </c>
      <c r="FR13" s="1">
        <v>438</v>
      </c>
      <c r="FS13" s="11"/>
      <c r="FT13" s="11"/>
      <c r="FU13" s="11"/>
      <c r="FV13" s="1">
        <v>365</v>
      </c>
      <c r="FW13" s="1">
        <v>292</v>
      </c>
      <c r="FX13" s="1">
        <v>438</v>
      </c>
      <c r="FZ13" s="19"/>
      <c r="GA13" s="19"/>
      <c r="GB13" s="19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 t="s">
        <v>1084</v>
      </c>
      <c r="GO13" s="8" t="s">
        <v>1084</v>
      </c>
      <c r="GP13" s="8" t="s">
        <v>1084</v>
      </c>
      <c r="GS13" s="1">
        <v>67</v>
      </c>
      <c r="GT13" s="1">
        <v>67</v>
      </c>
      <c r="GU13" s="1">
        <v>67</v>
      </c>
      <c r="GV13" s="13" t="s">
        <v>806</v>
      </c>
      <c r="GW13" s="13" t="s">
        <v>806</v>
      </c>
      <c r="GX13" s="13" t="s">
        <v>806</v>
      </c>
      <c r="GY13" s="13"/>
      <c r="GZ13" s="13" t="s">
        <v>806</v>
      </c>
      <c r="HA13" s="13" t="s">
        <v>806</v>
      </c>
      <c r="HB13" s="13" t="s">
        <v>806</v>
      </c>
      <c r="HC13" s="13" t="s">
        <v>806</v>
      </c>
      <c r="HD13" s="13" t="s">
        <v>806</v>
      </c>
      <c r="HE13" s="13" t="s">
        <v>806</v>
      </c>
      <c r="HF13" s="13" t="s">
        <v>806</v>
      </c>
      <c r="HI13" s="13" t="s">
        <v>806</v>
      </c>
      <c r="HJ13" s="13" t="s">
        <v>806</v>
      </c>
      <c r="HL13" s="13" t="s">
        <v>806</v>
      </c>
    </row>
    <row r="14" spans="1:223" ht="12.75" customHeight="1" x14ac:dyDescent="0.25">
      <c r="A14" s="1" t="s">
        <v>362</v>
      </c>
      <c r="B14" s="1" t="s">
        <v>650</v>
      </c>
      <c r="E14" s="1" t="s">
        <v>127</v>
      </c>
      <c r="F14" s="1">
        <v>2</v>
      </c>
      <c r="G14" s="1">
        <v>2035</v>
      </c>
      <c r="H14" s="1">
        <v>1</v>
      </c>
      <c r="I14" s="1">
        <v>0</v>
      </c>
      <c r="J14" s="1">
        <v>0</v>
      </c>
      <c r="K14" s="19"/>
      <c r="L14" s="19"/>
      <c r="M14" s="19"/>
      <c r="N14" s="19"/>
      <c r="O14" s="19"/>
      <c r="P14" s="19"/>
      <c r="Q14" s="19">
        <v>306.67156799999998</v>
      </c>
      <c r="R14" s="19">
        <v>200.92469600000001</v>
      </c>
      <c r="S14" s="19">
        <v>435.21267999999998</v>
      </c>
      <c r="T14" s="19"/>
      <c r="U14" s="19"/>
      <c r="V14" s="19"/>
      <c r="W14" s="19">
        <v>1.2554640000000001</v>
      </c>
      <c r="X14" s="19">
        <v>0</v>
      </c>
      <c r="Y14" s="19">
        <v>17.074904</v>
      </c>
      <c r="Z14" s="19">
        <v>182.520128</v>
      </c>
      <c r="AA14" s="19">
        <v>117.464536</v>
      </c>
      <c r="AB14" s="19">
        <v>262.65316000000001</v>
      </c>
      <c r="AC14" s="19"/>
      <c r="AD14" s="19"/>
      <c r="AE14" s="19"/>
      <c r="AF14" s="19">
        <v>64.651944</v>
      </c>
      <c r="AG14" s="19">
        <v>49.624959999999994</v>
      </c>
      <c r="AH14" s="19">
        <v>95.786263999999989</v>
      </c>
      <c r="AI14" s="19">
        <v>11.851224</v>
      </c>
      <c r="AJ14" s="19">
        <v>2.3981440000000003</v>
      </c>
      <c r="AK14" s="19">
        <v>25.943287999999999</v>
      </c>
      <c r="AL14" s="19">
        <v>170.87963199999999</v>
      </c>
      <c r="AM14" s="19">
        <v>119.48277599999999</v>
      </c>
      <c r="AN14" s="19">
        <v>232.14508799999999</v>
      </c>
      <c r="AO14" s="19">
        <v>58.615031999999999</v>
      </c>
      <c r="AP14" s="19">
        <v>10.488912000000003</v>
      </c>
      <c r="AQ14" s="19">
        <v>121.99667199999999</v>
      </c>
      <c r="AR14" s="19"/>
      <c r="AS14" s="19"/>
      <c r="AT14" s="19"/>
      <c r="AU14" s="19">
        <v>114.24722399999999</v>
      </c>
      <c r="AV14" s="19">
        <v>41.175063999999999</v>
      </c>
      <c r="AW14" s="19">
        <v>208.64149599999999</v>
      </c>
      <c r="AX14" s="19">
        <v>32.199832000000001</v>
      </c>
      <c r="AY14" s="19">
        <v>10.488912000000003</v>
      </c>
      <c r="AZ14" s="19">
        <v>61.449472</v>
      </c>
      <c r="BA14" s="19"/>
      <c r="BB14" s="19"/>
      <c r="BC14" s="19"/>
      <c r="BD14" s="19">
        <v>140.66242399999999</v>
      </c>
      <c r="BE14" s="19">
        <v>86.288663999999997</v>
      </c>
      <c r="BF14" s="19">
        <v>208.64149599999999</v>
      </c>
      <c r="BG14" s="19">
        <v>2.597</v>
      </c>
      <c r="BH14" s="19">
        <v>0</v>
      </c>
      <c r="BI14" s="19">
        <v>14.72128</v>
      </c>
      <c r="BJ14" s="19"/>
      <c r="BK14" s="19"/>
      <c r="BL14" s="19"/>
      <c r="BM14" s="19">
        <v>180.13385600000001</v>
      </c>
      <c r="BN14" s="19">
        <v>126.76921599999999</v>
      </c>
      <c r="BO14" s="19">
        <v>235.46924799999999</v>
      </c>
      <c r="BP14" s="19">
        <v>0</v>
      </c>
      <c r="BQ14" s="19">
        <v>0</v>
      </c>
      <c r="BR14" s="19">
        <v>0</v>
      </c>
      <c r="BS14" s="19"/>
      <c r="BT14" s="19"/>
      <c r="BU14" s="19"/>
      <c r="BV14" s="19">
        <v>182.73085599999999</v>
      </c>
      <c r="BW14" s="19">
        <v>136.059056</v>
      </c>
      <c r="BX14" s="19">
        <v>235.46924799999999</v>
      </c>
      <c r="BY14" s="19">
        <v>0</v>
      </c>
      <c r="BZ14" s="19">
        <v>0</v>
      </c>
      <c r="CA14" s="19">
        <v>0</v>
      </c>
      <c r="CB14" s="19"/>
      <c r="CC14" s="19"/>
      <c r="CD14" s="19"/>
      <c r="CE14" s="19">
        <v>182.73085599999999</v>
      </c>
      <c r="CF14" s="19">
        <v>136.059056</v>
      </c>
      <c r="CG14" s="19">
        <v>235.46924799999999</v>
      </c>
      <c r="CH14" s="19">
        <v>0</v>
      </c>
      <c r="CI14" s="19">
        <v>0</v>
      </c>
      <c r="CJ14" s="19">
        <v>0</v>
      </c>
      <c r="CK14" s="19"/>
      <c r="CL14" s="19"/>
      <c r="CM14" s="19"/>
      <c r="CN14" s="19">
        <v>182.73085599999999</v>
      </c>
      <c r="CO14" s="19">
        <v>136.059056</v>
      </c>
      <c r="CP14" s="19">
        <v>235.46924799999999</v>
      </c>
      <c r="CQ14" s="19"/>
      <c r="CR14" s="19"/>
      <c r="CS14" s="19"/>
      <c r="CT14" s="19"/>
      <c r="CU14" s="11">
        <f>Tabelle58971121[[#This Row],[Mindestauslastung durch]]*Tabelle58971121[[#This Row],[installierte Leistung MW durch]]</f>
        <v>185.90819999999999</v>
      </c>
      <c r="CV14" s="11">
        <f>Tabelle58971121[[#This Row],[Mindestauslastung min]]*Tabelle58971121[[#This Row],[installierte Leistung MW min]]</f>
        <v>152.55359999999993</v>
      </c>
      <c r="CW14" s="11">
        <f>Tabelle58971121[[#This Row],[Mindestauslastung max]]*Tabelle58971121[[#This Row],[installierte Leistung MW max]]</f>
        <v>219.2628</v>
      </c>
      <c r="CX14" s="9">
        <v>0.06</v>
      </c>
      <c r="CY14" s="9">
        <v>0.06</v>
      </c>
      <c r="CZ14" s="9">
        <v>0.06</v>
      </c>
      <c r="DA14" s="9"/>
      <c r="DB14" s="9">
        <v>0.47399999999999998</v>
      </c>
      <c r="DC14" s="9">
        <v>0.374</v>
      </c>
      <c r="DD14" s="9">
        <v>0.57399999999999995</v>
      </c>
      <c r="DE14" s="9">
        <v>0.38</v>
      </c>
      <c r="DF14" s="9">
        <v>0.3</v>
      </c>
      <c r="DG14" s="9">
        <v>0.46</v>
      </c>
      <c r="DH14" s="9">
        <v>3.5999999999999997E-2</v>
      </c>
      <c r="DI14" s="9">
        <v>8.0000000000000002E-3</v>
      </c>
      <c r="DJ14" s="9">
        <v>6.6000000000000003E-2</v>
      </c>
      <c r="DK14" s="9">
        <v>0.104</v>
      </c>
      <c r="DL14" s="9">
        <v>4.3999999999999997E-2</v>
      </c>
      <c r="DM14" s="9">
        <v>0.16400000000000001</v>
      </c>
      <c r="DN14" s="9">
        <v>8.4000000000000005E-2</v>
      </c>
      <c r="DO14" s="9">
        <v>4.3999999999999997E-2</v>
      </c>
      <c r="DP14" s="9">
        <v>0.124</v>
      </c>
      <c r="DQ14" s="9">
        <v>8.0000000000000002E-3</v>
      </c>
      <c r="DR14" s="9">
        <v>0</v>
      </c>
      <c r="DS14" s="9">
        <v>3.7999999999999999E-2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/>
      <c r="ED14" s="9"/>
      <c r="EE14" s="9"/>
      <c r="EF14" s="46">
        <f>Tabelle58971121[[#This Row],[Durchschnittsauslastung min]]*Tabelle58971121[[#This Row],[installierte Leistung MW min]]</f>
        <v>0</v>
      </c>
      <c r="EG14" s="46">
        <f>Tabelle58971121[[#This Row],[Durchschnittsauslastung durch]]*Tabelle58971121[[#This Row],[installierte Leistung MW durch]]</f>
        <v>0</v>
      </c>
      <c r="EH14" s="46">
        <f>Tabelle58971121[[#This Row],[Durchschnittsauslastung max]]*Tabelle58971121[[#This Row],[installierte Leistung MW max]]</f>
        <v>0</v>
      </c>
      <c r="EI14" s="83">
        <f>Tabelle58971121[[#This Row],[Maximalauslastung durch]]*Tabelle58971121[[#This Row],[installierte Leistung MW min]]</f>
        <v>772.93823999999972</v>
      </c>
      <c r="EJ14" s="46">
        <f>Tabelle58971121[[#This Row],[Maximalauslastung durch]]*Tabelle58971121[[#This Row],[installierte Leistung MW durch]]</f>
        <v>941.93487999999991</v>
      </c>
      <c r="EK14" s="19">
        <f>Tabelle58971121[[#This Row],[Maximalauslastung max]]*Tabelle58971121[[#This Row],[installierte Leistung MW durch]]</f>
        <v>1028.6920399999999</v>
      </c>
      <c r="EL14" s="9">
        <v>0.30399999999999999</v>
      </c>
      <c r="EM14" s="9">
        <v>0.27600000000000002</v>
      </c>
      <c r="EN14" s="9">
        <v>0.33200000000000002</v>
      </c>
      <c r="EO14" s="1">
        <v>3098.47</v>
      </c>
      <c r="EP14" s="1">
        <v>2542.559999999999</v>
      </c>
      <c r="EQ14" s="1">
        <v>3654.38</v>
      </c>
      <c r="ER14" s="19"/>
      <c r="ES14" s="19"/>
      <c r="EX14" s="1">
        <v>0.19400000000000001</v>
      </c>
      <c r="EY14" s="1">
        <v>3.9999999999999987E-2</v>
      </c>
      <c r="EZ14" s="1">
        <v>0.44</v>
      </c>
      <c r="FP14" s="1">
        <v>365</v>
      </c>
      <c r="FQ14" s="1">
        <v>292</v>
      </c>
      <c r="FR14" s="1">
        <v>438</v>
      </c>
      <c r="FS14" s="11"/>
      <c r="FT14" s="11"/>
      <c r="FU14" s="11"/>
      <c r="FV14" s="1">
        <v>365</v>
      </c>
      <c r="FW14" s="1">
        <v>292</v>
      </c>
      <c r="FX14" s="1">
        <v>438</v>
      </c>
      <c r="FZ14" s="19"/>
      <c r="GA14" s="19"/>
      <c r="GB14" s="19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 t="s">
        <v>1084</v>
      </c>
      <c r="GO14" s="8" t="s">
        <v>1084</v>
      </c>
      <c r="GP14" s="8" t="s">
        <v>1084</v>
      </c>
      <c r="GS14" s="1">
        <v>67</v>
      </c>
      <c r="GT14" s="1">
        <v>67</v>
      </c>
      <c r="GU14" s="1">
        <v>67</v>
      </c>
      <c r="GV14" s="13" t="s">
        <v>806</v>
      </c>
      <c r="GW14" s="13" t="s">
        <v>806</v>
      </c>
      <c r="GX14" s="13" t="s">
        <v>806</v>
      </c>
      <c r="GY14" s="13"/>
      <c r="GZ14" s="13" t="s">
        <v>806</v>
      </c>
      <c r="HA14" s="13" t="s">
        <v>806</v>
      </c>
      <c r="HB14" s="13" t="s">
        <v>806</v>
      </c>
      <c r="HC14" s="13" t="s">
        <v>806</v>
      </c>
      <c r="HD14" s="13" t="s">
        <v>806</v>
      </c>
      <c r="HE14" s="13" t="s">
        <v>806</v>
      </c>
      <c r="HF14" s="13" t="s">
        <v>806</v>
      </c>
      <c r="HI14" s="13" t="s">
        <v>806</v>
      </c>
      <c r="HJ14" s="13" t="s">
        <v>806</v>
      </c>
      <c r="HL14" s="13" t="s">
        <v>806</v>
      </c>
    </row>
    <row r="15" spans="1:223" ht="12.75" customHeight="1" x14ac:dyDescent="0.25">
      <c r="A15" s="1" t="s">
        <v>362</v>
      </c>
      <c r="B15" s="1" t="s">
        <v>650</v>
      </c>
      <c r="E15" s="1" t="s">
        <v>127</v>
      </c>
      <c r="F15" s="1">
        <v>2</v>
      </c>
      <c r="G15" s="1">
        <v>2040</v>
      </c>
      <c r="H15" s="1">
        <v>1</v>
      </c>
      <c r="I15" s="1">
        <v>0</v>
      </c>
      <c r="J15" s="1">
        <v>0</v>
      </c>
      <c r="K15" s="19"/>
      <c r="L15" s="19"/>
      <c r="M15" s="19"/>
      <c r="N15" s="19"/>
      <c r="O15" s="19"/>
      <c r="P15" s="19"/>
      <c r="Q15" s="19">
        <v>345.52214399999997</v>
      </c>
      <c r="R15" s="19">
        <v>226.37876800000001</v>
      </c>
      <c r="S15" s="19">
        <v>490.34743999999995</v>
      </c>
      <c r="T15" s="19"/>
      <c r="U15" s="19"/>
      <c r="V15" s="19"/>
      <c r="W15" s="19">
        <v>1.414512</v>
      </c>
      <c r="X15" s="19">
        <v>0</v>
      </c>
      <c r="Y15" s="19">
        <v>19.238032</v>
      </c>
      <c r="Z15" s="19">
        <v>205.64262400000001</v>
      </c>
      <c r="AA15" s="19">
        <v>132.34548799999999</v>
      </c>
      <c r="AB15" s="19">
        <v>295.92728</v>
      </c>
      <c r="AC15" s="19"/>
      <c r="AD15" s="19"/>
      <c r="AE15" s="19"/>
      <c r="AF15" s="19">
        <v>72.842352000000005</v>
      </c>
      <c r="AG15" s="19">
        <v>55.911679999999997</v>
      </c>
      <c r="AH15" s="19">
        <v>107.92091199999999</v>
      </c>
      <c r="AI15" s="19">
        <v>13.352592</v>
      </c>
      <c r="AJ15" s="19">
        <v>2.7019519999999999</v>
      </c>
      <c r="AK15" s="19">
        <v>29.229903999999998</v>
      </c>
      <c r="AL15" s="19">
        <v>192.52745599999997</v>
      </c>
      <c r="AM15" s="19">
        <v>134.61940799999999</v>
      </c>
      <c r="AN15" s="19">
        <v>261.55430399999995</v>
      </c>
      <c r="AO15" s="19">
        <v>66.040655999999998</v>
      </c>
      <c r="AP15" s="19">
        <v>11.817696000000002</v>
      </c>
      <c r="AQ15" s="19">
        <v>137.451776</v>
      </c>
      <c r="AR15" s="19"/>
      <c r="AS15" s="19"/>
      <c r="AT15" s="19"/>
      <c r="AU15" s="19">
        <v>128.72059199999998</v>
      </c>
      <c r="AV15" s="19">
        <v>46.391311999999999</v>
      </c>
      <c r="AW15" s="19">
        <v>235.07316799999998</v>
      </c>
      <c r="AX15" s="19">
        <v>36.279055999999997</v>
      </c>
      <c r="AY15" s="19">
        <v>11.817696000000002</v>
      </c>
      <c r="AZ15" s="19">
        <v>69.234176000000005</v>
      </c>
      <c r="BA15" s="19"/>
      <c r="BB15" s="19"/>
      <c r="BC15" s="19"/>
      <c r="BD15" s="19">
        <v>158.48219199999997</v>
      </c>
      <c r="BE15" s="19">
        <v>97.220112</v>
      </c>
      <c r="BF15" s="19">
        <v>235.07316799999998</v>
      </c>
      <c r="BG15" s="19">
        <v>2.9259999999999997</v>
      </c>
      <c r="BH15" s="19">
        <v>0</v>
      </c>
      <c r="BI15" s="19">
        <v>16.58624</v>
      </c>
      <c r="BJ15" s="19"/>
      <c r="BK15" s="19"/>
      <c r="BL15" s="19"/>
      <c r="BM15" s="19">
        <v>202.954048</v>
      </c>
      <c r="BN15" s="19">
        <v>142.82892799999999</v>
      </c>
      <c r="BO15" s="19">
        <v>265.29958399999998</v>
      </c>
      <c r="BP15" s="19">
        <v>0</v>
      </c>
      <c r="BQ15" s="19">
        <v>0</v>
      </c>
      <c r="BR15" s="19">
        <v>0</v>
      </c>
      <c r="BS15" s="19"/>
      <c r="BT15" s="19"/>
      <c r="BU15" s="19"/>
      <c r="BV15" s="19">
        <v>205.88004799999999</v>
      </c>
      <c r="BW15" s="19">
        <v>153.295648</v>
      </c>
      <c r="BX15" s="19">
        <v>265.29958399999998</v>
      </c>
      <c r="BY15" s="19">
        <v>0</v>
      </c>
      <c r="BZ15" s="19">
        <v>0</v>
      </c>
      <c r="CA15" s="19">
        <v>0</v>
      </c>
      <c r="CB15" s="19"/>
      <c r="CC15" s="19"/>
      <c r="CD15" s="19"/>
      <c r="CE15" s="19">
        <v>205.88004799999999</v>
      </c>
      <c r="CF15" s="19">
        <v>153.295648</v>
      </c>
      <c r="CG15" s="19">
        <v>265.29958399999998</v>
      </c>
      <c r="CH15" s="19">
        <v>0</v>
      </c>
      <c r="CI15" s="19">
        <v>0</v>
      </c>
      <c r="CJ15" s="19">
        <v>0</v>
      </c>
      <c r="CK15" s="19"/>
      <c r="CL15" s="19"/>
      <c r="CM15" s="19"/>
      <c r="CN15" s="19">
        <v>205.88004799999999</v>
      </c>
      <c r="CO15" s="19">
        <v>153.295648</v>
      </c>
      <c r="CP15" s="19">
        <v>265.29958399999998</v>
      </c>
      <c r="CQ15" s="19"/>
      <c r="CR15" s="19"/>
      <c r="CS15" s="19"/>
      <c r="CT15" s="19"/>
      <c r="CU15" s="11">
        <f>Tabelle58971121[[#This Row],[Mindestauslastung durch]]*Tabelle58971121[[#This Row],[installierte Leistung MW durch]]</f>
        <v>205.6866</v>
      </c>
      <c r="CV15" s="11">
        <f>Tabelle58971121[[#This Row],[Mindestauslastung min]]*Tabelle58971121[[#This Row],[installierte Leistung MW min]]</f>
        <v>168.51839999999999</v>
      </c>
      <c r="CW15" s="11">
        <f>Tabelle58971121[[#This Row],[Mindestauslastung max]]*Tabelle58971121[[#This Row],[installierte Leistung MW max]]</f>
        <v>242.85479999999998</v>
      </c>
      <c r="CX15" s="9">
        <v>0.06</v>
      </c>
      <c r="CY15" s="9">
        <v>0.06</v>
      </c>
      <c r="CZ15" s="9">
        <v>0.06</v>
      </c>
      <c r="DA15" s="9"/>
      <c r="DB15" s="9">
        <v>0.47399999999999998</v>
      </c>
      <c r="DC15" s="9">
        <v>0.374</v>
      </c>
      <c r="DD15" s="9">
        <v>0.57399999999999995</v>
      </c>
      <c r="DE15" s="9">
        <v>0.38</v>
      </c>
      <c r="DF15" s="9">
        <v>0.3</v>
      </c>
      <c r="DG15" s="9">
        <v>0.46</v>
      </c>
      <c r="DH15" s="9">
        <v>3.5999999999999997E-2</v>
      </c>
      <c r="DI15" s="9">
        <v>8.0000000000000002E-3</v>
      </c>
      <c r="DJ15" s="9">
        <v>6.6000000000000003E-2</v>
      </c>
      <c r="DK15" s="9">
        <v>0.104</v>
      </c>
      <c r="DL15" s="9">
        <v>4.3999999999999997E-2</v>
      </c>
      <c r="DM15" s="9">
        <v>0.16400000000000001</v>
      </c>
      <c r="DN15" s="9">
        <v>8.4000000000000005E-2</v>
      </c>
      <c r="DO15" s="9">
        <v>4.3999999999999997E-2</v>
      </c>
      <c r="DP15" s="9">
        <v>0.124</v>
      </c>
      <c r="DQ15" s="9">
        <v>8.0000000000000002E-3</v>
      </c>
      <c r="DR15" s="9">
        <v>0</v>
      </c>
      <c r="DS15" s="9">
        <v>3.7999999999999999E-2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/>
      <c r="ED15" s="9"/>
      <c r="EE15" s="9"/>
      <c r="EF15" s="46">
        <f>Tabelle58971121[[#This Row],[Durchschnittsauslastung min]]*Tabelle58971121[[#This Row],[installierte Leistung MW min]]</f>
        <v>0</v>
      </c>
      <c r="EG15" s="46">
        <f>Tabelle58971121[[#This Row],[Durchschnittsauslastung durch]]*Tabelle58971121[[#This Row],[installierte Leistung MW durch]]</f>
        <v>0</v>
      </c>
      <c r="EH15" s="46">
        <f>Tabelle58971121[[#This Row],[Durchschnittsauslastung max]]*Tabelle58971121[[#This Row],[installierte Leistung MW max]]</f>
        <v>0</v>
      </c>
      <c r="EI15" s="83">
        <f>Tabelle58971121[[#This Row],[Maximalauslastung durch]]*Tabelle58971121[[#This Row],[installierte Leistung MW min]]</f>
        <v>853.82655999999997</v>
      </c>
      <c r="EJ15" s="46">
        <f>Tabelle58971121[[#This Row],[Maximalauslastung durch]]*Tabelle58971121[[#This Row],[installierte Leistung MW durch]]</f>
        <v>1042.14544</v>
      </c>
      <c r="EK15" s="19">
        <f>Tabelle58971121[[#This Row],[Maximalauslastung max]]*Tabelle58971121[[#This Row],[installierte Leistung MW durch]]</f>
        <v>1138.1325200000001</v>
      </c>
      <c r="EL15" s="9">
        <v>0.30399999999999999</v>
      </c>
      <c r="EM15" s="9">
        <v>0.27600000000000002</v>
      </c>
      <c r="EN15" s="9">
        <v>0.33200000000000002</v>
      </c>
      <c r="EO15" s="1">
        <v>3428.11</v>
      </c>
      <c r="EP15" s="1">
        <v>2808.64</v>
      </c>
      <c r="EQ15" s="1">
        <v>4047.58</v>
      </c>
      <c r="ER15" s="19"/>
      <c r="ES15" s="19"/>
      <c r="EX15" s="1">
        <v>0.19400000000000001</v>
      </c>
      <c r="EY15" s="1">
        <v>3.9999999999999987E-2</v>
      </c>
      <c r="EZ15" s="1">
        <v>0.44</v>
      </c>
      <c r="FP15" s="1">
        <v>365</v>
      </c>
      <c r="FQ15" s="1">
        <v>292</v>
      </c>
      <c r="FR15" s="1">
        <v>438</v>
      </c>
      <c r="FS15" s="11"/>
      <c r="FT15" s="11"/>
      <c r="FU15" s="11"/>
      <c r="FV15" s="1">
        <v>365</v>
      </c>
      <c r="FW15" s="1">
        <v>292</v>
      </c>
      <c r="FX15" s="1">
        <v>438</v>
      </c>
      <c r="FZ15" s="19"/>
      <c r="GA15" s="19"/>
      <c r="GB15" s="19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 t="s">
        <v>1084</v>
      </c>
      <c r="GO15" s="8" t="s">
        <v>1084</v>
      </c>
      <c r="GP15" s="8" t="s">
        <v>1084</v>
      </c>
      <c r="GS15" s="1">
        <v>67</v>
      </c>
      <c r="GT15" s="1">
        <v>67</v>
      </c>
      <c r="GU15" s="1">
        <v>67</v>
      </c>
      <c r="GV15" s="13" t="s">
        <v>806</v>
      </c>
      <c r="GW15" s="13" t="s">
        <v>806</v>
      </c>
      <c r="GX15" s="13" t="s">
        <v>806</v>
      </c>
      <c r="GY15" s="13"/>
      <c r="GZ15" s="13" t="s">
        <v>806</v>
      </c>
      <c r="HA15" s="13" t="s">
        <v>806</v>
      </c>
      <c r="HB15" s="13" t="s">
        <v>806</v>
      </c>
      <c r="HC15" s="13" t="s">
        <v>806</v>
      </c>
      <c r="HD15" s="13" t="s">
        <v>806</v>
      </c>
      <c r="HE15" s="13" t="s">
        <v>806</v>
      </c>
      <c r="HF15" s="13" t="s">
        <v>806</v>
      </c>
      <c r="HI15" s="13" t="s">
        <v>806</v>
      </c>
      <c r="HJ15" s="13" t="s">
        <v>806</v>
      </c>
      <c r="HL15" s="13" t="s">
        <v>806</v>
      </c>
    </row>
    <row r="16" spans="1:223" ht="12.75" customHeight="1" x14ac:dyDescent="0.25">
      <c r="A16" s="1" t="s">
        <v>362</v>
      </c>
      <c r="B16" s="1" t="s">
        <v>650</v>
      </c>
      <c r="E16" s="1" t="s">
        <v>127</v>
      </c>
      <c r="F16" s="1">
        <v>2</v>
      </c>
      <c r="G16" s="1">
        <v>2045</v>
      </c>
      <c r="H16" s="1">
        <v>1</v>
      </c>
      <c r="I16" s="1">
        <v>0</v>
      </c>
      <c r="J16" s="1">
        <v>0</v>
      </c>
      <c r="K16" s="19"/>
      <c r="L16" s="19"/>
      <c r="M16" s="19"/>
      <c r="N16" s="19"/>
      <c r="O16" s="19"/>
      <c r="P16" s="19"/>
      <c r="Q16" s="19">
        <v>393.05210399999993</v>
      </c>
      <c r="R16" s="19">
        <v>257.51938799999999</v>
      </c>
      <c r="S16" s="19">
        <v>557.79953999999998</v>
      </c>
      <c r="T16" s="19"/>
      <c r="U16" s="19"/>
      <c r="V16" s="19"/>
      <c r="W16" s="19">
        <v>1.6090920000000002</v>
      </c>
      <c r="X16" s="19">
        <v>0</v>
      </c>
      <c r="Y16" s="19">
        <v>21.884412000000001</v>
      </c>
      <c r="Z16" s="19">
        <v>233.93078399999999</v>
      </c>
      <c r="AA16" s="19">
        <v>150.55090799999999</v>
      </c>
      <c r="AB16" s="19">
        <v>336.63497999999998</v>
      </c>
      <c r="AC16" s="19"/>
      <c r="AD16" s="19"/>
      <c r="AE16" s="19"/>
      <c r="AF16" s="19">
        <v>82.862532000000002</v>
      </c>
      <c r="AG16" s="19">
        <v>63.602879999999992</v>
      </c>
      <c r="AH16" s="19">
        <v>122.76649199999999</v>
      </c>
      <c r="AI16" s="19">
        <v>15.189371999999999</v>
      </c>
      <c r="AJ16" s="19">
        <v>3.0736319999999999</v>
      </c>
      <c r="AK16" s="19">
        <v>33.250763999999997</v>
      </c>
      <c r="AL16" s="19">
        <v>219.01149599999999</v>
      </c>
      <c r="AM16" s="19">
        <v>153.13762799999998</v>
      </c>
      <c r="AN16" s="19">
        <v>297.53366399999999</v>
      </c>
      <c r="AO16" s="19">
        <v>75.125195999999988</v>
      </c>
      <c r="AP16" s="19">
        <v>13.443336000000002</v>
      </c>
      <c r="AQ16" s="19">
        <v>156.35961599999999</v>
      </c>
      <c r="AR16" s="19"/>
      <c r="AS16" s="19"/>
      <c r="AT16" s="19"/>
      <c r="AU16" s="19">
        <v>146.42737199999996</v>
      </c>
      <c r="AV16" s="19">
        <v>52.772891999999992</v>
      </c>
      <c r="AW16" s="19">
        <v>267.40978799999999</v>
      </c>
      <c r="AX16" s="19">
        <v>41.269596</v>
      </c>
      <c r="AY16" s="19">
        <v>13.443336000000002</v>
      </c>
      <c r="AZ16" s="19">
        <v>78.758015999999998</v>
      </c>
      <c r="BA16" s="19"/>
      <c r="BB16" s="19"/>
      <c r="BC16" s="19"/>
      <c r="BD16" s="19">
        <v>180.28297199999997</v>
      </c>
      <c r="BE16" s="19">
        <v>110.59369199999999</v>
      </c>
      <c r="BF16" s="19">
        <v>267.40978799999999</v>
      </c>
      <c r="BG16" s="19">
        <v>3.3285</v>
      </c>
      <c r="BH16" s="19">
        <v>0</v>
      </c>
      <c r="BI16" s="19">
        <v>18.867839999999998</v>
      </c>
      <c r="BJ16" s="19"/>
      <c r="BK16" s="19"/>
      <c r="BL16" s="19"/>
      <c r="BM16" s="19">
        <v>230.87236799999999</v>
      </c>
      <c r="BN16" s="19">
        <v>162.47644799999998</v>
      </c>
      <c r="BO16" s="19">
        <v>301.79414399999996</v>
      </c>
      <c r="BP16" s="19">
        <v>0</v>
      </c>
      <c r="BQ16" s="19">
        <v>0</v>
      </c>
      <c r="BR16" s="19">
        <v>0</v>
      </c>
      <c r="BS16" s="19"/>
      <c r="BT16" s="19"/>
      <c r="BU16" s="19"/>
      <c r="BV16" s="19">
        <v>234.20086799999999</v>
      </c>
      <c r="BW16" s="19">
        <v>174.38296799999998</v>
      </c>
      <c r="BX16" s="19">
        <v>301.79414399999996</v>
      </c>
      <c r="BY16" s="19">
        <v>0</v>
      </c>
      <c r="BZ16" s="19">
        <v>0</v>
      </c>
      <c r="CA16" s="19">
        <v>0</v>
      </c>
      <c r="CB16" s="19"/>
      <c r="CC16" s="19"/>
      <c r="CD16" s="19"/>
      <c r="CE16" s="19">
        <v>234.20086799999999</v>
      </c>
      <c r="CF16" s="19">
        <v>174.38296799999998</v>
      </c>
      <c r="CG16" s="19">
        <v>301.79414399999996</v>
      </c>
      <c r="CH16" s="19">
        <v>0</v>
      </c>
      <c r="CI16" s="19">
        <v>0</v>
      </c>
      <c r="CJ16" s="19">
        <v>0</v>
      </c>
      <c r="CK16" s="19"/>
      <c r="CL16" s="19"/>
      <c r="CM16" s="19"/>
      <c r="CN16" s="19">
        <v>234.20086799999999</v>
      </c>
      <c r="CO16" s="19">
        <v>174.38296799999998</v>
      </c>
      <c r="CP16" s="19">
        <v>301.79414399999996</v>
      </c>
      <c r="CQ16" s="19"/>
      <c r="CR16" s="19"/>
      <c r="CS16" s="19"/>
      <c r="CT16" s="19"/>
      <c r="CU16" s="11">
        <f>Tabelle58971121[[#This Row],[Mindestauslastung durch]]*Tabelle58971121[[#This Row],[installierte Leistung MW durch]]</f>
        <v>229.53719999999998</v>
      </c>
      <c r="CV16" s="11">
        <f>Tabelle58971121[[#This Row],[Mindestauslastung min]]*Tabelle58971121[[#This Row],[installierte Leistung MW min]]</f>
        <v>187.773</v>
      </c>
      <c r="CW16" s="11">
        <f>Tabelle58971121[[#This Row],[Mindestauslastung max]]*Tabelle58971121[[#This Row],[installierte Leistung MW max]]</f>
        <v>271.30140000000006</v>
      </c>
      <c r="CX16" s="9">
        <v>0.06</v>
      </c>
      <c r="CY16" s="9">
        <v>0.06</v>
      </c>
      <c r="CZ16" s="9">
        <v>0.06</v>
      </c>
      <c r="DA16" s="9"/>
      <c r="DB16" s="9">
        <v>0.47399999999999998</v>
      </c>
      <c r="DC16" s="9">
        <v>0.374</v>
      </c>
      <c r="DD16" s="9">
        <v>0.57399999999999995</v>
      </c>
      <c r="DE16" s="9">
        <v>0.38</v>
      </c>
      <c r="DF16" s="9">
        <v>0.3</v>
      </c>
      <c r="DG16" s="9">
        <v>0.46</v>
      </c>
      <c r="DH16" s="9">
        <v>3.5999999999999997E-2</v>
      </c>
      <c r="DI16" s="9">
        <v>8.0000000000000002E-3</v>
      </c>
      <c r="DJ16" s="9">
        <v>6.6000000000000003E-2</v>
      </c>
      <c r="DK16" s="9">
        <v>0.104</v>
      </c>
      <c r="DL16" s="9">
        <v>4.3999999999999997E-2</v>
      </c>
      <c r="DM16" s="9">
        <v>0.16400000000000001</v>
      </c>
      <c r="DN16" s="9">
        <v>8.4000000000000005E-2</v>
      </c>
      <c r="DO16" s="9">
        <v>4.3999999999999997E-2</v>
      </c>
      <c r="DP16" s="9">
        <v>0.124</v>
      </c>
      <c r="DQ16" s="9">
        <v>8.0000000000000002E-3</v>
      </c>
      <c r="DR16" s="9">
        <v>0</v>
      </c>
      <c r="DS16" s="9">
        <v>3.7999999999999999E-2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/>
      <c r="ED16" s="9"/>
      <c r="EE16" s="9"/>
      <c r="EF16" s="46">
        <f>Tabelle58971121[[#This Row],[Durchschnittsauslastung min]]*Tabelle58971121[[#This Row],[installierte Leistung MW min]]</f>
        <v>0</v>
      </c>
      <c r="EG16" s="46">
        <f>Tabelle58971121[[#This Row],[Durchschnittsauslastung durch]]*Tabelle58971121[[#This Row],[installierte Leistung MW durch]]</f>
        <v>0</v>
      </c>
      <c r="EH16" s="46">
        <f>Tabelle58971121[[#This Row],[Durchschnittsauslastung max]]*Tabelle58971121[[#This Row],[installierte Leistung MW max]]</f>
        <v>0</v>
      </c>
      <c r="EI16" s="83">
        <f>Tabelle58971121[[#This Row],[Maximalauslastung durch]]*Tabelle58971121[[#This Row],[installierte Leistung MW min]]</f>
        <v>951.38319999999999</v>
      </c>
      <c r="EJ16" s="46">
        <f>Tabelle58971121[[#This Row],[Maximalauslastung durch]]*Tabelle58971121[[#This Row],[installierte Leistung MW durch]]</f>
        <v>1162.98848</v>
      </c>
      <c r="EK16" s="19">
        <f>Tabelle58971121[[#This Row],[Maximalauslastung max]]*Tabelle58971121[[#This Row],[installierte Leistung MW durch]]</f>
        <v>1270.1058399999999</v>
      </c>
      <c r="EL16" s="9">
        <v>0.30399999999999999</v>
      </c>
      <c r="EM16" s="9">
        <v>0.27600000000000002</v>
      </c>
      <c r="EN16" s="9">
        <v>0.33200000000000002</v>
      </c>
      <c r="EO16" s="1">
        <v>3825.62</v>
      </c>
      <c r="EP16" s="1">
        <v>3129.55</v>
      </c>
      <c r="EQ16" s="1">
        <v>4521.6900000000014</v>
      </c>
      <c r="ER16" s="19"/>
      <c r="ES16" s="19"/>
      <c r="EX16" s="1">
        <v>0.19400000000000001</v>
      </c>
      <c r="EY16" s="1">
        <v>3.9999999999999987E-2</v>
      </c>
      <c r="EZ16" s="1">
        <v>0.44</v>
      </c>
      <c r="FP16" s="1">
        <v>365</v>
      </c>
      <c r="FQ16" s="1">
        <v>292</v>
      </c>
      <c r="FR16" s="1">
        <v>438</v>
      </c>
      <c r="FS16" s="11"/>
      <c r="FT16" s="11"/>
      <c r="FU16" s="11"/>
      <c r="FV16" s="1">
        <v>365</v>
      </c>
      <c r="FW16" s="1">
        <v>292</v>
      </c>
      <c r="FX16" s="1">
        <v>438</v>
      </c>
      <c r="FZ16" s="19"/>
      <c r="GA16" s="19"/>
      <c r="GB16" s="19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 t="s">
        <v>1084</v>
      </c>
      <c r="GO16" s="8" t="s">
        <v>1084</v>
      </c>
      <c r="GP16" s="8" t="s">
        <v>1084</v>
      </c>
      <c r="GS16" s="1">
        <v>67</v>
      </c>
      <c r="GT16" s="1">
        <v>67</v>
      </c>
      <c r="GU16" s="1">
        <v>67</v>
      </c>
      <c r="GV16" s="13" t="s">
        <v>806</v>
      </c>
      <c r="GW16" s="13" t="s">
        <v>806</v>
      </c>
      <c r="GX16" s="13" t="s">
        <v>806</v>
      </c>
      <c r="GY16" s="13"/>
      <c r="GZ16" s="13" t="s">
        <v>806</v>
      </c>
      <c r="HA16" s="13" t="s">
        <v>806</v>
      </c>
      <c r="HB16" s="13" t="s">
        <v>806</v>
      </c>
      <c r="HC16" s="13" t="s">
        <v>806</v>
      </c>
      <c r="HD16" s="13" t="s">
        <v>806</v>
      </c>
      <c r="HE16" s="13" t="s">
        <v>806</v>
      </c>
      <c r="HF16" s="13" t="s">
        <v>806</v>
      </c>
      <c r="HI16" s="13" t="s">
        <v>806</v>
      </c>
      <c r="HJ16" s="13" t="s">
        <v>806</v>
      </c>
      <c r="HL16" s="13" t="s">
        <v>806</v>
      </c>
    </row>
    <row r="17" spans="1:220" ht="12.75" customHeight="1" x14ac:dyDescent="0.25">
      <c r="A17" s="1" t="s">
        <v>362</v>
      </c>
      <c r="B17" s="1" t="s">
        <v>650</v>
      </c>
      <c r="E17" s="1" t="s">
        <v>127</v>
      </c>
      <c r="F17" s="1">
        <v>2</v>
      </c>
      <c r="G17" s="1">
        <v>2050</v>
      </c>
      <c r="H17" s="1">
        <v>1</v>
      </c>
      <c r="I17" s="1">
        <v>0</v>
      </c>
      <c r="J17" s="1">
        <v>0</v>
      </c>
      <c r="K17" s="19"/>
      <c r="L17" s="19"/>
      <c r="M17" s="19"/>
      <c r="N17" s="19"/>
      <c r="O17" s="19"/>
      <c r="P17" s="19"/>
      <c r="Q17" s="19">
        <v>450.08805599999994</v>
      </c>
      <c r="R17" s="19">
        <v>294.88813199999998</v>
      </c>
      <c r="S17" s="19">
        <v>638.74205999999992</v>
      </c>
      <c r="T17" s="19"/>
      <c r="U17" s="19"/>
      <c r="V17" s="19"/>
      <c r="W17" s="19">
        <v>1.8425880000000001</v>
      </c>
      <c r="X17" s="19">
        <v>0</v>
      </c>
      <c r="Y17" s="19">
        <v>25.060068000000001</v>
      </c>
      <c r="Z17" s="19">
        <v>267.876576</v>
      </c>
      <c r="AA17" s="19">
        <v>172.39741199999997</v>
      </c>
      <c r="AB17" s="19">
        <v>385.48421999999999</v>
      </c>
      <c r="AC17" s="19"/>
      <c r="AD17" s="19"/>
      <c r="AE17" s="19"/>
      <c r="AF17" s="19">
        <v>94.886747999999997</v>
      </c>
      <c r="AG17" s="19">
        <v>72.832319999999996</v>
      </c>
      <c r="AH17" s="19">
        <v>140.58118799999997</v>
      </c>
      <c r="AI17" s="19">
        <v>17.393508000000001</v>
      </c>
      <c r="AJ17" s="19">
        <v>3.5196480000000001</v>
      </c>
      <c r="AK17" s="19">
        <v>38.075795999999997</v>
      </c>
      <c r="AL17" s="19">
        <v>250.79234399999999</v>
      </c>
      <c r="AM17" s="19">
        <v>175.35949199999999</v>
      </c>
      <c r="AN17" s="19">
        <v>340.70889599999998</v>
      </c>
      <c r="AO17" s="19">
        <v>86.02664399999999</v>
      </c>
      <c r="AP17" s="19">
        <v>15.394104000000002</v>
      </c>
      <c r="AQ17" s="19">
        <v>179.049024</v>
      </c>
      <c r="AR17" s="19"/>
      <c r="AS17" s="19"/>
      <c r="AT17" s="19"/>
      <c r="AU17" s="19">
        <v>167.67550799999998</v>
      </c>
      <c r="AV17" s="19">
        <v>60.430787999999993</v>
      </c>
      <c r="AW17" s="19">
        <v>306.21373199999999</v>
      </c>
      <c r="AX17" s="19">
        <v>47.258243999999998</v>
      </c>
      <c r="AY17" s="19">
        <v>15.394104000000002</v>
      </c>
      <c r="AZ17" s="19">
        <v>90.186623999999995</v>
      </c>
      <c r="BA17" s="19"/>
      <c r="BB17" s="19"/>
      <c r="BC17" s="19"/>
      <c r="BD17" s="19">
        <v>206.44390799999996</v>
      </c>
      <c r="BE17" s="19">
        <v>126.641988</v>
      </c>
      <c r="BF17" s="19">
        <v>306.21373199999999</v>
      </c>
      <c r="BG17" s="19">
        <v>3.8114999999999997</v>
      </c>
      <c r="BH17" s="19">
        <v>0</v>
      </c>
      <c r="BI17" s="19">
        <v>21.60576</v>
      </c>
      <c r="BJ17" s="19"/>
      <c r="BK17" s="19"/>
      <c r="BL17" s="19"/>
      <c r="BM17" s="19">
        <v>264.37435199999999</v>
      </c>
      <c r="BN17" s="19">
        <v>186.05347199999997</v>
      </c>
      <c r="BO17" s="19">
        <v>345.58761599999997</v>
      </c>
      <c r="BP17" s="19">
        <v>0</v>
      </c>
      <c r="BQ17" s="19">
        <v>0</v>
      </c>
      <c r="BR17" s="19">
        <v>0</v>
      </c>
      <c r="BS17" s="19"/>
      <c r="BT17" s="19"/>
      <c r="BU17" s="19"/>
      <c r="BV17" s="19">
        <v>268.18585200000001</v>
      </c>
      <c r="BW17" s="19">
        <v>199.68775199999999</v>
      </c>
      <c r="BX17" s="19">
        <v>345.58761599999997</v>
      </c>
      <c r="BY17" s="19">
        <v>0</v>
      </c>
      <c r="BZ17" s="19">
        <v>0</v>
      </c>
      <c r="CA17" s="19">
        <v>0</v>
      </c>
      <c r="CB17" s="19"/>
      <c r="CC17" s="19"/>
      <c r="CD17" s="19"/>
      <c r="CE17" s="19">
        <v>268.18585200000001</v>
      </c>
      <c r="CF17" s="19">
        <v>199.68775199999999</v>
      </c>
      <c r="CG17" s="19">
        <v>345.58761599999997</v>
      </c>
      <c r="CH17" s="19">
        <v>0</v>
      </c>
      <c r="CI17" s="19">
        <v>0</v>
      </c>
      <c r="CJ17" s="19">
        <v>0</v>
      </c>
      <c r="CK17" s="19"/>
      <c r="CL17" s="19"/>
      <c r="CM17" s="19"/>
      <c r="CN17" s="19">
        <v>268.18585200000001</v>
      </c>
      <c r="CO17" s="19">
        <v>199.68775199999999</v>
      </c>
      <c r="CP17" s="19">
        <v>345.58761599999997</v>
      </c>
      <c r="CQ17" s="19"/>
      <c r="CR17" s="19"/>
      <c r="CS17" s="19"/>
      <c r="CT17" s="19"/>
      <c r="CU17" s="11">
        <f>Tabelle58971121[[#This Row],[Mindestauslastung durch]]*Tabelle58971121[[#This Row],[installierte Leistung MW durch]]</f>
        <v>257.2002</v>
      </c>
      <c r="CV17" s="11">
        <f>Tabelle58971121[[#This Row],[Mindestauslastung min]]*Tabelle58971121[[#This Row],[installierte Leistung MW min]]</f>
        <v>210.0402</v>
      </c>
      <c r="CW17" s="11">
        <f>Tabelle58971121[[#This Row],[Mindestauslastung max]]*Tabelle58971121[[#This Row],[installierte Leistung MW max]]</f>
        <v>304.36019999999996</v>
      </c>
      <c r="CX17" s="9">
        <v>0.06</v>
      </c>
      <c r="CY17" s="9">
        <v>0.06</v>
      </c>
      <c r="CZ17" s="9">
        <v>0.06</v>
      </c>
      <c r="DA17" s="9"/>
      <c r="DB17" s="9">
        <v>0.47399999999999998</v>
      </c>
      <c r="DC17" s="9">
        <v>0.374</v>
      </c>
      <c r="DD17" s="9">
        <v>0.57399999999999995</v>
      </c>
      <c r="DE17" s="9">
        <v>0.38</v>
      </c>
      <c r="DF17" s="9">
        <v>0.3</v>
      </c>
      <c r="DG17" s="9">
        <v>0.46</v>
      </c>
      <c r="DH17" s="9">
        <v>3.5999999999999997E-2</v>
      </c>
      <c r="DI17" s="9">
        <v>8.0000000000000002E-3</v>
      </c>
      <c r="DJ17" s="9">
        <v>6.6000000000000003E-2</v>
      </c>
      <c r="DK17" s="9">
        <v>0.104</v>
      </c>
      <c r="DL17" s="9">
        <v>4.3999999999999997E-2</v>
      </c>
      <c r="DM17" s="9">
        <v>0.16400000000000001</v>
      </c>
      <c r="DN17" s="9">
        <v>8.4000000000000005E-2</v>
      </c>
      <c r="DO17" s="9">
        <v>4.3999999999999997E-2</v>
      </c>
      <c r="DP17" s="9">
        <v>0.124</v>
      </c>
      <c r="DQ17" s="9">
        <v>8.0000000000000002E-3</v>
      </c>
      <c r="DR17" s="9">
        <v>0</v>
      </c>
      <c r="DS17" s="9">
        <v>3.7999999999999999E-2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/>
      <c r="ED17" s="9"/>
      <c r="EE17" s="9"/>
      <c r="EF17" s="46">
        <f>Tabelle58971121[[#This Row],[Durchschnittsauslastung min]]*Tabelle58971121[[#This Row],[installierte Leistung MW min]]</f>
        <v>0</v>
      </c>
      <c r="EG17" s="46">
        <f>Tabelle58971121[[#This Row],[Durchschnittsauslastung durch]]*Tabelle58971121[[#This Row],[installierte Leistung MW durch]]</f>
        <v>0</v>
      </c>
      <c r="EH17" s="46">
        <f>Tabelle58971121[[#This Row],[Durchschnittsauslastung max]]*Tabelle58971121[[#This Row],[installierte Leistung MW max]]</f>
        <v>0</v>
      </c>
      <c r="EI17" s="83">
        <f>Tabelle58971121[[#This Row],[Maximalauslastung durch]]*Tabelle58971121[[#This Row],[installierte Leistung MW min]]</f>
        <v>1064.2036800000001</v>
      </c>
      <c r="EJ17" s="46">
        <f>Tabelle58971121[[#This Row],[Maximalauslastung durch]]*Tabelle58971121[[#This Row],[installierte Leistung MW durch]]</f>
        <v>1303.14768</v>
      </c>
      <c r="EK17" s="19">
        <f>Tabelle58971121[[#This Row],[Maximalauslastung max]]*Tabelle58971121[[#This Row],[installierte Leistung MW durch]]</f>
        <v>1423.17444</v>
      </c>
      <c r="EL17" s="9">
        <v>0.30399999999999999</v>
      </c>
      <c r="EM17" s="9">
        <v>0.27600000000000002</v>
      </c>
      <c r="EN17" s="9">
        <v>0.33200000000000002</v>
      </c>
      <c r="EO17" s="1">
        <v>4286.67</v>
      </c>
      <c r="EP17" s="1">
        <v>3500.67</v>
      </c>
      <c r="EQ17" s="1">
        <v>5072.6699999999992</v>
      </c>
      <c r="ER17" s="19"/>
      <c r="ES17" s="19"/>
      <c r="EX17" s="1">
        <v>0.19400000000000001</v>
      </c>
      <c r="EY17" s="1">
        <v>3.9999999999999987E-2</v>
      </c>
      <c r="EZ17" s="1">
        <v>0.44</v>
      </c>
      <c r="FP17" s="1">
        <v>365</v>
      </c>
      <c r="FQ17" s="1">
        <v>292</v>
      </c>
      <c r="FR17" s="1">
        <v>438</v>
      </c>
      <c r="FS17" s="11"/>
      <c r="FT17" s="11"/>
      <c r="FU17" s="11"/>
      <c r="FV17" s="1">
        <v>365</v>
      </c>
      <c r="FW17" s="1">
        <v>292</v>
      </c>
      <c r="FX17" s="1">
        <v>438</v>
      </c>
      <c r="FZ17" s="19"/>
      <c r="GA17" s="19"/>
      <c r="GB17" s="19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 t="s">
        <v>1084</v>
      </c>
      <c r="GO17" s="8" t="s">
        <v>1084</v>
      </c>
      <c r="GP17" s="8" t="s">
        <v>1084</v>
      </c>
      <c r="GS17" s="1">
        <v>67</v>
      </c>
      <c r="GT17" s="1">
        <v>67</v>
      </c>
      <c r="GU17" s="1">
        <v>67</v>
      </c>
      <c r="GV17" s="13" t="s">
        <v>806</v>
      </c>
      <c r="GW17" s="13" t="s">
        <v>806</v>
      </c>
      <c r="GX17" s="13" t="s">
        <v>806</v>
      </c>
      <c r="GY17" s="13"/>
      <c r="GZ17" s="13" t="s">
        <v>806</v>
      </c>
      <c r="HA17" s="13" t="s">
        <v>806</v>
      </c>
      <c r="HB17" s="13" t="s">
        <v>806</v>
      </c>
      <c r="HC17" s="13" t="s">
        <v>806</v>
      </c>
      <c r="HD17" s="13" t="s">
        <v>806</v>
      </c>
      <c r="HE17" s="13" t="s">
        <v>806</v>
      </c>
      <c r="HF17" s="13" t="s">
        <v>806</v>
      </c>
      <c r="HI17" s="13" t="s">
        <v>806</v>
      </c>
      <c r="HJ17" s="13" t="s">
        <v>806</v>
      </c>
      <c r="HL17" s="13" t="s">
        <v>806</v>
      </c>
    </row>
    <row r="18" spans="1:220" ht="12.75" customHeight="1" x14ac:dyDescent="0.25">
      <c r="A18" s="1" t="s">
        <v>206</v>
      </c>
      <c r="B18" s="1" t="s">
        <v>747</v>
      </c>
      <c r="E18" s="1" t="s">
        <v>127</v>
      </c>
      <c r="F18" s="1">
        <v>2</v>
      </c>
      <c r="G18" s="1">
        <v>2015</v>
      </c>
      <c r="H18" s="1">
        <v>1</v>
      </c>
      <c r="I18" s="1">
        <v>0</v>
      </c>
      <c r="J18" s="1">
        <v>0</v>
      </c>
      <c r="K18" s="19"/>
      <c r="L18" s="19"/>
      <c r="M18" s="19"/>
      <c r="N18" s="19"/>
      <c r="O18" s="19"/>
      <c r="P18" s="19"/>
      <c r="Q18" s="19">
        <v>220.58571428571429</v>
      </c>
      <c r="R18" s="19">
        <v>166.14571428571429</v>
      </c>
      <c r="S18" s="19">
        <v>275.02571428571429</v>
      </c>
      <c r="T18" s="19"/>
      <c r="U18" s="19"/>
      <c r="V18" s="19"/>
      <c r="W18" s="19">
        <v>40.648571428571429</v>
      </c>
      <c r="X18" s="19">
        <v>30.854285714285709</v>
      </c>
      <c r="Y18" s="19">
        <v>50.442857142857143</v>
      </c>
      <c r="Z18" s="19">
        <v>219.10000000000011</v>
      </c>
      <c r="AA18" s="19">
        <v>164.93857142857141</v>
      </c>
      <c r="AB18" s="19">
        <v>273.26142857142861</v>
      </c>
      <c r="AC18" s="19"/>
      <c r="AD18" s="19"/>
      <c r="AE18" s="19"/>
      <c r="AF18" s="19">
        <v>42.134285714285717</v>
      </c>
      <c r="AG18" s="19">
        <v>32.061428571428571</v>
      </c>
      <c r="AH18" s="19">
        <v>52.207142857142863</v>
      </c>
      <c r="AI18" s="19">
        <v>174.4014285714286</v>
      </c>
      <c r="AJ18" s="19">
        <v>133.06428571428569</v>
      </c>
      <c r="AK18" s="19">
        <v>215.73857142857139</v>
      </c>
      <c r="AL18" s="19">
        <v>94.378571428571419</v>
      </c>
      <c r="AM18" s="19">
        <v>70.45</v>
      </c>
      <c r="AN18" s="19">
        <v>118.30714285714279</v>
      </c>
      <c r="AO18" s="19">
        <v>193.44142857142859</v>
      </c>
      <c r="AP18" s="19">
        <v>145.83714285714291</v>
      </c>
      <c r="AQ18" s="19">
        <v>241.0457142857143</v>
      </c>
      <c r="AR18" s="19"/>
      <c r="AS18" s="19"/>
      <c r="AT18" s="19"/>
      <c r="AU18" s="19">
        <v>62.792857142857137</v>
      </c>
      <c r="AV18" s="19">
        <v>46.962857142857153</v>
      </c>
      <c r="AW18" s="19">
        <v>78.622857142857143</v>
      </c>
      <c r="AX18" s="19">
        <v>191.95571428571429</v>
      </c>
      <c r="AY18" s="19">
        <v>144.63</v>
      </c>
      <c r="AZ18" s="19">
        <v>239.28142857142859</v>
      </c>
      <c r="BA18" s="19"/>
      <c r="BB18" s="19"/>
      <c r="BC18" s="19"/>
      <c r="BD18" s="19">
        <v>64.278571428571425</v>
      </c>
      <c r="BE18" s="19">
        <v>48.17</v>
      </c>
      <c r="BF18" s="19">
        <v>80.387142857142862</v>
      </c>
      <c r="BG18" s="19">
        <v>153.10714285714289</v>
      </c>
      <c r="BH18" s="19">
        <v>116.8528571428571</v>
      </c>
      <c r="BI18" s="19">
        <v>189.3614285714286</v>
      </c>
      <c r="BJ18" s="19"/>
      <c r="BK18" s="19"/>
      <c r="BL18" s="19"/>
      <c r="BM18" s="19">
        <v>109.48142857142859</v>
      </c>
      <c r="BN18" s="19">
        <v>81.432857142857159</v>
      </c>
      <c r="BO18" s="19">
        <v>137.53</v>
      </c>
      <c r="BP18" s="19">
        <v>208.1</v>
      </c>
      <c r="BQ18" s="19">
        <v>155.9457142857143</v>
      </c>
      <c r="BR18" s="19">
        <v>260.25428571428569</v>
      </c>
      <c r="BS18" s="19"/>
      <c r="BT18" s="19"/>
      <c r="BU18" s="19"/>
      <c r="BV18" s="19">
        <v>43.02</v>
      </c>
      <c r="BW18" s="19">
        <v>32.568571428571431</v>
      </c>
      <c r="BX18" s="19">
        <v>53.471428571428582</v>
      </c>
      <c r="BY18" s="19">
        <v>165.93</v>
      </c>
      <c r="BZ18" s="19">
        <v>125.13285714285711</v>
      </c>
      <c r="CA18" s="19">
        <v>206.72714285714281</v>
      </c>
      <c r="CB18" s="19"/>
      <c r="CC18" s="19"/>
      <c r="CD18" s="19"/>
      <c r="CE18" s="19">
        <v>85.190000000000012</v>
      </c>
      <c r="CF18" s="19">
        <v>63.381428571428572</v>
      </c>
      <c r="CG18" s="19">
        <v>106.9985714285714</v>
      </c>
      <c r="CH18" s="19">
        <v>132.4157142857143</v>
      </c>
      <c r="CI18" s="19">
        <v>101.0242857142857</v>
      </c>
      <c r="CJ18" s="19">
        <v>163.80714285714291</v>
      </c>
      <c r="CK18" s="19"/>
      <c r="CL18" s="19"/>
      <c r="CM18" s="19"/>
      <c r="CN18" s="19">
        <v>123.47</v>
      </c>
      <c r="CO18" s="19">
        <v>91.604285714285723</v>
      </c>
      <c r="CP18" s="19">
        <v>155.33571428571429</v>
      </c>
      <c r="CQ18" s="19"/>
      <c r="CR18" s="19"/>
      <c r="CS18" s="19"/>
      <c r="CT18" s="19"/>
      <c r="CU18" s="11">
        <f>Tabelle58971121[[#This Row],[Mindestauslastung durch]]*Tabelle58971121[[#This Row],[installierte Leistung MW durch]]</f>
        <v>128.25000000000003</v>
      </c>
      <c r="CV18" s="11">
        <f>Tabelle58971121[[#This Row],[Mindestauslastung min]]*Tabelle58971121[[#This Row],[installierte Leistung MW min]]</f>
        <v>97.521428571428586</v>
      </c>
      <c r="CW18" s="11">
        <f>Tabelle58971121[[#This Row],[Mindestauslastung max]]*Tabelle58971121[[#This Row],[installierte Leistung MW max]]</f>
        <v>158.97857142857146</v>
      </c>
      <c r="CX18" s="9">
        <v>6.4285714285714293E-2</v>
      </c>
      <c r="CY18" s="9">
        <v>6.4285714285714293E-2</v>
      </c>
      <c r="CZ18" s="9">
        <v>6.4285714285714293E-2</v>
      </c>
      <c r="DA18" s="9"/>
      <c r="DB18" s="9">
        <v>0.64142857142857135</v>
      </c>
      <c r="DC18" s="9">
        <v>0.64142857142857135</v>
      </c>
      <c r="DD18" s="9">
        <v>0.64142857142857135</v>
      </c>
      <c r="DE18" s="9">
        <v>0.62285714285714289</v>
      </c>
      <c r="DF18" s="9">
        <v>0.62285714285714289</v>
      </c>
      <c r="DG18" s="9">
        <v>0.62285714285714289</v>
      </c>
      <c r="DH18" s="9">
        <v>0.59</v>
      </c>
      <c r="DI18" s="9">
        <v>0.59</v>
      </c>
      <c r="DJ18" s="9">
        <v>0.59</v>
      </c>
      <c r="DK18" s="9">
        <v>0.57571428571428573</v>
      </c>
      <c r="DL18" s="9">
        <v>0.57571428571428573</v>
      </c>
      <c r="DM18" s="9">
        <v>0.57571428571428573</v>
      </c>
      <c r="DN18" s="9">
        <v>0.55714285714285716</v>
      </c>
      <c r="DO18" s="9">
        <v>0.55714285714285716</v>
      </c>
      <c r="DP18" s="9">
        <v>0.55714285714285716</v>
      </c>
      <c r="DQ18" s="9">
        <v>0.52428571428571435</v>
      </c>
      <c r="DR18" s="9">
        <v>0.52428571428571435</v>
      </c>
      <c r="DS18" s="9">
        <v>0.52428571428571435</v>
      </c>
      <c r="DT18" s="9">
        <v>0.55714285714285716</v>
      </c>
      <c r="DU18" s="9">
        <v>0.55714285714285716</v>
      </c>
      <c r="DV18" s="9">
        <v>0.55714285714285716</v>
      </c>
      <c r="DW18" s="9">
        <v>0.49142857142857138</v>
      </c>
      <c r="DX18" s="9">
        <v>0.49142857142857138</v>
      </c>
      <c r="DY18" s="9">
        <v>0.49142857142857138</v>
      </c>
      <c r="DZ18" s="9">
        <v>0.45571428571428568</v>
      </c>
      <c r="EA18" s="9">
        <v>0.45571428571428568</v>
      </c>
      <c r="EB18" s="9">
        <v>0.45571428571428568</v>
      </c>
      <c r="EC18" s="9"/>
      <c r="ED18" s="9"/>
      <c r="EE18" s="9"/>
      <c r="EF18" s="46">
        <f>Tabelle58971121[[#This Row],[Durchschnittsauslastung min]]*Tabelle58971121[[#This Row],[installierte Leistung MW min]]</f>
        <v>0</v>
      </c>
      <c r="EG18" s="46">
        <f>Tabelle58971121[[#This Row],[Durchschnittsauslastung durch]]*Tabelle58971121[[#This Row],[installierte Leistung MW durch]]</f>
        <v>0</v>
      </c>
      <c r="EH18" s="46">
        <f>Tabelle58971121[[#This Row],[Durchschnittsauslastung max]]*Tabelle58971121[[#This Row],[installierte Leistung MW max]]</f>
        <v>0</v>
      </c>
      <c r="EI18" s="83">
        <f>Tabelle58971121[[#This Row],[Maximalauslastung durch]]*Tabelle58971121[[#This Row],[installierte Leistung MW min]]</f>
        <v>1517</v>
      </c>
      <c r="EJ18" s="46">
        <f>Tabelle58971121[[#This Row],[Maximalauslastung durch]]*Tabelle58971121[[#This Row],[installierte Leistung MW durch]]</f>
        <v>1995</v>
      </c>
      <c r="EK18" s="19">
        <f>Tabelle58971121[[#This Row],[Maximalauslastung max]]*Tabelle58971121[[#This Row],[installierte Leistung MW durch]]</f>
        <v>1995</v>
      </c>
      <c r="EL18" s="9">
        <v>1</v>
      </c>
      <c r="EM18" s="9">
        <v>1</v>
      </c>
      <c r="EN18" s="9">
        <v>1</v>
      </c>
      <c r="EO18" s="1">
        <v>1995</v>
      </c>
      <c r="EP18" s="1">
        <v>1517</v>
      </c>
      <c r="EQ18" s="1">
        <v>2473</v>
      </c>
      <c r="ER18" s="19"/>
      <c r="ES18" s="19"/>
      <c r="EX18" s="1">
        <v>1.5161904761904761</v>
      </c>
      <c r="EY18" s="1">
        <v>0.5</v>
      </c>
      <c r="EZ18" s="1">
        <v>5.8000000000000007</v>
      </c>
      <c r="FP18" s="1">
        <v>365</v>
      </c>
      <c r="FQ18" s="1">
        <v>292</v>
      </c>
      <c r="FR18" s="1">
        <v>438</v>
      </c>
      <c r="FS18" s="11"/>
      <c r="FT18" s="11"/>
      <c r="FU18" s="11"/>
      <c r="FV18" s="1">
        <v>365</v>
      </c>
      <c r="FW18" s="1">
        <v>292</v>
      </c>
      <c r="FX18" s="1">
        <v>438</v>
      </c>
      <c r="FZ18" s="19"/>
      <c r="GA18" s="19"/>
      <c r="GB18" s="19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 t="s">
        <v>1084</v>
      </c>
      <c r="GO18" s="8" t="s">
        <v>1084</v>
      </c>
      <c r="GP18" s="8" t="s">
        <v>1084</v>
      </c>
      <c r="GS18" s="1">
        <v>67</v>
      </c>
      <c r="GT18" s="1">
        <v>67</v>
      </c>
      <c r="GU18" s="1">
        <v>67</v>
      </c>
      <c r="GV18" s="13" t="s">
        <v>806</v>
      </c>
      <c r="GW18" s="13" t="s">
        <v>806</v>
      </c>
      <c r="GX18" s="13" t="s">
        <v>806</v>
      </c>
      <c r="GY18" s="13"/>
      <c r="GZ18" s="13" t="s">
        <v>806</v>
      </c>
      <c r="HA18" s="13" t="s">
        <v>806</v>
      </c>
      <c r="HB18" s="13" t="s">
        <v>806</v>
      </c>
      <c r="HC18" s="13" t="s">
        <v>806</v>
      </c>
      <c r="HD18" s="13" t="s">
        <v>806</v>
      </c>
      <c r="HE18" s="13" t="s">
        <v>806</v>
      </c>
      <c r="HF18" s="13" t="s">
        <v>806</v>
      </c>
      <c r="HI18" s="13" t="s">
        <v>806</v>
      </c>
      <c r="HJ18" s="13" t="s">
        <v>806</v>
      </c>
      <c r="HL18" s="13" t="s">
        <v>806</v>
      </c>
    </row>
    <row r="19" spans="1:220" ht="12.75" customHeight="1" x14ac:dyDescent="0.25">
      <c r="A19" s="1" t="s">
        <v>206</v>
      </c>
      <c r="B19" s="1" t="s">
        <v>747</v>
      </c>
      <c r="E19" s="1" t="s">
        <v>127</v>
      </c>
      <c r="F19" s="1">
        <v>2</v>
      </c>
      <c r="G19" s="1">
        <v>2020</v>
      </c>
      <c r="H19" s="1">
        <v>1</v>
      </c>
      <c r="I19" s="1">
        <v>0</v>
      </c>
      <c r="J19" s="1">
        <v>0</v>
      </c>
      <c r="K19" s="19"/>
      <c r="L19" s="19"/>
      <c r="M19" s="19"/>
      <c r="N19" s="19"/>
      <c r="O19" s="19"/>
      <c r="P19" s="19"/>
      <c r="Q19" s="19">
        <v>235.39646938775508</v>
      </c>
      <c r="R19" s="19">
        <v>177.30121224489793</v>
      </c>
      <c r="S19" s="19">
        <v>293.4917265306122</v>
      </c>
      <c r="T19" s="19"/>
      <c r="U19" s="19"/>
      <c r="V19" s="19"/>
      <c r="W19" s="19">
        <v>43.377832653061219</v>
      </c>
      <c r="X19" s="19">
        <v>32.925930612244883</v>
      </c>
      <c r="Y19" s="19">
        <v>53.829734693877541</v>
      </c>
      <c r="Z19" s="19">
        <v>233.81100000000006</v>
      </c>
      <c r="AA19" s="19">
        <v>176.01301836734689</v>
      </c>
      <c r="AB19" s="19">
        <v>291.60898163265307</v>
      </c>
      <c r="AC19" s="19"/>
      <c r="AD19" s="19"/>
      <c r="AE19" s="19"/>
      <c r="AF19" s="19">
        <v>44.963302040816323</v>
      </c>
      <c r="AG19" s="19">
        <v>34.214124489795914</v>
      </c>
      <c r="AH19" s="19">
        <v>55.712479591836733</v>
      </c>
      <c r="AI19" s="19">
        <v>186.1112387755102</v>
      </c>
      <c r="AJ19" s="19">
        <v>141.99860204081628</v>
      </c>
      <c r="AK19" s="19">
        <v>230.22387551020401</v>
      </c>
      <c r="AL19" s="19">
        <v>100.71541836734691</v>
      </c>
      <c r="AM19" s="19">
        <v>75.180214285714271</v>
      </c>
      <c r="AN19" s="19">
        <v>126.2506224489795</v>
      </c>
      <c r="AO19" s="19">
        <v>206.42963877551017</v>
      </c>
      <c r="AP19" s="19">
        <v>155.62906530612247</v>
      </c>
      <c r="AQ19" s="19">
        <v>257.23021224489793</v>
      </c>
      <c r="AR19" s="19"/>
      <c r="AS19" s="19"/>
      <c r="AT19" s="19"/>
      <c r="AU19" s="19">
        <v>67.008948979591821</v>
      </c>
      <c r="AV19" s="19">
        <v>50.11607755102041</v>
      </c>
      <c r="AW19" s="19">
        <v>83.901820408163246</v>
      </c>
      <c r="AX19" s="19">
        <v>204.84416938775507</v>
      </c>
      <c r="AY19" s="19">
        <v>154.3408714285714</v>
      </c>
      <c r="AZ19" s="19">
        <v>255.34746734693874</v>
      </c>
      <c r="BA19" s="19"/>
      <c r="BB19" s="19"/>
      <c r="BC19" s="19"/>
      <c r="BD19" s="19">
        <v>68.594418367346918</v>
      </c>
      <c r="BE19" s="19">
        <v>51.40427142857142</v>
      </c>
      <c r="BF19" s="19">
        <v>85.784565306122445</v>
      </c>
      <c r="BG19" s="19">
        <v>163.38719387755103</v>
      </c>
      <c r="BH19" s="19">
        <v>124.69869183673462</v>
      </c>
      <c r="BI19" s="19">
        <v>202.07569591836736</v>
      </c>
      <c r="BJ19" s="19"/>
      <c r="BK19" s="19"/>
      <c r="BL19" s="19"/>
      <c r="BM19" s="19">
        <v>116.83232448979592</v>
      </c>
      <c r="BN19" s="19">
        <v>86.900491836734702</v>
      </c>
      <c r="BO19" s="19">
        <v>146.76415714285713</v>
      </c>
      <c r="BP19" s="19">
        <v>222.07242857142853</v>
      </c>
      <c r="BQ19" s="19">
        <v>166.4163551020408</v>
      </c>
      <c r="BR19" s="19">
        <v>277.72850204081624</v>
      </c>
      <c r="BS19" s="19"/>
      <c r="BT19" s="19"/>
      <c r="BU19" s="19"/>
      <c r="BV19" s="19">
        <v>45.90848571428571</v>
      </c>
      <c r="BW19" s="19">
        <v>34.755318367346938</v>
      </c>
      <c r="BX19" s="19">
        <v>57.06165306122449</v>
      </c>
      <c r="BY19" s="19">
        <v>177.07101428571426</v>
      </c>
      <c r="BZ19" s="19">
        <v>133.53463469387748</v>
      </c>
      <c r="CA19" s="19">
        <v>220.60739387755092</v>
      </c>
      <c r="CB19" s="19"/>
      <c r="CC19" s="19"/>
      <c r="CD19" s="19"/>
      <c r="CE19" s="19">
        <v>90.909899999999993</v>
      </c>
      <c r="CF19" s="19">
        <v>67.637038775510192</v>
      </c>
      <c r="CG19" s="19">
        <v>114.18276122448974</v>
      </c>
      <c r="CH19" s="19">
        <v>141.30648367346939</v>
      </c>
      <c r="CI19" s="19">
        <v>107.80734489795914</v>
      </c>
      <c r="CJ19" s="19">
        <v>174.80562244897962</v>
      </c>
      <c r="CK19" s="19"/>
      <c r="CL19" s="19"/>
      <c r="CM19" s="19"/>
      <c r="CN19" s="19">
        <v>131.76012857142854</v>
      </c>
      <c r="CO19" s="19">
        <v>97.75485918367346</v>
      </c>
      <c r="CP19" s="19">
        <v>165.76539795918364</v>
      </c>
      <c r="CQ19" s="19"/>
      <c r="CR19" s="19"/>
      <c r="CS19" s="19"/>
      <c r="CT19" s="19"/>
      <c r="CU19" s="11">
        <f>Tabelle58971121[[#This Row],[Mindestauslastung durch]]*Tabelle58971121[[#This Row],[installierte Leistung MW durch]]</f>
        <v>135.61907142857146</v>
      </c>
      <c r="CV19" s="11">
        <f>Tabelle58971121[[#This Row],[Mindestauslastung min]]*Tabelle58971121[[#This Row],[installierte Leistung MW min]]</f>
        <v>103.23192857142858</v>
      </c>
      <c r="CW19" s="11">
        <f>Tabelle58971121[[#This Row],[Mindestauslastung max]]*Tabelle58971121[[#This Row],[installierte Leistung MW max]]</f>
        <v>168.00621428571429</v>
      </c>
      <c r="CX19" s="9">
        <v>6.4285714285714293E-2</v>
      </c>
      <c r="CY19" s="9">
        <v>6.4285714285714293E-2</v>
      </c>
      <c r="CZ19" s="9">
        <v>6.4285714285714293E-2</v>
      </c>
      <c r="DA19" s="9"/>
      <c r="DB19" s="9">
        <v>0.64142857142857135</v>
      </c>
      <c r="DC19" s="9">
        <v>0.64142857142857135</v>
      </c>
      <c r="DD19" s="9">
        <v>0.64142857142857135</v>
      </c>
      <c r="DE19" s="9">
        <v>0.62285714285714289</v>
      </c>
      <c r="DF19" s="9">
        <v>0.62285714285714289</v>
      </c>
      <c r="DG19" s="9">
        <v>0.62285714285714289</v>
      </c>
      <c r="DH19" s="9">
        <v>0.59</v>
      </c>
      <c r="DI19" s="9">
        <v>0.59</v>
      </c>
      <c r="DJ19" s="9">
        <v>0.59</v>
      </c>
      <c r="DK19" s="9">
        <v>0.57571428571428573</v>
      </c>
      <c r="DL19" s="9">
        <v>0.57571428571428573</v>
      </c>
      <c r="DM19" s="9">
        <v>0.57571428571428573</v>
      </c>
      <c r="DN19" s="9">
        <v>0.55714285714285716</v>
      </c>
      <c r="DO19" s="9">
        <v>0.55714285714285716</v>
      </c>
      <c r="DP19" s="9">
        <v>0.55714285714285716</v>
      </c>
      <c r="DQ19" s="9">
        <v>0.52428571428571435</v>
      </c>
      <c r="DR19" s="9">
        <v>0.52428571428571435</v>
      </c>
      <c r="DS19" s="9">
        <v>0.52428571428571435</v>
      </c>
      <c r="DT19" s="9">
        <v>0.55714285714285716</v>
      </c>
      <c r="DU19" s="9">
        <v>0.55714285714285716</v>
      </c>
      <c r="DV19" s="9">
        <v>0.55714285714285716</v>
      </c>
      <c r="DW19" s="9">
        <v>0.49142857142857138</v>
      </c>
      <c r="DX19" s="9">
        <v>0.49142857142857138</v>
      </c>
      <c r="DY19" s="9">
        <v>0.49142857142857138</v>
      </c>
      <c r="DZ19" s="9">
        <v>0.45571428571428568</v>
      </c>
      <c r="EA19" s="9">
        <v>0.45571428571428568</v>
      </c>
      <c r="EB19" s="9">
        <v>0.45571428571428568</v>
      </c>
      <c r="EC19" s="9"/>
      <c r="ED19" s="9"/>
      <c r="EE19" s="9"/>
      <c r="EF19" s="46">
        <f>Tabelle58971121[[#This Row],[Durchschnittsauslastung min]]*Tabelle58971121[[#This Row],[installierte Leistung MW min]]</f>
        <v>0</v>
      </c>
      <c r="EG19" s="46">
        <f>Tabelle58971121[[#This Row],[Durchschnittsauslastung durch]]*Tabelle58971121[[#This Row],[installierte Leistung MW durch]]</f>
        <v>0</v>
      </c>
      <c r="EH19" s="46">
        <f>Tabelle58971121[[#This Row],[Durchschnittsauslastung max]]*Tabelle58971121[[#This Row],[installierte Leistung MW max]]</f>
        <v>0</v>
      </c>
      <c r="EI19" s="83">
        <f>Tabelle58971121[[#This Row],[Maximalauslastung durch]]*Tabelle58971121[[#This Row],[installierte Leistung MW min]]</f>
        <v>1605.83</v>
      </c>
      <c r="EJ19" s="46">
        <f>Tabelle58971121[[#This Row],[Maximalauslastung durch]]*Tabelle58971121[[#This Row],[installierte Leistung MW durch]]</f>
        <v>2109.63</v>
      </c>
      <c r="EK19" s="19">
        <f>Tabelle58971121[[#This Row],[Maximalauslastung max]]*Tabelle58971121[[#This Row],[installierte Leistung MW durch]]</f>
        <v>2109.63</v>
      </c>
      <c r="EL19" s="9">
        <v>1</v>
      </c>
      <c r="EM19" s="9">
        <v>1</v>
      </c>
      <c r="EN19" s="9">
        <v>1</v>
      </c>
      <c r="EO19" s="1">
        <v>2109.63</v>
      </c>
      <c r="EP19" s="1">
        <v>1605.83</v>
      </c>
      <c r="EQ19" s="1">
        <v>2613.4299999999998</v>
      </c>
      <c r="ER19" s="19"/>
      <c r="ES19" s="19"/>
      <c r="EX19" s="1">
        <v>1.5161904761904761</v>
      </c>
      <c r="EY19" s="1">
        <v>0.5</v>
      </c>
      <c r="EZ19" s="1">
        <v>5.8000000000000007</v>
      </c>
      <c r="FP19" s="1">
        <v>365</v>
      </c>
      <c r="FQ19" s="1">
        <v>292</v>
      </c>
      <c r="FR19" s="1">
        <v>438</v>
      </c>
      <c r="FS19" s="11"/>
      <c r="FT19" s="11"/>
      <c r="FU19" s="11"/>
      <c r="FV19" s="1">
        <v>365</v>
      </c>
      <c r="FW19" s="1">
        <v>292</v>
      </c>
      <c r="FX19" s="1">
        <v>438</v>
      </c>
      <c r="FZ19" s="19"/>
      <c r="GA19" s="19"/>
      <c r="GB19" s="19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 t="s">
        <v>1084</v>
      </c>
      <c r="GO19" s="8" t="s">
        <v>1084</v>
      </c>
      <c r="GP19" s="8" t="s">
        <v>1084</v>
      </c>
      <c r="GS19" s="1">
        <v>67</v>
      </c>
      <c r="GT19" s="1">
        <v>67</v>
      </c>
      <c r="GU19" s="1">
        <v>67</v>
      </c>
      <c r="GV19" s="13" t="s">
        <v>806</v>
      </c>
      <c r="GW19" s="13" t="s">
        <v>806</v>
      </c>
      <c r="GX19" s="13" t="s">
        <v>806</v>
      </c>
      <c r="GY19" s="13"/>
      <c r="GZ19" s="13" t="s">
        <v>806</v>
      </c>
      <c r="HA19" s="13" t="s">
        <v>806</v>
      </c>
      <c r="HB19" s="13" t="s">
        <v>806</v>
      </c>
      <c r="HC19" s="13" t="s">
        <v>806</v>
      </c>
      <c r="HD19" s="13" t="s">
        <v>806</v>
      </c>
      <c r="HE19" s="13" t="s">
        <v>806</v>
      </c>
      <c r="HF19" s="13" t="s">
        <v>806</v>
      </c>
      <c r="HI19" s="13" t="s">
        <v>806</v>
      </c>
      <c r="HJ19" s="13" t="s">
        <v>806</v>
      </c>
      <c r="HL19" s="13" t="s">
        <v>806</v>
      </c>
    </row>
    <row r="20" spans="1:220" ht="12.75" customHeight="1" x14ac:dyDescent="0.25">
      <c r="A20" s="1" t="s">
        <v>206</v>
      </c>
      <c r="B20" s="1" t="s">
        <v>747</v>
      </c>
      <c r="E20" s="1" t="s">
        <v>127</v>
      </c>
      <c r="F20" s="1">
        <v>2</v>
      </c>
      <c r="G20" s="1">
        <v>2025</v>
      </c>
      <c r="H20" s="1">
        <v>1</v>
      </c>
      <c r="I20" s="1">
        <v>0</v>
      </c>
      <c r="J20" s="1">
        <v>0</v>
      </c>
      <c r="K20" s="19"/>
      <c r="L20" s="19"/>
      <c r="M20" s="19"/>
      <c r="N20" s="19"/>
      <c r="O20" s="19"/>
      <c r="P20" s="19"/>
      <c r="Q20" s="19">
        <v>253.04332653061223</v>
      </c>
      <c r="R20" s="19">
        <v>190.59286938775509</v>
      </c>
      <c r="S20" s="19">
        <v>315.49378367346935</v>
      </c>
      <c r="T20" s="19"/>
      <c r="U20" s="19"/>
      <c r="V20" s="19"/>
      <c r="W20" s="19">
        <v>46.629718367346932</v>
      </c>
      <c r="X20" s="19">
        <v>35.394273469387748</v>
      </c>
      <c r="Y20" s="19">
        <v>57.865163265306116</v>
      </c>
      <c r="Z20" s="19">
        <v>251.33900000000008</v>
      </c>
      <c r="AA20" s="19">
        <v>189.2081040816326</v>
      </c>
      <c r="AB20" s="19">
        <v>313.46989591836734</v>
      </c>
      <c r="AC20" s="19"/>
      <c r="AD20" s="19"/>
      <c r="AE20" s="19"/>
      <c r="AF20" s="19">
        <v>48.334044897959181</v>
      </c>
      <c r="AG20" s="19">
        <v>36.779038775510202</v>
      </c>
      <c r="AH20" s="19">
        <v>59.889051020408161</v>
      </c>
      <c r="AI20" s="19">
        <v>200.06335306122449</v>
      </c>
      <c r="AJ20" s="19">
        <v>152.64374489795912</v>
      </c>
      <c r="AK20" s="19">
        <v>247.48296122448971</v>
      </c>
      <c r="AL20" s="19">
        <v>108.26570408163263</v>
      </c>
      <c r="AM20" s="19">
        <v>80.816214285714281</v>
      </c>
      <c r="AN20" s="19">
        <v>135.71519387755094</v>
      </c>
      <c r="AO20" s="19">
        <v>221.90495306122449</v>
      </c>
      <c r="AP20" s="19">
        <v>167.29603673469393</v>
      </c>
      <c r="AQ20" s="19">
        <v>276.51386938775511</v>
      </c>
      <c r="AR20" s="19"/>
      <c r="AS20" s="19"/>
      <c r="AT20" s="19"/>
      <c r="AU20" s="19">
        <v>72.032377551020389</v>
      </c>
      <c r="AV20" s="19">
        <v>53.873106122448988</v>
      </c>
      <c r="AW20" s="19">
        <v>90.191648979591832</v>
      </c>
      <c r="AX20" s="19">
        <v>220.20062653061223</v>
      </c>
      <c r="AY20" s="19">
        <v>165.91127142857141</v>
      </c>
      <c r="AZ20" s="19">
        <v>274.48998163265304</v>
      </c>
      <c r="BA20" s="19"/>
      <c r="BB20" s="19"/>
      <c r="BC20" s="19"/>
      <c r="BD20" s="19">
        <v>73.736704081632638</v>
      </c>
      <c r="BE20" s="19">
        <v>55.257871428571427</v>
      </c>
      <c r="BF20" s="19">
        <v>92.21553673469387</v>
      </c>
      <c r="BG20" s="19">
        <v>175.63576530612247</v>
      </c>
      <c r="BH20" s="19">
        <v>134.0469204081632</v>
      </c>
      <c r="BI20" s="19">
        <v>217.22461020408164</v>
      </c>
      <c r="BJ20" s="19"/>
      <c r="BK20" s="19"/>
      <c r="BL20" s="19"/>
      <c r="BM20" s="19">
        <v>125.59083877551022</v>
      </c>
      <c r="BN20" s="19">
        <v>93.415120408163276</v>
      </c>
      <c r="BO20" s="19">
        <v>157.76655714285712</v>
      </c>
      <c r="BP20" s="19">
        <v>238.72042857142853</v>
      </c>
      <c r="BQ20" s="19">
        <v>178.89201224489796</v>
      </c>
      <c r="BR20" s="19">
        <v>298.5488448979591</v>
      </c>
      <c r="BS20" s="19"/>
      <c r="BT20" s="19"/>
      <c r="BU20" s="19"/>
      <c r="BV20" s="19">
        <v>49.350085714285711</v>
      </c>
      <c r="BW20" s="19">
        <v>37.360804081632651</v>
      </c>
      <c r="BX20" s="19">
        <v>61.339367346938779</v>
      </c>
      <c r="BY20" s="19">
        <v>190.34541428571427</v>
      </c>
      <c r="BZ20" s="19">
        <v>143.54526326530606</v>
      </c>
      <c r="CA20" s="19">
        <v>237.14556530612236</v>
      </c>
      <c r="CB20" s="19"/>
      <c r="CC20" s="19"/>
      <c r="CD20" s="19"/>
      <c r="CE20" s="19">
        <v>97.725099999999998</v>
      </c>
      <c r="CF20" s="19">
        <v>72.707553061224488</v>
      </c>
      <c r="CG20" s="19">
        <v>122.74264693877547</v>
      </c>
      <c r="CH20" s="19">
        <v>151.89974081632653</v>
      </c>
      <c r="CI20" s="19">
        <v>115.889287755102</v>
      </c>
      <c r="CJ20" s="19">
        <v>187.91019387755105</v>
      </c>
      <c r="CK20" s="19"/>
      <c r="CL20" s="19"/>
      <c r="CM20" s="19"/>
      <c r="CN20" s="19">
        <v>141.63772857142857</v>
      </c>
      <c r="CO20" s="19">
        <v>105.08320204081633</v>
      </c>
      <c r="CP20" s="19">
        <v>178.1922551020408</v>
      </c>
      <c r="CQ20" s="19"/>
      <c r="CR20" s="19"/>
      <c r="CS20" s="19"/>
      <c r="CT20" s="19"/>
      <c r="CU20" s="11">
        <f>Tabelle58971121[[#This Row],[Mindestauslastung durch]]*Tabelle58971121[[#This Row],[installierte Leistung MW durch]]</f>
        <v>144.07392857142858</v>
      </c>
      <c r="CV20" s="11">
        <f>Tabelle58971121[[#This Row],[Mindestauslastung min]]*Tabelle58971121[[#This Row],[installierte Leistung MW min]]</f>
        <v>109.77492857142857</v>
      </c>
      <c r="CW20" s="11">
        <f>Tabelle58971121[[#This Row],[Mindestauslastung max]]*Tabelle58971121[[#This Row],[installierte Leistung MW max]]</f>
        <v>178.37292857142859</v>
      </c>
      <c r="CX20" s="9">
        <v>6.4285714285714293E-2</v>
      </c>
      <c r="CY20" s="9">
        <v>6.4285714285714293E-2</v>
      </c>
      <c r="CZ20" s="9">
        <v>6.4285714285714293E-2</v>
      </c>
      <c r="DA20" s="9"/>
      <c r="DB20" s="9">
        <v>0.64142857142857135</v>
      </c>
      <c r="DC20" s="9">
        <v>0.64142857142857135</v>
      </c>
      <c r="DD20" s="9">
        <v>0.64142857142857135</v>
      </c>
      <c r="DE20" s="9">
        <v>0.62285714285714289</v>
      </c>
      <c r="DF20" s="9">
        <v>0.62285714285714289</v>
      </c>
      <c r="DG20" s="9">
        <v>0.62285714285714289</v>
      </c>
      <c r="DH20" s="9">
        <v>0.59</v>
      </c>
      <c r="DI20" s="9">
        <v>0.59</v>
      </c>
      <c r="DJ20" s="9">
        <v>0.59</v>
      </c>
      <c r="DK20" s="9">
        <v>0.57571428571428573</v>
      </c>
      <c r="DL20" s="9">
        <v>0.57571428571428573</v>
      </c>
      <c r="DM20" s="9">
        <v>0.57571428571428573</v>
      </c>
      <c r="DN20" s="9">
        <v>0.55714285714285716</v>
      </c>
      <c r="DO20" s="9">
        <v>0.55714285714285716</v>
      </c>
      <c r="DP20" s="9">
        <v>0.55714285714285716</v>
      </c>
      <c r="DQ20" s="9">
        <v>0.52428571428571435</v>
      </c>
      <c r="DR20" s="9">
        <v>0.52428571428571435</v>
      </c>
      <c r="DS20" s="9">
        <v>0.52428571428571435</v>
      </c>
      <c r="DT20" s="9">
        <v>0.55714285714285716</v>
      </c>
      <c r="DU20" s="9">
        <v>0.55714285714285716</v>
      </c>
      <c r="DV20" s="9">
        <v>0.55714285714285716</v>
      </c>
      <c r="DW20" s="9">
        <v>0.49142857142857138</v>
      </c>
      <c r="DX20" s="9">
        <v>0.49142857142857138</v>
      </c>
      <c r="DY20" s="9">
        <v>0.49142857142857138</v>
      </c>
      <c r="DZ20" s="9">
        <v>0.45571428571428568</v>
      </c>
      <c r="EA20" s="9">
        <v>0.45571428571428568</v>
      </c>
      <c r="EB20" s="9">
        <v>0.45571428571428568</v>
      </c>
      <c r="EC20" s="9"/>
      <c r="ED20" s="9"/>
      <c r="EE20" s="9"/>
      <c r="EF20" s="46">
        <f>Tabelle58971121[[#This Row],[Durchschnittsauslastung min]]*Tabelle58971121[[#This Row],[installierte Leistung MW min]]</f>
        <v>0</v>
      </c>
      <c r="EG20" s="46">
        <f>Tabelle58971121[[#This Row],[Durchschnittsauslastung durch]]*Tabelle58971121[[#This Row],[installierte Leistung MW durch]]</f>
        <v>0</v>
      </c>
      <c r="EH20" s="46">
        <f>Tabelle58971121[[#This Row],[Durchschnittsauslastung max]]*Tabelle58971121[[#This Row],[installierte Leistung MW max]]</f>
        <v>0</v>
      </c>
      <c r="EI20" s="83">
        <f>Tabelle58971121[[#This Row],[Maximalauslastung durch]]*Tabelle58971121[[#This Row],[installierte Leistung MW min]]</f>
        <v>1707.61</v>
      </c>
      <c r="EJ20" s="46">
        <f>Tabelle58971121[[#This Row],[Maximalauslastung durch]]*Tabelle58971121[[#This Row],[installierte Leistung MW durch]]</f>
        <v>2241.15</v>
      </c>
      <c r="EK20" s="19">
        <f>Tabelle58971121[[#This Row],[Maximalauslastung max]]*Tabelle58971121[[#This Row],[installierte Leistung MW durch]]</f>
        <v>2241.15</v>
      </c>
      <c r="EL20" s="9">
        <v>1</v>
      </c>
      <c r="EM20" s="9">
        <v>1</v>
      </c>
      <c r="EN20" s="9">
        <v>1</v>
      </c>
      <c r="EO20" s="1">
        <v>2241.15</v>
      </c>
      <c r="EP20" s="1">
        <v>1707.61</v>
      </c>
      <c r="EQ20" s="1">
        <v>2774.69</v>
      </c>
      <c r="ER20" s="19"/>
      <c r="ES20" s="19"/>
      <c r="EX20" s="1">
        <v>1.5161904761904761</v>
      </c>
      <c r="EY20" s="1">
        <v>0.5</v>
      </c>
      <c r="EZ20" s="1">
        <v>5.8000000000000007</v>
      </c>
      <c r="FP20" s="1">
        <v>365</v>
      </c>
      <c r="FQ20" s="1">
        <v>292</v>
      </c>
      <c r="FR20" s="1">
        <v>438</v>
      </c>
      <c r="FS20" s="11"/>
      <c r="FT20" s="11"/>
      <c r="FU20" s="11"/>
      <c r="FV20" s="1">
        <v>365</v>
      </c>
      <c r="FW20" s="1">
        <v>292</v>
      </c>
      <c r="FX20" s="1">
        <v>438</v>
      </c>
      <c r="FZ20" s="19"/>
      <c r="GA20" s="19"/>
      <c r="GB20" s="19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 t="s">
        <v>1084</v>
      </c>
      <c r="GO20" s="8" t="s">
        <v>1084</v>
      </c>
      <c r="GP20" s="8" t="s">
        <v>1084</v>
      </c>
      <c r="GS20" s="1">
        <v>67</v>
      </c>
      <c r="GT20" s="1">
        <v>67</v>
      </c>
      <c r="GU20" s="1">
        <v>67</v>
      </c>
      <c r="GV20" s="13" t="s">
        <v>806</v>
      </c>
      <c r="GW20" s="13" t="s">
        <v>806</v>
      </c>
      <c r="GX20" s="13" t="s">
        <v>806</v>
      </c>
      <c r="GY20" s="13"/>
      <c r="GZ20" s="13" t="s">
        <v>806</v>
      </c>
      <c r="HA20" s="13" t="s">
        <v>806</v>
      </c>
      <c r="HB20" s="13" t="s">
        <v>806</v>
      </c>
      <c r="HC20" s="13" t="s">
        <v>806</v>
      </c>
      <c r="HD20" s="13" t="s">
        <v>806</v>
      </c>
      <c r="HE20" s="13" t="s">
        <v>806</v>
      </c>
      <c r="HF20" s="13" t="s">
        <v>806</v>
      </c>
      <c r="HI20" s="13" t="s">
        <v>806</v>
      </c>
      <c r="HJ20" s="13" t="s">
        <v>806</v>
      </c>
      <c r="HL20" s="13" t="s">
        <v>806</v>
      </c>
    </row>
    <row r="21" spans="1:220" ht="12.75" customHeight="1" x14ac:dyDescent="0.25">
      <c r="A21" s="1" t="s">
        <v>206</v>
      </c>
      <c r="B21" s="1" t="s">
        <v>747</v>
      </c>
      <c r="E21" s="1" t="s">
        <v>127</v>
      </c>
      <c r="F21" s="1">
        <v>2</v>
      </c>
      <c r="G21" s="1">
        <v>2030</v>
      </c>
      <c r="H21" s="1">
        <v>1</v>
      </c>
      <c r="I21" s="1">
        <v>0</v>
      </c>
      <c r="J21" s="1">
        <v>0</v>
      </c>
      <c r="K21" s="19"/>
      <c r="L21" s="19"/>
      <c r="M21" s="19"/>
      <c r="N21" s="19"/>
      <c r="O21" s="19"/>
      <c r="P21" s="19"/>
      <c r="Q21" s="19">
        <v>274.78677551020417</v>
      </c>
      <c r="R21" s="19">
        <v>206.97008979591843</v>
      </c>
      <c r="S21" s="19">
        <v>342.60346122448988</v>
      </c>
      <c r="T21" s="19"/>
      <c r="U21" s="19"/>
      <c r="V21" s="19"/>
      <c r="W21" s="19">
        <v>50.636506122448992</v>
      </c>
      <c r="X21" s="19">
        <v>38.43562448979592</v>
      </c>
      <c r="Y21" s="19">
        <v>62.837387755102057</v>
      </c>
      <c r="Z21" s="19">
        <v>272.93600000000021</v>
      </c>
      <c r="AA21" s="19">
        <v>205.46633469387757</v>
      </c>
      <c r="AB21" s="19">
        <v>340.40566530612256</v>
      </c>
      <c r="AC21" s="19"/>
      <c r="AD21" s="19"/>
      <c r="AE21" s="19"/>
      <c r="AF21" s="19">
        <v>52.48728163265308</v>
      </c>
      <c r="AG21" s="19">
        <v>39.93937959183674</v>
      </c>
      <c r="AH21" s="19">
        <v>65.035183673469405</v>
      </c>
      <c r="AI21" s="19">
        <v>217.25435102040825</v>
      </c>
      <c r="AJ21" s="19">
        <v>165.76008163265305</v>
      </c>
      <c r="AK21" s="19">
        <v>268.74862040816328</v>
      </c>
      <c r="AL21" s="19">
        <v>117.56873469387756</v>
      </c>
      <c r="AM21" s="19">
        <v>87.760571428571453</v>
      </c>
      <c r="AN21" s="19">
        <v>147.37689795918362</v>
      </c>
      <c r="AO21" s="19">
        <v>240.97275102040823</v>
      </c>
      <c r="AP21" s="19">
        <v>181.67141224489805</v>
      </c>
      <c r="AQ21" s="19">
        <v>300.27408979591843</v>
      </c>
      <c r="AR21" s="19"/>
      <c r="AS21" s="19"/>
      <c r="AT21" s="19"/>
      <c r="AU21" s="19">
        <v>78.221959183673476</v>
      </c>
      <c r="AV21" s="19">
        <v>58.502302040816353</v>
      </c>
      <c r="AW21" s="19">
        <v>97.941616326530635</v>
      </c>
      <c r="AX21" s="19">
        <v>239.12197551020415</v>
      </c>
      <c r="AY21" s="19">
        <v>180.16765714285717</v>
      </c>
      <c r="AZ21" s="19">
        <v>298.07629387755111</v>
      </c>
      <c r="BA21" s="19"/>
      <c r="BB21" s="19"/>
      <c r="BC21" s="19"/>
      <c r="BD21" s="19">
        <v>80.072734693877564</v>
      </c>
      <c r="BE21" s="19">
        <v>60.006057142857159</v>
      </c>
      <c r="BF21" s="19">
        <v>100.13941224489798</v>
      </c>
      <c r="BG21" s="19">
        <v>190.7277551020409</v>
      </c>
      <c r="BH21" s="19">
        <v>145.56527346938773</v>
      </c>
      <c r="BI21" s="19">
        <v>235.89023673469399</v>
      </c>
      <c r="BJ21" s="19"/>
      <c r="BK21" s="19"/>
      <c r="BL21" s="19"/>
      <c r="BM21" s="19">
        <v>136.38257959183679</v>
      </c>
      <c r="BN21" s="19">
        <v>101.44207346938779</v>
      </c>
      <c r="BO21" s="19">
        <v>171.32308571428575</v>
      </c>
      <c r="BP21" s="19">
        <v>259.23314285714292</v>
      </c>
      <c r="BQ21" s="19">
        <v>194.26380408163271</v>
      </c>
      <c r="BR21" s="19">
        <v>324.20248163265308</v>
      </c>
      <c r="BS21" s="19"/>
      <c r="BT21" s="19"/>
      <c r="BU21" s="19"/>
      <c r="BV21" s="19">
        <v>53.590628571428589</v>
      </c>
      <c r="BW21" s="19">
        <v>40.571134693877561</v>
      </c>
      <c r="BX21" s="19">
        <v>66.610122448979624</v>
      </c>
      <c r="BY21" s="19">
        <v>206.70137142857149</v>
      </c>
      <c r="BZ21" s="19">
        <v>155.87978775510203</v>
      </c>
      <c r="CA21" s="19">
        <v>257.52295510204084</v>
      </c>
      <c r="CB21" s="19"/>
      <c r="CC21" s="19"/>
      <c r="CD21" s="19"/>
      <c r="CE21" s="19">
        <v>106.12240000000004</v>
      </c>
      <c r="CF21" s="19">
        <v>78.955151020408181</v>
      </c>
      <c r="CG21" s="19">
        <v>133.28964897959182</v>
      </c>
      <c r="CH21" s="19">
        <v>164.95214693877557</v>
      </c>
      <c r="CI21" s="19">
        <v>125.84739591836735</v>
      </c>
      <c r="CJ21" s="19">
        <v>204.05689795918377</v>
      </c>
      <c r="CK21" s="19"/>
      <c r="CL21" s="19"/>
      <c r="CM21" s="19"/>
      <c r="CN21" s="19">
        <v>153.80834285714289</v>
      </c>
      <c r="CO21" s="19">
        <v>114.11276734693881</v>
      </c>
      <c r="CP21" s="19">
        <v>193.50391836734698</v>
      </c>
      <c r="CQ21" s="19"/>
      <c r="CR21" s="19"/>
      <c r="CS21" s="19"/>
      <c r="CT21" s="19"/>
      <c r="CU21" s="11">
        <f>Tabelle58971121[[#This Row],[Mindestauslastung durch]]*Tabelle58971121[[#This Row],[installierte Leistung MW durch]]</f>
        <v>154.49014285714287</v>
      </c>
      <c r="CV21" s="11">
        <f>Tabelle58971121[[#This Row],[Mindestauslastung min]]*Tabelle58971121[[#This Row],[installierte Leistung MW min]]</f>
        <v>117.82607142857144</v>
      </c>
      <c r="CW21" s="11">
        <f>Tabelle58971121[[#This Row],[Mindestauslastung max]]*Tabelle58971121[[#This Row],[installierte Leistung MW max]]</f>
        <v>191.15421428571432</v>
      </c>
      <c r="CX21" s="9">
        <v>6.4285714285714293E-2</v>
      </c>
      <c r="CY21" s="9">
        <v>6.4285714285714293E-2</v>
      </c>
      <c r="CZ21" s="9">
        <v>6.4285714285714293E-2</v>
      </c>
      <c r="DA21" s="9"/>
      <c r="DB21" s="9">
        <v>0.64142857142857135</v>
      </c>
      <c r="DC21" s="9">
        <v>0.64142857142857135</v>
      </c>
      <c r="DD21" s="9">
        <v>0.64142857142857135</v>
      </c>
      <c r="DE21" s="9">
        <v>0.62285714285714289</v>
      </c>
      <c r="DF21" s="9">
        <v>0.62285714285714289</v>
      </c>
      <c r="DG21" s="9">
        <v>0.62285714285714289</v>
      </c>
      <c r="DH21" s="9">
        <v>0.59</v>
      </c>
      <c r="DI21" s="9">
        <v>0.59</v>
      </c>
      <c r="DJ21" s="9">
        <v>0.59</v>
      </c>
      <c r="DK21" s="9">
        <v>0.57571428571428573</v>
      </c>
      <c r="DL21" s="9">
        <v>0.57571428571428573</v>
      </c>
      <c r="DM21" s="9">
        <v>0.57571428571428573</v>
      </c>
      <c r="DN21" s="9">
        <v>0.55714285714285716</v>
      </c>
      <c r="DO21" s="9">
        <v>0.55714285714285716</v>
      </c>
      <c r="DP21" s="9">
        <v>0.55714285714285716</v>
      </c>
      <c r="DQ21" s="9">
        <v>0.52428571428571435</v>
      </c>
      <c r="DR21" s="9">
        <v>0.52428571428571435</v>
      </c>
      <c r="DS21" s="9">
        <v>0.52428571428571435</v>
      </c>
      <c r="DT21" s="9">
        <v>0.55714285714285716</v>
      </c>
      <c r="DU21" s="9">
        <v>0.55714285714285716</v>
      </c>
      <c r="DV21" s="9">
        <v>0.55714285714285716</v>
      </c>
      <c r="DW21" s="9">
        <v>0.49142857142857138</v>
      </c>
      <c r="DX21" s="9">
        <v>0.49142857142857138</v>
      </c>
      <c r="DY21" s="9">
        <v>0.49142857142857138</v>
      </c>
      <c r="DZ21" s="9">
        <v>0.45571428571428568</v>
      </c>
      <c r="EA21" s="9">
        <v>0.45571428571428568</v>
      </c>
      <c r="EB21" s="9">
        <v>0.45571428571428568</v>
      </c>
      <c r="EC21" s="9"/>
      <c r="ED21" s="9"/>
      <c r="EE21" s="9"/>
      <c r="EF21" s="46">
        <f>Tabelle58971121[[#This Row],[Durchschnittsauslastung min]]*Tabelle58971121[[#This Row],[installierte Leistung MW min]]</f>
        <v>0</v>
      </c>
      <c r="EG21" s="46">
        <f>Tabelle58971121[[#This Row],[Durchschnittsauslastung durch]]*Tabelle58971121[[#This Row],[installierte Leistung MW durch]]</f>
        <v>0</v>
      </c>
      <c r="EH21" s="46">
        <f>Tabelle58971121[[#This Row],[Durchschnittsauslastung max]]*Tabelle58971121[[#This Row],[installierte Leistung MW max]]</f>
        <v>0</v>
      </c>
      <c r="EI21" s="83">
        <f>Tabelle58971121[[#This Row],[Maximalauslastung durch]]*Tabelle58971121[[#This Row],[installierte Leistung MW min]]</f>
        <v>1832.85</v>
      </c>
      <c r="EJ21" s="46">
        <f>Tabelle58971121[[#This Row],[Maximalauslastung durch]]*Tabelle58971121[[#This Row],[installierte Leistung MW durch]]</f>
        <v>2403.1799999999998</v>
      </c>
      <c r="EK21" s="19">
        <f>Tabelle58971121[[#This Row],[Maximalauslastung max]]*Tabelle58971121[[#This Row],[installierte Leistung MW durch]]</f>
        <v>2403.1799999999998</v>
      </c>
      <c r="EL21" s="9">
        <v>1</v>
      </c>
      <c r="EM21" s="9">
        <v>1</v>
      </c>
      <c r="EN21" s="9">
        <v>1</v>
      </c>
      <c r="EO21" s="1">
        <v>2403.1799999999998</v>
      </c>
      <c r="EP21" s="1">
        <v>1832.85</v>
      </c>
      <c r="EQ21" s="1">
        <v>2973.51</v>
      </c>
      <c r="ER21" s="19"/>
      <c r="ES21" s="19"/>
      <c r="EX21" s="1">
        <v>1.5161904761904761</v>
      </c>
      <c r="EY21" s="1">
        <v>0.5</v>
      </c>
      <c r="EZ21" s="1">
        <v>5.8000000000000007</v>
      </c>
      <c r="FP21" s="1">
        <v>365</v>
      </c>
      <c r="FQ21" s="1">
        <v>292</v>
      </c>
      <c r="FR21" s="1">
        <v>438</v>
      </c>
      <c r="FS21" s="11"/>
      <c r="FT21" s="11"/>
      <c r="FU21" s="11"/>
      <c r="FV21" s="1">
        <v>365</v>
      </c>
      <c r="FW21" s="1">
        <v>292</v>
      </c>
      <c r="FX21" s="1">
        <v>438</v>
      </c>
      <c r="FZ21" s="19"/>
      <c r="GA21" s="19"/>
      <c r="GB21" s="19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 t="s">
        <v>1084</v>
      </c>
      <c r="GO21" s="8" t="s">
        <v>1084</v>
      </c>
      <c r="GP21" s="8" t="s">
        <v>1084</v>
      </c>
      <c r="GS21" s="1">
        <v>67</v>
      </c>
      <c r="GT21" s="1">
        <v>67</v>
      </c>
      <c r="GU21" s="1">
        <v>67</v>
      </c>
      <c r="GV21" s="13" t="s">
        <v>806</v>
      </c>
      <c r="GW21" s="13" t="s">
        <v>806</v>
      </c>
      <c r="GX21" s="13" t="s">
        <v>806</v>
      </c>
      <c r="GY21" s="13"/>
      <c r="GZ21" s="13" t="s">
        <v>806</v>
      </c>
      <c r="HA21" s="13" t="s">
        <v>806</v>
      </c>
      <c r="HB21" s="13" t="s">
        <v>806</v>
      </c>
      <c r="HC21" s="13" t="s">
        <v>806</v>
      </c>
      <c r="HD21" s="13" t="s">
        <v>806</v>
      </c>
      <c r="HE21" s="13" t="s">
        <v>806</v>
      </c>
      <c r="HF21" s="13" t="s">
        <v>806</v>
      </c>
      <c r="HI21" s="13" t="s">
        <v>806</v>
      </c>
      <c r="HJ21" s="13" t="s">
        <v>806</v>
      </c>
      <c r="HL21" s="13" t="s">
        <v>806</v>
      </c>
    </row>
    <row r="22" spans="1:220" ht="12.75" customHeight="1" x14ac:dyDescent="0.25">
      <c r="A22" s="1" t="s">
        <v>206</v>
      </c>
      <c r="B22" s="1" t="s">
        <v>747</v>
      </c>
      <c r="E22" s="1" t="s">
        <v>127</v>
      </c>
      <c r="F22" s="1">
        <v>2</v>
      </c>
      <c r="G22" s="1">
        <v>2035</v>
      </c>
      <c r="H22" s="1">
        <v>1</v>
      </c>
      <c r="I22" s="1">
        <v>0</v>
      </c>
      <c r="J22" s="1">
        <v>0</v>
      </c>
      <c r="K22" s="19"/>
      <c r="L22" s="19"/>
      <c r="M22" s="19"/>
      <c r="N22" s="19"/>
      <c r="O22" s="19"/>
      <c r="P22" s="19"/>
      <c r="Q22" s="19">
        <v>300.31169387755119</v>
      </c>
      <c r="R22" s="19">
        <v>226.19552244897972</v>
      </c>
      <c r="S22" s="19">
        <v>374.42786530612261</v>
      </c>
      <c r="T22" s="19"/>
      <c r="U22" s="19"/>
      <c r="V22" s="19"/>
      <c r="W22" s="19">
        <v>55.340126530612274</v>
      </c>
      <c r="X22" s="19">
        <v>42.005906122448991</v>
      </c>
      <c r="Y22" s="19">
        <v>68.674346938775543</v>
      </c>
      <c r="Z22" s="19">
        <v>298.28900000000027</v>
      </c>
      <c r="AA22" s="19">
        <v>224.55208367346947</v>
      </c>
      <c r="AB22" s="19">
        <v>372.02591632653088</v>
      </c>
      <c r="AC22" s="19"/>
      <c r="AD22" s="19"/>
      <c r="AE22" s="19"/>
      <c r="AF22" s="19">
        <v>57.362820408163294</v>
      </c>
      <c r="AG22" s="19">
        <v>43.649344897959203</v>
      </c>
      <c r="AH22" s="19">
        <v>71.076295918367393</v>
      </c>
      <c r="AI22" s="19">
        <v>237.43508775510219</v>
      </c>
      <c r="AJ22" s="19">
        <v>181.15752040816332</v>
      </c>
      <c r="AK22" s="19">
        <v>293.71265510204091</v>
      </c>
      <c r="AL22" s="19">
        <v>128.48968367346944</v>
      </c>
      <c r="AM22" s="19">
        <v>95.912642857142913</v>
      </c>
      <c r="AN22" s="19">
        <v>161.06672448979592</v>
      </c>
      <c r="AO22" s="19">
        <v>263.3566877551022</v>
      </c>
      <c r="AP22" s="19">
        <v>198.54685306122465</v>
      </c>
      <c r="AQ22" s="19">
        <v>328.16652244897978</v>
      </c>
      <c r="AR22" s="19"/>
      <c r="AS22" s="19"/>
      <c r="AT22" s="19"/>
      <c r="AU22" s="19">
        <v>85.487989795918395</v>
      </c>
      <c r="AV22" s="19">
        <v>63.936575510204129</v>
      </c>
      <c r="AW22" s="19">
        <v>107.03940408163271</v>
      </c>
      <c r="AX22" s="19">
        <v>261.33399387755117</v>
      </c>
      <c r="AY22" s="19">
        <v>196.90341428571438</v>
      </c>
      <c r="AZ22" s="19">
        <v>325.76457346938793</v>
      </c>
      <c r="BA22" s="19"/>
      <c r="BB22" s="19"/>
      <c r="BC22" s="19"/>
      <c r="BD22" s="19">
        <v>87.51068367346943</v>
      </c>
      <c r="BE22" s="19">
        <v>65.580014285714327</v>
      </c>
      <c r="BF22" s="19">
        <v>109.44135306122455</v>
      </c>
      <c r="BG22" s="19">
        <v>208.44443877551035</v>
      </c>
      <c r="BH22" s="19">
        <v>159.08681836734695</v>
      </c>
      <c r="BI22" s="19">
        <v>257.80205918367363</v>
      </c>
      <c r="BJ22" s="19"/>
      <c r="BK22" s="19"/>
      <c r="BL22" s="19"/>
      <c r="BM22" s="19">
        <v>149.05114489795929</v>
      </c>
      <c r="BN22" s="19">
        <v>110.86501836734702</v>
      </c>
      <c r="BO22" s="19">
        <v>187.23727142857152</v>
      </c>
      <c r="BP22" s="19">
        <v>283.31328571428583</v>
      </c>
      <c r="BQ22" s="19">
        <v>212.3089510204083</v>
      </c>
      <c r="BR22" s="19">
        <v>354.31762040816341</v>
      </c>
      <c r="BS22" s="19"/>
      <c r="BT22" s="19"/>
      <c r="BU22" s="19"/>
      <c r="BV22" s="19">
        <v>58.568657142857177</v>
      </c>
      <c r="BW22" s="19">
        <v>44.339783673469412</v>
      </c>
      <c r="BX22" s="19">
        <v>72.797530612244955</v>
      </c>
      <c r="BY22" s="19">
        <v>225.90184285714298</v>
      </c>
      <c r="BZ22" s="19">
        <v>170.35944693877553</v>
      </c>
      <c r="CA22" s="19">
        <v>281.44423877551026</v>
      </c>
      <c r="CB22" s="19"/>
      <c r="CC22" s="19"/>
      <c r="CD22" s="19"/>
      <c r="CE22" s="19">
        <v>115.98010000000008</v>
      </c>
      <c r="CF22" s="19">
        <v>86.28928775510208</v>
      </c>
      <c r="CG22" s="19">
        <v>145.67091224489798</v>
      </c>
      <c r="CH22" s="19">
        <v>180.27453673469398</v>
      </c>
      <c r="CI22" s="19">
        <v>137.53734897959188</v>
      </c>
      <c r="CJ22" s="19">
        <v>223.01172448979611</v>
      </c>
      <c r="CK22" s="19"/>
      <c r="CL22" s="19"/>
      <c r="CM22" s="19"/>
      <c r="CN22" s="19">
        <v>168.09558571428579</v>
      </c>
      <c r="CO22" s="19">
        <v>124.71269183673476</v>
      </c>
      <c r="CP22" s="19">
        <v>211.47847959183684</v>
      </c>
      <c r="CQ22" s="19"/>
      <c r="CR22" s="19"/>
      <c r="CS22" s="19"/>
      <c r="CT22" s="19"/>
      <c r="CU22" s="11">
        <f>Tabelle58971121[[#This Row],[Mindestauslastung durch]]*Tabelle58971121[[#This Row],[installierte Leistung MW durch]]</f>
        <v>166.64978571428568</v>
      </c>
      <c r="CV22" s="11">
        <f>Tabelle58971121[[#This Row],[Mindestauslastung min]]*Tabelle58971121[[#This Row],[installierte Leistung MW min]]</f>
        <v>127.1912142857143</v>
      </c>
      <c r="CW22" s="11">
        <f>Tabelle58971121[[#This Row],[Mindestauslastung max]]*Tabelle58971121[[#This Row],[installierte Leistung MW max]]</f>
        <v>206.10835714285719</v>
      </c>
      <c r="CX22" s="9">
        <v>6.4285714285714293E-2</v>
      </c>
      <c r="CY22" s="9">
        <v>6.4285714285714293E-2</v>
      </c>
      <c r="CZ22" s="9">
        <v>6.4285714285714293E-2</v>
      </c>
      <c r="DA22" s="9"/>
      <c r="DB22" s="9">
        <v>0.64142857142857135</v>
      </c>
      <c r="DC22" s="9">
        <v>0.64142857142857135</v>
      </c>
      <c r="DD22" s="9">
        <v>0.64142857142857135</v>
      </c>
      <c r="DE22" s="9">
        <v>0.62285714285714289</v>
      </c>
      <c r="DF22" s="9">
        <v>0.62285714285714289</v>
      </c>
      <c r="DG22" s="9">
        <v>0.62285714285714289</v>
      </c>
      <c r="DH22" s="9">
        <v>0.59</v>
      </c>
      <c r="DI22" s="9">
        <v>0.59</v>
      </c>
      <c r="DJ22" s="9">
        <v>0.59</v>
      </c>
      <c r="DK22" s="9">
        <v>0.57571428571428573</v>
      </c>
      <c r="DL22" s="9">
        <v>0.57571428571428573</v>
      </c>
      <c r="DM22" s="9">
        <v>0.57571428571428573</v>
      </c>
      <c r="DN22" s="9">
        <v>0.55714285714285716</v>
      </c>
      <c r="DO22" s="9">
        <v>0.55714285714285716</v>
      </c>
      <c r="DP22" s="9">
        <v>0.55714285714285716</v>
      </c>
      <c r="DQ22" s="9">
        <v>0.52428571428571435</v>
      </c>
      <c r="DR22" s="9">
        <v>0.52428571428571435</v>
      </c>
      <c r="DS22" s="9">
        <v>0.52428571428571435</v>
      </c>
      <c r="DT22" s="9">
        <v>0.55714285714285716</v>
      </c>
      <c r="DU22" s="9">
        <v>0.55714285714285716</v>
      </c>
      <c r="DV22" s="9">
        <v>0.55714285714285716</v>
      </c>
      <c r="DW22" s="9">
        <v>0.49142857142857138</v>
      </c>
      <c r="DX22" s="9">
        <v>0.49142857142857138</v>
      </c>
      <c r="DY22" s="9">
        <v>0.49142857142857138</v>
      </c>
      <c r="DZ22" s="9">
        <v>0.45571428571428568</v>
      </c>
      <c r="EA22" s="9">
        <v>0.45571428571428568</v>
      </c>
      <c r="EB22" s="9">
        <v>0.45571428571428568</v>
      </c>
      <c r="EC22" s="9"/>
      <c r="ED22" s="9"/>
      <c r="EE22" s="9"/>
      <c r="EF22" s="46">
        <f>Tabelle58971121[[#This Row],[Durchschnittsauslastung min]]*Tabelle58971121[[#This Row],[installierte Leistung MW min]]</f>
        <v>0</v>
      </c>
      <c r="EG22" s="46">
        <f>Tabelle58971121[[#This Row],[Durchschnittsauslastung durch]]*Tabelle58971121[[#This Row],[installierte Leistung MW durch]]</f>
        <v>0</v>
      </c>
      <c r="EH22" s="46">
        <f>Tabelle58971121[[#This Row],[Durchschnittsauslastung max]]*Tabelle58971121[[#This Row],[installierte Leistung MW max]]</f>
        <v>0</v>
      </c>
      <c r="EI22" s="83">
        <f>Tabelle58971121[[#This Row],[Maximalauslastung durch]]*Tabelle58971121[[#This Row],[installierte Leistung MW min]]</f>
        <v>1978.53</v>
      </c>
      <c r="EJ22" s="46">
        <f>Tabelle58971121[[#This Row],[Maximalauslastung durch]]*Tabelle58971121[[#This Row],[installierte Leistung MW durch]]</f>
        <v>2592.329999999999</v>
      </c>
      <c r="EK22" s="19">
        <f>Tabelle58971121[[#This Row],[Maximalauslastung max]]*Tabelle58971121[[#This Row],[installierte Leistung MW durch]]</f>
        <v>2592.329999999999</v>
      </c>
      <c r="EL22" s="9">
        <v>1</v>
      </c>
      <c r="EM22" s="9">
        <v>1</v>
      </c>
      <c r="EN22" s="9">
        <v>1</v>
      </c>
      <c r="EO22" s="1">
        <v>2592.329999999999</v>
      </c>
      <c r="EP22" s="1">
        <v>1978.53</v>
      </c>
      <c r="EQ22" s="1">
        <v>3206.13</v>
      </c>
      <c r="ER22" s="19"/>
      <c r="ES22" s="19"/>
      <c r="EX22" s="1">
        <v>1.5161904761904761</v>
      </c>
      <c r="EY22" s="1">
        <v>0.5</v>
      </c>
      <c r="EZ22" s="1">
        <v>5.8000000000000007</v>
      </c>
      <c r="FP22" s="1">
        <v>365</v>
      </c>
      <c r="FQ22" s="1">
        <v>292</v>
      </c>
      <c r="FR22" s="1">
        <v>438</v>
      </c>
      <c r="FS22" s="11"/>
      <c r="FT22" s="11"/>
      <c r="FU22" s="11"/>
      <c r="FV22" s="1">
        <v>365</v>
      </c>
      <c r="FW22" s="1">
        <v>292</v>
      </c>
      <c r="FX22" s="1">
        <v>438</v>
      </c>
      <c r="FZ22" s="19"/>
      <c r="GA22" s="19"/>
      <c r="GB22" s="19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 t="s">
        <v>1084</v>
      </c>
      <c r="GO22" s="8" t="s">
        <v>1084</v>
      </c>
      <c r="GP22" s="8" t="s">
        <v>1084</v>
      </c>
      <c r="GS22" s="1">
        <v>67</v>
      </c>
      <c r="GT22" s="1">
        <v>67</v>
      </c>
      <c r="GU22" s="1">
        <v>67</v>
      </c>
      <c r="GV22" s="13" t="s">
        <v>806</v>
      </c>
      <c r="GW22" s="13" t="s">
        <v>806</v>
      </c>
      <c r="GX22" s="13" t="s">
        <v>806</v>
      </c>
      <c r="GY22" s="13"/>
      <c r="GZ22" s="13" t="s">
        <v>806</v>
      </c>
      <c r="HA22" s="13" t="s">
        <v>806</v>
      </c>
      <c r="HB22" s="13" t="s">
        <v>806</v>
      </c>
      <c r="HC22" s="13" t="s">
        <v>806</v>
      </c>
      <c r="HD22" s="13" t="s">
        <v>806</v>
      </c>
      <c r="HE22" s="13" t="s">
        <v>806</v>
      </c>
      <c r="HF22" s="13" t="s">
        <v>806</v>
      </c>
      <c r="HI22" s="13" t="s">
        <v>806</v>
      </c>
      <c r="HJ22" s="13" t="s">
        <v>806</v>
      </c>
      <c r="HL22" s="13" t="s">
        <v>806</v>
      </c>
    </row>
    <row r="23" spans="1:220" ht="12.75" customHeight="1" x14ac:dyDescent="0.25">
      <c r="A23" s="1" t="s">
        <v>206</v>
      </c>
      <c r="B23" s="1" t="s">
        <v>747</v>
      </c>
      <c r="E23" s="1" t="s">
        <v>127</v>
      </c>
      <c r="F23" s="1">
        <v>2</v>
      </c>
      <c r="G23" s="1">
        <v>2040</v>
      </c>
      <c r="H23" s="1">
        <v>1</v>
      </c>
      <c r="I23" s="1">
        <v>0</v>
      </c>
      <c r="J23" s="1">
        <v>0</v>
      </c>
      <c r="K23" s="19"/>
      <c r="L23" s="19"/>
      <c r="M23" s="19"/>
      <c r="N23" s="19"/>
      <c r="O23" s="19"/>
      <c r="P23" s="19"/>
      <c r="Q23" s="19">
        <v>331.19369387755091</v>
      </c>
      <c r="R23" s="19">
        <v>249.45592244897952</v>
      </c>
      <c r="S23" s="19">
        <v>412.93146530612228</v>
      </c>
      <c r="T23" s="19"/>
      <c r="U23" s="19"/>
      <c r="V23" s="19"/>
      <c r="W23" s="19">
        <v>61.030926530612227</v>
      </c>
      <c r="X23" s="19">
        <v>46.325506122448957</v>
      </c>
      <c r="Y23" s="19">
        <v>75.736346938775483</v>
      </c>
      <c r="Z23" s="19">
        <v>328.96300000000002</v>
      </c>
      <c r="AA23" s="19">
        <v>247.64348367346926</v>
      </c>
      <c r="AB23" s="19">
        <v>410.28251632653053</v>
      </c>
      <c r="AC23" s="19"/>
      <c r="AD23" s="19"/>
      <c r="AE23" s="19"/>
      <c r="AF23" s="19">
        <v>63.261620408163246</v>
      </c>
      <c r="AG23" s="19">
        <v>48.137944897959166</v>
      </c>
      <c r="AH23" s="19">
        <v>78.385295918367333</v>
      </c>
      <c r="AI23" s="19">
        <v>261.85128775510196</v>
      </c>
      <c r="AJ23" s="19">
        <v>199.78652040816314</v>
      </c>
      <c r="AK23" s="19">
        <v>323.91605510204062</v>
      </c>
      <c r="AL23" s="19">
        <v>141.70268367346932</v>
      </c>
      <c r="AM23" s="19">
        <v>105.77564285714283</v>
      </c>
      <c r="AN23" s="19">
        <v>177.62972448979576</v>
      </c>
      <c r="AO23" s="19">
        <v>290.43848775510196</v>
      </c>
      <c r="AP23" s="19">
        <v>218.96405306122449</v>
      </c>
      <c r="AQ23" s="19">
        <v>361.91292244897949</v>
      </c>
      <c r="AR23" s="19"/>
      <c r="AS23" s="19"/>
      <c r="AT23" s="19"/>
      <c r="AU23" s="19">
        <v>94.278989795918321</v>
      </c>
      <c r="AV23" s="19">
        <v>70.511375510204076</v>
      </c>
      <c r="AW23" s="19">
        <v>118.04660408163261</v>
      </c>
      <c r="AX23" s="19">
        <v>288.20779387755096</v>
      </c>
      <c r="AY23" s="19">
        <v>217.1516142857142</v>
      </c>
      <c r="AZ23" s="19">
        <v>359.26397346938768</v>
      </c>
      <c r="BA23" s="19"/>
      <c r="BB23" s="19"/>
      <c r="BC23" s="19"/>
      <c r="BD23" s="19">
        <v>96.509683673469354</v>
      </c>
      <c r="BE23" s="19">
        <v>72.323814285714263</v>
      </c>
      <c r="BF23" s="19">
        <v>120.69555306122446</v>
      </c>
      <c r="BG23" s="19">
        <v>229.87943877551018</v>
      </c>
      <c r="BH23" s="19">
        <v>175.44621836734683</v>
      </c>
      <c r="BI23" s="19">
        <v>284.31265918367342</v>
      </c>
      <c r="BJ23" s="19"/>
      <c r="BK23" s="19"/>
      <c r="BL23" s="19"/>
      <c r="BM23" s="19">
        <v>164.37854489795916</v>
      </c>
      <c r="BN23" s="19">
        <v>122.26561836734692</v>
      </c>
      <c r="BO23" s="19">
        <v>206.49147142857134</v>
      </c>
      <c r="BP23" s="19">
        <v>312.44728571428561</v>
      </c>
      <c r="BQ23" s="19">
        <v>234.14135102040811</v>
      </c>
      <c r="BR23" s="19">
        <v>390.75322040816309</v>
      </c>
      <c r="BS23" s="19"/>
      <c r="BT23" s="19"/>
      <c r="BU23" s="19"/>
      <c r="BV23" s="19">
        <v>64.591457142857124</v>
      </c>
      <c r="BW23" s="19">
        <v>48.899383673469373</v>
      </c>
      <c r="BX23" s="19">
        <v>80.283530612244888</v>
      </c>
      <c r="BY23" s="19">
        <v>249.13204285714278</v>
      </c>
      <c r="BZ23" s="19">
        <v>187.87804693877538</v>
      </c>
      <c r="CA23" s="19">
        <v>310.38603877551003</v>
      </c>
      <c r="CB23" s="19"/>
      <c r="CC23" s="19"/>
      <c r="CD23" s="19"/>
      <c r="CE23" s="19">
        <v>127.90669999999997</v>
      </c>
      <c r="CF23" s="19">
        <v>95.162687755102013</v>
      </c>
      <c r="CG23" s="19">
        <v>160.65071224489785</v>
      </c>
      <c r="CH23" s="19">
        <v>198.81273673469383</v>
      </c>
      <c r="CI23" s="19">
        <v>151.68074897959175</v>
      </c>
      <c r="CJ23" s="19">
        <v>245.9447244897959</v>
      </c>
      <c r="CK23" s="19"/>
      <c r="CL23" s="19"/>
      <c r="CM23" s="19"/>
      <c r="CN23" s="19">
        <v>185.38138571428564</v>
      </c>
      <c r="CO23" s="19">
        <v>137.53729183673465</v>
      </c>
      <c r="CP23" s="19">
        <v>233.22547959183666</v>
      </c>
      <c r="CQ23" s="19"/>
      <c r="CR23" s="19"/>
      <c r="CS23" s="19"/>
      <c r="CT23" s="19"/>
      <c r="CU23" s="11">
        <f>Tabelle58971121[[#This Row],[Mindestauslastung durch]]*Tabelle58971121[[#This Row],[installierte Leistung MW durch]]</f>
        <v>181.17835714285715</v>
      </c>
      <c r="CV23" s="11">
        <f>Tabelle58971121[[#This Row],[Mindestauslastung min]]*Tabelle58971121[[#This Row],[installierte Leistung MW min]]</f>
        <v>138.36407142857138</v>
      </c>
      <c r="CW23" s="11">
        <f>Tabelle58971121[[#This Row],[Mindestauslastung max]]*Tabelle58971121[[#This Row],[installierte Leistung MW max]]</f>
        <v>223.99264285714287</v>
      </c>
      <c r="CX23" s="9">
        <v>6.4285714285714293E-2</v>
      </c>
      <c r="CY23" s="9">
        <v>6.4285714285714293E-2</v>
      </c>
      <c r="CZ23" s="9">
        <v>6.4285714285714293E-2</v>
      </c>
      <c r="DA23" s="9"/>
      <c r="DB23" s="9">
        <v>0.64142857142857135</v>
      </c>
      <c r="DC23" s="9">
        <v>0.64142857142857135</v>
      </c>
      <c r="DD23" s="9">
        <v>0.64142857142857135</v>
      </c>
      <c r="DE23" s="9">
        <v>0.62285714285714289</v>
      </c>
      <c r="DF23" s="9">
        <v>0.62285714285714289</v>
      </c>
      <c r="DG23" s="9">
        <v>0.62285714285714289</v>
      </c>
      <c r="DH23" s="9">
        <v>0.59</v>
      </c>
      <c r="DI23" s="9">
        <v>0.59</v>
      </c>
      <c r="DJ23" s="9">
        <v>0.59</v>
      </c>
      <c r="DK23" s="9">
        <v>0.57571428571428573</v>
      </c>
      <c r="DL23" s="9">
        <v>0.57571428571428573</v>
      </c>
      <c r="DM23" s="9">
        <v>0.57571428571428573</v>
      </c>
      <c r="DN23" s="9">
        <v>0.55714285714285716</v>
      </c>
      <c r="DO23" s="9">
        <v>0.55714285714285716</v>
      </c>
      <c r="DP23" s="9">
        <v>0.55714285714285716</v>
      </c>
      <c r="DQ23" s="9">
        <v>0.52428571428571435</v>
      </c>
      <c r="DR23" s="9">
        <v>0.52428571428571435</v>
      </c>
      <c r="DS23" s="9">
        <v>0.52428571428571435</v>
      </c>
      <c r="DT23" s="9">
        <v>0.55714285714285716</v>
      </c>
      <c r="DU23" s="9">
        <v>0.55714285714285716</v>
      </c>
      <c r="DV23" s="9">
        <v>0.55714285714285716</v>
      </c>
      <c r="DW23" s="9">
        <v>0.49142857142857138</v>
      </c>
      <c r="DX23" s="9">
        <v>0.49142857142857138</v>
      </c>
      <c r="DY23" s="9">
        <v>0.49142857142857138</v>
      </c>
      <c r="DZ23" s="9">
        <v>0.45571428571428568</v>
      </c>
      <c r="EA23" s="9">
        <v>0.45571428571428568</v>
      </c>
      <c r="EB23" s="9">
        <v>0.45571428571428568</v>
      </c>
      <c r="EC23" s="9"/>
      <c r="ED23" s="9"/>
      <c r="EE23" s="9"/>
      <c r="EF23" s="46">
        <f>Tabelle58971121[[#This Row],[Durchschnittsauslastung min]]*Tabelle58971121[[#This Row],[installierte Leistung MW min]]</f>
        <v>0</v>
      </c>
      <c r="EG23" s="46">
        <f>Tabelle58971121[[#This Row],[Durchschnittsauslastung durch]]*Tabelle58971121[[#This Row],[installierte Leistung MW durch]]</f>
        <v>0</v>
      </c>
      <c r="EH23" s="46">
        <f>Tabelle58971121[[#This Row],[Durchschnittsauslastung max]]*Tabelle58971121[[#This Row],[installierte Leistung MW max]]</f>
        <v>0</v>
      </c>
      <c r="EI23" s="83">
        <f>Tabelle58971121[[#This Row],[Maximalauslastung durch]]*Tabelle58971121[[#This Row],[installierte Leistung MW min]]</f>
        <v>2152.329999999999</v>
      </c>
      <c r="EJ23" s="46">
        <f>Tabelle58971121[[#This Row],[Maximalauslastung durch]]*Tabelle58971121[[#This Row],[installierte Leistung MW durch]]</f>
        <v>2818.33</v>
      </c>
      <c r="EK23" s="19">
        <f>Tabelle58971121[[#This Row],[Maximalauslastung max]]*Tabelle58971121[[#This Row],[installierte Leistung MW durch]]</f>
        <v>2818.33</v>
      </c>
      <c r="EL23" s="9">
        <v>1</v>
      </c>
      <c r="EM23" s="9">
        <v>1</v>
      </c>
      <c r="EN23" s="9">
        <v>1</v>
      </c>
      <c r="EO23" s="1">
        <v>2818.33</v>
      </c>
      <c r="EP23" s="1">
        <v>2152.329999999999</v>
      </c>
      <c r="EQ23" s="1">
        <v>3484.33</v>
      </c>
      <c r="ER23" s="19"/>
      <c r="ES23" s="19"/>
      <c r="EX23" s="1">
        <v>1.5161904761904761</v>
      </c>
      <c r="EY23" s="1">
        <v>0.5</v>
      </c>
      <c r="EZ23" s="1">
        <v>5.8000000000000007</v>
      </c>
      <c r="FP23" s="1">
        <v>365</v>
      </c>
      <c r="FQ23" s="1">
        <v>292</v>
      </c>
      <c r="FR23" s="1">
        <v>438</v>
      </c>
      <c r="FS23" s="11"/>
      <c r="FT23" s="11"/>
      <c r="FU23" s="11"/>
      <c r="FV23" s="1">
        <v>365</v>
      </c>
      <c r="FW23" s="1">
        <v>292</v>
      </c>
      <c r="FX23" s="1">
        <v>438</v>
      </c>
      <c r="FZ23" s="19"/>
      <c r="GA23" s="19"/>
      <c r="GB23" s="19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 t="s">
        <v>1084</v>
      </c>
      <c r="GO23" s="8" t="s">
        <v>1084</v>
      </c>
      <c r="GP23" s="8" t="s">
        <v>1084</v>
      </c>
      <c r="GS23" s="1">
        <v>67</v>
      </c>
      <c r="GT23" s="1">
        <v>67</v>
      </c>
      <c r="GU23" s="1">
        <v>67</v>
      </c>
      <c r="GV23" s="13" t="s">
        <v>806</v>
      </c>
      <c r="GW23" s="13" t="s">
        <v>806</v>
      </c>
      <c r="GX23" s="13" t="s">
        <v>806</v>
      </c>
      <c r="GY23" s="13"/>
      <c r="GZ23" s="13" t="s">
        <v>806</v>
      </c>
      <c r="HA23" s="13" t="s">
        <v>806</v>
      </c>
      <c r="HB23" s="13" t="s">
        <v>806</v>
      </c>
      <c r="HC23" s="13" t="s">
        <v>806</v>
      </c>
      <c r="HD23" s="13" t="s">
        <v>806</v>
      </c>
      <c r="HE23" s="13" t="s">
        <v>806</v>
      </c>
      <c r="HF23" s="13" t="s">
        <v>806</v>
      </c>
      <c r="HI23" s="13" t="s">
        <v>806</v>
      </c>
      <c r="HJ23" s="13" t="s">
        <v>806</v>
      </c>
      <c r="HL23" s="13" t="s">
        <v>806</v>
      </c>
    </row>
    <row r="24" spans="1:220" ht="12.75" customHeight="1" x14ac:dyDescent="0.25">
      <c r="A24" s="1" t="s">
        <v>206</v>
      </c>
      <c r="B24" s="1" t="s">
        <v>747</v>
      </c>
      <c r="E24" s="1" t="s">
        <v>127</v>
      </c>
      <c r="F24" s="1">
        <v>2</v>
      </c>
      <c r="G24" s="1">
        <v>2045</v>
      </c>
      <c r="H24" s="1">
        <v>1</v>
      </c>
      <c r="I24" s="1">
        <v>0</v>
      </c>
      <c r="J24" s="1">
        <v>0</v>
      </c>
      <c r="K24" s="19"/>
      <c r="L24" s="19"/>
      <c r="M24" s="19"/>
      <c r="N24" s="19"/>
      <c r="O24" s="19"/>
      <c r="P24" s="19"/>
      <c r="Q24" s="19">
        <v>368.69326530612238</v>
      </c>
      <c r="R24" s="19">
        <v>277.70069387755098</v>
      </c>
      <c r="S24" s="19">
        <v>459.68583673469379</v>
      </c>
      <c r="T24" s="19"/>
      <c r="U24" s="19"/>
      <c r="V24" s="19"/>
      <c r="W24" s="19">
        <v>67.941183673469368</v>
      </c>
      <c r="X24" s="19">
        <v>51.570734693877533</v>
      </c>
      <c r="Y24" s="19">
        <v>84.31163265306121</v>
      </c>
      <c r="Z24" s="19">
        <v>366.21000000000009</v>
      </c>
      <c r="AA24" s="19">
        <v>275.68304081632641</v>
      </c>
      <c r="AB24" s="19">
        <v>456.73695918367343</v>
      </c>
      <c r="AC24" s="19"/>
      <c r="AD24" s="19"/>
      <c r="AE24" s="19"/>
      <c r="AF24" s="19">
        <v>70.42444897959183</v>
      </c>
      <c r="AG24" s="19">
        <v>53.588387755102026</v>
      </c>
      <c r="AH24" s="19">
        <v>87.260510204081626</v>
      </c>
      <c r="AI24" s="19">
        <v>291.49953061224488</v>
      </c>
      <c r="AJ24" s="19">
        <v>222.40744897959175</v>
      </c>
      <c r="AK24" s="19">
        <v>360.59161224489782</v>
      </c>
      <c r="AL24" s="19">
        <v>157.74704081632649</v>
      </c>
      <c r="AM24" s="19">
        <v>117.75214285714283</v>
      </c>
      <c r="AN24" s="19">
        <v>197.74193877551005</v>
      </c>
      <c r="AO24" s="19">
        <v>323.32353061224484</v>
      </c>
      <c r="AP24" s="19">
        <v>243.75636734693882</v>
      </c>
      <c r="AQ24" s="19">
        <v>402.89069387755097</v>
      </c>
      <c r="AR24" s="19"/>
      <c r="AS24" s="19"/>
      <c r="AT24" s="19"/>
      <c r="AU24" s="19">
        <v>104.95377551020405</v>
      </c>
      <c r="AV24" s="19">
        <v>78.495061224489788</v>
      </c>
      <c r="AW24" s="19">
        <v>131.41248979591833</v>
      </c>
      <c r="AX24" s="19">
        <v>320.84026530612238</v>
      </c>
      <c r="AY24" s="19">
        <v>241.73871428571422</v>
      </c>
      <c r="AZ24" s="19">
        <v>399.94181632653056</v>
      </c>
      <c r="BA24" s="19"/>
      <c r="BB24" s="19"/>
      <c r="BC24" s="19"/>
      <c r="BD24" s="19">
        <v>107.4370408163265</v>
      </c>
      <c r="BE24" s="19">
        <v>80.512714285714267</v>
      </c>
      <c r="BF24" s="19">
        <v>134.36136734693875</v>
      </c>
      <c r="BG24" s="19">
        <v>255.90765306122449</v>
      </c>
      <c r="BH24" s="19">
        <v>195.31120408163255</v>
      </c>
      <c r="BI24" s="19">
        <v>316.50410204081629</v>
      </c>
      <c r="BJ24" s="19"/>
      <c r="BK24" s="19"/>
      <c r="BL24" s="19"/>
      <c r="BM24" s="19">
        <v>182.99038775510203</v>
      </c>
      <c r="BN24" s="19">
        <v>136.10920408163264</v>
      </c>
      <c r="BO24" s="19">
        <v>229.87157142857137</v>
      </c>
      <c r="BP24" s="19">
        <v>347.82428571428562</v>
      </c>
      <c r="BQ24" s="19">
        <v>260.65212244897958</v>
      </c>
      <c r="BR24" s="19">
        <v>434.99644897959166</v>
      </c>
      <c r="BS24" s="19"/>
      <c r="BT24" s="19"/>
      <c r="BU24" s="19"/>
      <c r="BV24" s="19">
        <v>71.904857142857125</v>
      </c>
      <c r="BW24" s="19">
        <v>54.436040816326525</v>
      </c>
      <c r="BX24" s="19">
        <v>89.373673469387754</v>
      </c>
      <c r="BY24" s="19">
        <v>277.34014285714278</v>
      </c>
      <c r="BZ24" s="19">
        <v>209.15063265306111</v>
      </c>
      <c r="CA24" s="19">
        <v>345.52965306122434</v>
      </c>
      <c r="CB24" s="19"/>
      <c r="CC24" s="19"/>
      <c r="CD24" s="19"/>
      <c r="CE24" s="19">
        <v>142.38899999999998</v>
      </c>
      <c r="CF24" s="19">
        <v>105.93753061224487</v>
      </c>
      <c r="CG24" s="19">
        <v>178.84046938775501</v>
      </c>
      <c r="CH24" s="19">
        <v>221.32340816326527</v>
      </c>
      <c r="CI24" s="19">
        <v>168.85487755102034</v>
      </c>
      <c r="CJ24" s="19">
        <v>273.79193877551023</v>
      </c>
      <c r="CK24" s="19"/>
      <c r="CL24" s="19"/>
      <c r="CM24" s="19"/>
      <c r="CN24" s="19">
        <v>206.37128571428568</v>
      </c>
      <c r="CO24" s="19">
        <v>153.11002040816325</v>
      </c>
      <c r="CP24" s="19">
        <v>259.63255102040813</v>
      </c>
      <c r="CQ24" s="19"/>
      <c r="CR24" s="19"/>
      <c r="CS24" s="19"/>
      <c r="CT24" s="19"/>
      <c r="CU24" s="11">
        <f>Tabelle58971121[[#This Row],[Mindestauslastung durch]]*Tabelle58971121[[#This Row],[installierte Leistung MW durch]]</f>
        <v>199.37828571428574</v>
      </c>
      <c r="CV24" s="11">
        <f>Tabelle58971121[[#This Row],[Mindestauslastung min]]*Tabelle58971121[[#This Row],[installierte Leistung MW min]]</f>
        <v>152.30571428571429</v>
      </c>
      <c r="CW24" s="11">
        <f>Tabelle58971121[[#This Row],[Mindestauslastung max]]*Tabelle58971121[[#This Row],[installierte Leistung MW max]]</f>
        <v>246.45085714285716</v>
      </c>
      <c r="CX24" s="9">
        <v>6.4285714285714293E-2</v>
      </c>
      <c r="CY24" s="9">
        <v>6.4285714285714293E-2</v>
      </c>
      <c r="CZ24" s="9">
        <v>6.4285714285714293E-2</v>
      </c>
      <c r="DA24" s="9"/>
      <c r="DB24" s="9">
        <v>0.64142857142857135</v>
      </c>
      <c r="DC24" s="9">
        <v>0.64142857142857135</v>
      </c>
      <c r="DD24" s="9">
        <v>0.64142857142857135</v>
      </c>
      <c r="DE24" s="9">
        <v>0.62285714285714289</v>
      </c>
      <c r="DF24" s="9">
        <v>0.62285714285714289</v>
      </c>
      <c r="DG24" s="9">
        <v>0.62285714285714289</v>
      </c>
      <c r="DH24" s="9">
        <v>0.59</v>
      </c>
      <c r="DI24" s="9">
        <v>0.59</v>
      </c>
      <c r="DJ24" s="9">
        <v>0.59</v>
      </c>
      <c r="DK24" s="9">
        <v>0.57571428571428573</v>
      </c>
      <c r="DL24" s="9">
        <v>0.57571428571428573</v>
      </c>
      <c r="DM24" s="9">
        <v>0.57571428571428573</v>
      </c>
      <c r="DN24" s="9">
        <v>0.55714285714285716</v>
      </c>
      <c r="DO24" s="9">
        <v>0.55714285714285716</v>
      </c>
      <c r="DP24" s="9">
        <v>0.55714285714285716</v>
      </c>
      <c r="DQ24" s="9">
        <v>0.52428571428571435</v>
      </c>
      <c r="DR24" s="9">
        <v>0.52428571428571435</v>
      </c>
      <c r="DS24" s="9">
        <v>0.52428571428571435</v>
      </c>
      <c r="DT24" s="9">
        <v>0.55714285714285716</v>
      </c>
      <c r="DU24" s="9">
        <v>0.55714285714285716</v>
      </c>
      <c r="DV24" s="9">
        <v>0.55714285714285716</v>
      </c>
      <c r="DW24" s="9">
        <v>0.49142857142857138</v>
      </c>
      <c r="DX24" s="9">
        <v>0.49142857142857138</v>
      </c>
      <c r="DY24" s="9">
        <v>0.49142857142857138</v>
      </c>
      <c r="DZ24" s="9">
        <v>0.45571428571428568</v>
      </c>
      <c r="EA24" s="9">
        <v>0.45571428571428568</v>
      </c>
      <c r="EB24" s="9">
        <v>0.45571428571428568</v>
      </c>
      <c r="EC24" s="9"/>
      <c r="ED24" s="9"/>
      <c r="EE24" s="9"/>
      <c r="EF24" s="46">
        <f>Tabelle58971121[[#This Row],[Durchschnittsauslastung min]]*Tabelle58971121[[#This Row],[installierte Leistung MW min]]</f>
        <v>0</v>
      </c>
      <c r="EG24" s="46">
        <f>Tabelle58971121[[#This Row],[Durchschnittsauslastung durch]]*Tabelle58971121[[#This Row],[installierte Leistung MW durch]]</f>
        <v>0</v>
      </c>
      <c r="EH24" s="46">
        <f>Tabelle58971121[[#This Row],[Durchschnittsauslastung max]]*Tabelle58971121[[#This Row],[installierte Leistung MW max]]</f>
        <v>0</v>
      </c>
      <c r="EI24" s="83">
        <f>Tabelle58971121[[#This Row],[Maximalauslastung durch]]*Tabelle58971121[[#This Row],[installierte Leistung MW min]]</f>
        <v>2369.1999999999998</v>
      </c>
      <c r="EJ24" s="46">
        <f>Tabelle58971121[[#This Row],[Maximalauslastung durch]]*Tabelle58971121[[#This Row],[installierte Leistung MW durch]]</f>
        <v>3101.44</v>
      </c>
      <c r="EK24" s="19">
        <f>Tabelle58971121[[#This Row],[Maximalauslastung max]]*Tabelle58971121[[#This Row],[installierte Leistung MW durch]]</f>
        <v>3101.44</v>
      </c>
      <c r="EL24" s="9">
        <v>1</v>
      </c>
      <c r="EM24" s="9">
        <v>1</v>
      </c>
      <c r="EN24" s="9">
        <v>1</v>
      </c>
      <c r="EO24" s="1">
        <v>3101.44</v>
      </c>
      <c r="EP24" s="1">
        <v>2369.1999999999998</v>
      </c>
      <c r="EQ24" s="1">
        <v>3833.68</v>
      </c>
      <c r="ER24" s="19"/>
      <c r="ES24" s="19"/>
      <c r="EX24" s="1">
        <v>1.5161904761904761</v>
      </c>
      <c r="EY24" s="1">
        <v>0.5</v>
      </c>
      <c r="EZ24" s="1">
        <v>5.8000000000000007</v>
      </c>
      <c r="FP24" s="1">
        <v>365</v>
      </c>
      <c r="FQ24" s="1">
        <v>292</v>
      </c>
      <c r="FR24" s="1">
        <v>438</v>
      </c>
      <c r="FS24" s="11"/>
      <c r="FT24" s="11"/>
      <c r="FU24" s="11"/>
      <c r="FV24" s="1">
        <v>365</v>
      </c>
      <c r="FW24" s="1">
        <v>292</v>
      </c>
      <c r="FX24" s="1">
        <v>438</v>
      </c>
      <c r="FZ24" s="19"/>
      <c r="GA24" s="19"/>
      <c r="GB24" s="19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 t="s">
        <v>1084</v>
      </c>
      <c r="GO24" s="8" t="s">
        <v>1084</v>
      </c>
      <c r="GP24" s="8" t="s">
        <v>1084</v>
      </c>
      <c r="GS24" s="1">
        <v>67</v>
      </c>
      <c r="GT24" s="1">
        <v>67</v>
      </c>
      <c r="GU24" s="1">
        <v>67</v>
      </c>
      <c r="GV24" s="13" t="s">
        <v>806</v>
      </c>
      <c r="GW24" s="13" t="s">
        <v>806</v>
      </c>
      <c r="GX24" s="13" t="s">
        <v>806</v>
      </c>
      <c r="GY24" s="13"/>
      <c r="GZ24" s="13" t="s">
        <v>806</v>
      </c>
      <c r="HA24" s="13" t="s">
        <v>806</v>
      </c>
      <c r="HB24" s="13" t="s">
        <v>806</v>
      </c>
      <c r="HC24" s="13" t="s">
        <v>806</v>
      </c>
      <c r="HD24" s="13" t="s">
        <v>806</v>
      </c>
      <c r="HE24" s="13" t="s">
        <v>806</v>
      </c>
      <c r="HF24" s="13" t="s">
        <v>806</v>
      </c>
      <c r="HI24" s="13" t="s">
        <v>806</v>
      </c>
      <c r="HJ24" s="13" t="s">
        <v>806</v>
      </c>
      <c r="HL24" s="13" t="s">
        <v>806</v>
      </c>
    </row>
    <row r="25" spans="1:220" ht="12.75" customHeight="1" x14ac:dyDescent="0.25">
      <c r="A25" s="1" t="s">
        <v>206</v>
      </c>
      <c r="B25" s="1" t="s">
        <v>747</v>
      </c>
      <c r="E25" s="1" t="s">
        <v>127</v>
      </c>
      <c r="F25" s="1">
        <v>2</v>
      </c>
      <c r="G25" s="1">
        <v>2050</v>
      </c>
      <c r="H25" s="1">
        <v>1</v>
      </c>
      <c r="I25" s="1">
        <v>0</v>
      </c>
      <c r="J25" s="1">
        <v>0</v>
      </c>
      <c r="K25" s="19"/>
      <c r="L25" s="19"/>
      <c r="M25" s="19"/>
      <c r="N25" s="19"/>
      <c r="O25" s="19"/>
      <c r="P25" s="19"/>
      <c r="Q25" s="19">
        <v>413.7557755102041</v>
      </c>
      <c r="R25" s="19">
        <v>311.64188979591842</v>
      </c>
      <c r="S25" s="19">
        <v>515.86966122448985</v>
      </c>
      <c r="T25" s="19"/>
      <c r="U25" s="19"/>
      <c r="V25" s="19"/>
      <c r="W25" s="19">
        <v>76.245106122448988</v>
      </c>
      <c r="X25" s="19">
        <v>57.873824489795915</v>
      </c>
      <c r="Y25" s="19">
        <v>94.616387755102053</v>
      </c>
      <c r="Z25" s="19">
        <v>410.96900000000022</v>
      </c>
      <c r="AA25" s="19">
        <v>309.37763469387755</v>
      </c>
      <c r="AB25" s="19">
        <v>512.56036530612255</v>
      </c>
      <c r="AC25" s="19"/>
      <c r="AD25" s="19"/>
      <c r="AE25" s="19"/>
      <c r="AF25" s="19">
        <v>79.031881632653068</v>
      </c>
      <c r="AG25" s="19">
        <v>60.138079591836743</v>
      </c>
      <c r="AH25" s="19">
        <v>97.925683673469408</v>
      </c>
      <c r="AI25" s="19">
        <v>327.12725102040827</v>
      </c>
      <c r="AJ25" s="19">
        <v>249.59058163265303</v>
      </c>
      <c r="AK25" s="19">
        <v>404.66392040816322</v>
      </c>
      <c r="AL25" s="19">
        <v>177.02723469387755</v>
      </c>
      <c r="AM25" s="19">
        <v>132.14407142857144</v>
      </c>
      <c r="AN25" s="19">
        <v>221.91039795918357</v>
      </c>
      <c r="AO25" s="19">
        <v>362.84085102040825</v>
      </c>
      <c r="AP25" s="19">
        <v>273.5488122448981</v>
      </c>
      <c r="AQ25" s="19">
        <v>452.13288979591846</v>
      </c>
      <c r="AR25" s="19"/>
      <c r="AS25" s="19"/>
      <c r="AT25" s="19"/>
      <c r="AU25" s="19">
        <v>117.78145918367348</v>
      </c>
      <c r="AV25" s="19">
        <v>88.08890204081635</v>
      </c>
      <c r="AW25" s="19">
        <v>147.47401632653063</v>
      </c>
      <c r="AX25" s="19">
        <v>360.05407551020414</v>
      </c>
      <c r="AY25" s="19">
        <v>271.28455714285718</v>
      </c>
      <c r="AZ25" s="19">
        <v>448.8235938775511</v>
      </c>
      <c r="BA25" s="19"/>
      <c r="BB25" s="19"/>
      <c r="BC25" s="19"/>
      <c r="BD25" s="19">
        <v>120.56823469387756</v>
      </c>
      <c r="BE25" s="19">
        <v>90.353157142857157</v>
      </c>
      <c r="BF25" s="19">
        <v>150.78331224489799</v>
      </c>
      <c r="BG25" s="19">
        <v>287.18525510204091</v>
      </c>
      <c r="BH25" s="19">
        <v>219.18257346938771</v>
      </c>
      <c r="BI25" s="19">
        <v>355.18793673469395</v>
      </c>
      <c r="BJ25" s="19"/>
      <c r="BK25" s="19"/>
      <c r="BL25" s="19"/>
      <c r="BM25" s="19">
        <v>205.35587959183681</v>
      </c>
      <c r="BN25" s="19">
        <v>152.74477346938781</v>
      </c>
      <c r="BO25" s="19">
        <v>257.96698571428573</v>
      </c>
      <c r="BP25" s="19">
        <v>390.33614285714287</v>
      </c>
      <c r="BQ25" s="19">
        <v>292.50960408163269</v>
      </c>
      <c r="BR25" s="19">
        <v>488.16268163265306</v>
      </c>
      <c r="BS25" s="19"/>
      <c r="BT25" s="19"/>
      <c r="BU25" s="19"/>
      <c r="BV25" s="19">
        <v>80.693228571428591</v>
      </c>
      <c r="BW25" s="19">
        <v>61.089334693877561</v>
      </c>
      <c r="BX25" s="19">
        <v>100.29712244897962</v>
      </c>
      <c r="BY25" s="19">
        <v>311.23727142857149</v>
      </c>
      <c r="BZ25" s="19">
        <v>234.71348775510199</v>
      </c>
      <c r="CA25" s="19">
        <v>387.76105510204076</v>
      </c>
      <c r="CB25" s="19"/>
      <c r="CC25" s="19"/>
      <c r="CD25" s="19"/>
      <c r="CE25" s="19">
        <v>159.79210000000003</v>
      </c>
      <c r="CF25" s="19">
        <v>118.88545102040817</v>
      </c>
      <c r="CG25" s="19">
        <v>200.69874897959178</v>
      </c>
      <c r="CH25" s="19">
        <v>248.37404693877556</v>
      </c>
      <c r="CI25" s="19">
        <v>189.49269591836733</v>
      </c>
      <c r="CJ25" s="19">
        <v>307.25539795918377</v>
      </c>
      <c r="CK25" s="19"/>
      <c r="CL25" s="19"/>
      <c r="CM25" s="19"/>
      <c r="CN25" s="19">
        <v>231.59444285714287</v>
      </c>
      <c r="CO25" s="19">
        <v>171.8234673469388</v>
      </c>
      <c r="CP25" s="19">
        <v>291.36541836734699</v>
      </c>
      <c r="CQ25" s="19"/>
      <c r="CR25" s="19"/>
      <c r="CS25" s="19"/>
      <c r="CT25" s="19"/>
      <c r="CU25" s="11">
        <f>Tabelle58971121[[#This Row],[Mindestauslastung durch]]*Tabelle58971121[[#This Row],[installierte Leistung MW durch]]</f>
        <v>220.63821428571433</v>
      </c>
      <c r="CV25" s="11">
        <f>Tabelle58971121[[#This Row],[Mindestauslastung min]]*Tabelle58971121[[#This Row],[installierte Leistung MW min]]</f>
        <v>168.58671428571429</v>
      </c>
      <c r="CW25" s="11">
        <f>Tabelle58971121[[#This Row],[Mindestauslastung max]]*Tabelle58971121[[#This Row],[installierte Leistung MW max]]</f>
        <v>272.68971428571433</v>
      </c>
      <c r="CX25" s="9">
        <v>6.4285714285714293E-2</v>
      </c>
      <c r="CY25" s="9">
        <v>6.4285714285714293E-2</v>
      </c>
      <c r="CZ25" s="9">
        <v>6.4285714285714293E-2</v>
      </c>
      <c r="DA25" s="9"/>
      <c r="DB25" s="9">
        <v>0.64142857142857135</v>
      </c>
      <c r="DC25" s="9">
        <v>0.64142857142857135</v>
      </c>
      <c r="DD25" s="9">
        <v>0.64142857142857135</v>
      </c>
      <c r="DE25" s="9">
        <v>0.62285714285714289</v>
      </c>
      <c r="DF25" s="9">
        <v>0.62285714285714289</v>
      </c>
      <c r="DG25" s="9">
        <v>0.62285714285714289</v>
      </c>
      <c r="DH25" s="9">
        <v>0.59</v>
      </c>
      <c r="DI25" s="9">
        <v>0.59</v>
      </c>
      <c r="DJ25" s="9">
        <v>0.59</v>
      </c>
      <c r="DK25" s="9">
        <v>0.57571428571428573</v>
      </c>
      <c r="DL25" s="9">
        <v>0.57571428571428573</v>
      </c>
      <c r="DM25" s="9">
        <v>0.57571428571428573</v>
      </c>
      <c r="DN25" s="9">
        <v>0.55714285714285716</v>
      </c>
      <c r="DO25" s="9">
        <v>0.55714285714285716</v>
      </c>
      <c r="DP25" s="9">
        <v>0.55714285714285716</v>
      </c>
      <c r="DQ25" s="9">
        <v>0.52428571428571435</v>
      </c>
      <c r="DR25" s="9">
        <v>0.52428571428571435</v>
      </c>
      <c r="DS25" s="9">
        <v>0.52428571428571435</v>
      </c>
      <c r="DT25" s="9">
        <v>0.55714285714285716</v>
      </c>
      <c r="DU25" s="9">
        <v>0.55714285714285716</v>
      </c>
      <c r="DV25" s="9">
        <v>0.55714285714285716</v>
      </c>
      <c r="DW25" s="9">
        <v>0.49142857142857138</v>
      </c>
      <c r="DX25" s="9">
        <v>0.49142857142857138</v>
      </c>
      <c r="DY25" s="9">
        <v>0.49142857142857138</v>
      </c>
      <c r="DZ25" s="9">
        <v>0.45571428571428568</v>
      </c>
      <c r="EA25" s="9">
        <v>0.45571428571428568</v>
      </c>
      <c r="EB25" s="9">
        <v>0.45571428571428568</v>
      </c>
      <c r="EC25" s="9"/>
      <c r="ED25" s="9"/>
      <c r="EE25" s="9"/>
      <c r="EF25" s="46">
        <f>Tabelle58971121[[#This Row],[Durchschnittsauslastung min]]*Tabelle58971121[[#This Row],[installierte Leistung MW min]]</f>
        <v>0</v>
      </c>
      <c r="EG25" s="46">
        <f>Tabelle58971121[[#This Row],[Durchschnittsauslastung durch]]*Tabelle58971121[[#This Row],[installierte Leistung MW durch]]</f>
        <v>0</v>
      </c>
      <c r="EH25" s="46">
        <f>Tabelle58971121[[#This Row],[Durchschnittsauslastung max]]*Tabelle58971121[[#This Row],[installierte Leistung MW max]]</f>
        <v>0</v>
      </c>
      <c r="EI25" s="83">
        <f>Tabelle58971121[[#This Row],[Maximalauslastung durch]]*Tabelle58971121[[#This Row],[installierte Leistung MW min]]</f>
        <v>2622.46</v>
      </c>
      <c r="EJ25" s="46">
        <f>Tabelle58971121[[#This Row],[Maximalauslastung durch]]*Tabelle58971121[[#This Row],[installierte Leistung MW durch]]</f>
        <v>3432.15</v>
      </c>
      <c r="EK25" s="19">
        <f>Tabelle58971121[[#This Row],[Maximalauslastung max]]*Tabelle58971121[[#This Row],[installierte Leistung MW durch]]</f>
        <v>3432.15</v>
      </c>
      <c r="EL25" s="9">
        <v>1</v>
      </c>
      <c r="EM25" s="9">
        <v>1</v>
      </c>
      <c r="EN25" s="9">
        <v>1</v>
      </c>
      <c r="EO25" s="1">
        <v>3432.15</v>
      </c>
      <c r="EP25" s="1">
        <v>2622.46</v>
      </c>
      <c r="EQ25" s="1">
        <v>4241.84</v>
      </c>
      <c r="ER25" s="19"/>
      <c r="ES25" s="19"/>
      <c r="EX25" s="1">
        <v>1.5161904761904761</v>
      </c>
      <c r="EY25" s="1">
        <v>0.5</v>
      </c>
      <c r="EZ25" s="1">
        <v>5.8000000000000007</v>
      </c>
      <c r="FP25" s="1">
        <v>365</v>
      </c>
      <c r="FQ25" s="1">
        <v>292</v>
      </c>
      <c r="FR25" s="1">
        <v>438</v>
      </c>
      <c r="FS25" s="11"/>
      <c r="FT25" s="11"/>
      <c r="FU25" s="11"/>
      <c r="FV25" s="1">
        <v>365</v>
      </c>
      <c r="FW25" s="1">
        <v>292</v>
      </c>
      <c r="FX25" s="1">
        <v>438</v>
      </c>
      <c r="FZ25" s="19"/>
      <c r="GA25" s="19"/>
      <c r="GB25" s="19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 t="s">
        <v>1084</v>
      </c>
      <c r="GO25" s="8" t="s">
        <v>1084</v>
      </c>
      <c r="GP25" s="8" t="s">
        <v>1084</v>
      </c>
      <c r="GS25" s="1">
        <v>67</v>
      </c>
      <c r="GT25" s="1">
        <v>67</v>
      </c>
      <c r="GU25" s="1">
        <v>67</v>
      </c>
      <c r="GV25" s="13" t="s">
        <v>806</v>
      </c>
      <c r="GW25" s="13" t="s">
        <v>806</v>
      </c>
      <c r="GX25" s="13" t="s">
        <v>806</v>
      </c>
      <c r="GY25" s="13"/>
      <c r="GZ25" s="13" t="s">
        <v>806</v>
      </c>
      <c r="HA25" s="13" t="s">
        <v>806</v>
      </c>
      <c r="HB25" s="13" t="s">
        <v>806</v>
      </c>
      <c r="HC25" s="13" t="s">
        <v>806</v>
      </c>
      <c r="HD25" s="13" t="s">
        <v>806</v>
      </c>
      <c r="HE25" s="13" t="s">
        <v>806</v>
      </c>
      <c r="HF25" s="13" t="s">
        <v>806</v>
      </c>
      <c r="HI25" s="13" t="s">
        <v>806</v>
      </c>
      <c r="HJ25" s="13" t="s">
        <v>806</v>
      </c>
      <c r="HL25" s="13" t="s">
        <v>806</v>
      </c>
    </row>
    <row r="26" spans="1:220" ht="12.75" customHeight="1" x14ac:dyDescent="0.25">
      <c r="A26" s="1" t="s">
        <v>208</v>
      </c>
      <c r="B26" s="1" t="s">
        <v>651</v>
      </c>
      <c r="E26" s="1" t="s">
        <v>127</v>
      </c>
      <c r="F26" s="1">
        <v>2</v>
      </c>
      <c r="G26" s="1">
        <v>2015</v>
      </c>
      <c r="H26" s="1">
        <v>1</v>
      </c>
      <c r="I26" s="1">
        <v>0</v>
      </c>
      <c r="J26" s="1">
        <v>0</v>
      </c>
      <c r="K26" s="19"/>
      <c r="L26" s="19"/>
      <c r="M26" s="19"/>
      <c r="N26" s="19"/>
      <c r="O26" s="19"/>
      <c r="P26" s="19"/>
      <c r="Q26" s="19">
        <v>114.9616666666667</v>
      </c>
      <c r="R26" s="19">
        <v>66.225000000000009</v>
      </c>
      <c r="S26" s="19">
        <v>176.125</v>
      </c>
      <c r="T26" s="19"/>
      <c r="U26" s="19"/>
      <c r="V26" s="19"/>
      <c r="W26" s="19">
        <v>0.6216666666666667</v>
      </c>
      <c r="X26" s="19">
        <v>0</v>
      </c>
      <c r="Y26" s="19">
        <v>23.993333333333329</v>
      </c>
      <c r="Z26" s="19">
        <v>107.3783333333333</v>
      </c>
      <c r="AA26" s="19">
        <v>61.85</v>
      </c>
      <c r="AB26" s="19">
        <v>164.5</v>
      </c>
      <c r="AC26" s="19"/>
      <c r="AD26" s="19"/>
      <c r="AE26" s="19"/>
      <c r="AF26" s="19">
        <v>8.2050000000000001</v>
      </c>
      <c r="AG26" s="19">
        <v>3.541666666666667</v>
      </c>
      <c r="AH26" s="19">
        <v>31.868333333333329</v>
      </c>
      <c r="AI26" s="19">
        <v>83.61333333333333</v>
      </c>
      <c r="AJ26" s="19">
        <v>46.556666666666658</v>
      </c>
      <c r="AK26" s="19">
        <v>131.19666666666669</v>
      </c>
      <c r="AL26" s="19">
        <v>32.056666666666658</v>
      </c>
      <c r="AM26" s="19">
        <v>11.92166666666667</v>
      </c>
      <c r="AN26" s="19">
        <v>60.918333333333329</v>
      </c>
      <c r="AO26" s="19">
        <v>104.7133333333333</v>
      </c>
      <c r="AP26" s="19">
        <v>58.901666666666657</v>
      </c>
      <c r="AQ26" s="19">
        <v>162.95166666666671</v>
      </c>
      <c r="AR26" s="19"/>
      <c r="AS26" s="19"/>
      <c r="AT26" s="19"/>
      <c r="AU26" s="19">
        <v>10.87</v>
      </c>
      <c r="AV26" s="19">
        <v>1.69</v>
      </c>
      <c r="AW26" s="19">
        <v>37.166666666666657</v>
      </c>
      <c r="AX26" s="19">
        <v>97.13</v>
      </c>
      <c r="AY26" s="19">
        <v>54.526666666666657</v>
      </c>
      <c r="AZ26" s="19">
        <v>151.32666666666671</v>
      </c>
      <c r="BA26" s="19"/>
      <c r="BB26" s="19"/>
      <c r="BC26" s="19"/>
      <c r="BD26" s="19">
        <v>18.45333333333333</v>
      </c>
      <c r="BE26" s="19">
        <v>5.2316666666666656</v>
      </c>
      <c r="BF26" s="19">
        <v>45.041666666666657</v>
      </c>
      <c r="BG26" s="19">
        <v>24.48833333333333</v>
      </c>
      <c r="BH26" s="19">
        <v>11.066666666666659</v>
      </c>
      <c r="BI26" s="19">
        <v>55.196666666666658</v>
      </c>
      <c r="BJ26" s="19"/>
      <c r="BK26" s="19"/>
      <c r="BL26" s="19"/>
      <c r="BM26" s="19">
        <v>91.181666666666658</v>
      </c>
      <c r="BN26" s="19">
        <v>54.17166666666666</v>
      </c>
      <c r="BO26" s="19">
        <v>136.91833333333329</v>
      </c>
      <c r="BP26" s="19">
        <v>47.164999999999999</v>
      </c>
      <c r="BQ26" s="19">
        <v>24.53833333333333</v>
      </c>
      <c r="BR26" s="19">
        <v>76.818333333333342</v>
      </c>
      <c r="BS26" s="19"/>
      <c r="BT26" s="19"/>
      <c r="BU26" s="19"/>
      <c r="BV26" s="19">
        <v>77.878333333333345</v>
      </c>
      <c r="BW26" s="19">
        <v>49.573333333333331</v>
      </c>
      <c r="BX26" s="19">
        <v>115.1933333333333</v>
      </c>
      <c r="BY26" s="19">
        <v>39.581666666666671</v>
      </c>
      <c r="BZ26" s="19">
        <v>20.16333333333333</v>
      </c>
      <c r="CA26" s="19">
        <v>65.193333333333328</v>
      </c>
      <c r="CB26" s="19"/>
      <c r="CC26" s="19"/>
      <c r="CD26" s="19"/>
      <c r="CE26" s="19">
        <v>85.461666666666659</v>
      </c>
      <c r="CF26" s="19">
        <v>53.115000000000002</v>
      </c>
      <c r="CG26" s="19">
        <v>123.0683333333333</v>
      </c>
      <c r="CH26" s="19">
        <v>24.48833333333333</v>
      </c>
      <c r="CI26" s="19">
        <v>11.066666666666659</v>
      </c>
      <c r="CJ26" s="19">
        <v>43.036666666666662</v>
      </c>
      <c r="CK26" s="19"/>
      <c r="CL26" s="19"/>
      <c r="CM26" s="19"/>
      <c r="CN26" s="19">
        <v>100.64166666666669</v>
      </c>
      <c r="CO26" s="19">
        <v>60.931666666666672</v>
      </c>
      <c r="CP26" s="19">
        <v>140.97166666666669</v>
      </c>
      <c r="CQ26" s="19"/>
      <c r="CR26" s="19"/>
      <c r="CS26" s="19"/>
      <c r="CT26" s="19"/>
      <c r="CU26" s="11">
        <f>Tabelle58971121[[#This Row],[Mindestauslastung durch]]*Tabelle58971121[[#This Row],[installierte Leistung MW durch]]</f>
        <v>104.11</v>
      </c>
      <c r="CV26" s="11">
        <f>Tabelle58971121[[#This Row],[Mindestauslastung min]]*Tabelle58971121[[#This Row],[installierte Leistung MW min]]</f>
        <v>65.346666666666664</v>
      </c>
      <c r="CW26" s="11">
        <f>Tabelle58971121[[#This Row],[Mindestauslastung max]]*Tabelle58971121[[#This Row],[installierte Leistung MW max]]</f>
        <v>149.33333333333337</v>
      </c>
      <c r="CX26" s="9">
        <v>9.6666666666666665E-2</v>
      </c>
      <c r="CY26" s="9">
        <v>8.6666666666666656E-2</v>
      </c>
      <c r="CZ26" s="9">
        <v>0.1066666666666667</v>
      </c>
      <c r="DA26" s="9"/>
      <c r="DB26" s="9">
        <v>0.61499999999999999</v>
      </c>
      <c r="DC26" s="9">
        <v>0.51500000000000001</v>
      </c>
      <c r="DD26" s="9">
        <v>0.71499999999999997</v>
      </c>
      <c r="DE26" s="9">
        <v>0.57166666666666666</v>
      </c>
      <c r="DF26" s="9">
        <v>0.48</v>
      </c>
      <c r="DG26" s="9">
        <v>0.66333333333333333</v>
      </c>
      <c r="DH26" s="9">
        <v>0.49</v>
      </c>
      <c r="DI26" s="9">
        <v>0.40666666666666662</v>
      </c>
      <c r="DJ26" s="9">
        <v>0.57333333333333336</v>
      </c>
      <c r="DK26" s="9">
        <v>0.59333333333333338</v>
      </c>
      <c r="DL26" s="9">
        <v>0.49333333333333329</v>
      </c>
      <c r="DM26" s="9">
        <v>0.69333333333333325</v>
      </c>
      <c r="DN26" s="9">
        <v>0.55000000000000004</v>
      </c>
      <c r="DO26" s="9">
        <v>0.45833333333333343</v>
      </c>
      <c r="DP26" s="9">
        <v>0.64166666666666672</v>
      </c>
      <c r="DQ26" s="9">
        <v>0.36499999999999999</v>
      </c>
      <c r="DR26" s="9">
        <v>0.28166666666666668</v>
      </c>
      <c r="DS26" s="9">
        <v>0.44833333333333342</v>
      </c>
      <c r="DT26" s="9">
        <v>0.45166666666666672</v>
      </c>
      <c r="DU26" s="9">
        <v>0.36499999999999999</v>
      </c>
      <c r="DV26" s="9">
        <v>0.55166666666666664</v>
      </c>
      <c r="DW26" s="9">
        <v>0.40833333333333338</v>
      </c>
      <c r="DX26" s="9">
        <v>0.33</v>
      </c>
      <c r="DY26" s="9">
        <v>0.5</v>
      </c>
      <c r="DZ26" s="9">
        <v>0.34499999999999997</v>
      </c>
      <c r="EA26" s="9">
        <v>0.27500000000000002</v>
      </c>
      <c r="EB26" s="9">
        <v>0.42833333333333329</v>
      </c>
      <c r="EC26" s="9"/>
      <c r="ED26" s="9"/>
      <c r="EE26" s="9"/>
      <c r="EF26" s="46">
        <f>Tabelle58971121[[#This Row],[Durchschnittsauslastung min]]*Tabelle58971121[[#This Row],[installierte Leistung MW min]]</f>
        <v>0</v>
      </c>
      <c r="EG26" s="46">
        <f>Tabelle58971121[[#This Row],[Durchschnittsauslastung durch]]*Tabelle58971121[[#This Row],[installierte Leistung MW durch]]</f>
        <v>0</v>
      </c>
      <c r="EH26" s="46">
        <f>Tabelle58971121[[#This Row],[Durchschnittsauslastung max]]*Tabelle58971121[[#This Row],[installierte Leistung MW max]]</f>
        <v>0</v>
      </c>
      <c r="EI26" s="83">
        <f>Tabelle58971121[[#This Row],[Maximalauslastung durch]]*Tabelle58971121[[#This Row],[installierte Leistung MW min]]</f>
        <v>594.40333333333331</v>
      </c>
      <c r="EJ26" s="46">
        <f>Tabelle58971121[[#This Row],[Maximalauslastung durch]]*Tabelle58971121[[#This Row],[installierte Leistung MW durch]]</f>
        <v>849.03499999999997</v>
      </c>
      <c r="EK26" s="19">
        <f>Tabelle58971121[[#This Row],[Maximalauslastung max]]*Tabelle58971121[[#This Row],[installierte Leistung MW durch]]</f>
        <v>870.57499999999993</v>
      </c>
      <c r="EL26" s="9">
        <v>0.78833333333333333</v>
      </c>
      <c r="EM26" s="9">
        <v>0.76833333333333331</v>
      </c>
      <c r="EN26" s="9">
        <v>0.80833333333333324</v>
      </c>
      <c r="EO26" s="1">
        <v>1077</v>
      </c>
      <c r="EP26" s="1">
        <v>754</v>
      </c>
      <c r="EQ26" s="1">
        <v>1400</v>
      </c>
      <c r="ER26" s="19"/>
      <c r="ES26" s="19"/>
      <c r="EX26" s="1">
        <v>1.2</v>
      </c>
      <c r="EY26" s="1">
        <v>0.26</v>
      </c>
      <c r="EZ26" s="1">
        <v>3.1</v>
      </c>
      <c r="FP26" s="1">
        <v>365</v>
      </c>
      <c r="FQ26" s="1">
        <v>292</v>
      </c>
      <c r="FR26" s="1">
        <v>438</v>
      </c>
      <c r="FS26" s="11"/>
      <c r="FT26" s="11"/>
      <c r="FU26" s="11"/>
      <c r="FV26" s="1">
        <v>365</v>
      </c>
      <c r="FW26" s="1">
        <v>292</v>
      </c>
      <c r="FX26" s="1">
        <v>438</v>
      </c>
      <c r="FZ26" s="19"/>
      <c r="GA26" s="19"/>
      <c r="GB26" s="19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 t="s">
        <v>1084</v>
      </c>
      <c r="GO26" s="8" t="s">
        <v>1084</v>
      </c>
      <c r="GP26" s="8" t="s">
        <v>1084</v>
      </c>
      <c r="GS26" s="1">
        <v>67</v>
      </c>
      <c r="GT26" s="1">
        <v>67</v>
      </c>
      <c r="GU26" s="1">
        <v>67</v>
      </c>
      <c r="GV26" s="13" t="s">
        <v>806</v>
      </c>
      <c r="GW26" s="13" t="s">
        <v>806</v>
      </c>
      <c r="GX26" s="13" t="s">
        <v>806</v>
      </c>
      <c r="GY26" s="13"/>
      <c r="GZ26" s="13" t="s">
        <v>806</v>
      </c>
      <c r="HA26" s="13" t="s">
        <v>806</v>
      </c>
      <c r="HB26" s="13" t="s">
        <v>806</v>
      </c>
      <c r="HC26" s="13" t="s">
        <v>806</v>
      </c>
      <c r="HD26" s="13" t="s">
        <v>806</v>
      </c>
      <c r="HE26" s="13" t="s">
        <v>806</v>
      </c>
      <c r="HF26" s="13" t="s">
        <v>806</v>
      </c>
      <c r="HI26" s="13" t="s">
        <v>806</v>
      </c>
      <c r="HJ26" s="13" t="s">
        <v>806</v>
      </c>
      <c r="HL26" s="13" t="s">
        <v>806</v>
      </c>
    </row>
    <row r="27" spans="1:220" ht="12.75" customHeight="1" x14ac:dyDescent="0.25">
      <c r="A27" s="1" t="s">
        <v>208</v>
      </c>
      <c r="B27" s="1" t="s">
        <v>651</v>
      </c>
      <c r="E27" s="1" t="s">
        <v>127</v>
      </c>
      <c r="F27" s="1">
        <v>2</v>
      </c>
      <c r="G27" s="1">
        <v>2020</v>
      </c>
      <c r="H27" s="1">
        <v>1</v>
      </c>
      <c r="I27" s="1">
        <v>0</v>
      </c>
      <c r="J27" s="1">
        <v>0</v>
      </c>
      <c r="K27" s="19"/>
      <c r="L27" s="19"/>
      <c r="M27" s="19"/>
      <c r="N27" s="19"/>
      <c r="O27" s="19"/>
      <c r="P27" s="19"/>
      <c r="Q27" s="19">
        <v>123.00898333333338</v>
      </c>
      <c r="R27" s="19">
        <v>70.86075000000001</v>
      </c>
      <c r="S27" s="19">
        <v>188.45375000000001</v>
      </c>
      <c r="T27" s="19"/>
      <c r="U27" s="19"/>
      <c r="V27" s="19"/>
      <c r="W27" s="19">
        <v>0.66518333333333346</v>
      </c>
      <c r="X27" s="19">
        <v>0</v>
      </c>
      <c r="Y27" s="19">
        <v>25.672866666666664</v>
      </c>
      <c r="Z27" s="19">
        <v>114.89481666666664</v>
      </c>
      <c r="AA27" s="19">
        <v>66.179500000000004</v>
      </c>
      <c r="AB27" s="19">
        <v>176.01500000000001</v>
      </c>
      <c r="AC27" s="19"/>
      <c r="AD27" s="19"/>
      <c r="AE27" s="19"/>
      <c r="AF27" s="19">
        <v>8.7793500000000009</v>
      </c>
      <c r="AG27" s="19">
        <v>3.7895833333333337</v>
      </c>
      <c r="AH27" s="19">
        <v>34.099116666666667</v>
      </c>
      <c r="AI27" s="19">
        <v>89.466266666666669</v>
      </c>
      <c r="AJ27" s="19">
        <v>49.815633333333324</v>
      </c>
      <c r="AK27" s="19">
        <v>140.38043333333337</v>
      </c>
      <c r="AL27" s="19">
        <v>34.300633333333323</v>
      </c>
      <c r="AM27" s="19">
        <v>12.756183333333338</v>
      </c>
      <c r="AN27" s="19">
        <v>65.182616666666661</v>
      </c>
      <c r="AO27" s="19">
        <v>112.04326666666664</v>
      </c>
      <c r="AP27" s="19">
        <v>63.024783333333325</v>
      </c>
      <c r="AQ27" s="19">
        <v>174.35828333333339</v>
      </c>
      <c r="AR27" s="19"/>
      <c r="AS27" s="19"/>
      <c r="AT27" s="19"/>
      <c r="AU27" s="19">
        <v>11.6309</v>
      </c>
      <c r="AV27" s="19">
        <v>1.8083</v>
      </c>
      <c r="AW27" s="19">
        <v>39.768333333333324</v>
      </c>
      <c r="AX27" s="19">
        <v>103.92910000000001</v>
      </c>
      <c r="AY27" s="19">
        <v>58.343533333333326</v>
      </c>
      <c r="AZ27" s="19">
        <v>161.91953333333339</v>
      </c>
      <c r="BA27" s="19"/>
      <c r="BB27" s="19"/>
      <c r="BC27" s="19"/>
      <c r="BD27" s="19">
        <v>19.745066666666663</v>
      </c>
      <c r="BE27" s="19">
        <v>5.5978833333333329</v>
      </c>
      <c r="BF27" s="19">
        <v>48.194583333333327</v>
      </c>
      <c r="BG27" s="19">
        <v>26.202516666666664</v>
      </c>
      <c r="BH27" s="19">
        <v>11.841333333333326</v>
      </c>
      <c r="BI27" s="19">
        <v>59.060433333333329</v>
      </c>
      <c r="BJ27" s="19"/>
      <c r="BK27" s="19"/>
      <c r="BL27" s="19"/>
      <c r="BM27" s="19">
        <v>97.564383333333325</v>
      </c>
      <c r="BN27" s="19">
        <v>57.963683333333329</v>
      </c>
      <c r="BO27" s="19">
        <v>146.50261666666663</v>
      </c>
      <c r="BP27" s="19">
        <v>50.466550000000005</v>
      </c>
      <c r="BQ27" s="19">
        <v>26.256016666666664</v>
      </c>
      <c r="BR27" s="19">
        <v>82.19561666666668</v>
      </c>
      <c r="BS27" s="19"/>
      <c r="BT27" s="19"/>
      <c r="BU27" s="19"/>
      <c r="BV27" s="19">
        <v>83.329816666666687</v>
      </c>
      <c r="BW27" s="19">
        <v>53.043466666666667</v>
      </c>
      <c r="BX27" s="19">
        <v>123.25686666666664</v>
      </c>
      <c r="BY27" s="19">
        <v>42.352383333333343</v>
      </c>
      <c r="BZ27" s="19">
        <v>21.574766666666665</v>
      </c>
      <c r="CA27" s="19">
        <v>69.756866666666667</v>
      </c>
      <c r="CB27" s="19"/>
      <c r="CC27" s="19"/>
      <c r="CD27" s="19"/>
      <c r="CE27" s="19">
        <v>91.443983333333335</v>
      </c>
      <c r="CF27" s="19">
        <v>56.833050000000007</v>
      </c>
      <c r="CG27" s="19">
        <v>131.68311666666665</v>
      </c>
      <c r="CH27" s="19">
        <v>26.202516666666664</v>
      </c>
      <c r="CI27" s="19">
        <v>11.841333333333326</v>
      </c>
      <c r="CJ27" s="19">
        <v>46.049233333333333</v>
      </c>
      <c r="CK27" s="19"/>
      <c r="CL27" s="19"/>
      <c r="CM27" s="19"/>
      <c r="CN27" s="19">
        <v>107.68658333333337</v>
      </c>
      <c r="CO27" s="19">
        <v>65.196883333333346</v>
      </c>
      <c r="CP27" s="19">
        <v>150.83968333333337</v>
      </c>
      <c r="CQ27" s="19"/>
      <c r="CR27" s="19"/>
      <c r="CS27" s="19"/>
      <c r="CT27" s="19"/>
      <c r="CU27" s="11">
        <f>Tabelle58971121[[#This Row],[Mindestauslastung durch]]*Tabelle58971121[[#This Row],[installierte Leistung MW durch]]</f>
        <v>107.31933333333333</v>
      </c>
      <c r="CV27" s="11">
        <f>Tabelle58971121[[#This Row],[Mindestauslastung min]]*Tabelle58971121[[#This Row],[installierte Leistung MW min]]</f>
        <v>67.331333333333333</v>
      </c>
      <c r="CW27" s="11">
        <f>Tabelle58971121[[#This Row],[Mindestauslastung max]]*Tabelle58971121[[#This Row],[installierte Leistung MW max]]</f>
        <v>153.97333333333339</v>
      </c>
      <c r="CX27" s="9">
        <v>9.6666666666666665E-2</v>
      </c>
      <c r="CY27" s="9">
        <v>8.6666666666666656E-2</v>
      </c>
      <c r="CZ27" s="9">
        <v>0.1066666666666667</v>
      </c>
      <c r="DA27" s="9"/>
      <c r="DB27" s="9">
        <v>0.61499999999999999</v>
      </c>
      <c r="DC27" s="9">
        <v>0.51500000000000001</v>
      </c>
      <c r="DD27" s="9">
        <v>0.71499999999999997</v>
      </c>
      <c r="DE27" s="9">
        <v>0.57166666666666666</v>
      </c>
      <c r="DF27" s="9">
        <v>0.48</v>
      </c>
      <c r="DG27" s="9">
        <v>0.66333333333333333</v>
      </c>
      <c r="DH27" s="9">
        <v>0.49</v>
      </c>
      <c r="DI27" s="9">
        <v>0.40666666666666662</v>
      </c>
      <c r="DJ27" s="9">
        <v>0.57333333333333336</v>
      </c>
      <c r="DK27" s="9">
        <v>0.59333333333333338</v>
      </c>
      <c r="DL27" s="9">
        <v>0.49333333333333329</v>
      </c>
      <c r="DM27" s="9">
        <v>0.69333333333333325</v>
      </c>
      <c r="DN27" s="9">
        <v>0.55000000000000004</v>
      </c>
      <c r="DO27" s="9">
        <v>0.45833333333333343</v>
      </c>
      <c r="DP27" s="9">
        <v>0.64166666666666672</v>
      </c>
      <c r="DQ27" s="9">
        <v>0.36499999999999999</v>
      </c>
      <c r="DR27" s="9">
        <v>0.28166666666666668</v>
      </c>
      <c r="DS27" s="9">
        <v>0.44833333333333342</v>
      </c>
      <c r="DT27" s="9">
        <v>0.45166666666666672</v>
      </c>
      <c r="DU27" s="9">
        <v>0.36499999999999999</v>
      </c>
      <c r="DV27" s="9">
        <v>0.55166666666666664</v>
      </c>
      <c r="DW27" s="9">
        <v>0.40833333333333338</v>
      </c>
      <c r="DX27" s="9">
        <v>0.33</v>
      </c>
      <c r="DY27" s="9">
        <v>0.5</v>
      </c>
      <c r="DZ27" s="9">
        <v>0.34499999999999997</v>
      </c>
      <c r="EA27" s="9">
        <v>0.27500000000000002</v>
      </c>
      <c r="EB27" s="9">
        <v>0.42833333333333329</v>
      </c>
      <c r="EC27" s="9"/>
      <c r="ED27" s="9"/>
      <c r="EE27" s="9"/>
      <c r="EF27" s="46">
        <f>Tabelle58971121[[#This Row],[Durchschnittsauslastung min]]*Tabelle58971121[[#This Row],[installierte Leistung MW min]]</f>
        <v>0</v>
      </c>
      <c r="EG27" s="46">
        <f>Tabelle58971121[[#This Row],[Durchschnittsauslastung durch]]*Tabelle58971121[[#This Row],[installierte Leistung MW durch]]</f>
        <v>0</v>
      </c>
      <c r="EH27" s="46">
        <f>Tabelle58971121[[#This Row],[Durchschnittsauslastung max]]*Tabelle58971121[[#This Row],[installierte Leistung MW max]]</f>
        <v>0</v>
      </c>
      <c r="EI27" s="83">
        <f>Tabelle58971121[[#This Row],[Maximalauslastung durch]]*Tabelle58971121[[#This Row],[installierte Leistung MW min]]</f>
        <v>612.45616666666672</v>
      </c>
      <c r="EJ27" s="46">
        <f>Tabelle58971121[[#This Row],[Maximalauslastung durch]]*Tabelle58971121[[#This Row],[installierte Leistung MW durch]]</f>
        <v>875.20766666666668</v>
      </c>
      <c r="EK27" s="19">
        <f>Tabelle58971121[[#This Row],[Maximalauslastung max]]*Tabelle58971121[[#This Row],[installierte Leistung MW durch]]</f>
        <v>897.41166666666663</v>
      </c>
      <c r="EL27" s="9">
        <v>0.78833333333333333</v>
      </c>
      <c r="EM27" s="9">
        <v>0.76833333333333331</v>
      </c>
      <c r="EN27" s="9">
        <v>0.80833333333333324</v>
      </c>
      <c r="EO27" s="1">
        <v>1110.2</v>
      </c>
      <c r="EP27" s="1">
        <v>776.90000000000009</v>
      </c>
      <c r="EQ27" s="1">
        <v>1443.5</v>
      </c>
      <c r="ER27" s="19"/>
      <c r="ES27" s="19"/>
      <c r="EX27" s="1">
        <v>1.2</v>
      </c>
      <c r="EY27" s="1">
        <v>0.26</v>
      </c>
      <c r="EZ27" s="1">
        <v>3.1</v>
      </c>
      <c r="FP27" s="1">
        <v>365</v>
      </c>
      <c r="FQ27" s="1">
        <v>292</v>
      </c>
      <c r="FR27" s="1">
        <v>438</v>
      </c>
      <c r="FS27" s="11"/>
      <c r="FT27" s="11"/>
      <c r="FU27" s="11"/>
      <c r="FV27" s="1">
        <v>365</v>
      </c>
      <c r="FW27" s="1">
        <v>292</v>
      </c>
      <c r="FX27" s="1">
        <v>438</v>
      </c>
      <c r="FZ27" s="19"/>
      <c r="GA27" s="19"/>
      <c r="GB27" s="19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 t="s">
        <v>1084</v>
      </c>
      <c r="GO27" s="8" t="s">
        <v>1084</v>
      </c>
      <c r="GP27" s="8" t="s">
        <v>1084</v>
      </c>
      <c r="GS27" s="1">
        <v>67</v>
      </c>
      <c r="GT27" s="1">
        <v>67</v>
      </c>
      <c r="GU27" s="1">
        <v>67</v>
      </c>
      <c r="GV27" s="13" t="s">
        <v>806</v>
      </c>
      <c r="GW27" s="13" t="s">
        <v>806</v>
      </c>
      <c r="GX27" s="13" t="s">
        <v>806</v>
      </c>
      <c r="GY27" s="13"/>
      <c r="GZ27" s="13" t="s">
        <v>806</v>
      </c>
      <c r="HA27" s="13" t="s">
        <v>806</v>
      </c>
      <c r="HB27" s="13" t="s">
        <v>806</v>
      </c>
      <c r="HC27" s="13" t="s">
        <v>806</v>
      </c>
      <c r="HD27" s="13" t="s">
        <v>806</v>
      </c>
      <c r="HE27" s="13" t="s">
        <v>806</v>
      </c>
      <c r="HF27" s="13" t="s">
        <v>806</v>
      </c>
      <c r="HI27" s="13" t="s">
        <v>806</v>
      </c>
      <c r="HJ27" s="13" t="s">
        <v>806</v>
      </c>
      <c r="HL27" s="13" t="s">
        <v>806</v>
      </c>
    </row>
    <row r="28" spans="1:220" ht="12.75" customHeight="1" x14ac:dyDescent="0.25">
      <c r="A28" s="1" t="s">
        <v>208</v>
      </c>
      <c r="B28" s="1" t="s">
        <v>651</v>
      </c>
      <c r="E28" s="1" t="s">
        <v>127</v>
      </c>
      <c r="F28" s="1">
        <v>2</v>
      </c>
      <c r="G28" s="1">
        <v>2025</v>
      </c>
      <c r="H28" s="1">
        <v>1</v>
      </c>
      <c r="I28" s="1">
        <v>0</v>
      </c>
      <c r="J28" s="1">
        <v>0</v>
      </c>
      <c r="K28" s="19"/>
      <c r="L28" s="19"/>
      <c r="M28" s="19"/>
      <c r="N28" s="19"/>
      <c r="O28" s="19"/>
      <c r="P28" s="19"/>
      <c r="Q28" s="19">
        <v>132.78072500000005</v>
      </c>
      <c r="R28" s="19">
        <v>76.489875000000012</v>
      </c>
      <c r="S28" s="19">
        <v>203.424375</v>
      </c>
      <c r="T28" s="19"/>
      <c r="U28" s="19"/>
      <c r="V28" s="19"/>
      <c r="W28" s="19">
        <v>0.71802500000000002</v>
      </c>
      <c r="X28" s="19">
        <v>0</v>
      </c>
      <c r="Y28" s="19">
        <v>27.712299999999995</v>
      </c>
      <c r="Z28" s="19">
        <v>124.02197499999997</v>
      </c>
      <c r="AA28" s="19">
        <v>71.436750000000004</v>
      </c>
      <c r="AB28" s="19">
        <v>189.9975</v>
      </c>
      <c r="AC28" s="19"/>
      <c r="AD28" s="19"/>
      <c r="AE28" s="19"/>
      <c r="AF28" s="19">
        <v>9.4767749999999999</v>
      </c>
      <c r="AG28" s="19">
        <v>4.0906250000000002</v>
      </c>
      <c r="AH28" s="19">
        <v>36.807924999999997</v>
      </c>
      <c r="AI28" s="19">
        <v>96.573399999999992</v>
      </c>
      <c r="AJ28" s="19">
        <v>53.772949999999994</v>
      </c>
      <c r="AK28" s="19">
        <v>151.53215000000003</v>
      </c>
      <c r="AL28" s="19">
        <v>37.025449999999992</v>
      </c>
      <c r="AM28" s="19">
        <v>13.769525000000005</v>
      </c>
      <c r="AN28" s="19">
        <v>70.360675000000001</v>
      </c>
      <c r="AO28" s="19">
        <v>120.94389999999996</v>
      </c>
      <c r="AP28" s="19">
        <v>68.031424999999984</v>
      </c>
      <c r="AQ28" s="19">
        <v>188.20917500000004</v>
      </c>
      <c r="AR28" s="19"/>
      <c r="AS28" s="19"/>
      <c r="AT28" s="19"/>
      <c r="AU28" s="19">
        <v>12.55485</v>
      </c>
      <c r="AV28" s="19">
        <v>1.9519500000000001</v>
      </c>
      <c r="AW28" s="19">
        <v>42.927499999999988</v>
      </c>
      <c r="AX28" s="19">
        <v>112.18514999999999</v>
      </c>
      <c r="AY28" s="19">
        <v>62.97829999999999</v>
      </c>
      <c r="AZ28" s="19">
        <v>174.78230000000005</v>
      </c>
      <c r="BA28" s="19"/>
      <c r="BB28" s="19"/>
      <c r="BC28" s="19"/>
      <c r="BD28" s="19">
        <v>21.313599999999997</v>
      </c>
      <c r="BE28" s="19">
        <v>6.0425749999999985</v>
      </c>
      <c r="BF28" s="19">
        <v>52.023124999999993</v>
      </c>
      <c r="BG28" s="19">
        <v>28.284024999999996</v>
      </c>
      <c r="BH28" s="19">
        <v>12.781999999999991</v>
      </c>
      <c r="BI28" s="19">
        <v>63.752149999999993</v>
      </c>
      <c r="BJ28" s="19"/>
      <c r="BK28" s="19"/>
      <c r="BL28" s="19"/>
      <c r="BM28" s="19">
        <v>105.314825</v>
      </c>
      <c r="BN28" s="19">
        <v>62.568274999999993</v>
      </c>
      <c r="BO28" s="19">
        <v>158.14067499999996</v>
      </c>
      <c r="BP28" s="19">
        <v>54.475574999999999</v>
      </c>
      <c r="BQ28" s="19">
        <v>28.341774999999998</v>
      </c>
      <c r="BR28" s="19">
        <v>88.725175000000007</v>
      </c>
      <c r="BS28" s="19"/>
      <c r="BT28" s="19"/>
      <c r="BU28" s="19"/>
      <c r="BV28" s="19">
        <v>89.949475000000021</v>
      </c>
      <c r="BW28" s="19">
        <v>57.257199999999997</v>
      </c>
      <c r="BX28" s="19">
        <v>133.04829999999995</v>
      </c>
      <c r="BY28" s="19">
        <v>45.716825000000007</v>
      </c>
      <c r="BZ28" s="19">
        <v>23.288649999999997</v>
      </c>
      <c r="CA28" s="19">
        <v>75.298299999999998</v>
      </c>
      <c r="CB28" s="19"/>
      <c r="CC28" s="19"/>
      <c r="CD28" s="19"/>
      <c r="CE28" s="19">
        <v>98.708224999999999</v>
      </c>
      <c r="CF28" s="19">
        <v>61.347825</v>
      </c>
      <c r="CG28" s="19">
        <v>142.14392499999997</v>
      </c>
      <c r="CH28" s="19">
        <v>28.284024999999996</v>
      </c>
      <c r="CI28" s="19">
        <v>12.781999999999991</v>
      </c>
      <c r="CJ28" s="19">
        <v>49.707349999999998</v>
      </c>
      <c r="CK28" s="19"/>
      <c r="CL28" s="19"/>
      <c r="CM28" s="19"/>
      <c r="CN28" s="19">
        <v>116.24112500000004</v>
      </c>
      <c r="CO28" s="19">
        <v>70.376075000000014</v>
      </c>
      <c r="CP28" s="19">
        <v>162.82227500000005</v>
      </c>
      <c r="CQ28" s="19"/>
      <c r="CR28" s="19"/>
      <c r="CS28" s="19"/>
      <c r="CT28" s="19"/>
      <c r="CU28" s="11">
        <f>Tabelle58971121[[#This Row],[Mindestauslastung durch]]*Tabelle58971121[[#This Row],[installierte Leistung MW durch]]</f>
        <v>111.6413</v>
      </c>
      <c r="CV28" s="11">
        <f>Tabelle58971121[[#This Row],[Mindestauslastung min]]*Tabelle58971121[[#This Row],[installierte Leistung MW min]]</f>
        <v>70.013666666666666</v>
      </c>
      <c r="CW28" s="11">
        <f>Tabelle58971121[[#This Row],[Mindestauslastung max]]*Tabelle58971121[[#This Row],[installierte Leistung MW max]]</f>
        <v>160.21013333333337</v>
      </c>
      <c r="CX28" s="9">
        <v>9.6666666666666665E-2</v>
      </c>
      <c r="CY28" s="9">
        <v>8.6666666666666656E-2</v>
      </c>
      <c r="CZ28" s="9">
        <v>0.1066666666666667</v>
      </c>
      <c r="DA28" s="9"/>
      <c r="DB28" s="9">
        <v>0.61499999999999999</v>
      </c>
      <c r="DC28" s="9">
        <v>0.51500000000000001</v>
      </c>
      <c r="DD28" s="9">
        <v>0.71499999999999997</v>
      </c>
      <c r="DE28" s="9">
        <v>0.57166666666666666</v>
      </c>
      <c r="DF28" s="9">
        <v>0.48</v>
      </c>
      <c r="DG28" s="9">
        <v>0.66333333333333333</v>
      </c>
      <c r="DH28" s="9">
        <v>0.49</v>
      </c>
      <c r="DI28" s="9">
        <v>0.40666666666666662</v>
      </c>
      <c r="DJ28" s="9">
        <v>0.57333333333333336</v>
      </c>
      <c r="DK28" s="9">
        <v>0.59333333333333338</v>
      </c>
      <c r="DL28" s="9">
        <v>0.49333333333333329</v>
      </c>
      <c r="DM28" s="9">
        <v>0.69333333333333325</v>
      </c>
      <c r="DN28" s="9">
        <v>0.55000000000000004</v>
      </c>
      <c r="DO28" s="9">
        <v>0.45833333333333343</v>
      </c>
      <c r="DP28" s="9">
        <v>0.64166666666666672</v>
      </c>
      <c r="DQ28" s="9">
        <v>0.36499999999999999</v>
      </c>
      <c r="DR28" s="9">
        <v>0.28166666666666668</v>
      </c>
      <c r="DS28" s="9">
        <v>0.44833333333333342</v>
      </c>
      <c r="DT28" s="9">
        <v>0.45166666666666672</v>
      </c>
      <c r="DU28" s="9">
        <v>0.36499999999999999</v>
      </c>
      <c r="DV28" s="9">
        <v>0.55166666666666664</v>
      </c>
      <c r="DW28" s="9">
        <v>0.40833333333333338</v>
      </c>
      <c r="DX28" s="9">
        <v>0.33</v>
      </c>
      <c r="DY28" s="9">
        <v>0.5</v>
      </c>
      <c r="DZ28" s="9">
        <v>0.34499999999999997</v>
      </c>
      <c r="EA28" s="9">
        <v>0.27500000000000002</v>
      </c>
      <c r="EB28" s="9">
        <v>0.42833333333333329</v>
      </c>
      <c r="EC28" s="9"/>
      <c r="ED28" s="9"/>
      <c r="EE28" s="9"/>
      <c r="EF28" s="46">
        <f>Tabelle58971121[[#This Row],[Durchschnittsauslastung min]]*Tabelle58971121[[#This Row],[installierte Leistung MW min]]</f>
        <v>0</v>
      </c>
      <c r="EG28" s="46">
        <f>Tabelle58971121[[#This Row],[Durchschnittsauslastung durch]]*Tabelle58971121[[#This Row],[installierte Leistung MW durch]]</f>
        <v>0</v>
      </c>
      <c r="EH28" s="46">
        <f>Tabelle58971121[[#This Row],[Durchschnittsauslastung max]]*Tabelle58971121[[#This Row],[installierte Leistung MW max]]</f>
        <v>0</v>
      </c>
      <c r="EI28" s="83">
        <f>Tabelle58971121[[#This Row],[Maximalauslastung durch]]*Tabelle58971121[[#This Row],[installierte Leistung MW min]]</f>
        <v>636.85508333333337</v>
      </c>
      <c r="EJ28" s="46">
        <f>Tabelle58971121[[#This Row],[Maximalauslastung durch]]*Tabelle58971121[[#This Row],[installierte Leistung MW durch]]</f>
        <v>910.45405000000005</v>
      </c>
      <c r="EK28" s="19">
        <f>Tabelle58971121[[#This Row],[Maximalauslastung max]]*Tabelle58971121[[#This Row],[installierte Leistung MW durch]]</f>
        <v>933.55224999999996</v>
      </c>
      <c r="EL28" s="9">
        <v>0.78833333333333333</v>
      </c>
      <c r="EM28" s="9">
        <v>0.76833333333333331</v>
      </c>
      <c r="EN28" s="9">
        <v>0.80833333333333324</v>
      </c>
      <c r="EO28" s="1">
        <v>1154.9100000000001</v>
      </c>
      <c r="EP28" s="1">
        <v>807.85</v>
      </c>
      <c r="EQ28" s="1">
        <v>1501.97</v>
      </c>
      <c r="ER28" s="19"/>
      <c r="ES28" s="19"/>
      <c r="EX28" s="1">
        <v>1.2</v>
      </c>
      <c r="EY28" s="1">
        <v>0.26</v>
      </c>
      <c r="EZ28" s="1">
        <v>3.1</v>
      </c>
      <c r="FP28" s="1">
        <v>365</v>
      </c>
      <c r="FQ28" s="1">
        <v>292</v>
      </c>
      <c r="FR28" s="1">
        <v>438</v>
      </c>
      <c r="FS28" s="11"/>
      <c r="FT28" s="11"/>
      <c r="FU28" s="11"/>
      <c r="FV28" s="1">
        <v>365</v>
      </c>
      <c r="FW28" s="1">
        <v>292</v>
      </c>
      <c r="FX28" s="1">
        <v>438</v>
      </c>
      <c r="FZ28" s="19"/>
      <c r="GA28" s="19"/>
      <c r="GB28" s="19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 t="s">
        <v>1084</v>
      </c>
      <c r="GO28" s="8" t="s">
        <v>1084</v>
      </c>
      <c r="GP28" s="8" t="s">
        <v>1084</v>
      </c>
      <c r="GS28" s="1">
        <v>67</v>
      </c>
      <c r="GT28" s="1">
        <v>67</v>
      </c>
      <c r="GU28" s="1">
        <v>67</v>
      </c>
      <c r="GV28" s="13" t="s">
        <v>806</v>
      </c>
      <c r="GW28" s="13" t="s">
        <v>806</v>
      </c>
      <c r="GX28" s="13" t="s">
        <v>806</v>
      </c>
      <c r="GY28" s="13"/>
      <c r="GZ28" s="13" t="s">
        <v>806</v>
      </c>
      <c r="HA28" s="13" t="s">
        <v>806</v>
      </c>
      <c r="HB28" s="13" t="s">
        <v>806</v>
      </c>
      <c r="HC28" s="13" t="s">
        <v>806</v>
      </c>
      <c r="HD28" s="13" t="s">
        <v>806</v>
      </c>
      <c r="HE28" s="13" t="s">
        <v>806</v>
      </c>
      <c r="HF28" s="13" t="s">
        <v>806</v>
      </c>
      <c r="HI28" s="13" t="s">
        <v>806</v>
      </c>
      <c r="HJ28" s="13" t="s">
        <v>806</v>
      </c>
      <c r="HL28" s="13" t="s">
        <v>806</v>
      </c>
    </row>
    <row r="29" spans="1:220" ht="12.75" customHeight="1" x14ac:dyDescent="0.25">
      <c r="A29" s="1" t="s">
        <v>208</v>
      </c>
      <c r="B29" s="1" t="s">
        <v>651</v>
      </c>
      <c r="E29" s="1" t="s">
        <v>127</v>
      </c>
      <c r="F29" s="1">
        <v>2</v>
      </c>
      <c r="G29" s="1">
        <v>2030</v>
      </c>
      <c r="H29" s="1">
        <v>1</v>
      </c>
      <c r="I29" s="1">
        <v>0</v>
      </c>
      <c r="J29" s="1">
        <v>0</v>
      </c>
      <c r="K29" s="19"/>
      <c r="L29" s="19"/>
      <c r="M29" s="19"/>
      <c r="N29" s="19"/>
      <c r="O29" s="19"/>
      <c r="P29" s="19"/>
      <c r="Q29" s="19">
        <v>144.85170000000005</v>
      </c>
      <c r="R29" s="19">
        <v>83.443500000000014</v>
      </c>
      <c r="S29" s="19">
        <v>221.91749999999999</v>
      </c>
      <c r="T29" s="19"/>
      <c r="U29" s="19"/>
      <c r="V29" s="19"/>
      <c r="W29" s="19">
        <v>0.7833</v>
      </c>
      <c r="X29" s="19">
        <v>0</v>
      </c>
      <c r="Y29" s="19">
        <v>30.231599999999993</v>
      </c>
      <c r="Z29" s="19">
        <v>135.29669999999996</v>
      </c>
      <c r="AA29" s="19">
        <v>77.930999999999997</v>
      </c>
      <c r="AB29" s="19">
        <v>207.27</v>
      </c>
      <c r="AC29" s="19"/>
      <c r="AD29" s="19"/>
      <c r="AE29" s="19"/>
      <c r="AF29" s="19">
        <v>10.3383</v>
      </c>
      <c r="AG29" s="19">
        <v>4.4625000000000004</v>
      </c>
      <c r="AH29" s="19">
        <v>40.154099999999993</v>
      </c>
      <c r="AI29" s="19">
        <v>105.3528</v>
      </c>
      <c r="AJ29" s="19">
        <v>58.661399999999986</v>
      </c>
      <c r="AK29" s="19">
        <v>165.30780000000001</v>
      </c>
      <c r="AL29" s="19">
        <v>40.39139999999999</v>
      </c>
      <c r="AM29" s="19">
        <v>15.021300000000005</v>
      </c>
      <c r="AN29" s="19">
        <v>76.757099999999994</v>
      </c>
      <c r="AO29" s="19">
        <v>131.93879999999996</v>
      </c>
      <c r="AP29" s="19">
        <v>74.216099999999983</v>
      </c>
      <c r="AQ29" s="19">
        <v>205.31910000000005</v>
      </c>
      <c r="AR29" s="19"/>
      <c r="AS29" s="19"/>
      <c r="AT29" s="19"/>
      <c r="AU29" s="19">
        <v>13.696199999999999</v>
      </c>
      <c r="AV29" s="19">
        <v>2.1294</v>
      </c>
      <c r="AW29" s="19">
        <v>46.829999999999991</v>
      </c>
      <c r="AX29" s="19">
        <v>122.38379999999999</v>
      </c>
      <c r="AY29" s="19">
        <v>68.703599999999994</v>
      </c>
      <c r="AZ29" s="19">
        <v>190.67160000000007</v>
      </c>
      <c r="BA29" s="19"/>
      <c r="BB29" s="19"/>
      <c r="BC29" s="19"/>
      <c r="BD29" s="19">
        <v>23.251199999999997</v>
      </c>
      <c r="BE29" s="19">
        <v>6.591899999999999</v>
      </c>
      <c r="BF29" s="19">
        <v>56.752499999999991</v>
      </c>
      <c r="BG29" s="19">
        <v>30.855299999999996</v>
      </c>
      <c r="BH29" s="19">
        <v>13.94399999999999</v>
      </c>
      <c r="BI29" s="19">
        <v>69.547799999999995</v>
      </c>
      <c r="BJ29" s="19"/>
      <c r="BK29" s="19"/>
      <c r="BL29" s="19"/>
      <c r="BM29" s="19">
        <v>114.88889999999999</v>
      </c>
      <c r="BN29" s="19">
        <v>68.256299999999996</v>
      </c>
      <c r="BO29" s="19">
        <v>172.51709999999994</v>
      </c>
      <c r="BP29" s="19">
        <v>59.427900000000001</v>
      </c>
      <c r="BQ29" s="19">
        <v>30.918299999999995</v>
      </c>
      <c r="BR29" s="19">
        <v>96.791100000000014</v>
      </c>
      <c r="BS29" s="19"/>
      <c r="BT29" s="19"/>
      <c r="BU29" s="19"/>
      <c r="BV29" s="19">
        <v>98.126700000000014</v>
      </c>
      <c r="BW29" s="19">
        <v>62.462399999999995</v>
      </c>
      <c r="BX29" s="19">
        <v>145.14359999999996</v>
      </c>
      <c r="BY29" s="19">
        <v>49.872900000000008</v>
      </c>
      <c r="BZ29" s="19">
        <v>25.405799999999996</v>
      </c>
      <c r="CA29" s="19">
        <v>82.143599999999992</v>
      </c>
      <c r="CB29" s="19"/>
      <c r="CC29" s="19"/>
      <c r="CD29" s="19"/>
      <c r="CE29" s="19">
        <v>107.68169999999999</v>
      </c>
      <c r="CF29" s="19">
        <v>66.924900000000008</v>
      </c>
      <c r="CG29" s="19">
        <v>155.06609999999995</v>
      </c>
      <c r="CH29" s="19">
        <v>30.855299999999996</v>
      </c>
      <c r="CI29" s="19">
        <v>13.94399999999999</v>
      </c>
      <c r="CJ29" s="19">
        <v>54.226199999999992</v>
      </c>
      <c r="CK29" s="19"/>
      <c r="CL29" s="19"/>
      <c r="CM29" s="19"/>
      <c r="CN29" s="19">
        <v>126.80850000000004</v>
      </c>
      <c r="CO29" s="19">
        <v>76.773900000000012</v>
      </c>
      <c r="CP29" s="19">
        <v>177.62430000000003</v>
      </c>
      <c r="CQ29" s="19"/>
      <c r="CR29" s="19"/>
      <c r="CS29" s="19"/>
      <c r="CT29" s="19"/>
      <c r="CU29" s="11">
        <f>Tabelle58971121[[#This Row],[Mindestauslastung durch]]*Tabelle58971121[[#This Row],[installierte Leistung MW durch]]</f>
        <v>116.66023333333332</v>
      </c>
      <c r="CV29" s="11">
        <f>Tabelle58971121[[#This Row],[Mindestauslastung min]]*Tabelle58971121[[#This Row],[installierte Leistung MW min]]</f>
        <v>73.117199999999997</v>
      </c>
      <c r="CW29" s="11">
        <f>Tabelle58971121[[#This Row],[Mindestauslastung max]]*Tabelle58971121[[#This Row],[installierte Leistung MW max]]</f>
        <v>167.46666666666673</v>
      </c>
      <c r="CX29" s="9">
        <v>9.6666666666666665E-2</v>
      </c>
      <c r="CY29" s="9">
        <v>8.6666666666666656E-2</v>
      </c>
      <c r="CZ29" s="9">
        <v>0.1066666666666667</v>
      </c>
      <c r="DA29" s="9"/>
      <c r="DB29" s="9">
        <v>0.61499999999999999</v>
      </c>
      <c r="DC29" s="9">
        <v>0.51500000000000001</v>
      </c>
      <c r="DD29" s="9">
        <v>0.71499999999999997</v>
      </c>
      <c r="DE29" s="9">
        <v>0.57166666666666666</v>
      </c>
      <c r="DF29" s="9">
        <v>0.48</v>
      </c>
      <c r="DG29" s="9">
        <v>0.66333333333333333</v>
      </c>
      <c r="DH29" s="9">
        <v>0.49</v>
      </c>
      <c r="DI29" s="9">
        <v>0.40666666666666662</v>
      </c>
      <c r="DJ29" s="9">
        <v>0.57333333333333336</v>
      </c>
      <c r="DK29" s="9">
        <v>0.59333333333333338</v>
      </c>
      <c r="DL29" s="9">
        <v>0.49333333333333329</v>
      </c>
      <c r="DM29" s="9">
        <v>0.69333333333333325</v>
      </c>
      <c r="DN29" s="9">
        <v>0.55000000000000004</v>
      </c>
      <c r="DO29" s="9">
        <v>0.45833333333333343</v>
      </c>
      <c r="DP29" s="9">
        <v>0.64166666666666672</v>
      </c>
      <c r="DQ29" s="9">
        <v>0.36499999999999999</v>
      </c>
      <c r="DR29" s="9">
        <v>0.28166666666666668</v>
      </c>
      <c r="DS29" s="9">
        <v>0.44833333333333342</v>
      </c>
      <c r="DT29" s="9">
        <v>0.45166666666666672</v>
      </c>
      <c r="DU29" s="9">
        <v>0.36499999999999999</v>
      </c>
      <c r="DV29" s="9">
        <v>0.55166666666666664</v>
      </c>
      <c r="DW29" s="9">
        <v>0.40833333333333338</v>
      </c>
      <c r="DX29" s="9">
        <v>0.33</v>
      </c>
      <c r="DY29" s="9">
        <v>0.5</v>
      </c>
      <c r="DZ29" s="9">
        <v>0.34499999999999997</v>
      </c>
      <c r="EA29" s="9">
        <v>0.27500000000000002</v>
      </c>
      <c r="EB29" s="9">
        <v>0.42833333333333329</v>
      </c>
      <c r="EC29" s="9"/>
      <c r="ED29" s="9"/>
      <c r="EE29" s="9"/>
      <c r="EF29" s="46">
        <f>Tabelle58971121[[#This Row],[Durchschnittsauslastung min]]*Tabelle58971121[[#This Row],[installierte Leistung MW min]]</f>
        <v>0</v>
      </c>
      <c r="EG29" s="46">
        <f>Tabelle58971121[[#This Row],[Durchschnittsauslastung durch]]*Tabelle58971121[[#This Row],[installierte Leistung MW durch]]</f>
        <v>0</v>
      </c>
      <c r="EH29" s="46">
        <f>Tabelle58971121[[#This Row],[Durchschnittsauslastung max]]*Tabelle58971121[[#This Row],[installierte Leistung MW max]]</f>
        <v>0</v>
      </c>
      <c r="EI29" s="83">
        <f>Tabelle58971121[[#This Row],[Maximalauslastung durch]]*Tabelle58971121[[#This Row],[installierte Leistung MW min]]</f>
        <v>665.08530000000007</v>
      </c>
      <c r="EJ29" s="46">
        <f>Tabelle58971121[[#This Row],[Maximalauslastung durch]]*Tabelle58971121[[#This Row],[installierte Leistung MW durch]]</f>
        <v>951.38431666666656</v>
      </c>
      <c r="EK29" s="19">
        <f>Tabelle58971121[[#This Row],[Maximalauslastung max]]*Tabelle58971121[[#This Row],[installierte Leistung MW durch]]</f>
        <v>975.52091666666649</v>
      </c>
      <c r="EL29" s="9">
        <v>0.78833333333333333</v>
      </c>
      <c r="EM29" s="9">
        <v>0.76833333333333331</v>
      </c>
      <c r="EN29" s="9">
        <v>0.80833333333333324</v>
      </c>
      <c r="EO29" s="1">
        <v>1206.83</v>
      </c>
      <c r="EP29" s="1">
        <v>843.66000000000008</v>
      </c>
      <c r="EQ29" s="1">
        <v>1570</v>
      </c>
      <c r="ER29" s="19"/>
      <c r="ES29" s="19"/>
      <c r="EX29" s="1">
        <v>1.2</v>
      </c>
      <c r="EY29" s="1">
        <v>0.26</v>
      </c>
      <c r="EZ29" s="1">
        <v>3.1</v>
      </c>
      <c r="FP29" s="1">
        <v>365</v>
      </c>
      <c r="FQ29" s="1">
        <v>292</v>
      </c>
      <c r="FR29" s="1">
        <v>438</v>
      </c>
      <c r="FS29" s="11"/>
      <c r="FT29" s="11"/>
      <c r="FU29" s="11"/>
      <c r="FV29" s="1">
        <v>365</v>
      </c>
      <c r="FW29" s="1">
        <v>292</v>
      </c>
      <c r="FX29" s="1">
        <v>438</v>
      </c>
      <c r="FZ29" s="19"/>
      <c r="GA29" s="19"/>
      <c r="GB29" s="19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 t="s">
        <v>1084</v>
      </c>
      <c r="GO29" s="8" t="s">
        <v>1084</v>
      </c>
      <c r="GP29" s="8" t="s">
        <v>1084</v>
      </c>
      <c r="GS29" s="1">
        <v>67</v>
      </c>
      <c r="GT29" s="1">
        <v>67</v>
      </c>
      <c r="GU29" s="1">
        <v>67</v>
      </c>
      <c r="GV29" s="13" t="s">
        <v>806</v>
      </c>
      <c r="GW29" s="13" t="s">
        <v>806</v>
      </c>
      <c r="GX29" s="13" t="s">
        <v>806</v>
      </c>
      <c r="GY29" s="13"/>
      <c r="GZ29" s="13" t="s">
        <v>806</v>
      </c>
      <c r="HA29" s="13" t="s">
        <v>806</v>
      </c>
      <c r="HB29" s="13" t="s">
        <v>806</v>
      </c>
      <c r="HC29" s="13" t="s">
        <v>806</v>
      </c>
      <c r="HD29" s="13" t="s">
        <v>806</v>
      </c>
      <c r="HE29" s="13" t="s">
        <v>806</v>
      </c>
      <c r="HF29" s="13" t="s">
        <v>806</v>
      </c>
      <c r="HI29" s="13" t="s">
        <v>806</v>
      </c>
      <c r="HJ29" s="13" t="s">
        <v>806</v>
      </c>
      <c r="HL29" s="13" t="s">
        <v>806</v>
      </c>
    </row>
    <row r="30" spans="1:220" ht="12.75" customHeight="1" x14ac:dyDescent="0.25">
      <c r="A30" s="1" t="s">
        <v>208</v>
      </c>
      <c r="B30" s="1" t="s">
        <v>651</v>
      </c>
      <c r="E30" s="1" t="s">
        <v>127</v>
      </c>
      <c r="F30" s="1">
        <v>2</v>
      </c>
      <c r="G30" s="1">
        <v>2035</v>
      </c>
      <c r="H30" s="1">
        <v>1</v>
      </c>
      <c r="I30" s="1">
        <v>0</v>
      </c>
      <c r="J30" s="1">
        <v>0</v>
      </c>
      <c r="K30" s="19"/>
      <c r="L30" s="19"/>
      <c r="M30" s="19"/>
      <c r="N30" s="19"/>
      <c r="O30" s="19"/>
      <c r="P30" s="19"/>
      <c r="Q30" s="19">
        <v>159.22190833333337</v>
      </c>
      <c r="R30" s="19">
        <v>91.721625000000017</v>
      </c>
      <c r="S30" s="19">
        <v>243.93312499999999</v>
      </c>
      <c r="T30" s="19"/>
      <c r="U30" s="19"/>
      <c r="V30" s="19"/>
      <c r="W30" s="19">
        <v>0.86100833333333338</v>
      </c>
      <c r="X30" s="19">
        <v>0</v>
      </c>
      <c r="Y30" s="19">
        <v>33.230766666666661</v>
      </c>
      <c r="Z30" s="19">
        <v>148.71899166666662</v>
      </c>
      <c r="AA30" s="19">
        <v>85.66225</v>
      </c>
      <c r="AB30" s="19">
        <v>227.83250000000001</v>
      </c>
      <c r="AC30" s="19"/>
      <c r="AD30" s="19"/>
      <c r="AE30" s="19"/>
      <c r="AF30" s="19">
        <v>11.363925</v>
      </c>
      <c r="AG30" s="19">
        <v>4.9052083333333334</v>
      </c>
      <c r="AH30" s="19">
        <v>44.13764166666666</v>
      </c>
      <c r="AI30" s="19">
        <v>115.80446666666666</v>
      </c>
      <c r="AJ30" s="19">
        <v>64.480983333333327</v>
      </c>
      <c r="AK30" s="19">
        <v>181.70738333333335</v>
      </c>
      <c r="AL30" s="19">
        <v>44.398483333333324</v>
      </c>
      <c r="AM30" s="19">
        <v>16.511508333333339</v>
      </c>
      <c r="AN30" s="19">
        <v>84.371891666666656</v>
      </c>
      <c r="AO30" s="19">
        <v>145.02796666666663</v>
      </c>
      <c r="AP30" s="19">
        <v>81.578808333333313</v>
      </c>
      <c r="AQ30" s="19">
        <v>225.6880583333334</v>
      </c>
      <c r="AR30" s="19"/>
      <c r="AS30" s="19"/>
      <c r="AT30" s="19"/>
      <c r="AU30" s="19">
        <v>15.05495</v>
      </c>
      <c r="AV30" s="19">
        <v>2.3406500000000001</v>
      </c>
      <c r="AW30" s="19">
        <v>51.47583333333332</v>
      </c>
      <c r="AX30" s="19">
        <v>134.52504999999999</v>
      </c>
      <c r="AY30" s="19">
        <v>75.519433333333325</v>
      </c>
      <c r="AZ30" s="19">
        <v>209.58743333333339</v>
      </c>
      <c r="BA30" s="19"/>
      <c r="BB30" s="19"/>
      <c r="BC30" s="19"/>
      <c r="BD30" s="19">
        <v>25.557866666666662</v>
      </c>
      <c r="BE30" s="19">
        <v>7.2458583333333317</v>
      </c>
      <c r="BF30" s="19">
        <v>62.382708333333319</v>
      </c>
      <c r="BG30" s="19">
        <v>33.916341666666661</v>
      </c>
      <c r="BH30" s="19">
        <v>15.327333333333323</v>
      </c>
      <c r="BI30" s="19">
        <v>76.44738333333332</v>
      </c>
      <c r="BJ30" s="19"/>
      <c r="BK30" s="19"/>
      <c r="BL30" s="19"/>
      <c r="BM30" s="19">
        <v>126.28660833333332</v>
      </c>
      <c r="BN30" s="19">
        <v>75.027758333333324</v>
      </c>
      <c r="BO30" s="19">
        <v>189.6318916666666</v>
      </c>
      <c r="BP30" s="19">
        <v>65.323525000000004</v>
      </c>
      <c r="BQ30" s="19">
        <v>33.985591666666664</v>
      </c>
      <c r="BR30" s="19">
        <v>106.39339166666667</v>
      </c>
      <c r="BS30" s="19"/>
      <c r="BT30" s="19"/>
      <c r="BU30" s="19"/>
      <c r="BV30" s="19">
        <v>107.86149166666668</v>
      </c>
      <c r="BW30" s="19">
        <v>68.659066666666661</v>
      </c>
      <c r="BX30" s="19">
        <v>159.54276666666661</v>
      </c>
      <c r="BY30" s="19">
        <v>54.82060833333334</v>
      </c>
      <c r="BZ30" s="19">
        <v>27.926216666666662</v>
      </c>
      <c r="CA30" s="19">
        <v>90.292766666666665</v>
      </c>
      <c r="CB30" s="19"/>
      <c r="CC30" s="19"/>
      <c r="CD30" s="19"/>
      <c r="CE30" s="19">
        <v>118.36440833333333</v>
      </c>
      <c r="CF30" s="19">
        <v>73.564275000000009</v>
      </c>
      <c r="CG30" s="19">
        <v>170.44964166666662</v>
      </c>
      <c r="CH30" s="19">
        <v>33.916341666666661</v>
      </c>
      <c r="CI30" s="19">
        <v>15.327333333333323</v>
      </c>
      <c r="CJ30" s="19">
        <v>59.605783333333328</v>
      </c>
      <c r="CK30" s="19"/>
      <c r="CL30" s="19"/>
      <c r="CM30" s="19"/>
      <c r="CN30" s="19">
        <v>139.38870833333337</v>
      </c>
      <c r="CO30" s="19">
        <v>84.390358333333339</v>
      </c>
      <c r="CP30" s="19">
        <v>195.24575833333338</v>
      </c>
      <c r="CQ30" s="19"/>
      <c r="CR30" s="19"/>
      <c r="CS30" s="19"/>
      <c r="CT30" s="19"/>
      <c r="CU30" s="11">
        <f>Tabelle58971121[[#This Row],[Mindestauslastung durch]]*Tabelle58971121[[#This Row],[installierte Leistung MW durch]]</f>
        <v>122.79373333333332</v>
      </c>
      <c r="CV30" s="11">
        <f>Tabelle58971121[[#This Row],[Mindestauslastung min]]*Tabelle58971121[[#This Row],[installierte Leistung MW min]]</f>
        <v>76.910600000000002</v>
      </c>
      <c r="CW30" s="11">
        <f>Tabelle58971121[[#This Row],[Mindestauslastung max]]*Tabelle58971121[[#This Row],[installierte Leistung MW max]]</f>
        <v>176.33386666666672</v>
      </c>
      <c r="CX30" s="9">
        <v>9.6666666666666665E-2</v>
      </c>
      <c r="CY30" s="9">
        <v>8.6666666666666656E-2</v>
      </c>
      <c r="CZ30" s="9">
        <v>0.1066666666666667</v>
      </c>
      <c r="DA30" s="9"/>
      <c r="DB30" s="9">
        <v>0.61499999999999999</v>
      </c>
      <c r="DC30" s="9">
        <v>0.51500000000000001</v>
      </c>
      <c r="DD30" s="9">
        <v>0.71499999999999997</v>
      </c>
      <c r="DE30" s="9">
        <v>0.57166666666666666</v>
      </c>
      <c r="DF30" s="9">
        <v>0.48</v>
      </c>
      <c r="DG30" s="9">
        <v>0.66333333333333333</v>
      </c>
      <c r="DH30" s="9">
        <v>0.49</v>
      </c>
      <c r="DI30" s="9">
        <v>0.40666666666666662</v>
      </c>
      <c r="DJ30" s="9">
        <v>0.57333333333333336</v>
      </c>
      <c r="DK30" s="9">
        <v>0.59333333333333338</v>
      </c>
      <c r="DL30" s="9">
        <v>0.49333333333333329</v>
      </c>
      <c r="DM30" s="9">
        <v>0.69333333333333325</v>
      </c>
      <c r="DN30" s="9">
        <v>0.55000000000000004</v>
      </c>
      <c r="DO30" s="9">
        <v>0.45833333333333343</v>
      </c>
      <c r="DP30" s="9">
        <v>0.64166666666666672</v>
      </c>
      <c r="DQ30" s="9">
        <v>0.36499999999999999</v>
      </c>
      <c r="DR30" s="9">
        <v>0.28166666666666668</v>
      </c>
      <c r="DS30" s="9">
        <v>0.44833333333333342</v>
      </c>
      <c r="DT30" s="9">
        <v>0.45166666666666672</v>
      </c>
      <c r="DU30" s="9">
        <v>0.36499999999999999</v>
      </c>
      <c r="DV30" s="9">
        <v>0.55166666666666664</v>
      </c>
      <c r="DW30" s="9">
        <v>0.40833333333333338</v>
      </c>
      <c r="DX30" s="9">
        <v>0.33</v>
      </c>
      <c r="DY30" s="9">
        <v>0.5</v>
      </c>
      <c r="DZ30" s="9">
        <v>0.34499999999999997</v>
      </c>
      <c r="EA30" s="9">
        <v>0.27500000000000002</v>
      </c>
      <c r="EB30" s="9">
        <v>0.42833333333333329</v>
      </c>
      <c r="EC30" s="9"/>
      <c r="ED30" s="9"/>
      <c r="EE30" s="9"/>
      <c r="EF30" s="46">
        <f>Tabelle58971121[[#This Row],[Durchschnittsauslastung min]]*Tabelle58971121[[#This Row],[installierte Leistung MW min]]</f>
        <v>0</v>
      </c>
      <c r="EG30" s="46">
        <f>Tabelle58971121[[#This Row],[Durchschnittsauslastung durch]]*Tabelle58971121[[#This Row],[installierte Leistung MW durch]]</f>
        <v>0</v>
      </c>
      <c r="EH30" s="46">
        <f>Tabelle58971121[[#This Row],[Durchschnittsauslastung max]]*Tabelle58971121[[#This Row],[installierte Leistung MW max]]</f>
        <v>0</v>
      </c>
      <c r="EI30" s="83">
        <f>Tabelle58971121[[#This Row],[Maximalauslastung durch]]*Tabelle58971121[[#This Row],[installierte Leistung MW min]]</f>
        <v>699.5906500000001</v>
      </c>
      <c r="EJ30" s="46">
        <f>Tabelle58971121[[#This Row],[Maximalauslastung durch]]*Tabelle58971121[[#This Row],[installierte Leistung MW durch]]</f>
        <v>1001.4040666666666</v>
      </c>
      <c r="EK30" s="19">
        <f>Tabelle58971121[[#This Row],[Maximalauslastung max]]*Tabelle58971121[[#This Row],[installierte Leistung MW durch]]</f>
        <v>1026.8096666666665</v>
      </c>
      <c r="EL30" s="9">
        <v>0.78833333333333333</v>
      </c>
      <c r="EM30" s="9">
        <v>0.76833333333333331</v>
      </c>
      <c r="EN30" s="9">
        <v>0.80833333333333324</v>
      </c>
      <c r="EO30" s="1">
        <v>1270.28</v>
      </c>
      <c r="EP30" s="1">
        <v>887.43000000000006</v>
      </c>
      <c r="EQ30" s="1">
        <v>1653.13</v>
      </c>
      <c r="ER30" s="19"/>
      <c r="ES30" s="19"/>
      <c r="EX30" s="1">
        <v>1.2</v>
      </c>
      <c r="EY30" s="1">
        <v>0.26</v>
      </c>
      <c r="EZ30" s="1">
        <v>3.1</v>
      </c>
      <c r="FP30" s="1">
        <v>365</v>
      </c>
      <c r="FQ30" s="1">
        <v>292</v>
      </c>
      <c r="FR30" s="1">
        <v>438</v>
      </c>
      <c r="FS30" s="11"/>
      <c r="FT30" s="11"/>
      <c r="FU30" s="11"/>
      <c r="FV30" s="1">
        <v>365</v>
      </c>
      <c r="FW30" s="1">
        <v>292</v>
      </c>
      <c r="FX30" s="1">
        <v>438</v>
      </c>
      <c r="FZ30" s="19"/>
      <c r="GA30" s="19"/>
      <c r="GB30" s="19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 t="s">
        <v>1084</v>
      </c>
      <c r="GO30" s="8" t="s">
        <v>1084</v>
      </c>
      <c r="GP30" s="8" t="s">
        <v>1084</v>
      </c>
      <c r="GS30" s="1">
        <v>67</v>
      </c>
      <c r="GT30" s="1">
        <v>67</v>
      </c>
      <c r="GU30" s="1">
        <v>67</v>
      </c>
      <c r="GV30" s="13" t="s">
        <v>806</v>
      </c>
      <c r="GW30" s="13" t="s">
        <v>806</v>
      </c>
      <c r="GX30" s="13" t="s">
        <v>806</v>
      </c>
      <c r="GY30" s="13"/>
      <c r="GZ30" s="13" t="s">
        <v>806</v>
      </c>
      <c r="HA30" s="13" t="s">
        <v>806</v>
      </c>
      <c r="HB30" s="13" t="s">
        <v>806</v>
      </c>
      <c r="HC30" s="13" t="s">
        <v>806</v>
      </c>
      <c r="HD30" s="13" t="s">
        <v>806</v>
      </c>
      <c r="HE30" s="13" t="s">
        <v>806</v>
      </c>
      <c r="HF30" s="13" t="s">
        <v>806</v>
      </c>
      <c r="HI30" s="13" t="s">
        <v>806</v>
      </c>
      <c r="HJ30" s="13" t="s">
        <v>806</v>
      </c>
      <c r="HL30" s="13" t="s">
        <v>806</v>
      </c>
    </row>
    <row r="31" spans="1:220" ht="12.75" customHeight="1" x14ac:dyDescent="0.25">
      <c r="A31" s="1" t="s">
        <v>208</v>
      </c>
      <c r="B31" s="1" t="s">
        <v>651</v>
      </c>
      <c r="E31" s="1" t="s">
        <v>127</v>
      </c>
      <c r="F31" s="1">
        <v>2</v>
      </c>
      <c r="G31" s="1">
        <v>2040</v>
      </c>
      <c r="H31" s="1">
        <v>1</v>
      </c>
      <c r="I31" s="1">
        <v>0</v>
      </c>
      <c r="J31" s="1">
        <v>0</v>
      </c>
      <c r="K31" s="19"/>
      <c r="L31" s="19"/>
      <c r="M31" s="19"/>
      <c r="N31" s="19"/>
      <c r="O31" s="19"/>
      <c r="P31" s="19"/>
      <c r="Q31" s="19">
        <v>176.84936388888892</v>
      </c>
      <c r="R31" s="19">
        <v>101.876125</v>
      </c>
      <c r="S31" s="19">
        <v>270.93895833333329</v>
      </c>
      <c r="T31" s="19"/>
      <c r="U31" s="19"/>
      <c r="V31" s="19"/>
      <c r="W31" s="19">
        <v>0.95633055555555546</v>
      </c>
      <c r="X31" s="19">
        <v>0</v>
      </c>
      <c r="Y31" s="19">
        <v>36.909744444444435</v>
      </c>
      <c r="Z31" s="19">
        <v>165.18366944444438</v>
      </c>
      <c r="AA31" s="19">
        <v>95.14591666666665</v>
      </c>
      <c r="AB31" s="19">
        <v>253.05583333333328</v>
      </c>
      <c r="AC31" s="19"/>
      <c r="AD31" s="19"/>
      <c r="AE31" s="19"/>
      <c r="AF31" s="19">
        <v>12.622024999999999</v>
      </c>
      <c r="AG31" s="19">
        <v>5.4482638888888886</v>
      </c>
      <c r="AH31" s="19">
        <v>49.02411944444443</v>
      </c>
      <c r="AI31" s="19">
        <v>128.62517777777776</v>
      </c>
      <c r="AJ31" s="19">
        <v>71.619672222222192</v>
      </c>
      <c r="AK31" s="19">
        <v>201.82420555555555</v>
      </c>
      <c r="AL31" s="19">
        <v>49.313838888888867</v>
      </c>
      <c r="AM31" s="19">
        <v>18.339497222222224</v>
      </c>
      <c r="AN31" s="19">
        <v>93.712702777777764</v>
      </c>
      <c r="AO31" s="19">
        <v>161.08401111111104</v>
      </c>
      <c r="AP31" s="19">
        <v>90.61039722222219</v>
      </c>
      <c r="AQ31" s="19">
        <v>250.67398055555557</v>
      </c>
      <c r="AR31" s="19"/>
      <c r="AS31" s="19"/>
      <c r="AT31" s="19"/>
      <c r="AU31" s="19">
        <v>16.721683333333331</v>
      </c>
      <c r="AV31" s="19">
        <v>2.5997833333333329</v>
      </c>
      <c r="AW31" s="19">
        <v>57.174722222222201</v>
      </c>
      <c r="AX31" s="19">
        <v>149.41831666666664</v>
      </c>
      <c r="AY31" s="19">
        <v>83.880188888888867</v>
      </c>
      <c r="AZ31" s="19">
        <v>232.79085555555559</v>
      </c>
      <c r="BA31" s="19"/>
      <c r="BB31" s="19"/>
      <c r="BC31" s="19"/>
      <c r="BD31" s="19">
        <v>28.387377777777768</v>
      </c>
      <c r="BE31" s="19">
        <v>8.0480472222222197</v>
      </c>
      <c r="BF31" s="19">
        <v>69.289097222222196</v>
      </c>
      <c r="BG31" s="19">
        <v>37.671219444444432</v>
      </c>
      <c r="BH31" s="19">
        <v>17.024222222222207</v>
      </c>
      <c r="BI31" s="19">
        <v>84.910872222222196</v>
      </c>
      <c r="BJ31" s="19"/>
      <c r="BK31" s="19"/>
      <c r="BL31" s="19"/>
      <c r="BM31" s="19">
        <v>140.26779722222219</v>
      </c>
      <c r="BN31" s="19">
        <v>83.334080555555531</v>
      </c>
      <c r="BO31" s="19">
        <v>210.62603611111101</v>
      </c>
      <c r="BP31" s="19">
        <v>72.555491666666654</v>
      </c>
      <c r="BQ31" s="19">
        <v>37.748136111111101</v>
      </c>
      <c r="BR31" s="19">
        <v>118.17220277777777</v>
      </c>
      <c r="BS31" s="19"/>
      <c r="BT31" s="19"/>
      <c r="BU31" s="19"/>
      <c r="BV31" s="19">
        <v>119.80283611111111</v>
      </c>
      <c r="BW31" s="19">
        <v>76.260311111111093</v>
      </c>
      <c r="BX31" s="19">
        <v>177.20574444444438</v>
      </c>
      <c r="BY31" s="19">
        <v>60.889797222222221</v>
      </c>
      <c r="BZ31" s="19">
        <v>31.017927777777768</v>
      </c>
      <c r="CA31" s="19">
        <v>100.28907777777775</v>
      </c>
      <c r="CB31" s="19"/>
      <c r="CC31" s="19"/>
      <c r="CD31" s="19"/>
      <c r="CE31" s="19">
        <v>131.46853055555553</v>
      </c>
      <c r="CF31" s="19">
        <v>81.708574999999996</v>
      </c>
      <c r="CG31" s="19">
        <v>189.32011944444437</v>
      </c>
      <c r="CH31" s="19">
        <v>37.671219444444432</v>
      </c>
      <c r="CI31" s="19">
        <v>17.024222222222207</v>
      </c>
      <c r="CJ31" s="19">
        <v>66.204738888888869</v>
      </c>
      <c r="CK31" s="19"/>
      <c r="CL31" s="19"/>
      <c r="CM31" s="19"/>
      <c r="CN31" s="19">
        <v>154.82043055555559</v>
      </c>
      <c r="CO31" s="19">
        <v>93.733213888888884</v>
      </c>
      <c r="CP31" s="19">
        <v>216.8614138888889</v>
      </c>
      <c r="CQ31" s="19"/>
      <c r="CR31" s="19"/>
      <c r="CS31" s="19"/>
      <c r="CT31" s="19"/>
      <c r="CU31" s="11">
        <f>Tabelle58971121[[#This Row],[Mindestauslastung durch]]*Tabelle58971121[[#This Row],[installierte Leistung MW durch]]</f>
        <v>130.72426666666667</v>
      </c>
      <c r="CV31" s="11">
        <f>Tabelle58971121[[#This Row],[Mindestauslastung min]]*Tabelle58971121[[#This Row],[installierte Leistung MW min]]</f>
        <v>81.824600000000004</v>
      </c>
      <c r="CW31" s="11">
        <f>Tabelle58971121[[#This Row],[Mindestauslastung max]]*Tabelle58971121[[#This Row],[installierte Leistung MW max]]</f>
        <v>187.78773333333339</v>
      </c>
      <c r="CX31" s="9">
        <v>9.6666666666666665E-2</v>
      </c>
      <c r="CY31" s="9">
        <v>8.6666666666666656E-2</v>
      </c>
      <c r="CZ31" s="9">
        <v>0.1066666666666667</v>
      </c>
      <c r="DA31" s="9"/>
      <c r="DB31" s="9">
        <v>0.61499999999999999</v>
      </c>
      <c r="DC31" s="9">
        <v>0.51500000000000001</v>
      </c>
      <c r="DD31" s="9">
        <v>0.71499999999999997</v>
      </c>
      <c r="DE31" s="9">
        <v>0.57166666666666666</v>
      </c>
      <c r="DF31" s="9">
        <v>0.48</v>
      </c>
      <c r="DG31" s="9">
        <v>0.66333333333333333</v>
      </c>
      <c r="DH31" s="9">
        <v>0.49</v>
      </c>
      <c r="DI31" s="9">
        <v>0.40666666666666662</v>
      </c>
      <c r="DJ31" s="9">
        <v>0.57333333333333336</v>
      </c>
      <c r="DK31" s="9">
        <v>0.59333333333333338</v>
      </c>
      <c r="DL31" s="9">
        <v>0.49333333333333329</v>
      </c>
      <c r="DM31" s="9">
        <v>0.69333333333333325</v>
      </c>
      <c r="DN31" s="9">
        <v>0.55000000000000004</v>
      </c>
      <c r="DO31" s="9">
        <v>0.45833333333333343</v>
      </c>
      <c r="DP31" s="9">
        <v>0.64166666666666672</v>
      </c>
      <c r="DQ31" s="9">
        <v>0.36499999999999999</v>
      </c>
      <c r="DR31" s="9">
        <v>0.28166666666666668</v>
      </c>
      <c r="DS31" s="9">
        <v>0.44833333333333342</v>
      </c>
      <c r="DT31" s="9">
        <v>0.45166666666666672</v>
      </c>
      <c r="DU31" s="9">
        <v>0.36499999999999999</v>
      </c>
      <c r="DV31" s="9">
        <v>0.55166666666666664</v>
      </c>
      <c r="DW31" s="9">
        <v>0.40833333333333338</v>
      </c>
      <c r="DX31" s="9">
        <v>0.33</v>
      </c>
      <c r="DY31" s="9">
        <v>0.5</v>
      </c>
      <c r="DZ31" s="9">
        <v>0.34499999999999997</v>
      </c>
      <c r="EA31" s="9">
        <v>0.27500000000000002</v>
      </c>
      <c r="EB31" s="9">
        <v>0.42833333333333329</v>
      </c>
      <c r="EC31" s="9"/>
      <c r="ED31" s="9"/>
      <c r="EE31" s="9"/>
      <c r="EF31" s="46">
        <f>Tabelle58971121[[#This Row],[Durchschnittsauslastung min]]*Tabelle58971121[[#This Row],[installierte Leistung MW min]]</f>
        <v>0</v>
      </c>
      <c r="EG31" s="46">
        <f>Tabelle58971121[[#This Row],[Durchschnittsauslastung durch]]*Tabelle58971121[[#This Row],[installierte Leistung MW durch]]</f>
        <v>0</v>
      </c>
      <c r="EH31" s="46">
        <f>Tabelle58971121[[#This Row],[Durchschnittsauslastung max]]*Tabelle58971121[[#This Row],[installierte Leistung MW max]]</f>
        <v>0</v>
      </c>
      <c r="EI31" s="83">
        <f>Tabelle58971121[[#This Row],[Maximalauslastung durch]]*Tabelle58971121[[#This Row],[installierte Leistung MW min]]</f>
        <v>744.28915000000006</v>
      </c>
      <c r="EJ31" s="46">
        <f>Tabelle58971121[[#This Row],[Maximalauslastung durch]]*Tabelle58971121[[#This Row],[installierte Leistung MW durch]]</f>
        <v>1066.0789333333332</v>
      </c>
      <c r="EK31" s="19">
        <f>Tabelle58971121[[#This Row],[Maximalauslastung max]]*Tabelle58971121[[#This Row],[installierte Leistung MW durch]]</f>
        <v>1093.1253333333332</v>
      </c>
      <c r="EL31" s="9">
        <v>0.78833333333333333</v>
      </c>
      <c r="EM31" s="9">
        <v>0.76833333333333331</v>
      </c>
      <c r="EN31" s="9">
        <v>0.80833333333333324</v>
      </c>
      <c r="EO31" s="1">
        <v>1352.32</v>
      </c>
      <c r="EP31" s="1">
        <v>944.13000000000011</v>
      </c>
      <c r="EQ31" s="1">
        <v>1760.51</v>
      </c>
      <c r="ER31" s="19"/>
      <c r="ES31" s="19"/>
      <c r="EX31" s="1">
        <v>1.2</v>
      </c>
      <c r="EY31" s="1">
        <v>0.26</v>
      </c>
      <c r="EZ31" s="1">
        <v>3.1</v>
      </c>
      <c r="FP31" s="11">
        <v>365</v>
      </c>
      <c r="FQ31" s="11">
        <v>292</v>
      </c>
      <c r="FR31" s="11">
        <v>438</v>
      </c>
      <c r="FS31" s="11"/>
      <c r="FT31" s="11"/>
      <c r="FU31" s="11"/>
      <c r="FV31" s="11">
        <v>365</v>
      </c>
      <c r="FW31" s="11">
        <v>292</v>
      </c>
      <c r="FX31" s="11">
        <v>438</v>
      </c>
      <c r="FZ31" s="19"/>
      <c r="GA31" s="19"/>
      <c r="GB31" s="19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 t="s">
        <v>1084</v>
      </c>
      <c r="GO31" s="8" t="s">
        <v>1084</v>
      </c>
      <c r="GP31" s="8" t="s">
        <v>1084</v>
      </c>
      <c r="GS31" s="1">
        <v>67</v>
      </c>
      <c r="GT31" s="1">
        <v>67</v>
      </c>
      <c r="GU31" s="1">
        <v>67</v>
      </c>
      <c r="GV31" s="13" t="s">
        <v>806</v>
      </c>
      <c r="GW31" s="13" t="s">
        <v>806</v>
      </c>
      <c r="GX31" s="13" t="s">
        <v>806</v>
      </c>
      <c r="GY31" s="13"/>
      <c r="GZ31" s="13" t="s">
        <v>806</v>
      </c>
      <c r="HA31" s="13" t="s">
        <v>806</v>
      </c>
      <c r="HB31" s="13" t="s">
        <v>806</v>
      </c>
      <c r="HC31" s="13" t="s">
        <v>806</v>
      </c>
      <c r="HD31" s="13" t="s">
        <v>806</v>
      </c>
      <c r="HE31" s="13" t="s">
        <v>806</v>
      </c>
      <c r="HF31" s="13" t="s">
        <v>806</v>
      </c>
      <c r="HI31" s="13" t="s">
        <v>806</v>
      </c>
      <c r="HJ31" s="13" t="s">
        <v>806</v>
      </c>
      <c r="HL31" s="13" t="s">
        <v>806</v>
      </c>
    </row>
    <row r="32" spans="1:220" ht="12.75" customHeight="1" x14ac:dyDescent="0.25">
      <c r="A32" s="1" t="s">
        <v>208</v>
      </c>
      <c r="B32" s="1" t="s">
        <v>651</v>
      </c>
      <c r="E32" s="1" t="s">
        <v>127</v>
      </c>
      <c r="F32" s="1">
        <v>2</v>
      </c>
      <c r="G32" s="1">
        <v>2045</v>
      </c>
      <c r="H32" s="1">
        <v>1</v>
      </c>
      <c r="I32" s="1">
        <v>0</v>
      </c>
      <c r="J32" s="1">
        <v>0</v>
      </c>
      <c r="K32" s="19"/>
      <c r="L32" s="19"/>
      <c r="M32" s="19"/>
      <c r="N32" s="19"/>
      <c r="O32" s="19"/>
      <c r="P32" s="19"/>
      <c r="Q32" s="19">
        <v>198.30887500000006</v>
      </c>
      <c r="R32" s="19">
        <v>114.23812500000003</v>
      </c>
      <c r="S32" s="19">
        <v>303.81562500000001</v>
      </c>
      <c r="T32" s="19"/>
      <c r="U32" s="19"/>
      <c r="V32" s="19"/>
      <c r="W32" s="19">
        <v>1.0723750000000001</v>
      </c>
      <c r="X32" s="19">
        <v>0</v>
      </c>
      <c r="Y32" s="19">
        <v>41.388499999999993</v>
      </c>
      <c r="Z32" s="19">
        <v>185.22762499999996</v>
      </c>
      <c r="AA32" s="19">
        <v>106.69125000000001</v>
      </c>
      <c r="AB32" s="19">
        <v>283.76249999999999</v>
      </c>
      <c r="AC32" s="19"/>
      <c r="AD32" s="19"/>
      <c r="AE32" s="19"/>
      <c r="AF32" s="19">
        <v>14.153625000000002</v>
      </c>
      <c r="AG32" s="19">
        <v>6.1093750000000009</v>
      </c>
      <c r="AH32" s="19">
        <v>54.972874999999995</v>
      </c>
      <c r="AI32" s="19">
        <v>144.233</v>
      </c>
      <c r="AJ32" s="19">
        <v>80.310249999999982</v>
      </c>
      <c r="AK32" s="19">
        <v>226.31425000000004</v>
      </c>
      <c r="AL32" s="19">
        <v>55.297749999999986</v>
      </c>
      <c r="AM32" s="19">
        <v>20.564875000000008</v>
      </c>
      <c r="AN32" s="19">
        <v>105.084125</v>
      </c>
      <c r="AO32" s="19">
        <v>180.63049999999996</v>
      </c>
      <c r="AP32" s="19">
        <v>101.60537499999998</v>
      </c>
      <c r="AQ32" s="19">
        <v>281.09162500000008</v>
      </c>
      <c r="AR32" s="19"/>
      <c r="AS32" s="19"/>
      <c r="AT32" s="19"/>
      <c r="AU32" s="19">
        <v>18.75075</v>
      </c>
      <c r="AV32" s="19">
        <v>2.9152499999999999</v>
      </c>
      <c r="AW32" s="19">
        <v>64.112499999999983</v>
      </c>
      <c r="AX32" s="19">
        <v>167.54925</v>
      </c>
      <c r="AY32" s="19">
        <v>94.058499999999981</v>
      </c>
      <c r="AZ32" s="19">
        <v>261.03850000000011</v>
      </c>
      <c r="BA32" s="19"/>
      <c r="BB32" s="19"/>
      <c r="BC32" s="19"/>
      <c r="BD32" s="19">
        <v>31.831999999999994</v>
      </c>
      <c r="BE32" s="19">
        <v>9.0246249999999986</v>
      </c>
      <c r="BF32" s="19">
        <v>77.696874999999991</v>
      </c>
      <c r="BG32" s="19">
        <v>42.242374999999996</v>
      </c>
      <c r="BH32" s="19">
        <v>19.089999999999989</v>
      </c>
      <c r="BI32" s="19">
        <v>95.214249999999993</v>
      </c>
      <c r="BJ32" s="19"/>
      <c r="BK32" s="19"/>
      <c r="BL32" s="19"/>
      <c r="BM32" s="19">
        <v>157.288375</v>
      </c>
      <c r="BN32" s="19">
        <v>93.446124999999995</v>
      </c>
      <c r="BO32" s="19">
        <v>236.18412499999994</v>
      </c>
      <c r="BP32" s="19">
        <v>81.359625000000008</v>
      </c>
      <c r="BQ32" s="19">
        <v>42.328624999999995</v>
      </c>
      <c r="BR32" s="19">
        <v>132.51162500000001</v>
      </c>
      <c r="BS32" s="19"/>
      <c r="BT32" s="19"/>
      <c r="BU32" s="19"/>
      <c r="BV32" s="19">
        <v>134.34012500000003</v>
      </c>
      <c r="BW32" s="19">
        <v>85.513999999999996</v>
      </c>
      <c r="BX32" s="19">
        <v>198.70849999999996</v>
      </c>
      <c r="BY32" s="19">
        <v>68.278375000000011</v>
      </c>
      <c r="BZ32" s="19">
        <v>34.781749999999995</v>
      </c>
      <c r="CA32" s="19">
        <v>112.4585</v>
      </c>
      <c r="CB32" s="19"/>
      <c r="CC32" s="19"/>
      <c r="CD32" s="19"/>
      <c r="CE32" s="19">
        <v>147.42137499999998</v>
      </c>
      <c r="CF32" s="19">
        <v>91.62337500000001</v>
      </c>
      <c r="CG32" s="19">
        <v>212.29287499999995</v>
      </c>
      <c r="CH32" s="19">
        <v>42.242374999999996</v>
      </c>
      <c r="CI32" s="19">
        <v>19.089999999999989</v>
      </c>
      <c r="CJ32" s="19">
        <v>74.238249999999994</v>
      </c>
      <c r="CK32" s="19"/>
      <c r="CL32" s="19"/>
      <c r="CM32" s="19"/>
      <c r="CN32" s="19">
        <v>173.60687500000006</v>
      </c>
      <c r="CO32" s="19">
        <v>105.10712500000001</v>
      </c>
      <c r="CP32" s="19">
        <v>243.17612500000007</v>
      </c>
      <c r="CQ32" s="19"/>
      <c r="CR32" s="19"/>
      <c r="CS32" s="19"/>
      <c r="CT32" s="19"/>
      <c r="CU32" s="11">
        <f>Tabelle58971121[[#This Row],[Mindestauslastung durch]]*Tabelle58971121[[#This Row],[installierte Leistung MW durch]]</f>
        <v>140.22563333333332</v>
      </c>
      <c r="CV32" s="11">
        <f>Tabelle58971121[[#This Row],[Mindestauslastung min]]*Tabelle58971121[[#This Row],[installierte Leistung MW min]]</f>
        <v>87.697133333333326</v>
      </c>
      <c r="CW32" s="11">
        <f>Tabelle58971121[[#This Row],[Mindestauslastung max]]*Tabelle58971121[[#This Row],[installierte Leistung MW max]]</f>
        <v>201.5285333333334</v>
      </c>
      <c r="CX32" s="9">
        <v>9.6666666666666665E-2</v>
      </c>
      <c r="CY32" s="9">
        <v>8.6666666666666656E-2</v>
      </c>
      <c r="CZ32" s="9">
        <v>0.1066666666666667</v>
      </c>
      <c r="DA32" s="9"/>
      <c r="DB32" s="9">
        <v>0.61499999999999999</v>
      </c>
      <c r="DC32" s="9">
        <v>0.51500000000000001</v>
      </c>
      <c r="DD32" s="9">
        <v>0.71499999999999997</v>
      </c>
      <c r="DE32" s="9">
        <v>0.57166666666666666</v>
      </c>
      <c r="DF32" s="9">
        <v>0.48</v>
      </c>
      <c r="DG32" s="9">
        <v>0.66333333333333333</v>
      </c>
      <c r="DH32" s="9">
        <v>0.49</v>
      </c>
      <c r="DI32" s="9">
        <v>0.40666666666666662</v>
      </c>
      <c r="DJ32" s="9">
        <v>0.57333333333333336</v>
      </c>
      <c r="DK32" s="9">
        <v>0.59333333333333338</v>
      </c>
      <c r="DL32" s="9">
        <v>0.49333333333333329</v>
      </c>
      <c r="DM32" s="9">
        <v>0.69333333333333325</v>
      </c>
      <c r="DN32" s="9">
        <v>0.55000000000000004</v>
      </c>
      <c r="DO32" s="9">
        <v>0.45833333333333343</v>
      </c>
      <c r="DP32" s="9">
        <v>0.64166666666666672</v>
      </c>
      <c r="DQ32" s="9">
        <v>0.36499999999999999</v>
      </c>
      <c r="DR32" s="9">
        <v>0.28166666666666668</v>
      </c>
      <c r="DS32" s="9">
        <v>0.44833333333333342</v>
      </c>
      <c r="DT32" s="9">
        <v>0.45166666666666672</v>
      </c>
      <c r="DU32" s="9">
        <v>0.36499999999999999</v>
      </c>
      <c r="DV32" s="9">
        <v>0.55166666666666664</v>
      </c>
      <c r="DW32" s="9">
        <v>0.40833333333333338</v>
      </c>
      <c r="DX32" s="9">
        <v>0.33</v>
      </c>
      <c r="DY32" s="9">
        <v>0.5</v>
      </c>
      <c r="DZ32" s="9">
        <v>0.34499999999999997</v>
      </c>
      <c r="EA32" s="9">
        <v>0.27500000000000002</v>
      </c>
      <c r="EB32" s="9">
        <v>0.42833333333333329</v>
      </c>
      <c r="EC32" s="9"/>
      <c r="ED32" s="9"/>
      <c r="EE32" s="9"/>
      <c r="EF32" s="46">
        <f>Tabelle58971121[[#This Row],[Durchschnittsauslastung min]]*Tabelle58971121[[#This Row],[installierte Leistung MW min]]</f>
        <v>0</v>
      </c>
      <c r="EG32" s="46">
        <f>Tabelle58971121[[#This Row],[Durchschnittsauslastung durch]]*Tabelle58971121[[#This Row],[installierte Leistung MW durch]]</f>
        <v>0</v>
      </c>
      <c r="EH32" s="46">
        <f>Tabelle58971121[[#This Row],[Durchschnittsauslastung max]]*Tabelle58971121[[#This Row],[installierte Leistung MW max]]</f>
        <v>0</v>
      </c>
      <c r="EI32" s="83">
        <f>Tabelle58971121[[#This Row],[Maximalauslastung durch]]*Tabelle58971121[[#This Row],[installierte Leistung MW min]]</f>
        <v>797.7066166666666</v>
      </c>
      <c r="EJ32" s="46">
        <f>Tabelle58971121[[#This Row],[Maximalauslastung durch]]*Tabelle58971121[[#This Row],[installierte Leistung MW durch]]</f>
        <v>1143.5642166666667</v>
      </c>
      <c r="EK32" s="19">
        <f>Tabelle58971121[[#This Row],[Maximalauslastung max]]*Tabelle58971121[[#This Row],[installierte Leistung MW durch]]</f>
        <v>1172.5764166666665</v>
      </c>
      <c r="EL32" s="9">
        <v>0.78833333333333333</v>
      </c>
      <c r="EM32" s="9">
        <v>0.76833333333333331</v>
      </c>
      <c r="EN32" s="9">
        <v>0.80833333333333324</v>
      </c>
      <c r="EO32" s="1">
        <v>1450.61</v>
      </c>
      <c r="EP32" s="1">
        <v>1011.89</v>
      </c>
      <c r="EQ32" s="1">
        <v>1889.33</v>
      </c>
      <c r="ER32" s="19"/>
      <c r="ES32" s="19"/>
      <c r="EX32" s="1">
        <v>1.2</v>
      </c>
      <c r="EY32" s="1">
        <v>0.26</v>
      </c>
      <c r="EZ32" s="1">
        <v>3.1</v>
      </c>
      <c r="FP32" s="1">
        <v>365</v>
      </c>
      <c r="FQ32" s="1">
        <v>292</v>
      </c>
      <c r="FR32" s="1">
        <v>438</v>
      </c>
      <c r="FS32" s="11"/>
      <c r="FT32" s="11"/>
      <c r="FU32" s="11"/>
      <c r="FV32" s="1">
        <v>365</v>
      </c>
      <c r="FW32" s="1">
        <v>292</v>
      </c>
      <c r="FX32" s="1">
        <v>438</v>
      </c>
      <c r="FZ32" s="19"/>
      <c r="GA32" s="19"/>
      <c r="GB32" s="19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 t="s">
        <v>1084</v>
      </c>
      <c r="GO32" s="8" t="s">
        <v>1084</v>
      </c>
      <c r="GP32" s="8" t="s">
        <v>1084</v>
      </c>
      <c r="GS32" s="1">
        <v>67</v>
      </c>
      <c r="GT32" s="1">
        <v>67</v>
      </c>
      <c r="GU32" s="1">
        <v>67</v>
      </c>
      <c r="GV32" s="13" t="s">
        <v>806</v>
      </c>
      <c r="GW32" s="13" t="s">
        <v>806</v>
      </c>
      <c r="GX32" s="13" t="s">
        <v>806</v>
      </c>
      <c r="GY32" s="13"/>
      <c r="GZ32" s="13" t="s">
        <v>806</v>
      </c>
      <c r="HA32" s="13" t="s">
        <v>806</v>
      </c>
      <c r="HB32" s="13" t="s">
        <v>806</v>
      </c>
      <c r="HC32" s="13" t="s">
        <v>806</v>
      </c>
      <c r="HD32" s="13" t="s">
        <v>806</v>
      </c>
      <c r="HE32" s="13" t="s">
        <v>806</v>
      </c>
      <c r="HF32" s="13" t="s">
        <v>806</v>
      </c>
      <c r="HI32" s="13" t="s">
        <v>806</v>
      </c>
      <c r="HJ32" s="13" t="s">
        <v>806</v>
      </c>
      <c r="HL32" s="13" t="s">
        <v>806</v>
      </c>
    </row>
    <row r="33" spans="1:220" ht="12.75" customHeight="1" x14ac:dyDescent="0.25">
      <c r="A33" s="1" t="s">
        <v>208</v>
      </c>
      <c r="B33" s="1" t="s">
        <v>651</v>
      </c>
      <c r="E33" s="1" t="s">
        <v>127</v>
      </c>
      <c r="F33" s="1">
        <v>2</v>
      </c>
      <c r="G33" s="1">
        <v>2050</v>
      </c>
      <c r="H33" s="1">
        <v>1</v>
      </c>
      <c r="I33" s="1">
        <v>0</v>
      </c>
      <c r="J33" s="1">
        <v>0</v>
      </c>
      <c r="K33" s="19"/>
      <c r="L33" s="19"/>
      <c r="M33" s="19"/>
      <c r="N33" s="19"/>
      <c r="O33" s="19"/>
      <c r="P33" s="19"/>
      <c r="Q33" s="19">
        <v>224.36685277777778</v>
      </c>
      <c r="R33" s="19">
        <v>129.24912499999996</v>
      </c>
      <c r="S33" s="19">
        <v>343.73729166666652</v>
      </c>
      <c r="T33" s="19"/>
      <c r="U33" s="19"/>
      <c r="V33" s="19"/>
      <c r="W33" s="19">
        <v>1.2132861111111108</v>
      </c>
      <c r="X33" s="19">
        <v>0</v>
      </c>
      <c r="Y33" s="19">
        <v>46.826988888888863</v>
      </c>
      <c r="Z33" s="19">
        <v>209.56671388888876</v>
      </c>
      <c r="AA33" s="19">
        <v>120.71058333333329</v>
      </c>
      <c r="AB33" s="19">
        <v>321.04916666666657</v>
      </c>
      <c r="AC33" s="19"/>
      <c r="AD33" s="19"/>
      <c r="AE33" s="19"/>
      <c r="AF33" s="19">
        <v>16.013424999999994</v>
      </c>
      <c r="AG33" s="19">
        <v>6.9121527777777763</v>
      </c>
      <c r="AH33" s="19">
        <v>62.196363888888861</v>
      </c>
      <c r="AI33" s="19">
        <v>163.1853555555555</v>
      </c>
      <c r="AJ33" s="19">
        <v>90.8630944444444</v>
      </c>
      <c r="AK33" s="19">
        <v>256.05216111111105</v>
      </c>
      <c r="AL33" s="19">
        <v>62.563927777777742</v>
      </c>
      <c r="AM33" s="19">
        <v>23.267119444444443</v>
      </c>
      <c r="AN33" s="19">
        <v>118.8922805555555</v>
      </c>
      <c r="AO33" s="19">
        <v>204.36552222222207</v>
      </c>
      <c r="AP33" s="19">
        <v>114.95641944444438</v>
      </c>
      <c r="AQ33" s="19">
        <v>318.02733611111108</v>
      </c>
      <c r="AR33" s="19"/>
      <c r="AS33" s="19"/>
      <c r="AT33" s="19"/>
      <c r="AU33" s="19">
        <v>21.214616666666657</v>
      </c>
      <c r="AV33" s="19">
        <v>3.2983166666666652</v>
      </c>
      <c r="AW33" s="19">
        <v>72.536944444444401</v>
      </c>
      <c r="AX33" s="19">
        <v>189.56538333333327</v>
      </c>
      <c r="AY33" s="19">
        <v>106.41787777777772</v>
      </c>
      <c r="AZ33" s="19">
        <v>295.33921111111107</v>
      </c>
      <c r="BA33" s="19"/>
      <c r="BB33" s="19"/>
      <c r="BC33" s="19"/>
      <c r="BD33" s="19">
        <v>36.014755555555539</v>
      </c>
      <c r="BE33" s="19">
        <v>10.210469444444438</v>
      </c>
      <c r="BF33" s="19">
        <v>87.906319444444392</v>
      </c>
      <c r="BG33" s="19">
        <v>47.793063888888867</v>
      </c>
      <c r="BH33" s="19">
        <v>21.598444444444421</v>
      </c>
      <c r="BI33" s="19">
        <v>107.72549444444439</v>
      </c>
      <c r="BJ33" s="19"/>
      <c r="BK33" s="19"/>
      <c r="BL33" s="19"/>
      <c r="BM33" s="19">
        <v>177.95621944444437</v>
      </c>
      <c r="BN33" s="19">
        <v>105.72503611111107</v>
      </c>
      <c r="BO33" s="19">
        <v>267.21894722222203</v>
      </c>
      <c r="BP33" s="19">
        <v>92.050358333333307</v>
      </c>
      <c r="BQ33" s="19">
        <v>47.890647222222199</v>
      </c>
      <c r="BR33" s="19">
        <v>149.92378055555551</v>
      </c>
      <c r="BS33" s="19"/>
      <c r="BT33" s="19"/>
      <c r="BU33" s="19"/>
      <c r="BV33" s="19">
        <v>151.99254722222219</v>
      </c>
      <c r="BW33" s="19">
        <v>96.750622222222177</v>
      </c>
      <c r="BX33" s="19">
        <v>224.81898888888875</v>
      </c>
      <c r="BY33" s="19">
        <v>77.250219444444426</v>
      </c>
      <c r="BZ33" s="19">
        <v>39.352105555555539</v>
      </c>
      <c r="CA33" s="19">
        <v>127.2356555555555</v>
      </c>
      <c r="CB33" s="19"/>
      <c r="CC33" s="19"/>
      <c r="CD33" s="19"/>
      <c r="CE33" s="19">
        <v>166.79268611111104</v>
      </c>
      <c r="CF33" s="19">
        <v>103.66277499999997</v>
      </c>
      <c r="CG33" s="19">
        <v>240.18836388888874</v>
      </c>
      <c r="CH33" s="19">
        <v>47.793063888888867</v>
      </c>
      <c r="CI33" s="19">
        <v>21.598444444444421</v>
      </c>
      <c r="CJ33" s="19">
        <v>83.993227777777733</v>
      </c>
      <c r="CK33" s="19"/>
      <c r="CL33" s="19"/>
      <c r="CM33" s="19"/>
      <c r="CN33" s="19">
        <v>196.41898611111111</v>
      </c>
      <c r="CO33" s="19">
        <v>118.91830277777775</v>
      </c>
      <c r="CP33" s="19">
        <v>275.12970277777771</v>
      </c>
      <c r="CQ33" s="19"/>
      <c r="CR33" s="19"/>
      <c r="CS33" s="19"/>
      <c r="CT33" s="19"/>
      <c r="CU33" s="11">
        <f>Tabelle58971121[[#This Row],[Mindestauslastung durch]]*Tabelle58971121[[#This Row],[installierte Leistung MW durch]]</f>
        <v>152.05473333333333</v>
      </c>
      <c r="CV33" s="11">
        <f>Tabelle58971121[[#This Row],[Mindestauslastung min]]*Tabelle58971121[[#This Row],[installierte Leistung MW min]]</f>
        <v>95.019599999999997</v>
      </c>
      <c r="CW33" s="11">
        <f>Tabelle58971121[[#This Row],[Mindestauslastung max]]*Tabelle58971121[[#This Row],[installierte Leistung MW max]]</f>
        <v>218.62186666666673</v>
      </c>
      <c r="CX33" s="9">
        <v>9.6666666666666665E-2</v>
      </c>
      <c r="CY33" s="9">
        <v>8.6666666666666656E-2</v>
      </c>
      <c r="CZ33" s="9">
        <v>0.1066666666666667</v>
      </c>
      <c r="DA33" s="9"/>
      <c r="DB33" s="9">
        <v>0.61499999999999999</v>
      </c>
      <c r="DC33" s="9">
        <v>0.51500000000000001</v>
      </c>
      <c r="DD33" s="9">
        <v>0.71499999999999997</v>
      </c>
      <c r="DE33" s="9">
        <v>0.57166666666666666</v>
      </c>
      <c r="DF33" s="9">
        <v>0.48</v>
      </c>
      <c r="DG33" s="9">
        <v>0.66333333333333333</v>
      </c>
      <c r="DH33" s="9">
        <v>0.49</v>
      </c>
      <c r="DI33" s="9">
        <v>0.40666666666666662</v>
      </c>
      <c r="DJ33" s="9">
        <v>0.57333333333333336</v>
      </c>
      <c r="DK33" s="9">
        <v>0.59333333333333338</v>
      </c>
      <c r="DL33" s="9">
        <v>0.49333333333333329</v>
      </c>
      <c r="DM33" s="9">
        <v>0.69333333333333325</v>
      </c>
      <c r="DN33" s="9">
        <v>0.55000000000000004</v>
      </c>
      <c r="DO33" s="9">
        <v>0.45833333333333343</v>
      </c>
      <c r="DP33" s="9">
        <v>0.64166666666666672</v>
      </c>
      <c r="DQ33" s="9">
        <v>0.36499999999999999</v>
      </c>
      <c r="DR33" s="9">
        <v>0.28166666666666668</v>
      </c>
      <c r="DS33" s="9">
        <v>0.44833333333333342</v>
      </c>
      <c r="DT33" s="9">
        <v>0.45166666666666672</v>
      </c>
      <c r="DU33" s="9">
        <v>0.36499999999999999</v>
      </c>
      <c r="DV33" s="9">
        <v>0.55166666666666664</v>
      </c>
      <c r="DW33" s="9">
        <v>0.40833333333333338</v>
      </c>
      <c r="DX33" s="9">
        <v>0.33</v>
      </c>
      <c r="DY33" s="9">
        <v>0.5</v>
      </c>
      <c r="DZ33" s="9">
        <v>0.34499999999999997</v>
      </c>
      <c r="EA33" s="9">
        <v>0.27500000000000002</v>
      </c>
      <c r="EB33" s="9">
        <v>0.42833333333333329</v>
      </c>
      <c r="EC33" s="9"/>
      <c r="ED33" s="9"/>
      <c r="EE33" s="9"/>
      <c r="EF33" s="46">
        <f>Tabelle58971121[[#This Row],[Durchschnittsauslastung min]]*Tabelle58971121[[#This Row],[installierte Leistung MW min]]</f>
        <v>0</v>
      </c>
      <c r="EG33" s="46">
        <f>Tabelle58971121[[#This Row],[Durchschnittsauslastung durch]]*Tabelle58971121[[#This Row],[installierte Leistung MW durch]]</f>
        <v>0</v>
      </c>
      <c r="EH33" s="46">
        <f>Tabelle58971121[[#This Row],[Durchschnittsauslastung max]]*Tabelle58971121[[#This Row],[installierte Leistung MW max]]</f>
        <v>0</v>
      </c>
      <c r="EI33" s="83">
        <f>Tabelle58971121[[#This Row],[Maximalauslastung durch]]*Tabelle58971121[[#This Row],[installierte Leistung MW min]]</f>
        <v>864.31290000000013</v>
      </c>
      <c r="EJ33" s="46">
        <f>Tabelle58971121[[#This Row],[Maximalauslastung durch]]*Tabelle58971121[[#This Row],[installierte Leistung MW durch]]</f>
        <v>1240.0325666666668</v>
      </c>
      <c r="EK33" s="19">
        <f>Tabelle58971121[[#This Row],[Maximalauslastung max]]*Tabelle58971121[[#This Row],[installierte Leistung MW durch]]</f>
        <v>1271.4921666666664</v>
      </c>
      <c r="EL33" s="9">
        <v>0.78833333333333333</v>
      </c>
      <c r="EM33" s="9">
        <v>0.76833333333333331</v>
      </c>
      <c r="EN33" s="9">
        <v>0.80833333333333324</v>
      </c>
      <c r="EO33" s="1">
        <v>1572.98</v>
      </c>
      <c r="EP33" s="1">
        <v>1096.3800000000001</v>
      </c>
      <c r="EQ33" s="1">
        <v>2049.58</v>
      </c>
      <c r="ER33" s="19"/>
      <c r="ES33" s="19"/>
      <c r="EX33" s="1">
        <v>1.2</v>
      </c>
      <c r="EY33" s="1">
        <v>0.26</v>
      </c>
      <c r="EZ33" s="1">
        <v>3.1</v>
      </c>
      <c r="FP33" s="1">
        <v>365</v>
      </c>
      <c r="FQ33" s="1">
        <v>292</v>
      </c>
      <c r="FR33" s="1">
        <v>438</v>
      </c>
      <c r="FS33" s="11"/>
      <c r="FT33" s="11"/>
      <c r="FU33" s="11"/>
      <c r="FV33" s="1">
        <v>365</v>
      </c>
      <c r="FW33" s="1">
        <v>292</v>
      </c>
      <c r="FX33" s="1">
        <v>438</v>
      </c>
      <c r="FZ33" s="19"/>
      <c r="GA33" s="19"/>
      <c r="GB33" s="19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 t="s">
        <v>1084</v>
      </c>
      <c r="GO33" s="8" t="s">
        <v>1084</v>
      </c>
      <c r="GP33" s="8" t="s">
        <v>1084</v>
      </c>
      <c r="GS33" s="1">
        <v>67</v>
      </c>
      <c r="GT33" s="1">
        <v>67</v>
      </c>
      <c r="GU33" s="1">
        <v>67</v>
      </c>
      <c r="GV33" s="13" t="s">
        <v>806</v>
      </c>
      <c r="GW33" s="13" t="s">
        <v>806</v>
      </c>
      <c r="GX33" s="13" t="s">
        <v>806</v>
      </c>
      <c r="GY33" s="13"/>
      <c r="GZ33" s="13" t="s">
        <v>806</v>
      </c>
      <c r="HA33" s="13" t="s">
        <v>806</v>
      </c>
      <c r="HB33" s="13" t="s">
        <v>806</v>
      </c>
      <c r="HC33" s="13" t="s">
        <v>806</v>
      </c>
      <c r="HD33" s="13" t="s">
        <v>806</v>
      </c>
      <c r="HE33" s="13" t="s">
        <v>806</v>
      </c>
      <c r="HF33" s="13" t="s">
        <v>806</v>
      </c>
      <c r="HI33" s="13" t="s">
        <v>806</v>
      </c>
      <c r="HJ33" s="13" t="s">
        <v>806</v>
      </c>
      <c r="HL33" s="13" t="s">
        <v>806</v>
      </c>
    </row>
    <row r="34" spans="1:220" ht="12.75" customHeight="1" x14ac:dyDescent="0.25">
      <c r="A34" s="1" t="s">
        <v>374</v>
      </c>
      <c r="B34" s="1" t="s">
        <v>742</v>
      </c>
      <c r="E34" s="1" t="s">
        <v>127</v>
      </c>
      <c r="F34" s="1">
        <v>2</v>
      </c>
      <c r="G34" s="1">
        <v>2015</v>
      </c>
      <c r="H34" s="1">
        <v>1</v>
      </c>
      <c r="I34" s="1">
        <v>0</v>
      </c>
      <c r="J34" s="1">
        <v>0</v>
      </c>
      <c r="K34" s="19"/>
      <c r="L34" s="19"/>
      <c r="M34" s="19"/>
      <c r="N34" s="19"/>
      <c r="O34" s="19"/>
      <c r="P34" s="19"/>
      <c r="Q34" s="19">
        <v>290</v>
      </c>
      <c r="R34" s="19">
        <v>173.92500000000001</v>
      </c>
      <c r="S34" s="19">
        <v>425.42500000000001</v>
      </c>
      <c r="T34" s="19"/>
      <c r="U34" s="19"/>
      <c r="V34" s="19"/>
      <c r="W34" s="19">
        <v>290</v>
      </c>
      <c r="X34" s="19">
        <v>135.27500000000001</v>
      </c>
      <c r="Y34" s="19">
        <v>502.77499999999998</v>
      </c>
      <c r="Z34" s="19">
        <v>290</v>
      </c>
      <c r="AA34" s="19">
        <v>173.92500000000001</v>
      </c>
      <c r="AB34" s="19">
        <v>425.42500000000001</v>
      </c>
      <c r="AC34" s="19"/>
      <c r="AD34" s="19"/>
      <c r="AE34" s="19"/>
      <c r="AF34" s="19">
        <v>290</v>
      </c>
      <c r="AG34" s="19">
        <v>135.27500000000001</v>
      </c>
      <c r="AH34" s="19">
        <v>502.77499999999998</v>
      </c>
      <c r="AI34" s="19">
        <v>290</v>
      </c>
      <c r="AJ34" s="19">
        <v>173.92500000000001</v>
      </c>
      <c r="AK34" s="19">
        <v>425.42500000000001</v>
      </c>
      <c r="AL34" s="19">
        <v>290</v>
      </c>
      <c r="AM34" s="19">
        <v>135.27500000000001</v>
      </c>
      <c r="AN34" s="19">
        <v>502.77499999999998</v>
      </c>
      <c r="AO34" s="19">
        <v>290</v>
      </c>
      <c r="AP34" s="19">
        <v>173.92500000000001</v>
      </c>
      <c r="AQ34" s="19">
        <v>425.42500000000001</v>
      </c>
      <c r="AR34" s="19"/>
      <c r="AS34" s="19"/>
      <c r="AT34" s="19"/>
      <c r="AU34" s="19">
        <v>290</v>
      </c>
      <c r="AV34" s="19">
        <v>135.27500000000001</v>
      </c>
      <c r="AW34" s="19">
        <v>502.77499999999998</v>
      </c>
      <c r="AX34" s="19">
        <v>290</v>
      </c>
      <c r="AY34" s="19">
        <v>173.92500000000001</v>
      </c>
      <c r="AZ34" s="19">
        <v>425.42500000000001</v>
      </c>
      <c r="BA34" s="19"/>
      <c r="BB34" s="19"/>
      <c r="BC34" s="19"/>
      <c r="BD34" s="19">
        <v>290</v>
      </c>
      <c r="BE34" s="19">
        <v>135.27500000000001</v>
      </c>
      <c r="BF34" s="19">
        <v>502.77499999999998</v>
      </c>
      <c r="BG34" s="19">
        <v>290</v>
      </c>
      <c r="BH34" s="19">
        <v>173.92500000000001</v>
      </c>
      <c r="BI34" s="19">
        <v>425.42500000000001</v>
      </c>
      <c r="BJ34" s="19"/>
      <c r="BK34" s="19"/>
      <c r="BL34" s="19"/>
      <c r="BM34" s="19">
        <v>290</v>
      </c>
      <c r="BN34" s="19">
        <v>135.27500000000001</v>
      </c>
      <c r="BO34" s="19">
        <v>502.77499999999998</v>
      </c>
      <c r="BP34" s="19">
        <v>290</v>
      </c>
      <c r="BQ34" s="19">
        <v>173.92500000000001</v>
      </c>
      <c r="BR34" s="19">
        <v>425.42500000000001</v>
      </c>
      <c r="BS34" s="19"/>
      <c r="BT34" s="19"/>
      <c r="BU34" s="19"/>
      <c r="BV34" s="19">
        <v>290</v>
      </c>
      <c r="BW34" s="19">
        <v>135.27500000000001</v>
      </c>
      <c r="BX34" s="19">
        <v>502.77499999999998</v>
      </c>
      <c r="BY34" s="19">
        <v>290</v>
      </c>
      <c r="BZ34" s="19">
        <v>173.92500000000001</v>
      </c>
      <c r="CA34" s="19">
        <v>425.42500000000001</v>
      </c>
      <c r="CB34" s="19"/>
      <c r="CC34" s="19"/>
      <c r="CD34" s="19"/>
      <c r="CE34" s="19">
        <v>290</v>
      </c>
      <c r="CF34" s="19">
        <v>135.27500000000001</v>
      </c>
      <c r="CG34" s="19">
        <v>502.77499999999998</v>
      </c>
      <c r="CH34" s="19">
        <v>290</v>
      </c>
      <c r="CI34" s="19">
        <v>173.92500000000001</v>
      </c>
      <c r="CJ34" s="19">
        <v>425.42500000000001</v>
      </c>
      <c r="CK34" s="19"/>
      <c r="CL34" s="19"/>
      <c r="CM34" s="19"/>
      <c r="CN34" s="19">
        <v>290</v>
      </c>
      <c r="CO34" s="19">
        <v>135.27500000000001</v>
      </c>
      <c r="CP34" s="19">
        <v>502.77499999999998</v>
      </c>
      <c r="CQ34" s="19"/>
      <c r="CR34" s="19"/>
      <c r="CS34" s="19"/>
      <c r="CT34" s="19"/>
      <c r="CU34" s="11">
        <f>Tabelle58971121[[#This Row],[Mindestauslastung durch]]*Tabelle58971121[[#This Row],[installierte Leistung MW durch]]</f>
        <v>174</v>
      </c>
      <c r="CV34" s="11">
        <f>Tabelle58971121[[#This Row],[Mindestauslastung min]]*Tabelle58971121[[#This Row],[installierte Leistung MW min]]</f>
        <v>115.94999999999999</v>
      </c>
      <c r="CW34" s="11">
        <f>Tabelle58971121[[#This Row],[Mindestauslastung max]]*Tabelle58971121[[#This Row],[installierte Leistung MW max]]</f>
        <v>232.04999999999998</v>
      </c>
      <c r="CX34" s="9">
        <v>0.15</v>
      </c>
      <c r="CY34" s="9">
        <v>0.15</v>
      </c>
      <c r="CZ34" s="9">
        <v>0.15</v>
      </c>
      <c r="DA34" s="9"/>
      <c r="DB34" s="9">
        <v>0.25</v>
      </c>
      <c r="DC34" s="9">
        <v>0.22500000000000001</v>
      </c>
      <c r="DD34" s="9">
        <v>0.27500000000000002</v>
      </c>
      <c r="DE34" s="9">
        <v>0.25</v>
      </c>
      <c r="DF34" s="9">
        <v>0.22500000000000001</v>
      </c>
      <c r="DG34" s="9">
        <v>0.27500000000000002</v>
      </c>
      <c r="DH34" s="9">
        <v>0.25</v>
      </c>
      <c r="DI34" s="9">
        <v>0.22500000000000001</v>
      </c>
      <c r="DJ34" s="9">
        <v>0.27500000000000002</v>
      </c>
      <c r="DK34" s="9">
        <v>0.25</v>
      </c>
      <c r="DL34" s="9">
        <v>0.22500000000000001</v>
      </c>
      <c r="DM34" s="9">
        <v>0.27500000000000002</v>
      </c>
      <c r="DN34" s="9">
        <v>0.25</v>
      </c>
      <c r="DO34" s="9">
        <v>0.22500000000000001</v>
      </c>
      <c r="DP34" s="9">
        <v>0.27500000000000002</v>
      </c>
      <c r="DQ34" s="9">
        <v>0.25</v>
      </c>
      <c r="DR34" s="9">
        <v>0.22500000000000001</v>
      </c>
      <c r="DS34" s="9">
        <v>0.27500000000000002</v>
      </c>
      <c r="DT34" s="9">
        <v>0.25</v>
      </c>
      <c r="DU34" s="9">
        <v>0.22500000000000001</v>
      </c>
      <c r="DV34" s="9">
        <v>0.27500000000000002</v>
      </c>
      <c r="DW34" s="9">
        <v>0.25</v>
      </c>
      <c r="DX34" s="9">
        <v>0.22500000000000001</v>
      </c>
      <c r="DY34" s="9">
        <v>0.27500000000000002</v>
      </c>
      <c r="DZ34" s="9">
        <v>0.25</v>
      </c>
      <c r="EA34" s="9">
        <v>0.22500000000000001</v>
      </c>
      <c r="EB34" s="9">
        <v>0.27500000000000002</v>
      </c>
      <c r="EC34" s="9"/>
      <c r="ED34" s="9"/>
      <c r="EE34" s="9"/>
      <c r="EF34" s="46">
        <f>Tabelle58971121[[#This Row],[Durchschnittsauslastung min]]*Tabelle58971121[[#This Row],[installierte Leistung MW min]]</f>
        <v>0</v>
      </c>
      <c r="EG34" s="46">
        <f>Tabelle58971121[[#This Row],[Durchschnittsauslastung durch]]*Tabelle58971121[[#This Row],[installierte Leistung MW durch]]</f>
        <v>0</v>
      </c>
      <c r="EH34" s="46">
        <f>Tabelle58971121[[#This Row],[Durchschnittsauslastung max]]*Tabelle58971121[[#This Row],[installierte Leistung MW max]]</f>
        <v>0</v>
      </c>
      <c r="EI34" s="83">
        <f>Tabelle58971121[[#This Row],[Maximalauslastung durch]]*Tabelle58971121[[#This Row],[installierte Leistung MW min]]</f>
        <v>386.5</v>
      </c>
      <c r="EJ34" s="46">
        <f>Tabelle58971121[[#This Row],[Maximalauslastung durch]]*Tabelle58971121[[#This Row],[installierte Leistung MW durch]]</f>
        <v>580</v>
      </c>
      <c r="EK34" s="19">
        <f>Tabelle58971121[[#This Row],[Maximalauslastung max]]*Tabelle58971121[[#This Row],[installierte Leistung MW durch]]</f>
        <v>638</v>
      </c>
      <c r="EL34" s="9">
        <v>0.5</v>
      </c>
      <c r="EM34" s="9">
        <v>0.45</v>
      </c>
      <c r="EN34" s="9">
        <v>0.55000000000000004</v>
      </c>
      <c r="EO34" s="1">
        <v>1160</v>
      </c>
      <c r="EP34" s="1">
        <v>773</v>
      </c>
      <c r="EQ34" s="1">
        <v>1547</v>
      </c>
      <c r="ER34" s="19"/>
      <c r="ES34" s="19"/>
      <c r="EX34" s="1">
        <v>5</v>
      </c>
      <c r="EY34" s="1">
        <v>4.5</v>
      </c>
      <c r="EZ34" s="1">
        <v>5.5</v>
      </c>
      <c r="FD34" s="1">
        <v>5</v>
      </c>
      <c r="FE34" s="1">
        <v>4.5</v>
      </c>
      <c r="FF34" s="1">
        <v>5.5</v>
      </c>
      <c r="FG34" s="1">
        <v>24</v>
      </c>
      <c r="FJ34" s="1">
        <v>10</v>
      </c>
      <c r="FK34" s="1">
        <v>9</v>
      </c>
      <c r="FL34" s="1">
        <v>11</v>
      </c>
      <c r="FP34" s="1">
        <v>365</v>
      </c>
      <c r="FQ34" s="1">
        <v>328</v>
      </c>
      <c r="FR34" s="1">
        <v>402</v>
      </c>
      <c r="FS34" s="11"/>
      <c r="FT34" s="11"/>
      <c r="FU34" s="11"/>
      <c r="FV34" s="1">
        <v>365</v>
      </c>
      <c r="FW34" s="1">
        <v>328</v>
      </c>
      <c r="FX34" s="1">
        <v>402</v>
      </c>
      <c r="FZ34" s="19"/>
      <c r="GA34" s="19"/>
      <c r="GB34" s="19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 t="s">
        <v>1084</v>
      </c>
      <c r="GO34" s="8" t="s">
        <v>1084</v>
      </c>
      <c r="GP34" s="8" t="s">
        <v>1084</v>
      </c>
      <c r="GS34" s="1">
        <v>67</v>
      </c>
      <c r="GT34" s="1">
        <v>67</v>
      </c>
      <c r="GU34" s="1">
        <v>67</v>
      </c>
      <c r="GV34" s="13" t="s">
        <v>806</v>
      </c>
      <c r="GW34" s="13" t="s">
        <v>806</v>
      </c>
      <c r="GX34" s="13" t="s">
        <v>806</v>
      </c>
      <c r="GY34" s="13"/>
      <c r="GZ34" s="13" t="s">
        <v>806</v>
      </c>
      <c r="HA34" s="13" t="s">
        <v>806</v>
      </c>
      <c r="HB34" s="13" t="s">
        <v>806</v>
      </c>
      <c r="HC34" s="13" t="s">
        <v>806</v>
      </c>
      <c r="HD34" s="13" t="s">
        <v>806</v>
      </c>
      <c r="HE34" s="13" t="s">
        <v>806</v>
      </c>
      <c r="HF34" s="13" t="s">
        <v>806</v>
      </c>
      <c r="HI34" s="13" t="s">
        <v>806</v>
      </c>
      <c r="HJ34" s="13" t="s">
        <v>806</v>
      </c>
      <c r="HL34" s="13" t="s">
        <v>806</v>
      </c>
    </row>
    <row r="35" spans="1:220" ht="12.75" customHeight="1" x14ac:dyDescent="0.25">
      <c r="A35" s="1" t="s">
        <v>374</v>
      </c>
      <c r="B35" s="1" t="s">
        <v>742</v>
      </c>
      <c r="E35" s="1" t="s">
        <v>127</v>
      </c>
      <c r="F35" s="1">
        <v>2</v>
      </c>
      <c r="G35" s="1">
        <v>2020</v>
      </c>
      <c r="H35" s="1">
        <v>1</v>
      </c>
      <c r="I35" s="1">
        <v>0</v>
      </c>
      <c r="J35" s="1">
        <v>0</v>
      </c>
      <c r="K35" s="19"/>
      <c r="L35" s="19"/>
      <c r="M35" s="19"/>
      <c r="N35" s="19"/>
      <c r="O35" s="19"/>
      <c r="P35" s="19"/>
      <c r="Q35" s="19">
        <v>290</v>
      </c>
      <c r="R35" s="19">
        <v>173.92500000000001</v>
      </c>
      <c r="S35" s="19">
        <v>425.42500000000001</v>
      </c>
      <c r="T35" s="19"/>
      <c r="U35" s="19"/>
      <c r="V35" s="19"/>
      <c r="W35" s="19">
        <v>290</v>
      </c>
      <c r="X35" s="19">
        <v>135.27500000000001</v>
      </c>
      <c r="Y35" s="19">
        <v>502.77499999999998</v>
      </c>
      <c r="Z35" s="19">
        <v>290</v>
      </c>
      <c r="AA35" s="19">
        <v>173.92500000000001</v>
      </c>
      <c r="AB35" s="19">
        <v>425.42500000000001</v>
      </c>
      <c r="AC35" s="19"/>
      <c r="AD35" s="19"/>
      <c r="AE35" s="19"/>
      <c r="AF35" s="19">
        <v>290</v>
      </c>
      <c r="AG35" s="19">
        <v>135.27500000000001</v>
      </c>
      <c r="AH35" s="19">
        <v>502.77499999999998</v>
      </c>
      <c r="AI35" s="19">
        <v>290</v>
      </c>
      <c r="AJ35" s="19">
        <v>173.92500000000001</v>
      </c>
      <c r="AK35" s="19">
        <v>425.42500000000001</v>
      </c>
      <c r="AL35" s="19">
        <v>290</v>
      </c>
      <c r="AM35" s="19">
        <v>135.27500000000001</v>
      </c>
      <c r="AN35" s="19">
        <v>502.77499999999998</v>
      </c>
      <c r="AO35" s="19">
        <v>290</v>
      </c>
      <c r="AP35" s="19">
        <v>173.92500000000001</v>
      </c>
      <c r="AQ35" s="19">
        <v>425.42500000000001</v>
      </c>
      <c r="AR35" s="19"/>
      <c r="AS35" s="19"/>
      <c r="AT35" s="19"/>
      <c r="AU35" s="19">
        <v>290</v>
      </c>
      <c r="AV35" s="19">
        <v>135.27500000000001</v>
      </c>
      <c r="AW35" s="19">
        <v>502.77499999999998</v>
      </c>
      <c r="AX35" s="19">
        <v>290</v>
      </c>
      <c r="AY35" s="19">
        <v>173.92500000000001</v>
      </c>
      <c r="AZ35" s="19">
        <v>425.42500000000001</v>
      </c>
      <c r="BA35" s="19"/>
      <c r="BB35" s="19"/>
      <c r="BC35" s="19"/>
      <c r="BD35" s="19">
        <v>290</v>
      </c>
      <c r="BE35" s="19">
        <v>135.27500000000001</v>
      </c>
      <c r="BF35" s="19">
        <v>502.77499999999998</v>
      </c>
      <c r="BG35" s="19">
        <v>290</v>
      </c>
      <c r="BH35" s="19">
        <v>173.92500000000001</v>
      </c>
      <c r="BI35" s="19">
        <v>425.42500000000001</v>
      </c>
      <c r="BJ35" s="19"/>
      <c r="BK35" s="19"/>
      <c r="BL35" s="19"/>
      <c r="BM35" s="19">
        <v>290</v>
      </c>
      <c r="BN35" s="19">
        <v>135.27500000000001</v>
      </c>
      <c r="BO35" s="19">
        <v>502.77499999999998</v>
      </c>
      <c r="BP35" s="19">
        <v>290</v>
      </c>
      <c r="BQ35" s="19">
        <v>173.92500000000001</v>
      </c>
      <c r="BR35" s="19">
        <v>425.42500000000001</v>
      </c>
      <c r="BS35" s="19"/>
      <c r="BT35" s="19"/>
      <c r="BU35" s="19"/>
      <c r="BV35" s="19">
        <v>290</v>
      </c>
      <c r="BW35" s="19">
        <v>135.27500000000001</v>
      </c>
      <c r="BX35" s="19">
        <v>502.77499999999998</v>
      </c>
      <c r="BY35" s="19">
        <v>290</v>
      </c>
      <c r="BZ35" s="19">
        <v>173.92500000000001</v>
      </c>
      <c r="CA35" s="19">
        <v>425.42500000000001</v>
      </c>
      <c r="CB35" s="19"/>
      <c r="CC35" s="19"/>
      <c r="CD35" s="19"/>
      <c r="CE35" s="19">
        <v>290</v>
      </c>
      <c r="CF35" s="19">
        <v>135.27500000000001</v>
      </c>
      <c r="CG35" s="19">
        <v>502.77499999999998</v>
      </c>
      <c r="CH35" s="19">
        <v>290</v>
      </c>
      <c r="CI35" s="19">
        <v>173.92500000000001</v>
      </c>
      <c r="CJ35" s="19">
        <v>425.42500000000001</v>
      </c>
      <c r="CK35" s="19"/>
      <c r="CL35" s="19"/>
      <c r="CM35" s="19"/>
      <c r="CN35" s="19">
        <v>290</v>
      </c>
      <c r="CO35" s="19">
        <v>135.27500000000001</v>
      </c>
      <c r="CP35" s="19">
        <v>502.77499999999998</v>
      </c>
      <c r="CQ35" s="19"/>
      <c r="CR35" s="19"/>
      <c r="CS35" s="19"/>
      <c r="CT35" s="19"/>
      <c r="CU35" s="11">
        <f>Tabelle58971121[[#This Row],[Mindestauslastung durch]]*Tabelle58971121[[#This Row],[installierte Leistung MW durch]]</f>
        <v>174</v>
      </c>
      <c r="CV35" s="11">
        <f>Tabelle58971121[[#This Row],[Mindestauslastung min]]*Tabelle58971121[[#This Row],[installierte Leistung MW min]]</f>
        <v>115.94999999999999</v>
      </c>
      <c r="CW35" s="11">
        <f>Tabelle58971121[[#This Row],[Mindestauslastung max]]*Tabelle58971121[[#This Row],[installierte Leistung MW max]]</f>
        <v>232.04999999999998</v>
      </c>
      <c r="CX35" s="9">
        <v>0.15</v>
      </c>
      <c r="CY35" s="9">
        <v>0.15</v>
      </c>
      <c r="CZ35" s="9">
        <v>0.15</v>
      </c>
      <c r="DA35" s="9"/>
      <c r="DB35" s="9">
        <v>0.25</v>
      </c>
      <c r="DC35" s="9">
        <v>0.22500000000000001</v>
      </c>
      <c r="DD35" s="9">
        <v>0.27500000000000002</v>
      </c>
      <c r="DE35" s="9">
        <v>0.25</v>
      </c>
      <c r="DF35" s="9">
        <v>0.22500000000000001</v>
      </c>
      <c r="DG35" s="9">
        <v>0.27500000000000002</v>
      </c>
      <c r="DH35" s="9">
        <v>0.25</v>
      </c>
      <c r="DI35" s="9">
        <v>0.22500000000000001</v>
      </c>
      <c r="DJ35" s="9">
        <v>0.27500000000000002</v>
      </c>
      <c r="DK35" s="9">
        <v>0.25</v>
      </c>
      <c r="DL35" s="9">
        <v>0.22500000000000001</v>
      </c>
      <c r="DM35" s="9">
        <v>0.27500000000000002</v>
      </c>
      <c r="DN35" s="9">
        <v>0.25</v>
      </c>
      <c r="DO35" s="9">
        <v>0.22500000000000001</v>
      </c>
      <c r="DP35" s="9">
        <v>0.27500000000000002</v>
      </c>
      <c r="DQ35" s="9">
        <v>0.25</v>
      </c>
      <c r="DR35" s="9">
        <v>0.22500000000000001</v>
      </c>
      <c r="DS35" s="9">
        <v>0.27500000000000002</v>
      </c>
      <c r="DT35" s="9">
        <v>0.25</v>
      </c>
      <c r="DU35" s="9">
        <v>0.22500000000000001</v>
      </c>
      <c r="DV35" s="9">
        <v>0.27500000000000002</v>
      </c>
      <c r="DW35" s="9">
        <v>0.25</v>
      </c>
      <c r="DX35" s="9">
        <v>0.22500000000000001</v>
      </c>
      <c r="DY35" s="9">
        <v>0.27500000000000002</v>
      </c>
      <c r="DZ35" s="9">
        <v>0.25</v>
      </c>
      <c r="EA35" s="9">
        <v>0.22500000000000001</v>
      </c>
      <c r="EB35" s="9">
        <v>0.27500000000000002</v>
      </c>
      <c r="EC35" s="9"/>
      <c r="ED35" s="9"/>
      <c r="EE35" s="9"/>
      <c r="EF35" s="46">
        <f>Tabelle58971121[[#This Row],[Durchschnittsauslastung min]]*Tabelle58971121[[#This Row],[installierte Leistung MW min]]</f>
        <v>0</v>
      </c>
      <c r="EG35" s="46">
        <f>Tabelle58971121[[#This Row],[Durchschnittsauslastung durch]]*Tabelle58971121[[#This Row],[installierte Leistung MW durch]]</f>
        <v>0</v>
      </c>
      <c r="EH35" s="46">
        <f>Tabelle58971121[[#This Row],[Durchschnittsauslastung max]]*Tabelle58971121[[#This Row],[installierte Leistung MW max]]</f>
        <v>0</v>
      </c>
      <c r="EI35" s="83">
        <f>Tabelle58971121[[#This Row],[Maximalauslastung durch]]*Tabelle58971121[[#This Row],[installierte Leistung MW min]]</f>
        <v>386.5</v>
      </c>
      <c r="EJ35" s="46">
        <f>Tabelle58971121[[#This Row],[Maximalauslastung durch]]*Tabelle58971121[[#This Row],[installierte Leistung MW durch]]</f>
        <v>580</v>
      </c>
      <c r="EK35" s="19">
        <f>Tabelle58971121[[#This Row],[Maximalauslastung max]]*Tabelle58971121[[#This Row],[installierte Leistung MW durch]]</f>
        <v>638</v>
      </c>
      <c r="EL35" s="9">
        <v>0.5</v>
      </c>
      <c r="EM35" s="9">
        <v>0.45</v>
      </c>
      <c r="EN35" s="9">
        <v>0.55000000000000004</v>
      </c>
      <c r="EO35" s="1">
        <v>1160</v>
      </c>
      <c r="EP35" s="1">
        <v>773</v>
      </c>
      <c r="EQ35" s="1">
        <v>1547</v>
      </c>
      <c r="ER35" s="19"/>
      <c r="ES35" s="19"/>
      <c r="EX35" s="1">
        <v>5</v>
      </c>
      <c r="EY35" s="1">
        <v>4.5</v>
      </c>
      <c r="EZ35" s="1">
        <v>5.5</v>
      </c>
      <c r="FD35" s="1">
        <v>5</v>
      </c>
      <c r="FE35" s="1">
        <v>4.5</v>
      </c>
      <c r="FF35" s="1">
        <v>5.5</v>
      </c>
      <c r="FG35" s="1">
        <v>24</v>
      </c>
      <c r="FJ35" s="1">
        <v>10</v>
      </c>
      <c r="FK35" s="1">
        <v>9</v>
      </c>
      <c r="FL35" s="1">
        <v>11</v>
      </c>
      <c r="FP35" s="1">
        <v>365</v>
      </c>
      <c r="FQ35" s="1">
        <v>328</v>
      </c>
      <c r="FR35" s="1">
        <v>402</v>
      </c>
      <c r="FS35" s="11"/>
      <c r="FT35" s="11"/>
      <c r="FU35" s="11"/>
      <c r="FV35" s="1">
        <v>365</v>
      </c>
      <c r="FW35" s="1">
        <v>328</v>
      </c>
      <c r="FX35" s="1">
        <v>402</v>
      </c>
      <c r="FZ35" s="19"/>
      <c r="GA35" s="19"/>
      <c r="GB35" s="19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 t="s">
        <v>1084</v>
      </c>
      <c r="GO35" s="8" t="s">
        <v>1084</v>
      </c>
      <c r="GP35" s="8" t="s">
        <v>1084</v>
      </c>
      <c r="GS35" s="1">
        <v>67</v>
      </c>
      <c r="GT35" s="1">
        <v>67</v>
      </c>
      <c r="GU35" s="1">
        <v>67</v>
      </c>
      <c r="GV35" s="13" t="s">
        <v>806</v>
      </c>
      <c r="GW35" s="13" t="s">
        <v>806</v>
      </c>
      <c r="GX35" s="13" t="s">
        <v>806</v>
      </c>
      <c r="GY35" s="13"/>
      <c r="GZ35" s="13" t="s">
        <v>806</v>
      </c>
      <c r="HA35" s="13" t="s">
        <v>806</v>
      </c>
      <c r="HB35" s="13" t="s">
        <v>806</v>
      </c>
      <c r="HC35" s="13" t="s">
        <v>806</v>
      </c>
      <c r="HD35" s="13" t="s">
        <v>806</v>
      </c>
      <c r="HE35" s="13" t="s">
        <v>806</v>
      </c>
      <c r="HF35" s="13" t="s">
        <v>806</v>
      </c>
      <c r="HI35" s="13" t="s">
        <v>806</v>
      </c>
      <c r="HJ35" s="13" t="s">
        <v>806</v>
      </c>
      <c r="HL35" s="13" t="s">
        <v>806</v>
      </c>
    </row>
    <row r="36" spans="1:220" ht="12.75" customHeight="1" x14ac:dyDescent="0.25">
      <c r="A36" s="1" t="s">
        <v>374</v>
      </c>
      <c r="B36" s="1" t="s">
        <v>742</v>
      </c>
      <c r="E36" s="1" t="s">
        <v>127</v>
      </c>
      <c r="F36" s="1">
        <v>2</v>
      </c>
      <c r="G36" s="1">
        <v>2025</v>
      </c>
      <c r="H36" s="1">
        <v>1</v>
      </c>
      <c r="I36" s="1">
        <v>0</v>
      </c>
      <c r="J36" s="1">
        <v>0</v>
      </c>
      <c r="K36" s="19"/>
      <c r="L36" s="19"/>
      <c r="M36" s="19"/>
      <c r="N36" s="19"/>
      <c r="O36" s="19"/>
      <c r="P36" s="19"/>
      <c r="Q36" s="19">
        <v>290</v>
      </c>
      <c r="R36" s="19">
        <v>173.92500000000001</v>
      </c>
      <c r="S36" s="19">
        <v>425.42500000000001</v>
      </c>
      <c r="T36" s="19"/>
      <c r="U36" s="19"/>
      <c r="V36" s="19"/>
      <c r="W36" s="19">
        <v>290</v>
      </c>
      <c r="X36" s="19">
        <v>135.27500000000001</v>
      </c>
      <c r="Y36" s="19">
        <v>502.77499999999998</v>
      </c>
      <c r="Z36" s="19">
        <v>290</v>
      </c>
      <c r="AA36" s="19">
        <v>173.92500000000001</v>
      </c>
      <c r="AB36" s="19">
        <v>425.42500000000001</v>
      </c>
      <c r="AC36" s="19"/>
      <c r="AD36" s="19"/>
      <c r="AE36" s="19"/>
      <c r="AF36" s="19">
        <v>290</v>
      </c>
      <c r="AG36" s="19">
        <v>135.27500000000001</v>
      </c>
      <c r="AH36" s="19">
        <v>502.77499999999998</v>
      </c>
      <c r="AI36" s="19">
        <v>290</v>
      </c>
      <c r="AJ36" s="19">
        <v>173.92500000000001</v>
      </c>
      <c r="AK36" s="19">
        <v>425.42500000000001</v>
      </c>
      <c r="AL36" s="19">
        <v>290</v>
      </c>
      <c r="AM36" s="19">
        <v>135.27500000000001</v>
      </c>
      <c r="AN36" s="19">
        <v>502.77499999999998</v>
      </c>
      <c r="AO36" s="19">
        <v>290</v>
      </c>
      <c r="AP36" s="19">
        <v>173.92500000000001</v>
      </c>
      <c r="AQ36" s="19">
        <v>425.42500000000001</v>
      </c>
      <c r="AR36" s="19"/>
      <c r="AS36" s="19"/>
      <c r="AT36" s="19"/>
      <c r="AU36" s="19">
        <v>290</v>
      </c>
      <c r="AV36" s="19">
        <v>135.27500000000001</v>
      </c>
      <c r="AW36" s="19">
        <v>502.77499999999998</v>
      </c>
      <c r="AX36" s="19">
        <v>290</v>
      </c>
      <c r="AY36" s="19">
        <v>173.92500000000001</v>
      </c>
      <c r="AZ36" s="19">
        <v>425.42500000000001</v>
      </c>
      <c r="BA36" s="19"/>
      <c r="BB36" s="19"/>
      <c r="BC36" s="19"/>
      <c r="BD36" s="19">
        <v>290</v>
      </c>
      <c r="BE36" s="19">
        <v>135.27500000000001</v>
      </c>
      <c r="BF36" s="19">
        <v>502.77499999999998</v>
      </c>
      <c r="BG36" s="19">
        <v>290</v>
      </c>
      <c r="BH36" s="19">
        <v>173.92500000000001</v>
      </c>
      <c r="BI36" s="19">
        <v>425.42500000000001</v>
      </c>
      <c r="BJ36" s="19"/>
      <c r="BK36" s="19"/>
      <c r="BL36" s="19"/>
      <c r="BM36" s="19">
        <v>290</v>
      </c>
      <c r="BN36" s="19">
        <v>135.27500000000001</v>
      </c>
      <c r="BO36" s="19">
        <v>502.77499999999998</v>
      </c>
      <c r="BP36" s="19">
        <v>290</v>
      </c>
      <c r="BQ36" s="19">
        <v>173.92500000000001</v>
      </c>
      <c r="BR36" s="19">
        <v>425.42500000000001</v>
      </c>
      <c r="BS36" s="19"/>
      <c r="BT36" s="19"/>
      <c r="BU36" s="19"/>
      <c r="BV36" s="19">
        <v>290</v>
      </c>
      <c r="BW36" s="19">
        <v>135.27500000000001</v>
      </c>
      <c r="BX36" s="19">
        <v>502.77499999999998</v>
      </c>
      <c r="BY36" s="19">
        <v>290</v>
      </c>
      <c r="BZ36" s="19">
        <v>173.92500000000001</v>
      </c>
      <c r="CA36" s="19">
        <v>425.42500000000001</v>
      </c>
      <c r="CB36" s="19"/>
      <c r="CC36" s="19"/>
      <c r="CD36" s="19"/>
      <c r="CE36" s="19">
        <v>290</v>
      </c>
      <c r="CF36" s="19">
        <v>135.27500000000001</v>
      </c>
      <c r="CG36" s="19">
        <v>502.77499999999998</v>
      </c>
      <c r="CH36" s="19">
        <v>290</v>
      </c>
      <c r="CI36" s="19">
        <v>173.92500000000001</v>
      </c>
      <c r="CJ36" s="19">
        <v>425.42500000000001</v>
      </c>
      <c r="CK36" s="19"/>
      <c r="CL36" s="19"/>
      <c r="CM36" s="19"/>
      <c r="CN36" s="19">
        <v>290</v>
      </c>
      <c r="CO36" s="19">
        <v>135.27500000000001</v>
      </c>
      <c r="CP36" s="19">
        <v>502.77499999999998</v>
      </c>
      <c r="CQ36" s="19"/>
      <c r="CR36" s="19"/>
      <c r="CS36" s="19"/>
      <c r="CT36" s="19"/>
      <c r="CU36" s="11">
        <f>Tabelle58971121[[#This Row],[Mindestauslastung durch]]*Tabelle58971121[[#This Row],[installierte Leistung MW durch]]</f>
        <v>174</v>
      </c>
      <c r="CV36" s="11">
        <f>Tabelle58971121[[#This Row],[Mindestauslastung min]]*Tabelle58971121[[#This Row],[installierte Leistung MW min]]</f>
        <v>115.94999999999999</v>
      </c>
      <c r="CW36" s="11">
        <f>Tabelle58971121[[#This Row],[Mindestauslastung max]]*Tabelle58971121[[#This Row],[installierte Leistung MW max]]</f>
        <v>232.04999999999998</v>
      </c>
      <c r="CX36" s="9">
        <v>0.15</v>
      </c>
      <c r="CY36" s="9">
        <v>0.15</v>
      </c>
      <c r="CZ36" s="9">
        <v>0.15</v>
      </c>
      <c r="DA36" s="9"/>
      <c r="DB36" s="9">
        <v>0.25</v>
      </c>
      <c r="DC36" s="9">
        <v>0.22500000000000001</v>
      </c>
      <c r="DD36" s="9">
        <v>0.27500000000000002</v>
      </c>
      <c r="DE36" s="9">
        <v>0.25</v>
      </c>
      <c r="DF36" s="9">
        <v>0.22500000000000001</v>
      </c>
      <c r="DG36" s="9">
        <v>0.27500000000000002</v>
      </c>
      <c r="DH36" s="9">
        <v>0.25</v>
      </c>
      <c r="DI36" s="9">
        <v>0.22500000000000001</v>
      </c>
      <c r="DJ36" s="9">
        <v>0.27500000000000002</v>
      </c>
      <c r="DK36" s="9">
        <v>0.25</v>
      </c>
      <c r="DL36" s="9">
        <v>0.22500000000000001</v>
      </c>
      <c r="DM36" s="9">
        <v>0.27500000000000002</v>
      </c>
      <c r="DN36" s="9">
        <v>0.25</v>
      </c>
      <c r="DO36" s="9">
        <v>0.22500000000000001</v>
      </c>
      <c r="DP36" s="9">
        <v>0.27500000000000002</v>
      </c>
      <c r="DQ36" s="9">
        <v>0.25</v>
      </c>
      <c r="DR36" s="9">
        <v>0.22500000000000001</v>
      </c>
      <c r="DS36" s="9">
        <v>0.27500000000000002</v>
      </c>
      <c r="DT36" s="9">
        <v>0.25</v>
      </c>
      <c r="DU36" s="9">
        <v>0.22500000000000001</v>
      </c>
      <c r="DV36" s="9">
        <v>0.27500000000000002</v>
      </c>
      <c r="DW36" s="9">
        <v>0.25</v>
      </c>
      <c r="DX36" s="9">
        <v>0.22500000000000001</v>
      </c>
      <c r="DY36" s="9">
        <v>0.27500000000000002</v>
      </c>
      <c r="DZ36" s="9">
        <v>0.25</v>
      </c>
      <c r="EA36" s="9">
        <v>0.22500000000000001</v>
      </c>
      <c r="EB36" s="9">
        <v>0.27500000000000002</v>
      </c>
      <c r="EC36" s="9"/>
      <c r="ED36" s="9"/>
      <c r="EE36" s="9"/>
      <c r="EF36" s="46">
        <f>Tabelle58971121[[#This Row],[Durchschnittsauslastung min]]*Tabelle58971121[[#This Row],[installierte Leistung MW min]]</f>
        <v>0</v>
      </c>
      <c r="EG36" s="46">
        <f>Tabelle58971121[[#This Row],[Durchschnittsauslastung durch]]*Tabelle58971121[[#This Row],[installierte Leistung MW durch]]</f>
        <v>0</v>
      </c>
      <c r="EH36" s="46">
        <f>Tabelle58971121[[#This Row],[Durchschnittsauslastung max]]*Tabelle58971121[[#This Row],[installierte Leistung MW max]]</f>
        <v>0</v>
      </c>
      <c r="EI36" s="83">
        <f>Tabelle58971121[[#This Row],[Maximalauslastung durch]]*Tabelle58971121[[#This Row],[installierte Leistung MW min]]</f>
        <v>386.5</v>
      </c>
      <c r="EJ36" s="46">
        <f>Tabelle58971121[[#This Row],[Maximalauslastung durch]]*Tabelle58971121[[#This Row],[installierte Leistung MW durch]]</f>
        <v>580</v>
      </c>
      <c r="EK36" s="19">
        <f>Tabelle58971121[[#This Row],[Maximalauslastung max]]*Tabelle58971121[[#This Row],[installierte Leistung MW durch]]</f>
        <v>638</v>
      </c>
      <c r="EL36" s="9">
        <v>0.5</v>
      </c>
      <c r="EM36" s="9">
        <v>0.45</v>
      </c>
      <c r="EN36" s="9">
        <v>0.55000000000000004</v>
      </c>
      <c r="EO36" s="1">
        <v>1160</v>
      </c>
      <c r="EP36" s="1">
        <v>773</v>
      </c>
      <c r="EQ36" s="1">
        <v>1547</v>
      </c>
      <c r="ER36" s="19"/>
      <c r="ES36" s="19"/>
      <c r="EX36" s="1">
        <v>5</v>
      </c>
      <c r="EY36" s="1">
        <v>4.5</v>
      </c>
      <c r="EZ36" s="1">
        <v>5.5</v>
      </c>
      <c r="FD36" s="1">
        <v>5</v>
      </c>
      <c r="FE36" s="1">
        <v>4.5</v>
      </c>
      <c r="FF36" s="1">
        <v>5.5</v>
      </c>
      <c r="FG36" s="1">
        <v>24</v>
      </c>
      <c r="FJ36" s="1">
        <v>10</v>
      </c>
      <c r="FK36" s="1">
        <v>9</v>
      </c>
      <c r="FL36" s="1">
        <v>11</v>
      </c>
      <c r="FP36" s="1">
        <v>365</v>
      </c>
      <c r="FQ36" s="1">
        <v>328</v>
      </c>
      <c r="FR36" s="1">
        <v>402</v>
      </c>
      <c r="FS36" s="11"/>
      <c r="FT36" s="11"/>
      <c r="FU36" s="11"/>
      <c r="FV36" s="1">
        <v>365</v>
      </c>
      <c r="FW36" s="1">
        <v>328</v>
      </c>
      <c r="FX36" s="1">
        <v>402</v>
      </c>
      <c r="FZ36" s="19"/>
      <c r="GA36" s="19"/>
      <c r="GB36" s="19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 t="s">
        <v>1084</v>
      </c>
      <c r="GO36" s="8" t="s">
        <v>1084</v>
      </c>
      <c r="GP36" s="8" t="s">
        <v>1084</v>
      </c>
      <c r="GS36" s="1">
        <v>67</v>
      </c>
      <c r="GT36" s="1">
        <v>67</v>
      </c>
      <c r="GU36" s="1">
        <v>67</v>
      </c>
      <c r="GV36" s="13" t="s">
        <v>806</v>
      </c>
      <c r="GW36" s="13" t="s">
        <v>806</v>
      </c>
      <c r="GX36" s="13" t="s">
        <v>806</v>
      </c>
      <c r="GY36" s="13"/>
      <c r="GZ36" s="13" t="s">
        <v>806</v>
      </c>
      <c r="HA36" s="13" t="s">
        <v>806</v>
      </c>
      <c r="HB36" s="13" t="s">
        <v>806</v>
      </c>
      <c r="HC36" s="13" t="s">
        <v>806</v>
      </c>
      <c r="HD36" s="13" t="s">
        <v>806</v>
      </c>
      <c r="HE36" s="13" t="s">
        <v>806</v>
      </c>
      <c r="HF36" s="13" t="s">
        <v>806</v>
      </c>
      <c r="HI36" s="13" t="s">
        <v>806</v>
      </c>
      <c r="HJ36" s="13" t="s">
        <v>806</v>
      </c>
      <c r="HL36" s="13" t="s">
        <v>806</v>
      </c>
    </row>
    <row r="37" spans="1:220" ht="12.75" customHeight="1" x14ac:dyDescent="0.25">
      <c r="A37" s="1" t="s">
        <v>374</v>
      </c>
      <c r="B37" s="1" t="s">
        <v>742</v>
      </c>
      <c r="E37" s="1" t="s">
        <v>127</v>
      </c>
      <c r="F37" s="1">
        <v>2</v>
      </c>
      <c r="G37" s="1">
        <v>2030</v>
      </c>
      <c r="H37" s="1">
        <v>1</v>
      </c>
      <c r="I37" s="1">
        <v>0</v>
      </c>
      <c r="J37" s="1">
        <v>0</v>
      </c>
      <c r="K37" s="19"/>
      <c r="L37" s="19"/>
      <c r="M37" s="19"/>
      <c r="N37" s="19"/>
      <c r="O37" s="19"/>
      <c r="P37" s="19"/>
      <c r="Q37" s="19">
        <v>290</v>
      </c>
      <c r="R37" s="19">
        <v>173.92500000000001</v>
      </c>
      <c r="S37" s="19">
        <v>425.42500000000001</v>
      </c>
      <c r="T37" s="19"/>
      <c r="U37" s="19"/>
      <c r="V37" s="19"/>
      <c r="W37" s="19">
        <v>290</v>
      </c>
      <c r="X37" s="19">
        <v>135.27500000000001</v>
      </c>
      <c r="Y37" s="19">
        <v>502.77499999999998</v>
      </c>
      <c r="Z37" s="19">
        <v>290</v>
      </c>
      <c r="AA37" s="19">
        <v>173.92500000000001</v>
      </c>
      <c r="AB37" s="19">
        <v>425.42500000000001</v>
      </c>
      <c r="AC37" s="19"/>
      <c r="AD37" s="19"/>
      <c r="AE37" s="19"/>
      <c r="AF37" s="19">
        <v>290</v>
      </c>
      <c r="AG37" s="19">
        <v>135.27500000000001</v>
      </c>
      <c r="AH37" s="19">
        <v>502.77499999999998</v>
      </c>
      <c r="AI37" s="19">
        <v>290</v>
      </c>
      <c r="AJ37" s="19">
        <v>173.92500000000001</v>
      </c>
      <c r="AK37" s="19">
        <v>425.42500000000001</v>
      </c>
      <c r="AL37" s="19">
        <v>290</v>
      </c>
      <c r="AM37" s="19">
        <v>135.27500000000001</v>
      </c>
      <c r="AN37" s="19">
        <v>502.77499999999998</v>
      </c>
      <c r="AO37" s="19">
        <v>290</v>
      </c>
      <c r="AP37" s="19">
        <v>173.92500000000001</v>
      </c>
      <c r="AQ37" s="19">
        <v>425.42500000000001</v>
      </c>
      <c r="AR37" s="19"/>
      <c r="AS37" s="19"/>
      <c r="AT37" s="19"/>
      <c r="AU37" s="19">
        <v>290</v>
      </c>
      <c r="AV37" s="19">
        <v>135.27500000000001</v>
      </c>
      <c r="AW37" s="19">
        <v>502.77499999999998</v>
      </c>
      <c r="AX37" s="19">
        <v>290</v>
      </c>
      <c r="AY37" s="19">
        <v>173.92500000000001</v>
      </c>
      <c r="AZ37" s="19">
        <v>425.42500000000001</v>
      </c>
      <c r="BA37" s="19"/>
      <c r="BB37" s="19"/>
      <c r="BC37" s="19"/>
      <c r="BD37" s="19">
        <v>290</v>
      </c>
      <c r="BE37" s="19">
        <v>135.27500000000001</v>
      </c>
      <c r="BF37" s="19">
        <v>502.77499999999998</v>
      </c>
      <c r="BG37" s="19">
        <v>290</v>
      </c>
      <c r="BH37" s="19">
        <v>173.92500000000001</v>
      </c>
      <c r="BI37" s="19">
        <v>425.42500000000001</v>
      </c>
      <c r="BJ37" s="19"/>
      <c r="BK37" s="19"/>
      <c r="BL37" s="19"/>
      <c r="BM37" s="19">
        <v>290</v>
      </c>
      <c r="BN37" s="19">
        <v>135.27500000000001</v>
      </c>
      <c r="BO37" s="19">
        <v>502.77499999999998</v>
      </c>
      <c r="BP37" s="19">
        <v>290</v>
      </c>
      <c r="BQ37" s="19">
        <v>173.92500000000001</v>
      </c>
      <c r="BR37" s="19">
        <v>425.42500000000001</v>
      </c>
      <c r="BS37" s="19"/>
      <c r="BT37" s="19"/>
      <c r="BU37" s="19"/>
      <c r="BV37" s="19">
        <v>290</v>
      </c>
      <c r="BW37" s="19">
        <v>135.27500000000001</v>
      </c>
      <c r="BX37" s="19">
        <v>502.77499999999998</v>
      </c>
      <c r="BY37" s="19">
        <v>290</v>
      </c>
      <c r="BZ37" s="19">
        <v>173.92500000000001</v>
      </c>
      <c r="CA37" s="19">
        <v>425.42500000000001</v>
      </c>
      <c r="CB37" s="19"/>
      <c r="CC37" s="19"/>
      <c r="CD37" s="19"/>
      <c r="CE37" s="19">
        <v>290</v>
      </c>
      <c r="CF37" s="19">
        <v>135.27500000000001</v>
      </c>
      <c r="CG37" s="19">
        <v>502.77499999999998</v>
      </c>
      <c r="CH37" s="19">
        <v>290</v>
      </c>
      <c r="CI37" s="19">
        <v>173.92500000000001</v>
      </c>
      <c r="CJ37" s="19">
        <v>425.42500000000001</v>
      </c>
      <c r="CK37" s="19"/>
      <c r="CL37" s="19"/>
      <c r="CM37" s="19"/>
      <c r="CN37" s="19">
        <v>290</v>
      </c>
      <c r="CO37" s="19">
        <v>135.27500000000001</v>
      </c>
      <c r="CP37" s="19">
        <v>502.77499999999998</v>
      </c>
      <c r="CQ37" s="19"/>
      <c r="CR37" s="19"/>
      <c r="CS37" s="19"/>
      <c r="CT37" s="19"/>
      <c r="CU37" s="11">
        <f>Tabelle58971121[[#This Row],[Mindestauslastung durch]]*Tabelle58971121[[#This Row],[installierte Leistung MW durch]]</f>
        <v>174</v>
      </c>
      <c r="CV37" s="11">
        <f>Tabelle58971121[[#This Row],[Mindestauslastung min]]*Tabelle58971121[[#This Row],[installierte Leistung MW min]]</f>
        <v>115.94999999999999</v>
      </c>
      <c r="CW37" s="11">
        <f>Tabelle58971121[[#This Row],[Mindestauslastung max]]*Tabelle58971121[[#This Row],[installierte Leistung MW max]]</f>
        <v>232.04999999999998</v>
      </c>
      <c r="CX37" s="9">
        <v>0.15</v>
      </c>
      <c r="CY37" s="9">
        <v>0.15</v>
      </c>
      <c r="CZ37" s="9">
        <v>0.15</v>
      </c>
      <c r="DA37" s="9"/>
      <c r="DB37" s="9">
        <v>0.25</v>
      </c>
      <c r="DC37" s="9">
        <v>0.22500000000000001</v>
      </c>
      <c r="DD37" s="9">
        <v>0.27500000000000002</v>
      </c>
      <c r="DE37" s="9">
        <v>0.25</v>
      </c>
      <c r="DF37" s="9">
        <v>0.22500000000000001</v>
      </c>
      <c r="DG37" s="9">
        <v>0.27500000000000002</v>
      </c>
      <c r="DH37" s="9">
        <v>0.25</v>
      </c>
      <c r="DI37" s="9">
        <v>0.22500000000000001</v>
      </c>
      <c r="DJ37" s="9">
        <v>0.27500000000000002</v>
      </c>
      <c r="DK37" s="9">
        <v>0.25</v>
      </c>
      <c r="DL37" s="9">
        <v>0.22500000000000001</v>
      </c>
      <c r="DM37" s="9">
        <v>0.27500000000000002</v>
      </c>
      <c r="DN37" s="9">
        <v>0.25</v>
      </c>
      <c r="DO37" s="9">
        <v>0.22500000000000001</v>
      </c>
      <c r="DP37" s="9">
        <v>0.27500000000000002</v>
      </c>
      <c r="DQ37" s="9">
        <v>0.25</v>
      </c>
      <c r="DR37" s="9">
        <v>0.22500000000000001</v>
      </c>
      <c r="DS37" s="9">
        <v>0.27500000000000002</v>
      </c>
      <c r="DT37" s="9">
        <v>0.25</v>
      </c>
      <c r="DU37" s="9">
        <v>0.22500000000000001</v>
      </c>
      <c r="DV37" s="9">
        <v>0.27500000000000002</v>
      </c>
      <c r="DW37" s="9">
        <v>0.25</v>
      </c>
      <c r="DX37" s="9">
        <v>0.22500000000000001</v>
      </c>
      <c r="DY37" s="9">
        <v>0.27500000000000002</v>
      </c>
      <c r="DZ37" s="9">
        <v>0.25</v>
      </c>
      <c r="EA37" s="9">
        <v>0.22500000000000001</v>
      </c>
      <c r="EB37" s="9">
        <v>0.27500000000000002</v>
      </c>
      <c r="EC37" s="9"/>
      <c r="ED37" s="9"/>
      <c r="EE37" s="9"/>
      <c r="EF37" s="46">
        <f>Tabelle58971121[[#This Row],[Durchschnittsauslastung min]]*Tabelle58971121[[#This Row],[installierte Leistung MW min]]</f>
        <v>0</v>
      </c>
      <c r="EG37" s="46">
        <f>Tabelle58971121[[#This Row],[Durchschnittsauslastung durch]]*Tabelle58971121[[#This Row],[installierte Leistung MW durch]]</f>
        <v>0</v>
      </c>
      <c r="EH37" s="46">
        <f>Tabelle58971121[[#This Row],[Durchschnittsauslastung max]]*Tabelle58971121[[#This Row],[installierte Leistung MW max]]</f>
        <v>0</v>
      </c>
      <c r="EI37" s="83">
        <f>Tabelle58971121[[#This Row],[Maximalauslastung durch]]*Tabelle58971121[[#This Row],[installierte Leistung MW min]]</f>
        <v>386.5</v>
      </c>
      <c r="EJ37" s="46">
        <f>Tabelle58971121[[#This Row],[Maximalauslastung durch]]*Tabelle58971121[[#This Row],[installierte Leistung MW durch]]</f>
        <v>580</v>
      </c>
      <c r="EK37" s="19">
        <f>Tabelle58971121[[#This Row],[Maximalauslastung max]]*Tabelle58971121[[#This Row],[installierte Leistung MW durch]]</f>
        <v>638</v>
      </c>
      <c r="EL37" s="9">
        <v>0.5</v>
      </c>
      <c r="EM37" s="9">
        <v>0.45</v>
      </c>
      <c r="EN37" s="9">
        <v>0.55000000000000004</v>
      </c>
      <c r="EO37" s="1">
        <v>1160</v>
      </c>
      <c r="EP37" s="1">
        <v>773</v>
      </c>
      <c r="EQ37" s="1">
        <v>1547</v>
      </c>
      <c r="ER37" s="19"/>
      <c r="ES37" s="19"/>
      <c r="EX37" s="1">
        <v>5</v>
      </c>
      <c r="EY37" s="1">
        <v>4.5</v>
      </c>
      <c r="EZ37" s="1">
        <v>5.5</v>
      </c>
      <c r="FD37" s="1">
        <v>5</v>
      </c>
      <c r="FE37" s="1">
        <v>4.5</v>
      </c>
      <c r="FF37" s="1">
        <v>5.5</v>
      </c>
      <c r="FG37" s="1">
        <v>24</v>
      </c>
      <c r="FJ37" s="1">
        <v>10</v>
      </c>
      <c r="FK37" s="1">
        <v>9</v>
      </c>
      <c r="FL37" s="1">
        <v>11</v>
      </c>
      <c r="FP37" s="1">
        <v>365</v>
      </c>
      <c r="FQ37" s="1">
        <v>328</v>
      </c>
      <c r="FR37" s="1">
        <v>402</v>
      </c>
      <c r="FS37" s="11"/>
      <c r="FT37" s="11"/>
      <c r="FU37" s="11"/>
      <c r="FV37" s="1">
        <v>365</v>
      </c>
      <c r="FW37" s="1">
        <v>328</v>
      </c>
      <c r="FX37" s="1">
        <v>402</v>
      </c>
      <c r="FZ37" s="19"/>
      <c r="GA37" s="19"/>
      <c r="GB37" s="19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 t="s">
        <v>1084</v>
      </c>
      <c r="GO37" s="8" t="s">
        <v>1084</v>
      </c>
      <c r="GP37" s="8" t="s">
        <v>1084</v>
      </c>
      <c r="GS37" s="1">
        <v>67</v>
      </c>
      <c r="GT37" s="1">
        <v>67</v>
      </c>
      <c r="GU37" s="1">
        <v>67</v>
      </c>
      <c r="GV37" s="13" t="s">
        <v>806</v>
      </c>
      <c r="GW37" s="13" t="s">
        <v>806</v>
      </c>
      <c r="GX37" s="13" t="s">
        <v>806</v>
      </c>
      <c r="GY37" s="13"/>
      <c r="GZ37" s="13" t="s">
        <v>806</v>
      </c>
      <c r="HA37" s="13" t="s">
        <v>806</v>
      </c>
      <c r="HB37" s="13" t="s">
        <v>806</v>
      </c>
      <c r="HC37" s="13" t="s">
        <v>806</v>
      </c>
      <c r="HD37" s="13" t="s">
        <v>806</v>
      </c>
      <c r="HE37" s="13" t="s">
        <v>806</v>
      </c>
      <c r="HF37" s="13" t="s">
        <v>806</v>
      </c>
      <c r="HI37" s="13" t="s">
        <v>806</v>
      </c>
      <c r="HJ37" s="13" t="s">
        <v>806</v>
      </c>
      <c r="HL37" s="13" t="s">
        <v>806</v>
      </c>
    </row>
    <row r="38" spans="1:220" ht="12.75" customHeight="1" x14ac:dyDescent="0.25">
      <c r="A38" s="1" t="s">
        <v>374</v>
      </c>
      <c r="B38" s="1" t="s">
        <v>742</v>
      </c>
      <c r="E38" s="1" t="s">
        <v>127</v>
      </c>
      <c r="F38" s="1">
        <v>2</v>
      </c>
      <c r="G38" s="1">
        <v>2035</v>
      </c>
      <c r="H38" s="1">
        <v>1</v>
      </c>
      <c r="I38" s="1">
        <v>0</v>
      </c>
      <c r="J38" s="1">
        <v>0</v>
      </c>
      <c r="K38" s="19"/>
      <c r="L38" s="19"/>
      <c r="M38" s="19"/>
      <c r="N38" s="19"/>
      <c r="O38" s="19"/>
      <c r="P38" s="19"/>
      <c r="Q38" s="19">
        <v>290</v>
      </c>
      <c r="R38" s="19">
        <v>173.92500000000001</v>
      </c>
      <c r="S38" s="19">
        <v>425.42500000000001</v>
      </c>
      <c r="T38" s="19"/>
      <c r="U38" s="19"/>
      <c r="V38" s="19"/>
      <c r="W38" s="19">
        <v>290</v>
      </c>
      <c r="X38" s="19">
        <v>135.27500000000001</v>
      </c>
      <c r="Y38" s="19">
        <v>502.77499999999998</v>
      </c>
      <c r="Z38" s="19">
        <v>290</v>
      </c>
      <c r="AA38" s="19">
        <v>173.92500000000001</v>
      </c>
      <c r="AB38" s="19">
        <v>425.42500000000001</v>
      </c>
      <c r="AC38" s="19"/>
      <c r="AD38" s="19"/>
      <c r="AE38" s="19"/>
      <c r="AF38" s="19">
        <v>290</v>
      </c>
      <c r="AG38" s="19">
        <v>135.27500000000001</v>
      </c>
      <c r="AH38" s="19">
        <v>502.77499999999998</v>
      </c>
      <c r="AI38" s="19">
        <v>290</v>
      </c>
      <c r="AJ38" s="19">
        <v>173.92500000000001</v>
      </c>
      <c r="AK38" s="19">
        <v>425.42500000000001</v>
      </c>
      <c r="AL38" s="19">
        <v>290</v>
      </c>
      <c r="AM38" s="19">
        <v>135.27500000000001</v>
      </c>
      <c r="AN38" s="19">
        <v>502.77499999999998</v>
      </c>
      <c r="AO38" s="19">
        <v>290</v>
      </c>
      <c r="AP38" s="19">
        <v>173.92500000000001</v>
      </c>
      <c r="AQ38" s="19">
        <v>425.42500000000001</v>
      </c>
      <c r="AR38" s="19"/>
      <c r="AS38" s="19"/>
      <c r="AT38" s="19"/>
      <c r="AU38" s="19">
        <v>290</v>
      </c>
      <c r="AV38" s="19">
        <v>135.27500000000001</v>
      </c>
      <c r="AW38" s="19">
        <v>502.77499999999998</v>
      </c>
      <c r="AX38" s="19">
        <v>290</v>
      </c>
      <c r="AY38" s="19">
        <v>173.92500000000001</v>
      </c>
      <c r="AZ38" s="19">
        <v>425.42500000000001</v>
      </c>
      <c r="BA38" s="19"/>
      <c r="BB38" s="19"/>
      <c r="BC38" s="19"/>
      <c r="BD38" s="19">
        <v>290</v>
      </c>
      <c r="BE38" s="19">
        <v>135.27500000000001</v>
      </c>
      <c r="BF38" s="19">
        <v>502.77499999999998</v>
      </c>
      <c r="BG38" s="19">
        <v>290</v>
      </c>
      <c r="BH38" s="19">
        <v>173.92500000000001</v>
      </c>
      <c r="BI38" s="19">
        <v>425.42500000000001</v>
      </c>
      <c r="BJ38" s="19"/>
      <c r="BK38" s="19"/>
      <c r="BL38" s="19"/>
      <c r="BM38" s="19">
        <v>290</v>
      </c>
      <c r="BN38" s="19">
        <v>135.27500000000001</v>
      </c>
      <c r="BO38" s="19">
        <v>502.77499999999998</v>
      </c>
      <c r="BP38" s="19">
        <v>290</v>
      </c>
      <c r="BQ38" s="19">
        <v>173.92500000000001</v>
      </c>
      <c r="BR38" s="19">
        <v>425.42500000000001</v>
      </c>
      <c r="BS38" s="19"/>
      <c r="BT38" s="19"/>
      <c r="BU38" s="19"/>
      <c r="BV38" s="19">
        <v>290</v>
      </c>
      <c r="BW38" s="19">
        <v>135.27500000000001</v>
      </c>
      <c r="BX38" s="19">
        <v>502.77499999999998</v>
      </c>
      <c r="BY38" s="19">
        <v>290</v>
      </c>
      <c r="BZ38" s="19">
        <v>173.92500000000001</v>
      </c>
      <c r="CA38" s="19">
        <v>425.42500000000001</v>
      </c>
      <c r="CB38" s="19"/>
      <c r="CC38" s="19"/>
      <c r="CD38" s="19"/>
      <c r="CE38" s="19">
        <v>290</v>
      </c>
      <c r="CF38" s="19">
        <v>135.27500000000001</v>
      </c>
      <c r="CG38" s="19">
        <v>502.77499999999998</v>
      </c>
      <c r="CH38" s="19">
        <v>290</v>
      </c>
      <c r="CI38" s="19">
        <v>173.92500000000001</v>
      </c>
      <c r="CJ38" s="19">
        <v>425.42500000000001</v>
      </c>
      <c r="CK38" s="19"/>
      <c r="CL38" s="19"/>
      <c r="CM38" s="19"/>
      <c r="CN38" s="19">
        <v>290</v>
      </c>
      <c r="CO38" s="19">
        <v>135.27500000000001</v>
      </c>
      <c r="CP38" s="19">
        <v>502.77499999999998</v>
      </c>
      <c r="CQ38" s="19"/>
      <c r="CR38" s="19"/>
      <c r="CS38" s="19"/>
      <c r="CT38" s="19"/>
      <c r="CU38" s="11">
        <f>Tabelle58971121[[#This Row],[Mindestauslastung durch]]*Tabelle58971121[[#This Row],[installierte Leistung MW durch]]</f>
        <v>174</v>
      </c>
      <c r="CV38" s="11">
        <f>Tabelle58971121[[#This Row],[Mindestauslastung min]]*Tabelle58971121[[#This Row],[installierte Leistung MW min]]</f>
        <v>115.94999999999999</v>
      </c>
      <c r="CW38" s="11">
        <f>Tabelle58971121[[#This Row],[Mindestauslastung max]]*Tabelle58971121[[#This Row],[installierte Leistung MW max]]</f>
        <v>232.04999999999998</v>
      </c>
      <c r="CX38" s="9">
        <v>0.15</v>
      </c>
      <c r="CY38" s="9">
        <v>0.15</v>
      </c>
      <c r="CZ38" s="9">
        <v>0.15</v>
      </c>
      <c r="DA38" s="9"/>
      <c r="DB38" s="9">
        <v>0.25</v>
      </c>
      <c r="DC38" s="9">
        <v>0.22500000000000001</v>
      </c>
      <c r="DD38" s="9">
        <v>0.27500000000000002</v>
      </c>
      <c r="DE38" s="9">
        <v>0.25</v>
      </c>
      <c r="DF38" s="9">
        <v>0.22500000000000001</v>
      </c>
      <c r="DG38" s="9">
        <v>0.27500000000000002</v>
      </c>
      <c r="DH38" s="9">
        <v>0.25</v>
      </c>
      <c r="DI38" s="9">
        <v>0.22500000000000001</v>
      </c>
      <c r="DJ38" s="9">
        <v>0.27500000000000002</v>
      </c>
      <c r="DK38" s="9">
        <v>0.25</v>
      </c>
      <c r="DL38" s="9">
        <v>0.22500000000000001</v>
      </c>
      <c r="DM38" s="9">
        <v>0.27500000000000002</v>
      </c>
      <c r="DN38" s="9">
        <v>0.25</v>
      </c>
      <c r="DO38" s="9">
        <v>0.22500000000000001</v>
      </c>
      <c r="DP38" s="9">
        <v>0.27500000000000002</v>
      </c>
      <c r="DQ38" s="9">
        <v>0.25</v>
      </c>
      <c r="DR38" s="9">
        <v>0.22500000000000001</v>
      </c>
      <c r="DS38" s="9">
        <v>0.27500000000000002</v>
      </c>
      <c r="DT38" s="9">
        <v>0.25</v>
      </c>
      <c r="DU38" s="9">
        <v>0.22500000000000001</v>
      </c>
      <c r="DV38" s="9">
        <v>0.27500000000000002</v>
      </c>
      <c r="DW38" s="9">
        <v>0.25</v>
      </c>
      <c r="DX38" s="9">
        <v>0.22500000000000001</v>
      </c>
      <c r="DY38" s="9">
        <v>0.27500000000000002</v>
      </c>
      <c r="DZ38" s="9">
        <v>0.25</v>
      </c>
      <c r="EA38" s="9">
        <v>0.22500000000000001</v>
      </c>
      <c r="EB38" s="9">
        <v>0.27500000000000002</v>
      </c>
      <c r="EC38" s="9"/>
      <c r="ED38" s="9"/>
      <c r="EE38" s="9"/>
      <c r="EF38" s="46">
        <f>Tabelle58971121[[#This Row],[Durchschnittsauslastung min]]*Tabelle58971121[[#This Row],[installierte Leistung MW min]]</f>
        <v>0</v>
      </c>
      <c r="EG38" s="46">
        <f>Tabelle58971121[[#This Row],[Durchschnittsauslastung durch]]*Tabelle58971121[[#This Row],[installierte Leistung MW durch]]</f>
        <v>0</v>
      </c>
      <c r="EH38" s="46">
        <f>Tabelle58971121[[#This Row],[Durchschnittsauslastung max]]*Tabelle58971121[[#This Row],[installierte Leistung MW max]]</f>
        <v>0</v>
      </c>
      <c r="EI38" s="83">
        <f>Tabelle58971121[[#This Row],[Maximalauslastung durch]]*Tabelle58971121[[#This Row],[installierte Leistung MW min]]</f>
        <v>386.5</v>
      </c>
      <c r="EJ38" s="46">
        <f>Tabelle58971121[[#This Row],[Maximalauslastung durch]]*Tabelle58971121[[#This Row],[installierte Leistung MW durch]]</f>
        <v>580</v>
      </c>
      <c r="EK38" s="19">
        <f>Tabelle58971121[[#This Row],[Maximalauslastung max]]*Tabelle58971121[[#This Row],[installierte Leistung MW durch]]</f>
        <v>638</v>
      </c>
      <c r="EL38" s="9">
        <v>0.5</v>
      </c>
      <c r="EM38" s="9">
        <v>0.45</v>
      </c>
      <c r="EN38" s="9">
        <v>0.55000000000000004</v>
      </c>
      <c r="EO38" s="1">
        <v>1160</v>
      </c>
      <c r="EP38" s="1">
        <v>773</v>
      </c>
      <c r="EQ38" s="1">
        <v>1547</v>
      </c>
      <c r="ER38" s="19"/>
      <c r="ES38" s="19"/>
      <c r="EX38" s="1">
        <v>5</v>
      </c>
      <c r="EY38" s="1">
        <v>4.5</v>
      </c>
      <c r="EZ38" s="1">
        <v>5.5</v>
      </c>
      <c r="FD38" s="1">
        <v>5</v>
      </c>
      <c r="FE38" s="1">
        <v>4.5</v>
      </c>
      <c r="FF38" s="1">
        <v>5.5</v>
      </c>
      <c r="FG38" s="1">
        <v>24</v>
      </c>
      <c r="FJ38" s="1">
        <v>10</v>
      </c>
      <c r="FK38" s="1">
        <v>9</v>
      </c>
      <c r="FL38" s="1">
        <v>11</v>
      </c>
      <c r="FP38" s="1">
        <v>365</v>
      </c>
      <c r="FQ38" s="1">
        <v>328</v>
      </c>
      <c r="FR38" s="1">
        <v>402</v>
      </c>
      <c r="FS38" s="11"/>
      <c r="FT38" s="11"/>
      <c r="FU38" s="11"/>
      <c r="FV38" s="1">
        <v>365</v>
      </c>
      <c r="FW38" s="1">
        <v>328</v>
      </c>
      <c r="FX38" s="1">
        <v>402</v>
      </c>
      <c r="FZ38" s="19"/>
      <c r="GA38" s="19"/>
      <c r="GB38" s="19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 t="s">
        <v>1084</v>
      </c>
      <c r="GO38" s="8" t="s">
        <v>1084</v>
      </c>
      <c r="GP38" s="8" t="s">
        <v>1084</v>
      </c>
      <c r="GS38" s="1">
        <v>67</v>
      </c>
      <c r="GT38" s="1">
        <v>67</v>
      </c>
      <c r="GU38" s="1">
        <v>67</v>
      </c>
      <c r="GV38" s="13" t="s">
        <v>806</v>
      </c>
      <c r="GW38" s="13" t="s">
        <v>806</v>
      </c>
      <c r="GX38" s="13" t="s">
        <v>806</v>
      </c>
      <c r="GY38" s="13"/>
      <c r="GZ38" s="13" t="s">
        <v>806</v>
      </c>
      <c r="HA38" s="13" t="s">
        <v>806</v>
      </c>
      <c r="HB38" s="13" t="s">
        <v>806</v>
      </c>
      <c r="HC38" s="13" t="s">
        <v>806</v>
      </c>
      <c r="HD38" s="13" t="s">
        <v>806</v>
      </c>
      <c r="HE38" s="13" t="s">
        <v>806</v>
      </c>
      <c r="HF38" s="13" t="s">
        <v>806</v>
      </c>
      <c r="HI38" s="13" t="s">
        <v>806</v>
      </c>
      <c r="HJ38" s="13" t="s">
        <v>806</v>
      </c>
      <c r="HL38" s="13" t="s">
        <v>806</v>
      </c>
    </row>
    <row r="39" spans="1:220" ht="12.75" customHeight="1" x14ac:dyDescent="0.25">
      <c r="A39" s="1" t="s">
        <v>374</v>
      </c>
      <c r="B39" s="1" t="s">
        <v>742</v>
      </c>
      <c r="E39" s="1" t="s">
        <v>127</v>
      </c>
      <c r="F39" s="1">
        <v>2</v>
      </c>
      <c r="G39" s="1">
        <v>2040</v>
      </c>
      <c r="H39" s="1">
        <v>1</v>
      </c>
      <c r="I39" s="1">
        <v>0</v>
      </c>
      <c r="J39" s="1">
        <v>0</v>
      </c>
      <c r="K39" s="19"/>
      <c r="L39" s="19"/>
      <c r="M39" s="19"/>
      <c r="N39" s="19"/>
      <c r="O39" s="19"/>
      <c r="P39" s="19"/>
      <c r="Q39" s="19">
        <v>290</v>
      </c>
      <c r="R39" s="19">
        <v>173.92500000000001</v>
      </c>
      <c r="S39" s="19">
        <v>425.42500000000001</v>
      </c>
      <c r="T39" s="19"/>
      <c r="U39" s="19"/>
      <c r="V39" s="19"/>
      <c r="W39" s="19">
        <v>290</v>
      </c>
      <c r="X39" s="19">
        <v>135.27500000000001</v>
      </c>
      <c r="Y39" s="19">
        <v>502.77499999999998</v>
      </c>
      <c r="Z39" s="19">
        <v>290</v>
      </c>
      <c r="AA39" s="19">
        <v>173.92500000000001</v>
      </c>
      <c r="AB39" s="19">
        <v>425.42500000000001</v>
      </c>
      <c r="AC39" s="19"/>
      <c r="AD39" s="19"/>
      <c r="AE39" s="19"/>
      <c r="AF39" s="19">
        <v>290</v>
      </c>
      <c r="AG39" s="19">
        <v>135.27500000000001</v>
      </c>
      <c r="AH39" s="19">
        <v>502.77499999999998</v>
      </c>
      <c r="AI39" s="19">
        <v>290</v>
      </c>
      <c r="AJ39" s="19">
        <v>173.92500000000001</v>
      </c>
      <c r="AK39" s="19">
        <v>425.42500000000001</v>
      </c>
      <c r="AL39" s="19">
        <v>290</v>
      </c>
      <c r="AM39" s="19">
        <v>135.27500000000001</v>
      </c>
      <c r="AN39" s="19">
        <v>502.77499999999998</v>
      </c>
      <c r="AO39" s="19">
        <v>290</v>
      </c>
      <c r="AP39" s="19">
        <v>173.92500000000001</v>
      </c>
      <c r="AQ39" s="19">
        <v>425.42500000000001</v>
      </c>
      <c r="AR39" s="19"/>
      <c r="AS39" s="19"/>
      <c r="AT39" s="19"/>
      <c r="AU39" s="19">
        <v>290</v>
      </c>
      <c r="AV39" s="19">
        <v>135.27500000000001</v>
      </c>
      <c r="AW39" s="19">
        <v>502.77499999999998</v>
      </c>
      <c r="AX39" s="19">
        <v>290</v>
      </c>
      <c r="AY39" s="19">
        <v>173.92500000000001</v>
      </c>
      <c r="AZ39" s="19">
        <v>425.42500000000001</v>
      </c>
      <c r="BA39" s="19"/>
      <c r="BB39" s="19"/>
      <c r="BC39" s="19"/>
      <c r="BD39" s="19">
        <v>290</v>
      </c>
      <c r="BE39" s="19">
        <v>135.27500000000001</v>
      </c>
      <c r="BF39" s="19">
        <v>502.77499999999998</v>
      </c>
      <c r="BG39" s="19">
        <v>290</v>
      </c>
      <c r="BH39" s="19">
        <v>173.92500000000001</v>
      </c>
      <c r="BI39" s="19">
        <v>425.42500000000001</v>
      </c>
      <c r="BJ39" s="19"/>
      <c r="BK39" s="19"/>
      <c r="BL39" s="19"/>
      <c r="BM39" s="19">
        <v>290</v>
      </c>
      <c r="BN39" s="19">
        <v>135.27500000000001</v>
      </c>
      <c r="BO39" s="19">
        <v>502.77499999999998</v>
      </c>
      <c r="BP39" s="19">
        <v>290</v>
      </c>
      <c r="BQ39" s="19">
        <v>173.92500000000001</v>
      </c>
      <c r="BR39" s="19">
        <v>425.42500000000001</v>
      </c>
      <c r="BS39" s="19"/>
      <c r="BT39" s="19"/>
      <c r="BU39" s="19"/>
      <c r="BV39" s="19">
        <v>290</v>
      </c>
      <c r="BW39" s="19">
        <v>135.27500000000001</v>
      </c>
      <c r="BX39" s="19">
        <v>502.77499999999998</v>
      </c>
      <c r="BY39" s="19">
        <v>290</v>
      </c>
      <c r="BZ39" s="19">
        <v>173.92500000000001</v>
      </c>
      <c r="CA39" s="19">
        <v>425.42500000000001</v>
      </c>
      <c r="CB39" s="19"/>
      <c r="CC39" s="19"/>
      <c r="CD39" s="19"/>
      <c r="CE39" s="19">
        <v>290</v>
      </c>
      <c r="CF39" s="19">
        <v>135.27500000000001</v>
      </c>
      <c r="CG39" s="19">
        <v>502.77499999999998</v>
      </c>
      <c r="CH39" s="19">
        <v>290</v>
      </c>
      <c r="CI39" s="19">
        <v>173.92500000000001</v>
      </c>
      <c r="CJ39" s="19">
        <v>425.42500000000001</v>
      </c>
      <c r="CK39" s="19"/>
      <c r="CL39" s="19"/>
      <c r="CM39" s="19"/>
      <c r="CN39" s="19">
        <v>290</v>
      </c>
      <c r="CO39" s="19">
        <v>135.27500000000001</v>
      </c>
      <c r="CP39" s="19">
        <v>502.77499999999998</v>
      </c>
      <c r="CQ39" s="19"/>
      <c r="CR39" s="19"/>
      <c r="CS39" s="19"/>
      <c r="CT39" s="19"/>
      <c r="CU39" s="11">
        <f>Tabelle58971121[[#This Row],[Mindestauslastung durch]]*Tabelle58971121[[#This Row],[installierte Leistung MW durch]]</f>
        <v>174</v>
      </c>
      <c r="CV39" s="11">
        <f>Tabelle58971121[[#This Row],[Mindestauslastung min]]*Tabelle58971121[[#This Row],[installierte Leistung MW min]]</f>
        <v>115.94999999999999</v>
      </c>
      <c r="CW39" s="11">
        <f>Tabelle58971121[[#This Row],[Mindestauslastung max]]*Tabelle58971121[[#This Row],[installierte Leistung MW max]]</f>
        <v>232.04999999999998</v>
      </c>
      <c r="CX39" s="9">
        <v>0.15</v>
      </c>
      <c r="CY39" s="9">
        <v>0.15</v>
      </c>
      <c r="CZ39" s="9">
        <v>0.15</v>
      </c>
      <c r="DA39" s="9"/>
      <c r="DB39" s="9">
        <v>0.25</v>
      </c>
      <c r="DC39" s="9">
        <v>0.22500000000000001</v>
      </c>
      <c r="DD39" s="9">
        <v>0.27500000000000002</v>
      </c>
      <c r="DE39" s="9">
        <v>0.25</v>
      </c>
      <c r="DF39" s="9">
        <v>0.22500000000000001</v>
      </c>
      <c r="DG39" s="9">
        <v>0.27500000000000002</v>
      </c>
      <c r="DH39" s="9">
        <v>0.25</v>
      </c>
      <c r="DI39" s="9">
        <v>0.22500000000000001</v>
      </c>
      <c r="DJ39" s="9">
        <v>0.27500000000000002</v>
      </c>
      <c r="DK39" s="9">
        <v>0.25</v>
      </c>
      <c r="DL39" s="9">
        <v>0.22500000000000001</v>
      </c>
      <c r="DM39" s="9">
        <v>0.27500000000000002</v>
      </c>
      <c r="DN39" s="9">
        <v>0.25</v>
      </c>
      <c r="DO39" s="9">
        <v>0.22500000000000001</v>
      </c>
      <c r="DP39" s="9">
        <v>0.27500000000000002</v>
      </c>
      <c r="DQ39" s="9">
        <v>0.25</v>
      </c>
      <c r="DR39" s="9">
        <v>0.22500000000000001</v>
      </c>
      <c r="DS39" s="9">
        <v>0.27500000000000002</v>
      </c>
      <c r="DT39" s="9">
        <v>0.25</v>
      </c>
      <c r="DU39" s="9">
        <v>0.22500000000000001</v>
      </c>
      <c r="DV39" s="9">
        <v>0.27500000000000002</v>
      </c>
      <c r="DW39" s="9">
        <v>0.25</v>
      </c>
      <c r="DX39" s="9">
        <v>0.22500000000000001</v>
      </c>
      <c r="DY39" s="9">
        <v>0.27500000000000002</v>
      </c>
      <c r="DZ39" s="9">
        <v>0.25</v>
      </c>
      <c r="EA39" s="9">
        <v>0.22500000000000001</v>
      </c>
      <c r="EB39" s="9">
        <v>0.27500000000000002</v>
      </c>
      <c r="EC39" s="9"/>
      <c r="ED39" s="9"/>
      <c r="EE39" s="9"/>
      <c r="EF39" s="46">
        <f>Tabelle58971121[[#This Row],[Durchschnittsauslastung min]]*Tabelle58971121[[#This Row],[installierte Leistung MW min]]</f>
        <v>0</v>
      </c>
      <c r="EG39" s="46">
        <f>Tabelle58971121[[#This Row],[Durchschnittsauslastung durch]]*Tabelle58971121[[#This Row],[installierte Leistung MW durch]]</f>
        <v>0</v>
      </c>
      <c r="EH39" s="46">
        <f>Tabelle58971121[[#This Row],[Durchschnittsauslastung max]]*Tabelle58971121[[#This Row],[installierte Leistung MW max]]</f>
        <v>0</v>
      </c>
      <c r="EI39" s="83">
        <f>Tabelle58971121[[#This Row],[Maximalauslastung durch]]*Tabelle58971121[[#This Row],[installierte Leistung MW min]]</f>
        <v>386.5</v>
      </c>
      <c r="EJ39" s="46">
        <f>Tabelle58971121[[#This Row],[Maximalauslastung durch]]*Tabelle58971121[[#This Row],[installierte Leistung MW durch]]</f>
        <v>580</v>
      </c>
      <c r="EK39" s="19">
        <f>Tabelle58971121[[#This Row],[Maximalauslastung max]]*Tabelle58971121[[#This Row],[installierte Leistung MW durch]]</f>
        <v>638</v>
      </c>
      <c r="EL39" s="9">
        <v>0.5</v>
      </c>
      <c r="EM39" s="9">
        <v>0.45</v>
      </c>
      <c r="EN39" s="9">
        <v>0.55000000000000004</v>
      </c>
      <c r="EO39" s="1">
        <v>1160</v>
      </c>
      <c r="EP39" s="1">
        <v>773</v>
      </c>
      <c r="EQ39" s="1">
        <v>1547</v>
      </c>
      <c r="ER39" s="19"/>
      <c r="ES39" s="19"/>
      <c r="EX39" s="1">
        <v>5</v>
      </c>
      <c r="EY39" s="1">
        <v>4.5</v>
      </c>
      <c r="EZ39" s="1">
        <v>5.5</v>
      </c>
      <c r="FD39" s="1">
        <v>5</v>
      </c>
      <c r="FE39" s="1">
        <v>4.5</v>
      </c>
      <c r="FF39" s="1">
        <v>5.5</v>
      </c>
      <c r="FG39" s="1">
        <v>24</v>
      </c>
      <c r="FJ39" s="1">
        <v>10</v>
      </c>
      <c r="FK39" s="1">
        <v>9</v>
      </c>
      <c r="FL39" s="1">
        <v>11</v>
      </c>
      <c r="FP39" s="1">
        <v>365</v>
      </c>
      <c r="FQ39" s="1">
        <v>328</v>
      </c>
      <c r="FR39" s="1">
        <v>402</v>
      </c>
      <c r="FS39" s="11"/>
      <c r="FT39" s="11"/>
      <c r="FU39" s="11"/>
      <c r="FV39" s="1">
        <v>365</v>
      </c>
      <c r="FW39" s="1">
        <v>328</v>
      </c>
      <c r="FX39" s="1">
        <v>402</v>
      </c>
      <c r="FZ39" s="19"/>
      <c r="GA39" s="19"/>
      <c r="GB39" s="19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 t="s">
        <v>1084</v>
      </c>
      <c r="GO39" s="8" t="s">
        <v>1084</v>
      </c>
      <c r="GP39" s="8" t="s">
        <v>1084</v>
      </c>
      <c r="GS39" s="1">
        <v>67</v>
      </c>
      <c r="GT39" s="1">
        <v>67</v>
      </c>
      <c r="GU39" s="1">
        <v>67</v>
      </c>
      <c r="GV39" s="13" t="s">
        <v>806</v>
      </c>
      <c r="GW39" s="13" t="s">
        <v>806</v>
      </c>
      <c r="GX39" s="13" t="s">
        <v>806</v>
      </c>
      <c r="GY39" s="13"/>
      <c r="GZ39" s="13" t="s">
        <v>806</v>
      </c>
      <c r="HA39" s="13" t="s">
        <v>806</v>
      </c>
      <c r="HB39" s="13" t="s">
        <v>806</v>
      </c>
      <c r="HC39" s="13" t="s">
        <v>806</v>
      </c>
      <c r="HD39" s="13" t="s">
        <v>806</v>
      </c>
      <c r="HE39" s="13" t="s">
        <v>806</v>
      </c>
      <c r="HF39" s="13" t="s">
        <v>806</v>
      </c>
      <c r="HI39" s="13" t="s">
        <v>806</v>
      </c>
      <c r="HJ39" s="13" t="s">
        <v>806</v>
      </c>
      <c r="HL39" s="13" t="s">
        <v>806</v>
      </c>
    </row>
    <row r="40" spans="1:220" ht="12.75" customHeight="1" x14ac:dyDescent="0.25">
      <c r="A40" s="1" t="s">
        <v>374</v>
      </c>
      <c r="B40" s="1" t="s">
        <v>742</v>
      </c>
      <c r="E40" s="1" t="s">
        <v>127</v>
      </c>
      <c r="F40" s="1">
        <v>2</v>
      </c>
      <c r="G40" s="1">
        <v>2045</v>
      </c>
      <c r="H40" s="1">
        <v>1</v>
      </c>
      <c r="I40" s="1">
        <v>0</v>
      </c>
      <c r="J40" s="1">
        <v>0</v>
      </c>
      <c r="K40" s="19"/>
      <c r="L40" s="19"/>
      <c r="M40" s="19"/>
      <c r="N40" s="19"/>
      <c r="O40" s="19"/>
      <c r="P40" s="19"/>
      <c r="Q40" s="19">
        <v>290</v>
      </c>
      <c r="R40" s="19">
        <v>173.92500000000001</v>
      </c>
      <c r="S40" s="19">
        <v>425.42500000000001</v>
      </c>
      <c r="T40" s="19"/>
      <c r="U40" s="19"/>
      <c r="V40" s="19"/>
      <c r="W40" s="19">
        <v>290</v>
      </c>
      <c r="X40" s="19">
        <v>135.27500000000001</v>
      </c>
      <c r="Y40" s="19">
        <v>502.77499999999998</v>
      </c>
      <c r="Z40" s="19">
        <v>290</v>
      </c>
      <c r="AA40" s="19">
        <v>173.92500000000001</v>
      </c>
      <c r="AB40" s="19">
        <v>425.42500000000001</v>
      </c>
      <c r="AC40" s="19"/>
      <c r="AD40" s="19"/>
      <c r="AE40" s="19"/>
      <c r="AF40" s="19">
        <v>290</v>
      </c>
      <c r="AG40" s="19">
        <v>135.27500000000001</v>
      </c>
      <c r="AH40" s="19">
        <v>502.77499999999998</v>
      </c>
      <c r="AI40" s="19">
        <v>290</v>
      </c>
      <c r="AJ40" s="19">
        <v>173.92500000000001</v>
      </c>
      <c r="AK40" s="19">
        <v>425.42500000000001</v>
      </c>
      <c r="AL40" s="19">
        <v>290</v>
      </c>
      <c r="AM40" s="19">
        <v>135.27500000000001</v>
      </c>
      <c r="AN40" s="19">
        <v>502.77499999999998</v>
      </c>
      <c r="AO40" s="19">
        <v>290</v>
      </c>
      <c r="AP40" s="19">
        <v>173.92500000000001</v>
      </c>
      <c r="AQ40" s="19">
        <v>425.42500000000001</v>
      </c>
      <c r="AR40" s="19"/>
      <c r="AS40" s="19"/>
      <c r="AT40" s="19"/>
      <c r="AU40" s="19">
        <v>290</v>
      </c>
      <c r="AV40" s="19">
        <v>135.27500000000001</v>
      </c>
      <c r="AW40" s="19">
        <v>502.77499999999998</v>
      </c>
      <c r="AX40" s="19">
        <v>290</v>
      </c>
      <c r="AY40" s="19">
        <v>173.92500000000001</v>
      </c>
      <c r="AZ40" s="19">
        <v>425.42500000000001</v>
      </c>
      <c r="BA40" s="19"/>
      <c r="BB40" s="19"/>
      <c r="BC40" s="19"/>
      <c r="BD40" s="19">
        <v>290</v>
      </c>
      <c r="BE40" s="19">
        <v>135.27500000000001</v>
      </c>
      <c r="BF40" s="19">
        <v>502.77499999999998</v>
      </c>
      <c r="BG40" s="19">
        <v>290</v>
      </c>
      <c r="BH40" s="19">
        <v>173.92500000000001</v>
      </c>
      <c r="BI40" s="19">
        <v>425.42500000000001</v>
      </c>
      <c r="BJ40" s="19"/>
      <c r="BK40" s="19"/>
      <c r="BL40" s="19"/>
      <c r="BM40" s="19">
        <v>290</v>
      </c>
      <c r="BN40" s="19">
        <v>135.27500000000001</v>
      </c>
      <c r="BO40" s="19">
        <v>502.77499999999998</v>
      </c>
      <c r="BP40" s="19">
        <v>290</v>
      </c>
      <c r="BQ40" s="19">
        <v>173.92500000000001</v>
      </c>
      <c r="BR40" s="19">
        <v>425.42500000000001</v>
      </c>
      <c r="BS40" s="19"/>
      <c r="BT40" s="19"/>
      <c r="BU40" s="19"/>
      <c r="BV40" s="19">
        <v>290</v>
      </c>
      <c r="BW40" s="19">
        <v>135.27500000000001</v>
      </c>
      <c r="BX40" s="19">
        <v>502.77499999999998</v>
      </c>
      <c r="BY40" s="19">
        <v>290</v>
      </c>
      <c r="BZ40" s="19">
        <v>173.92500000000001</v>
      </c>
      <c r="CA40" s="19">
        <v>425.42500000000001</v>
      </c>
      <c r="CB40" s="19"/>
      <c r="CC40" s="19"/>
      <c r="CD40" s="19"/>
      <c r="CE40" s="19">
        <v>290</v>
      </c>
      <c r="CF40" s="19">
        <v>135.27500000000001</v>
      </c>
      <c r="CG40" s="19">
        <v>502.77499999999998</v>
      </c>
      <c r="CH40" s="19">
        <v>290</v>
      </c>
      <c r="CI40" s="19">
        <v>173.92500000000001</v>
      </c>
      <c r="CJ40" s="19">
        <v>425.42500000000001</v>
      </c>
      <c r="CK40" s="19"/>
      <c r="CL40" s="19"/>
      <c r="CM40" s="19"/>
      <c r="CN40" s="19">
        <v>290</v>
      </c>
      <c r="CO40" s="19">
        <v>135.27500000000001</v>
      </c>
      <c r="CP40" s="19">
        <v>502.77499999999998</v>
      </c>
      <c r="CQ40" s="19"/>
      <c r="CR40" s="19"/>
      <c r="CS40" s="19"/>
      <c r="CT40" s="19"/>
      <c r="CU40" s="11">
        <f>Tabelle58971121[[#This Row],[Mindestauslastung durch]]*Tabelle58971121[[#This Row],[installierte Leistung MW durch]]</f>
        <v>174</v>
      </c>
      <c r="CV40" s="11">
        <f>Tabelle58971121[[#This Row],[Mindestauslastung min]]*Tabelle58971121[[#This Row],[installierte Leistung MW min]]</f>
        <v>115.94999999999999</v>
      </c>
      <c r="CW40" s="11">
        <f>Tabelle58971121[[#This Row],[Mindestauslastung max]]*Tabelle58971121[[#This Row],[installierte Leistung MW max]]</f>
        <v>232.04999999999998</v>
      </c>
      <c r="CX40" s="9">
        <v>0.15</v>
      </c>
      <c r="CY40" s="9">
        <v>0.15</v>
      </c>
      <c r="CZ40" s="9">
        <v>0.15</v>
      </c>
      <c r="DA40" s="9"/>
      <c r="DB40" s="9">
        <v>0.25</v>
      </c>
      <c r="DC40" s="9">
        <v>0.22500000000000001</v>
      </c>
      <c r="DD40" s="9">
        <v>0.27500000000000002</v>
      </c>
      <c r="DE40" s="9">
        <v>0.25</v>
      </c>
      <c r="DF40" s="9">
        <v>0.22500000000000001</v>
      </c>
      <c r="DG40" s="9">
        <v>0.27500000000000002</v>
      </c>
      <c r="DH40" s="9">
        <v>0.25</v>
      </c>
      <c r="DI40" s="9">
        <v>0.22500000000000001</v>
      </c>
      <c r="DJ40" s="9">
        <v>0.27500000000000002</v>
      </c>
      <c r="DK40" s="9">
        <v>0.25</v>
      </c>
      <c r="DL40" s="9">
        <v>0.22500000000000001</v>
      </c>
      <c r="DM40" s="9">
        <v>0.27500000000000002</v>
      </c>
      <c r="DN40" s="9">
        <v>0.25</v>
      </c>
      <c r="DO40" s="9">
        <v>0.22500000000000001</v>
      </c>
      <c r="DP40" s="9">
        <v>0.27500000000000002</v>
      </c>
      <c r="DQ40" s="9">
        <v>0.25</v>
      </c>
      <c r="DR40" s="9">
        <v>0.22500000000000001</v>
      </c>
      <c r="DS40" s="9">
        <v>0.27500000000000002</v>
      </c>
      <c r="DT40" s="9">
        <v>0.25</v>
      </c>
      <c r="DU40" s="9">
        <v>0.22500000000000001</v>
      </c>
      <c r="DV40" s="9">
        <v>0.27500000000000002</v>
      </c>
      <c r="DW40" s="9">
        <v>0.25</v>
      </c>
      <c r="DX40" s="9">
        <v>0.22500000000000001</v>
      </c>
      <c r="DY40" s="9">
        <v>0.27500000000000002</v>
      </c>
      <c r="DZ40" s="9">
        <v>0.25</v>
      </c>
      <c r="EA40" s="9">
        <v>0.22500000000000001</v>
      </c>
      <c r="EB40" s="9">
        <v>0.27500000000000002</v>
      </c>
      <c r="EC40" s="9"/>
      <c r="ED40" s="9"/>
      <c r="EE40" s="9"/>
      <c r="EF40" s="46">
        <f>Tabelle58971121[[#This Row],[Durchschnittsauslastung min]]*Tabelle58971121[[#This Row],[installierte Leistung MW min]]</f>
        <v>0</v>
      </c>
      <c r="EG40" s="46">
        <f>Tabelle58971121[[#This Row],[Durchschnittsauslastung durch]]*Tabelle58971121[[#This Row],[installierte Leistung MW durch]]</f>
        <v>0</v>
      </c>
      <c r="EH40" s="46">
        <f>Tabelle58971121[[#This Row],[Durchschnittsauslastung max]]*Tabelle58971121[[#This Row],[installierte Leistung MW max]]</f>
        <v>0</v>
      </c>
      <c r="EI40" s="83">
        <f>Tabelle58971121[[#This Row],[Maximalauslastung durch]]*Tabelle58971121[[#This Row],[installierte Leistung MW min]]</f>
        <v>386.5</v>
      </c>
      <c r="EJ40" s="46">
        <f>Tabelle58971121[[#This Row],[Maximalauslastung durch]]*Tabelle58971121[[#This Row],[installierte Leistung MW durch]]</f>
        <v>580</v>
      </c>
      <c r="EK40" s="19">
        <f>Tabelle58971121[[#This Row],[Maximalauslastung max]]*Tabelle58971121[[#This Row],[installierte Leistung MW durch]]</f>
        <v>638</v>
      </c>
      <c r="EL40" s="9">
        <v>0.5</v>
      </c>
      <c r="EM40" s="9">
        <v>0.45</v>
      </c>
      <c r="EN40" s="9">
        <v>0.55000000000000004</v>
      </c>
      <c r="EO40" s="1">
        <v>1160</v>
      </c>
      <c r="EP40" s="1">
        <v>773</v>
      </c>
      <c r="EQ40" s="1">
        <v>1547</v>
      </c>
      <c r="ER40" s="19"/>
      <c r="ES40" s="19"/>
      <c r="EX40" s="1">
        <v>5</v>
      </c>
      <c r="EY40" s="1">
        <v>4.5</v>
      </c>
      <c r="EZ40" s="1">
        <v>5.5</v>
      </c>
      <c r="FD40" s="1">
        <v>5</v>
      </c>
      <c r="FE40" s="1">
        <v>4.5</v>
      </c>
      <c r="FF40" s="1">
        <v>5.5</v>
      </c>
      <c r="FG40" s="1">
        <v>24</v>
      </c>
      <c r="FJ40" s="1">
        <v>10</v>
      </c>
      <c r="FK40" s="1">
        <v>9</v>
      </c>
      <c r="FL40" s="1">
        <v>11</v>
      </c>
      <c r="FP40" s="1">
        <v>365</v>
      </c>
      <c r="FQ40" s="1">
        <v>328</v>
      </c>
      <c r="FR40" s="1">
        <v>402</v>
      </c>
      <c r="FS40" s="11"/>
      <c r="FT40" s="11"/>
      <c r="FU40" s="11"/>
      <c r="FV40" s="1">
        <v>365</v>
      </c>
      <c r="FW40" s="1">
        <v>328</v>
      </c>
      <c r="FX40" s="1">
        <v>402</v>
      </c>
      <c r="FZ40" s="19"/>
      <c r="GA40" s="19"/>
      <c r="GB40" s="19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 t="s">
        <v>1084</v>
      </c>
      <c r="GO40" s="8" t="s">
        <v>1084</v>
      </c>
      <c r="GP40" s="8" t="s">
        <v>1084</v>
      </c>
      <c r="GS40" s="1">
        <v>67</v>
      </c>
      <c r="GT40" s="1">
        <v>67</v>
      </c>
      <c r="GU40" s="1">
        <v>67</v>
      </c>
      <c r="GV40" s="13" t="s">
        <v>806</v>
      </c>
      <c r="GW40" s="13" t="s">
        <v>806</v>
      </c>
      <c r="GX40" s="13" t="s">
        <v>806</v>
      </c>
      <c r="GY40" s="13"/>
      <c r="GZ40" s="13" t="s">
        <v>806</v>
      </c>
      <c r="HA40" s="13" t="s">
        <v>806</v>
      </c>
      <c r="HB40" s="13" t="s">
        <v>806</v>
      </c>
      <c r="HC40" s="13" t="s">
        <v>806</v>
      </c>
      <c r="HD40" s="13" t="s">
        <v>806</v>
      </c>
      <c r="HE40" s="13" t="s">
        <v>806</v>
      </c>
      <c r="HF40" s="13" t="s">
        <v>806</v>
      </c>
      <c r="HI40" s="13" t="s">
        <v>806</v>
      </c>
      <c r="HJ40" s="13" t="s">
        <v>806</v>
      </c>
      <c r="HL40" s="13" t="s">
        <v>806</v>
      </c>
    </row>
    <row r="41" spans="1:220" ht="12.75" customHeight="1" x14ac:dyDescent="0.25">
      <c r="A41" s="1" t="s">
        <v>374</v>
      </c>
      <c r="B41" s="1" t="s">
        <v>742</v>
      </c>
      <c r="E41" s="1" t="s">
        <v>127</v>
      </c>
      <c r="F41" s="1">
        <v>2</v>
      </c>
      <c r="G41" s="1">
        <v>2050</v>
      </c>
      <c r="H41" s="1">
        <v>1</v>
      </c>
      <c r="I41" s="1">
        <v>0</v>
      </c>
      <c r="J41" s="1">
        <v>0</v>
      </c>
      <c r="K41" s="19"/>
      <c r="L41" s="19"/>
      <c r="M41" s="19"/>
      <c r="N41" s="19"/>
      <c r="O41" s="19"/>
      <c r="P41" s="19"/>
      <c r="Q41" s="19">
        <v>290</v>
      </c>
      <c r="R41" s="19">
        <v>173.92500000000001</v>
      </c>
      <c r="S41" s="19">
        <v>425.42500000000001</v>
      </c>
      <c r="T41" s="19"/>
      <c r="U41" s="19"/>
      <c r="V41" s="19"/>
      <c r="W41" s="19">
        <v>290</v>
      </c>
      <c r="X41" s="19">
        <v>135.27500000000001</v>
      </c>
      <c r="Y41" s="19">
        <v>502.77499999999998</v>
      </c>
      <c r="Z41" s="19">
        <v>290</v>
      </c>
      <c r="AA41" s="19">
        <v>173.92500000000001</v>
      </c>
      <c r="AB41" s="19">
        <v>425.42500000000001</v>
      </c>
      <c r="AC41" s="19"/>
      <c r="AD41" s="19"/>
      <c r="AE41" s="19"/>
      <c r="AF41" s="19">
        <v>290</v>
      </c>
      <c r="AG41" s="19">
        <v>135.27500000000001</v>
      </c>
      <c r="AH41" s="19">
        <v>502.77499999999998</v>
      </c>
      <c r="AI41" s="19">
        <v>290</v>
      </c>
      <c r="AJ41" s="19">
        <v>173.92500000000001</v>
      </c>
      <c r="AK41" s="19">
        <v>425.42500000000001</v>
      </c>
      <c r="AL41" s="19">
        <v>290</v>
      </c>
      <c r="AM41" s="19">
        <v>135.27500000000001</v>
      </c>
      <c r="AN41" s="19">
        <v>502.77499999999998</v>
      </c>
      <c r="AO41" s="19">
        <v>290</v>
      </c>
      <c r="AP41" s="19">
        <v>173.92500000000001</v>
      </c>
      <c r="AQ41" s="19">
        <v>425.42500000000001</v>
      </c>
      <c r="AR41" s="19"/>
      <c r="AS41" s="19"/>
      <c r="AT41" s="19"/>
      <c r="AU41" s="19">
        <v>290</v>
      </c>
      <c r="AV41" s="19">
        <v>135.27500000000001</v>
      </c>
      <c r="AW41" s="19">
        <v>502.77499999999998</v>
      </c>
      <c r="AX41" s="19">
        <v>290</v>
      </c>
      <c r="AY41" s="19">
        <v>173.92500000000001</v>
      </c>
      <c r="AZ41" s="19">
        <v>425.42500000000001</v>
      </c>
      <c r="BA41" s="19"/>
      <c r="BB41" s="19"/>
      <c r="BC41" s="19"/>
      <c r="BD41" s="19">
        <v>290</v>
      </c>
      <c r="BE41" s="19">
        <v>135.27500000000001</v>
      </c>
      <c r="BF41" s="19">
        <v>502.77499999999998</v>
      </c>
      <c r="BG41" s="19">
        <v>290</v>
      </c>
      <c r="BH41" s="19">
        <v>173.92500000000001</v>
      </c>
      <c r="BI41" s="19">
        <v>425.42500000000001</v>
      </c>
      <c r="BJ41" s="19"/>
      <c r="BK41" s="19"/>
      <c r="BL41" s="19"/>
      <c r="BM41" s="19">
        <v>290</v>
      </c>
      <c r="BN41" s="19">
        <v>135.27500000000001</v>
      </c>
      <c r="BO41" s="19">
        <v>502.77499999999998</v>
      </c>
      <c r="BP41" s="19">
        <v>290</v>
      </c>
      <c r="BQ41" s="19">
        <v>173.92500000000001</v>
      </c>
      <c r="BR41" s="19">
        <v>425.42500000000001</v>
      </c>
      <c r="BS41" s="19"/>
      <c r="BT41" s="19"/>
      <c r="BU41" s="19"/>
      <c r="BV41" s="19">
        <v>290</v>
      </c>
      <c r="BW41" s="19">
        <v>135.27500000000001</v>
      </c>
      <c r="BX41" s="19">
        <v>502.77499999999998</v>
      </c>
      <c r="BY41" s="19">
        <v>290</v>
      </c>
      <c r="BZ41" s="19">
        <v>173.92500000000001</v>
      </c>
      <c r="CA41" s="19">
        <v>425.42500000000001</v>
      </c>
      <c r="CB41" s="19"/>
      <c r="CC41" s="19"/>
      <c r="CD41" s="19"/>
      <c r="CE41" s="19">
        <v>290</v>
      </c>
      <c r="CF41" s="19">
        <v>135.27500000000001</v>
      </c>
      <c r="CG41" s="19">
        <v>502.77499999999998</v>
      </c>
      <c r="CH41" s="19">
        <v>290</v>
      </c>
      <c r="CI41" s="19">
        <v>173.92500000000001</v>
      </c>
      <c r="CJ41" s="19">
        <v>425.42500000000001</v>
      </c>
      <c r="CK41" s="19"/>
      <c r="CL41" s="19"/>
      <c r="CM41" s="19"/>
      <c r="CN41" s="19">
        <v>290</v>
      </c>
      <c r="CO41" s="19">
        <v>135.27500000000001</v>
      </c>
      <c r="CP41" s="19">
        <v>502.77499999999998</v>
      </c>
      <c r="CQ41" s="19"/>
      <c r="CR41" s="19"/>
      <c r="CS41" s="19"/>
      <c r="CT41" s="19"/>
      <c r="CU41" s="11">
        <f>Tabelle58971121[[#This Row],[Mindestauslastung durch]]*Tabelle58971121[[#This Row],[installierte Leistung MW durch]]</f>
        <v>174</v>
      </c>
      <c r="CV41" s="11">
        <f>Tabelle58971121[[#This Row],[Mindestauslastung min]]*Tabelle58971121[[#This Row],[installierte Leistung MW min]]</f>
        <v>115.94999999999999</v>
      </c>
      <c r="CW41" s="11">
        <f>Tabelle58971121[[#This Row],[Mindestauslastung max]]*Tabelle58971121[[#This Row],[installierte Leistung MW max]]</f>
        <v>232.04999999999998</v>
      </c>
      <c r="CX41" s="9">
        <v>0.15</v>
      </c>
      <c r="CY41" s="9">
        <v>0.15</v>
      </c>
      <c r="CZ41" s="9">
        <v>0.15</v>
      </c>
      <c r="DA41" s="9"/>
      <c r="DB41" s="9">
        <v>0.25</v>
      </c>
      <c r="DC41" s="9">
        <v>0.22500000000000001</v>
      </c>
      <c r="DD41" s="9">
        <v>0.27500000000000002</v>
      </c>
      <c r="DE41" s="9">
        <v>0.25</v>
      </c>
      <c r="DF41" s="9">
        <v>0.22500000000000001</v>
      </c>
      <c r="DG41" s="9">
        <v>0.27500000000000002</v>
      </c>
      <c r="DH41" s="9">
        <v>0.25</v>
      </c>
      <c r="DI41" s="9">
        <v>0.22500000000000001</v>
      </c>
      <c r="DJ41" s="9">
        <v>0.27500000000000002</v>
      </c>
      <c r="DK41" s="9">
        <v>0.25</v>
      </c>
      <c r="DL41" s="9">
        <v>0.22500000000000001</v>
      </c>
      <c r="DM41" s="9">
        <v>0.27500000000000002</v>
      </c>
      <c r="DN41" s="9">
        <v>0.25</v>
      </c>
      <c r="DO41" s="9">
        <v>0.22500000000000001</v>
      </c>
      <c r="DP41" s="9">
        <v>0.27500000000000002</v>
      </c>
      <c r="DQ41" s="9">
        <v>0.25</v>
      </c>
      <c r="DR41" s="9">
        <v>0.22500000000000001</v>
      </c>
      <c r="DS41" s="9">
        <v>0.27500000000000002</v>
      </c>
      <c r="DT41" s="9">
        <v>0.25</v>
      </c>
      <c r="DU41" s="9">
        <v>0.22500000000000001</v>
      </c>
      <c r="DV41" s="9">
        <v>0.27500000000000002</v>
      </c>
      <c r="DW41" s="9">
        <v>0.25</v>
      </c>
      <c r="DX41" s="9">
        <v>0.22500000000000001</v>
      </c>
      <c r="DY41" s="9">
        <v>0.27500000000000002</v>
      </c>
      <c r="DZ41" s="9">
        <v>0.25</v>
      </c>
      <c r="EA41" s="9">
        <v>0.22500000000000001</v>
      </c>
      <c r="EB41" s="9">
        <v>0.27500000000000002</v>
      </c>
      <c r="EC41" s="9"/>
      <c r="ED41" s="9"/>
      <c r="EE41" s="9"/>
      <c r="EF41" s="46">
        <f>Tabelle58971121[[#This Row],[Durchschnittsauslastung min]]*Tabelle58971121[[#This Row],[installierte Leistung MW min]]</f>
        <v>0</v>
      </c>
      <c r="EG41" s="46">
        <f>Tabelle58971121[[#This Row],[Durchschnittsauslastung durch]]*Tabelle58971121[[#This Row],[installierte Leistung MW durch]]</f>
        <v>0</v>
      </c>
      <c r="EH41" s="46">
        <f>Tabelle58971121[[#This Row],[Durchschnittsauslastung max]]*Tabelle58971121[[#This Row],[installierte Leistung MW max]]</f>
        <v>0</v>
      </c>
      <c r="EI41" s="83">
        <f>Tabelle58971121[[#This Row],[Maximalauslastung durch]]*Tabelle58971121[[#This Row],[installierte Leistung MW min]]</f>
        <v>386.5</v>
      </c>
      <c r="EJ41" s="46">
        <f>Tabelle58971121[[#This Row],[Maximalauslastung durch]]*Tabelle58971121[[#This Row],[installierte Leistung MW durch]]</f>
        <v>580</v>
      </c>
      <c r="EK41" s="19">
        <f>Tabelle58971121[[#This Row],[Maximalauslastung max]]*Tabelle58971121[[#This Row],[installierte Leistung MW durch]]</f>
        <v>638</v>
      </c>
      <c r="EL41" s="9">
        <v>0.5</v>
      </c>
      <c r="EM41" s="9">
        <v>0.45</v>
      </c>
      <c r="EN41" s="9">
        <v>0.55000000000000004</v>
      </c>
      <c r="EO41" s="1">
        <v>1160</v>
      </c>
      <c r="EP41" s="1">
        <v>773</v>
      </c>
      <c r="EQ41" s="1">
        <v>1547</v>
      </c>
      <c r="ER41" s="19"/>
      <c r="ES41" s="19"/>
      <c r="EX41" s="1">
        <v>5</v>
      </c>
      <c r="EY41" s="1">
        <v>4.5</v>
      </c>
      <c r="EZ41" s="1">
        <v>5.5</v>
      </c>
      <c r="FD41" s="1">
        <v>5</v>
      </c>
      <c r="FE41" s="1">
        <v>4.5</v>
      </c>
      <c r="FF41" s="1">
        <v>5.5</v>
      </c>
      <c r="FG41" s="1">
        <v>24</v>
      </c>
      <c r="FJ41" s="1">
        <v>10</v>
      </c>
      <c r="FK41" s="1">
        <v>9</v>
      </c>
      <c r="FL41" s="1">
        <v>11</v>
      </c>
      <c r="FP41" s="1">
        <v>365</v>
      </c>
      <c r="FQ41" s="1">
        <v>328</v>
      </c>
      <c r="FR41" s="1">
        <v>402</v>
      </c>
      <c r="FS41" s="11"/>
      <c r="FT41" s="11"/>
      <c r="FU41" s="11"/>
      <c r="FV41" s="1">
        <v>365</v>
      </c>
      <c r="FW41" s="1">
        <v>328</v>
      </c>
      <c r="FX41" s="1">
        <v>402</v>
      </c>
      <c r="FZ41" s="19"/>
      <c r="GA41" s="19"/>
      <c r="GB41" s="19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 t="s">
        <v>1084</v>
      </c>
      <c r="GO41" s="8" t="s">
        <v>1084</v>
      </c>
      <c r="GP41" s="8" t="s">
        <v>1084</v>
      </c>
      <c r="GS41" s="1">
        <v>67</v>
      </c>
      <c r="GT41" s="1">
        <v>67</v>
      </c>
      <c r="GU41" s="1">
        <v>67</v>
      </c>
      <c r="GV41" s="13" t="s">
        <v>806</v>
      </c>
      <c r="GW41" s="13" t="s">
        <v>806</v>
      </c>
      <c r="GX41" s="13" t="s">
        <v>806</v>
      </c>
      <c r="GY41" s="13"/>
      <c r="GZ41" s="13" t="s">
        <v>806</v>
      </c>
      <c r="HA41" s="13" t="s">
        <v>806</v>
      </c>
      <c r="HB41" s="13" t="s">
        <v>806</v>
      </c>
      <c r="HC41" s="13" t="s">
        <v>806</v>
      </c>
      <c r="HD41" s="13" t="s">
        <v>806</v>
      </c>
      <c r="HE41" s="13" t="s">
        <v>806</v>
      </c>
      <c r="HF41" s="13" t="s">
        <v>806</v>
      </c>
      <c r="HI41" s="13" t="s">
        <v>806</v>
      </c>
      <c r="HJ41" s="13" t="s">
        <v>806</v>
      </c>
      <c r="HL41" s="13" t="s">
        <v>806</v>
      </c>
    </row>
    <row r="42" spans="1:220" ht="12.75" customHeight="1" x14ac:dyDescent="0.25">
      <c r="A42" s="1" t="s">
        <v>654</v>
      </c>
      <c r="B42" s="1" t="s">
        <v>654</v>
      </c>
      <c r="E42" s="1" t="s">
        <v>127</v>
      </c>
      <c r="F42" s="1">
        <v>2</v>
      </c>
      <c r="G42" s="1">
        <v>2015</v>
      </c>
      <c r="H42" s="1">
        <v>1</v>
      </c>
      <c r="I42" s="1">
        <v>0</v>
      </c>
      <c r="J42" s="1">
        <v>0</v>
      </c>
      <c r="K42" s="19"/>
      <c r="L42" s="19"/>
      <c r="M42" s="19"/>
      <c r="N42" s="19"/>
      <c r="O42" s="19"/>
      <c r="P42" s="19"/>
      <c r="Q42" s="19">
        <v>32.299999999999997</v>
      </c>
      <c r="R42" s="19">
        <v>21.6</v>
      </c>
      <c r="S42" s="19">
        <v>44.1</v>
      </c>
      <c r="T42" s="19"/>
      <c r="U42" s="19"/>
      <c r="V42" s="19"/>
      <c r="W42" s="19">
        <v>5.7</v>
      </c>
      <c r="X42" s="19">
        <v>2.7</v>
      </c>
      <c r="Y42" s="19">
        <v>9.8000000000000007</v>
      </c>
      <c r="Z42" s="19">
        <v>24.32</v>
      </c>
      <c r="AA42" s="19">
        <v>15.93</v>
      </c>
      <c r="AB42" s="19">
        <v>33.81</v>
      </c>
      <c r="AC42" s="19"/>
      <c r="AD42" s="19"/>
      <c r="AE42" s="19"/>
      <c r="AF42" s="19">
        <v>13.68</v>
      </c>
      <c r="AG42" s="19">
        <v>8.3699999999999992</v>
      </c>
      <c r="AH42" s="19">
        <v>20.09</v>
      </c>
      <c r="AI42" s="19">
        <v>14.44</v>
      </c>
      <c r="AJ42" s="19">
        <v>8.91</v>
      </c>
      <c r="AK42" s="19">
        <v>21.07</v>
      </c>
      <c r="AL42" s="19">
        <v>23.56</v>
      </c>
      <c r="AM42" s="19">
        <v>15.39</v>
      </c>
      <c r="AN42" s="19">
        <v>32.83</v>
      </c>
      <c r="AO42" s="19">
        <v>32.299999999999997</v>
      </c>
      <c r="AP42" s="19">
        <v>21.6</v>
      </c>
      <c r="AQ42" s="19">
        <v>44.1</v>
      </c>
      <c r="AR42" s="19"/>
      <c r="AS42" s="19"/>
      <c r="AT42" s="19"/>
      <c r="AU42" s="19">
        <v>5.7</v>
      </c>
      <c r="AV42" s="19">
        <v>2.7</v>
      </c>
      <c r="AW42" s="19">
        <v>9.8000000000000007</v>
      </c>
      <c r="AX42" s="19">
        <v>24.32</v>
      </c>
      <c r="AY42" s="19">
        <v>15.93</v>
      </c>
      <c r="AZ42" s="19">
        <v>33.81</v>
      </c>
      <c r="BA42" s="19"/>
      <c r="BB42" s="19"/>
      <c r="BC42" s="19"/>
      <c r="BD42" s="19">
        <v>13.68</v>
      </c>
      <c r="BE42" s="19">
        <v>8.3699999999999992</v>
      </c>
      <c r="BF42" s="19">
        <v>20.09</v>
      </c>
      <c r="BG42" s="19">
        <v>14.44</v>
      </c>
      <c r="BH42" s="19">
        <v>8.91</v>
      </c>
      <c r="BI42" s="19">
        <v>21.07</v>
      </c>
      <c r="BJ42" s="19"/>
      <c r="BK42" s="19"/>
      <c r="BL42" s="19"/>
      <c r="BM42" s="19">
        <v>23.56</v>
      </c>
      <c r="BN42" s="19">
        <v>15.39</v>
      </c>
      <c r="BO42" s="19">
        <v>32.83</v>
      </c>
      <c r="BP42" s="19">
        <v>32.299999999999997</v>
      </c>
      <c r="BQ42" s="19">
        <v>21.6</v>
      </c>
      <c r="BR42" s="19">
        <v>44.1</v>
      </c>
      <c r="BS42" s="19"/>
      <c r="BT42" s="19"/>
      <c r="BU42" s="19"/>
      <c r="BV42" s="19">
        <v>5.7</v>
      </c>
      <c r="BW42" s="19">
        <v>2.7</v>
      </c>
      <c r="BX42" s="19">
        <v>9.8000000000000007</v>
      </c>
      <c r="BY42" s="19">
        <v>24.32</v>
      </c>
      <c r="BZ42" s="19">
        <v>15.93</v>
      </c>
      <c r="CA42" s="19">
        <v>33.81</v>
      </c>
      <c r="CB42" s="19"/>
      <c r="CC42" s="19"/>
      <c r="CD42" s="19"/>
      <c r="CE42" s="19">
        <v>13.68</v>
      </c>
      <c r="CF42" s="19">
        <v>8.3699999999999992</v>
      </c>
      <c r="CG42" s="19">
        <v>20.09</v>
      </c>
      <c r="CH42" s="19">
        <v>14.44</v>
      </c>
      <c r="CI42" s="19">
        <v>8.91</v>
      </c>
      <c r="CJ42" s="19">
        <v>21.07</v>
      </c>
      <c r="CK42" s="19"/>
      <c r="CL42" s="19"/>
      <c r="CM42" s="19"/>
      <c r="CN42" s="19">
        <v>23.56</v>
      </c>
      <c r="CO42" s="19">
        <v>15.39</v>
      </c>
      <c r="CP42" s="19">
        <v>32.83</v>
      </c>
      <c r="CQ42" s="19"/>
      <c r="CR42" s="19"/>
      <c r="CS42" s="19"/>
      <c r="CT42" s="19"/>
      <c r="CU42" s="11">
        <f>Tabelle58971121[[#This Row],[Mindestauslastung durch]]*Tabelle58971121[[#This Row],[installierte Leistung MW durch]]</f>
        <v>5.7</v>
      </c>
      <c r="CV42" s="11">
        <f>Tabelle58971121[[#This Row],[Mindestauslastung min]]*Tabelle58971121[[#This Row],[installierte Leistung MW min]]</f>
        <v>4.05</v>
      </c>
      <c r="CW42" s="11">
        <f>Tabelle58971121[[#This Row],[Mindestauslastung max]]*Tabelle58971121[[#This Row],[installierte Leistung MW max]]</f>
        <v>7.35</v>
      </c>
      <c r="CX42" s="9">
        <v>0.15</v>
      </c>
      <c r="CY42" s="9">
        <v>0.15</v>
      </c>
      <c r="CZ42" s="9">
        <v>0.15</v>
      </c>
      <c r="DA42" s="9"/>
      <c r="DB42" s="9">
        <v>0.85</v>
      </c>
      <c r="DC42" s="9">
        <v>0.8</v>
      </c>
      <c r="DD42" s="9">
        <v>0.9</v>
      </c>
      <c r="DE42" s="9">
        <v>0.64</v>
      </c>
      <c r="DF42" s="9">
        <v>0.59</v>
      </c>
      <c r="DG42" s="9">
        <v>0.69</v>
      </c>
      <c r="DH42" s="9">
        <v>0.38</v>
      </c>
      <c r="DI42" s="9">
        <v>0.33</v>
      </c>
      <c r="DJ42" s="9">
        <v>0.43</v>
      </c>
      <c r="DK42" s="9">
        <v>0.85</v>
      </c>
      <c r="DL42" s="9">
        <v>0.8</v>
      </c>
      <c r="DM42" s="9">
        <v>0.9</v>
      </c>
      <c r="DN42" s="9">
        <v>0.64</v>
      </c>
      <c r="DO42" s="9">
        <v>0.59</v>
      </c>
      <c r="DP42" s="9">
        <v>0.69</v>
      </c>
      <c r="DQ42" s="9">
        <v>0.38</v>
      </c>
      <c r="DR42" s="9">
        <v>0.33</v>
      </c>
      <c r="DS42" s="9">
        <v>0.43</v>
      </c>
      <c r="DT42" s="9">
        <v>0.85</v>
      </c>
      <c r="DU42" s="9">
        <v>0.8</v>
      </c>
      <c r="DV42" s="9">
        <v>0.9</v>
      </c>
      <c r="DW42" s="9">
        <v>0.64</v>
      </c>
      <c r="DX42" s="9">
        <v>0.59</v>
      </c>
      <c r="DY42" s="9">
        <v>0.69</v>
      </c>
      <c r="DZ42" s="9">
        <v>0.38</v>
      </c>
      <c r="EA42" s="9">
        <v>0.33</v>
      </c>
      <c r="EB42" s="9">
        <v>0.43</v>
      </c>
      <c r="EC42" s="9"/>
      <c r="ED42" s="9"/>
      <c r="EE42" s="9"/>
      <c r="EF42" s="46">
        <f>Tabelle58971121[[#This Row],[Durchschnittsauslastung min]]*Tabelle58971121[[#This Row],[installierte Leistung MW min]]</f>
        <v>0</v>
      </c>
      <c r="EG42" s="46">
        <f>Tabelle58971121[[#This Row],[Durchschnittsauslastung durch]]*Tabelle58971121[[#This Row],[installierte Leistung MW durch]]</f>
        <v>0</v>
      </c>
      <c r="EH42" s="46">
        <f>Tabelle58971121[[#This Row],[Durchschnittsauslastung max]]*Tabelle58971121[[#This Row],[installierte Leistung MW max]]</f>
        <v>0</v>
      </c>
      <c r="EI42" s="83">
        <f>Tabelle58971121[[#This Row],[Maximalauslastung durch]]*Tabelle58971121[[#This Row],[installierte Leistung MW min]]</f>
        <v>27</v>
      </c>
      <c r="EJ42" s="46">
        <f>Tabelle58971121[[#This Row],[Maximalauslastung durch]]*Tabelle58971121[[#This Row],[installierte Leistung MW durch]]</f>
        <v>38</v>
      </c>
      <c r="EK42" s="19">
        <f>Tabelle58971121[[#This Row],[Maximalauslastung max]]*Tabelle58971121[[#This Row],[installierte Leistung MW durch]]</f>
        <v>38</v>
      </c>
      <c r="EL42" s="9">
        <v>1</v>
      </c>
      <c r="EM42" s="9">
        <v>1</v>
      </c>
      <c r="EN42" s="9">
        <v>1</v>
      </c>
      <c r="EO42" s="1">
        <v>38</v>
      </c>
      <c r="EP42" s="1">
        <v>27</v>
      </c>
      <c r="EQ42" s="1">
        <v>49</v>
      </c>
      <c r="ER42" s="19"/>
      <c r="ES42" s="19"/>
      <c r="EX42" s="1">
        <v>4</v>
      </c>
      <c r="EY42" s="1">
        <v>3.2</v>
      </c>
      <c r="EZ42" s="1">
        <v>4.8</v>
      </c>
      <c r="FD42" s="1">
        <v>4</v>
      </c>
      <c r="FE42" s="1">
        <v>3.2</v>
      </c>
      <c r="FF42" s="1">
        <v>4.8</v>
      </c>
      <c r="FG42" s="1">
        <v>24</v>
      </c>
      <c r="FJ42" s="1">
        <v>7.2</v>
      </c>
      <c r="FK42" s="1">
        <v>4.5999999999999996</v>
      </c>
      <c r="FL42" s="1">
        <v>9.8000000000000007</v>
      </c>
      <c r="FP42" s="1">
        <v>365</v>
      </c>
      <c r="FQ42" s="1">
        <v>328</v>
      </c>
      <c r="FR42" s="1">
        <v>402</v>
      </c>
      <c r="FS42" s="11"/>
      <c r="FT42" s="11"/>
      <c r="FU42" s="11"/>
      <c r="FV42" s="1">
        <v>365</v>
      </c>
      <c r="FW42" s="1">
        <v>328</v>
      </c>
      <c r="FX42" s="1">
        <v>402</v>
      </c>
      <c r="FZ42" s="19"/>
      <c r="GA42" s="19"/>
      <c r="GB42" s="19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 t="s">
        <v>1084</v>
      </c>
      <c r="GO42" s="8" t="s">
        <v>1084</v>
      </c>
      <c r="GP42" s="8" t="s">
        <v>1084</v>
      </c>
      <c r="GS42" s="1">
        <v>67</v>
      </c>
      <c r="GT42" s="1">
        <v>67</v>
      </c>
      <c r="GU42" s="1">
        <v>67</v>
      </c>
      <c r="GV42" s="13" t="s">
        <v>806</v>
      </c>
      <c r="GW42" s="13" t="s">
        <v>806</v>
      </c>
      <c r="GX42" s="13" t="s">
        <v>806</v>
      </c>
      <c r="GY42" s="13"/>
      <c r="GZ42" s="13" t="s">
        <v>806</v>
      </c>
      <c r="HA42" s="13" t="s">
        <v>806</v>
      </c>
      <c r="HB42" s="13" t="s">
        <v>806</v>
      </c>
      <c r="HC42" s="13" t="s">
        <v>806</v>
      </c>
      <c r="HD42" s="13" t="s">
        <v>806</v>
      </c>
      <c r="HE42" s="13" t="s">
        <v>806</v>
      </c>
      <c r="HF42" s="13" t="s">
        <v>806</v>
      </c>
      <c r="HI42" s="13" t="s">
        <v>806</v>
      </c>
      <c r="HJ42" s="13" t="s">
        <v>806</v>
      </c>
      <c r="HL42" s="13" t="s">
        <v>806</v>
      </c>
    </row>
    <row r="43" spans="1:220" ht="12.75" customHeight="1" x14ac:dyDescent="0.25">
      <c r="A43" s="1" t="s">
        <v>654</v>
      </c>
      <c r="B43" s="1" t="s">
        <v>654</v>
      </c>
      <c r="E43" s="1" t="s">
        <v>127</v>
      </c>
      <c r="F43" s="1">
        <v>2</v>
      </c>
      <c r="G43" s="1">
        <v>2020</v>
      </c>
      <c r="H43" s="1">
        <v>1</v>
      </c>
      <c r="I43" s="1">
        <v>0</v>
      </c>
      <c r="J43" s="1">
        <v>0</v>
      </c>
      <c r="K43" s="19"/>
      <c r="L43" s="19"/>
      <c r="M43" s="19"/>
      <c r="N43" s="19"/>
      <c r="O43" s="19"/>
      <c r="P43" s="19"/>
      <c r="Q43" s="19">
        <v>32.299999999999997</v>
      </c>
      <c r="R43" s="19">
        <v>21.6</v>
      </c>
      <c r="S43" s="19">
        <v>44.1</v>
      </c>
      <c r="T43" s="19"/>
      <c r="U43" s="19"/>
      <c r="V43" s="19"/>
      <c r="W43" s="19">
        <v>5.7</v>
      </c>
      <c r="X43" s="19">
        <v>2.7</v>
      </c>
      <c r="Y43" s="19">
        <v>9.8000000000000007</v>
      </c>
      <c r="Z43" s="19">
        <v>24.32</v>
      </c>
      <c r="AA43" s="19">
        <v>15.93</v>
      </c>
      <c r="AB43" s="19">
        <v>33.81</v>
      </c>
      <c r="AC43" s="19"/>
      <c r="AD43" s="19"/>
      <c r="AE43" s="19"/>
      <c r="AF43" s="19">
        <v>13.68</v>
      </c>
      <c r="AG43" s="19">
        <v>8.3699999999999992</v>
      </c>
      <c r="AH43" s="19">
        <v>20.09</v>
      </c>
      <c r="AI43" s="19">
        <v>14.44</v>
      </c>
      <c r="AJ43" s="19">
        <v>8.91</v>
      </c>
      <c r="AK43" s="19">
        <v>21.07</v>
      </c>
      <c r="AL43" s="19">
        <v>23.56</v>
      </c>
      <c r="AM43" s="19">
        <v>15.39</v>
      </c>
      <c r="AN43" s="19">
        <v>32.83</v>
      </c>
      <c r="AO43" s="19">
        <v>32.299999999999997</v>
      </c>
      <c r="AP43" s="19">
        <v>21.6</v>
      </c>
      <c r="AQ43" s="19">
        <v>44.1</v>
      </c>
      <c r="AR43" s="19"/>
      <c r="AS43" s="19"/>
      <c r="AT43" s="19"/>
      <c r="AU43" s="19">
        <v>5.7</v>
      </c>
      <c r="AV43" s="19">
        <v>2.7</v>
      </c>
      <c r="AW43" s="19">
        <v>9.8000000000000007</v>
      </c>
      <c r="AX43" s="19">
        <v>24.32</v>
      </c>
      <c r="AY43" s="19">
        <v>15.93</v>
      </c>
      <c r="AZ43" s="19">
        <v>33.81</v>
      </c>
      <c r="BA43" s="19"/>
      <c r="BB43" s="19"/>
      <c r="BC43" s="19"/>
      <c r="BD43" s="19">
        <v>13.68</v>
      </c>
      <c r="BE43" s="19">
        <v>8.3699999999999992</v>
      </c>
      <c r="BF43" s="19">
        <v>20.09</v>
      </c>
      <c r="BG43" s="19">
        <v>14.44</v>
      </c>
      <c r="BH43" s="19">
        <v>8.91</v>
      </c>
      <c r="BI43" s="19">
        <v>21.07</v>
      </c>
      <c r="BJ43" s="19"/>
      <c r="BK43" s="19"/>
      <c r="BL43" s="19"/>
      <c r="BM43" s="19">
        <v>23.56</v>
      </c>
      <c r="BN43" s="19">
        <v>15.39</v>
      </c>
      <c r="BO43" s="19">
        <v>32.83</v>
      </c>
      <c r="BP43" s="19">
        <v>32.299999999999997</v>
      </c>
      <c r="BQ43" s="19">
        <v>21.6</v>
      </c>
      <c r="BR43" s="19">
        <v>44.1</v>
      </c>
      <c r="BS43" s="19"/>
      <c r="BT43" s="19"/>
      <c r="BU43" s="19"/>
      <c r="BV43" s="19">
        <v>5.7</v>
      </c>
      <c r="BW43" s="19">
        <v>2.7</v>
      </c>
      <c r="BX43" s="19">
        <v>9.8000000000000007</v>
      </c>
      <c r="BY43" s="19">
        <v>24.32</v>
      </c>
      <c r="BZ43" s="19">
        <v>15.93</v>
      </c>
      <c r="CA43" s="19">
        <v>33.81</v>
      </c>
      <c r="CB43" s="19"/>
      <c r="CC43" s="19"/>
      <c r="CD43" s="19"/>
      <c r="CE43" s="19">
        <v>13.68</v>
      </c>
      <c r="CF43" s="19">
        <v>8.3699999999999992</v>
      </c>
      <c r="CG43" s="19">
        <v>20.09</v>
      </c>
      <c r="CH43" s="19">
        <v>14.44</v>
      </c>
      <c r="CI43" s="19">
        <v>8.91</v>
      </c>
      <c r="CJ43" s="19">
        <v>21.07</v>
      </c>
      <c r="CK43" s="19"/>
      <c r="CL43" s="19"/>
      <c r="CM43" s="19"/>
      <c r="CN43" s="19">
        <v>23.56</v>
      </c>
      <c r="CO43" s="19">
        <v>15.39</v>
      </c>
      <c r="CP43" s="19">
        <v>32.83</v>
      </c>
      <c r="CQ43" s="19"/>
      <c r="CR43" s="19"/>
      <c r="CS43" s="19"/>
      <c r="CT43" s="19"/>
      <c r="CU43" s="11">
        <f>Tabelle58971121[[#This Row],[Mindestauslastung durch]]*Tabelle58971121[[#This Row],[installierte Leistung MW durch]]</f>
        <v>5.7</v>
      </c>
      <c r="CV43" s="11">
        <f>Tabelle58971121[[#This Row],[Mindestauslastung min]]*Tabelle58971121[[#This Row],[installierte Leistung MW min]]</f>
        <v>4.05</v>
      </c>
      <c r="CW43" s="11">
        <f>Tabelle58971121[[#This Row],[Mindestauslastung max]]*Tabelle58971121[[#This Row],[installierte Leistung MW max]]</f>
        <v>7.35</v>
      </c>
      <c r="CX43" s="9">
        <v>0.15</v>
      </c>
      <c r="CY43" s="9">
        <v>0.15</v>
      </c>
      <c r="CZ43" s="9">
        <v>0.15</v>
      </c>
      <c r="DA43" s="9"/>
      <c r="DB43" s="9">
        <v>0.85</v>
      </c>
      <c r="DC43" s="9">
        <v>0.8</v>
      </c>
      <c r="DD43" s="9">
        <v>0.9</v>
      </c>
      <c r="DE43" s="9">
        <v>0.64</v>
      </c>
      <c r="DF43" s="9">
        <v>0.59</v>
      </c>
      <c r="DG43" s="9">
        <v>0.69</v>
      </c>
      <c r="DH43" s="9">
        <v>0.38</v>
      </c>
      <c r="DI43" s="9">
        <v>0.33</v>
      </c>
      <c r="DJ43" s="9">
        <v>0.43</v>
      </c>
      <c r="DK43" s="9">
        <v>0.85</v>
      </c>
      <c r="DL43" s="9">
        <v>0.8</v>
      </c>
      <c r="DM43" s="9">
        <v>0.9</v>
      </c>
      <c r="DN43" s="9">
        <v>0.64</v>
      </c>
      <c r="DO43" s="9">
        <v>0.59</v>
      </c>
      <c r="DP43" s="9">
        <v>0.69</v>
      </c>
      <c r="DQ43" s="9">
        <v>0.38</v>
      </c>
      <c r="DR43" s="9">
        <v>0.33</v>
      </c>
      <c r="DS43" s="9">
        <v>0.43</v>
      </c>
      <c r="DT43" s="9">
        <v>0.85</v>
      </c>
      <c r="DU43" s="9">
        <v>0.8</v>
      </c>
      <c r="DV43" s="9">
        <v>0.9</v>
      </c>
      <c r="DW43" s="9">
        <v>0.64</v>
      </c>
      <c r="DX43" s="9">
        <v>0.59</v>
      </c>
      <c r="DY43" s="9">
        <v>0.69</v>
      </c>
      <c r="DZ43" s="9">
        <v>0.38</v>
      </c>
      <c r="EA43" s="9">
        <v>0.33</v>
      </c>
      <c r="EB43" s="9">
        <v>0.43</v>
      </c>
      <c r="EC43" s="9"/>
      <c r="ED43" s="9"/>
      <c r="EE43" s="9"/>
      <c r="EF43" s="46">
        <f>Tabelle58971121[[#This Row],[Durchschnittsauslastung min]]*Tabelle58971121[[#This Row],[installierte Leistung MW min]]</f>
        <v>0</v>
      </c>
      <c r="EG43" s="46">
        <f>Tabelle58971121[[#This Row],[Durchschnittsauslastung durch]]*Tabelle58971121[[#This Row],[installierte Leistung MW durch]]</f>
        <v>0</v>
      </c>
      <c r="EH43" s="46">
        <f>Tabelle58971121[[#This Row],[Durchschnittsauslastung max]]*Tabelle58971121[[#This Row],[installierte Leistung MW max]]</f>
        <v>0</v>
      </c>
      <c r="EI43" s="83">
        <f>Tabelle58971121[[#This Row],[Maximalauslastung durch]]*Tabelle58971121[[#This Row],[installierte Leistung MW min]]</f>
        <v>27</v>
      </c>
      <c r="EJ43" s="46">
        <f>Tabelle58971121[[#This Row],[Maximalauslastung durch]]*Tabelle58971121[[#This Row],[installierte Leistung MW durch]]</f>
        <v>38</v>
      </c>
      <c r="EK43" s="19">
        <f>Tabelle58971121[[#This Row],[Maximalauslastung max]]*Tabelle58971121[[#This Row],[installierte Leistung MW durch]]</f>
        <v>38</v>
      </c>
      <c r="EL43" s="9">
        <v>1</v>
      </c>
      <c r="EM43" s="9">
        <v>1</v>
      </c>
      <c r="EN43" s="9">
        <v>1</v>
      </c>
      <c r="EO43" s="1">
        <v>38</v>
      </c>
      <c r="EP43" s="1">
        <v>27</v>
      </c>
      <c r="EQ43" s="1">
        <v>49</v>
      </c>
      <c r="ER43" s="19"/>
      <c r="ES43" s="19"/>
      <c r="EX43" s="1">
        <v>4</v>
      </c>
      <c r="EY43" s="1">
        <v>3.2</v>
      </c>
      <c r="EZ43" s="1">
        <v>4.8</v>
      </c>
      <c r="FD43" s="1">
        <v>4</v>
      </c>
      <c r="FE43" s="1">
        <v>3.2</v>
      </c>
      <c r="FF43" s="1">
        <v>4.8</v>
      </c>
      <c r="FG43" s="1">
        <v>24</v>
      </c>
      <c r="FJ43" s="1">
        <v>7.2</v>
      </c>
      <c r="FK43" s="1">
        <v>4.5999999999999996</v>
      </c>
      <c r="FL43" s="1">
        <v>9.8000000000000007</v>
      </c>
      <c r="FP43" s="1">
        <v>365</v>
      </c>
      <c r="FQ43" s="1">
        <v>328</v>
      </c>
      <c r="FR43" s="1">
        <v>402</v>
      </c>
      <c r="FS43" s="11"/>
      <c r="FT43" s="11"/>
      <c r="FU43" s="11"/>
      <c r="FV43" s="1">
        <v>365</v>
      </c>
      <c r="FW43" s="1">
        <v>328</v>
      </c>
      <c r="FX43" s="1">
        <v>402</v>
      </c>
      <c r="FZ43" s="19"/>
      <c r="GA43" s="19"/>
      <c r="GB43" s="19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 t="s">
        <v>1084</v>
      </c>
      <c r="GO43" s="8" t="s">
        <v>1084</v>
      </c>
      <c r="GP43" s="8" t="s">
        <v>1084</v>
      </c>
      <c r="GS43" s="1">
        <v>67</v>
      </c>
      <c r="GT43" s="1">
        <v>67</v>
      </c>
      <c r="GU43" s="1">
        <v>67</v>
      </c>
      <c r="GV43" s="13" t="s">
        <v>806</v>
      </c>
      <c r="GW43" s="13" t="s">
        <v>806</v>
      </c>
      <c r="GX43" s="13" t="s">
        <v>806</v>
      </c>
      <c r="GY43" s="13"/>
      <c r="GZ43" s="13" t="s">
        <v>806</v>
      </c>
      <c r="HA43" s="13" t="s">
        <v>806</v>
      </c>
      <c r="HB43" s="13" t="s">
        <v>806</v>
      </c>
      <c r="HC43" s="13" t="s">
        <v>806</v>
      </c>
      <c r="HD43" s="13" t="s">
        <v>806</v>
      </c>
      <c r="HE43" s="13" t="s">
        <v>806</v>
      </c>
      <c r="HF43" s="13" t="s">
        <v>806</v>
      </c>
      <c r="HI43" s="13" t="s">
        <v>806</v>
      </c>
      <c r="HJ43" s="13" t="s">
        <v>806</v>
      </c>
      <c r="HL43" s="13" t="s">
        <v>806</v>
      </c>
    </row>
    <row r="44" spans="1:220" ht="12.75" customHeight="1" x14ac:dyDescent="0.25">
      <c r="A44" s="1" t="s">
        <v>654</v>
      </c>
      <c r="B44" s="1" t="s">
        <v>654</v>
      </c>
      <c r="E44" s="1" t="s">
        <v>127</v>
      </c>
      <c r="F44" s="1">
        <v>2</v>
      </c>
      <c r="G44" s="1">
        <v>2025</v>
      </c>
      <c r="H44" s="1">
        <v>1</v>
      </c>
      <c r="I44" s="1">
        <v>0</v>
      </c>
      <c r="J44" s="1">
        <v>0</v>
      </c>
      <c r="K44" s="19"/>
      <c r="L44" s="19"/>
      <c r="M44" s="19"/>
      <c r="N44" s="19"/>
      <c r="O44" s="19"/>
      <c r="P44" s="19"/>
      <c r="Q44" s="19">
        <v>32.299999999999997</v>
      </c>
      <c r="R44" s="19">
        <v>21.6</v>
      </c>
      <c r="S44" s="19">
        <v>44.1</v>
      </c>
      <c r="T44" s="19"/>
      <c r="U44" s="19"/>
      <c r="V44" s="19"/>
      <c r="W44" s="19">
        <v>5.7</v>
      </c>
      <c r="X44" s="19">
        <v>2.7</v>
      </c>
      <c r="Y44" s="19">
        <v>9.8000000000000007</v>
      </c>
      <c r="Z44" s="19">
        <v>24.32</v>
      </c>
      <c r="AA44" s="19">
        <v>15.93</v>
      </c>
      <c r="AB44" s="19">
        <v>33.81</v>
      </c>
      <c r="AC44" s="19"/>
      <c r="AD44" s="19"/>
      <c r="AE44" s="19"/>
      <c r="AF44" s="19">
        <v>13.68</v>
      </c>
      <c r="AG44" s="19">
        <v>8.3699999999999992</v>
      </c>
      <c r="AH44" s="19">
        <v>20.09</v>
      </c>
      <c r="AI44" s="19">
        <v>14.44</v>
      </c>
      <c r="AJ44" s="19">
        <v>8.91</v>
      </c>
      <c r="AK44" s="19">
        <v>21.07</v>
      </c>
      <c r="AL44" s="19">
        <v>23.56</v>
      </c>
      <c r="AM44" s="19">
        <v>15.39</v>
      </c>
      <c r="AN44" s="19">
        <v>32.83</v>
      </c>
      <c r="AO44" s="19">
        <v>32.299999999999997</v>
      </c>
      <c r="AP44" s="19">
        <v>21.6</v>
      </c>
      <c r="AQ44" s="19">
        <v>44.1</v>
      </c>
      <c r="AR44" s="19"/>
      <c r="AS44" s="19"/>
      <c r="AT44" s="19"/>
      <c r="AU44" s="19">
        <v>5.7</v>
      </c>
      <c r="AV44" s="19">
        <v>2.7</v>
      </c>
      <c r="AW44" s="19">
        <v>9.8000000000000007</v>
      </c>
      <c r="AX44" s="19">
        <v>24.32</v>
      </c>
      <c r="AY44" s="19">
        <v>15.93</v>
      </c>
      <c r="AZ44" s="19">
        <v>33.81</v>
      </c>
      <c r="BA44" s="19"/>
      <c r="BB44" s="19"/>
      <c r="BC44" s="19"/>
      <c r="BD44" s="19">
        <v>13.68</v>
      </c>
      <c r="BE44" s="19">
        <v>8.3699999999999992</v>
      </c>
      <c r="BF44" s="19">
        <v>20.09</v>
      </c>
      <c r="BG44" s="19">
        <v>14.44</v>
      </c>
      <c r="BH44" s="19">
        <v>8.91</v>
      </c>
      <c r="BI44" s="19">
        <v>21.07</v>
      </c>
      <c r="BJ44" s="19"/>
      <c r="BK44" s="19"/>
      <c r="BL44" s="19"/>
      <c r="BM44" s="19">
        <v>23.56</v>
      </c>
      <c r="BN44" s="19">
        <v>15.39</v>
      </c>
      <c r="BO44" s="19">
        <v>32.83</v>
      </c>
      <c r="BP44" s="19">
        <v>32.299999999999997</v>
      </c>
      <c r="BQ44" s="19">
        <v>21.6</v>
      </c>
      <c r="BR44" s="19">
        <v>44.1</v>
      </c>
      <c r="BS44" s="19"/>
      <c r="BT44" s="19"/>
      <c r="BU44" s="19"/>
      <c r="BV44" s="19">
        <v>5.7</v>
      </c>
      <c r="BW44" s="19">
        <v>2.7</v>
      </c>
      <c r="BX44" s="19">
        <v>9.8000000000000007</v>
      </c>
      <c r="BY44" s="19">
        <v>24.32</v>
      </c>
      <c r="BZ44" s="19">
        <v>15.93</v>
      </c>
      <c r="CA44" s="19">
        <v>33.81</v>
      </c>
      <c r="CB44" s="19"/>
      <c r="CC44" s="19"/>
      <c r="CD44" s="19"/>
      <c r="CE44" s="19">
        <v>13.68</v>
      </c>
      <c r="CF44" s="19">
        <v>8.3699999999999992</v>
      </c>
      <c r="CG44" s="19">
        <v>20.09</v>
      </c>
      <c r="CH44" s="19">
        <v>14.44</v>
      </c>
      <c r="CI44" s="19">
        <v>8.91</v>
      </c>
      <c r="CJ44" s="19">
        <v>21.07</v>
      </c>
      <c r="CK44" s="19"/>
      <c r="CL44" s="19"/>
      <c r="CM44" s="19"/>
      <c r="CN44" s="19">
        <v>23.56</v>
      </c>
      <c r="CO44" s="19">
        <v>15.39</v>
      </c>
      <c r="CP44" s="19">
        <v>32.83</v>
      </c>
      <c r="CQ44" s="19"/>
      <c r="CR44" s="19"/>
      <c r="CS44" s="19"/>
      <c r="CT44" s="19"/>
      <c r="CU44" s="11">
        <f>Tabelle58971121[[#This Row],[Mindestauslastung durch]]*Tabelle58971121[[#This Row],[installierte Leistung MW durch]]</f>
        <v>5.7</v>
      </c>
      <c r="CV44" s="11">
        <f>Tabelle58971121[[#This Row],[Mindestauslastung min]]*Tabelle58971121[[#This Row],[installierte Leistung MW min]]</f>
        <v>4.05</v>
      </c>
      <c r="CW44" s="11">
        <f>Tabelle58971121[[#This Row],[Mindestauslastung max]]*Tabelle58971121[[#This Row],[installierte Leistung MW max]]</f>
        <v>7.35</v>
      </c>
      <c r="CX44" s="9">
        <v>0.15</v>
      </c>
      <c r="CY44" s="9">
        <v>0.15</v>
      </c>
      <c r="CZ44" s="9">
        <v>0.15</v>
      </c>
      <c r="DA44" s="9"/>
      <c r="DB44" s="9">
        <v>0.85</v>
      </c>
      <c r="DC44" s="9">
        <v>0.8</v>
      </c>
      <c r="DD44" s="9">
        <v>0.9</v>
      </c>
      <c r="DE44" s="9">
        <v>0.64</v>
      </c>
      <c r="DF44" s="9">
        <v>0.59</v>
      </c>
      <c r="DG44" s="9">
        <v>0.69</v>
      </c>
      <c r="DH44" s="9">
        <v>0.38</v>
      </c>
      <c r="DI44" s="9">
        <v>0.33</v>
      </c>
      <c r="DJ44" s="9">
        <v>0.43</v>
      </c>
      <c r="DK44" s="9">
        <v>0.85</v>
      </c>
      <c r="DL44" s="9">
        <v>0.8</v>
      </c>
      <c r="DM44" s="9">
        <v>0.9</v>
      </c>
      <c r="DN44" s="9">
        <v>0.64</v>
      </c>
      <c r="DO44" s="9">
        <v>0.59</v>
      </c>
      <c r="DP44" s="9">
        <v>0.69</v>
      </c>
      <c r="DQ44" s="9">
        <v>0.38</v>
      </c>
      <c r="DR44" s="9">
        <v>0.33</v>
      </c>
      <c r="DS44" s="9">
        <v>0.43</v>
      </c>
      <c r="DT44" s="9">
        <v>0.85</v>
      </c>
      <c r="DU44" s="9">
        <v>0.8</v>
      </c>
      <c r="DV44" s="9">
        <v>0.9</v>
      </c>
      <c r="DW44" s="9">
        <v>0.64</v>
      </c>
      <c r="DX44" s="9">
        <v>0.59</v>
      </c>
      <c r="DY44" s="9">
        <v>0.69</v>
      </c>
      <c r="DZ44" s="9">
        <v>0.38</v>
      </c>
      <c r="EA44" s="9">
        <v>0.33</v>
      </c>
      <c r="EB44" s="9">
        <v>0.43</v>
      </c>
      <c r="EC44" s="9"/>
      <c r="ED44" s="9"/>
      <c r="EE44" s="9"/>
      <c r="EF44" s="46">
        <f>Tabelle58971121[[#This Row],[Durchschnittsauslastung min]]*Tabelle58971121[[#This Row],[installierte Leistung MW min]]</f>
        <v>0</v>
      </c>
      <c r="EG44" s="46">
        <f>Tabelle58971121[[#This Row],[Durchschnittsauslastung durch]]*Tabelle58971121[[#This Row],[installierte Leistung MW durch]]</f>
        <v>0</v>
      </c>
      <c r="EH44" s="46">
        <f>Tabelle58971121[[#This Row],[Durchschnittsauslastung max]]*Tabelle58971121[[#This Row],[installierte Leistung MW max]]</f>
        <v>0</v>
      </c>
      <c r="EI44" s="83">
        <f>Tabelle58971121[[#This Row],[Maximalauslastung durch]]*Tabelle58971121[[#This Row],[installierte Leistung MW min]]</f>
        <v>27</v>
      </c>
      <c r="EJ44" s="46">
        <f>Tabelle58971121[[#This Row],[Maximalauslastung durch]]*Tabelle58971121[[#This Row],[installierte Leistung MW durch]]</f>
        <v>38</v>
      </c>
      <c r="EK44" s="19">
        <f>Tabelle58971121[[#This Row],[Maximalauslastung max]]*Tabelle58971121[[#This Row],[installierte Leistung MW durch]]</f>
        <v>38</v>
      </c>
      <c r="EL44" s="9">
        <v>1</v>
      </c>
      <c r="EM44" s="9">
        <v>1</v>
      </c>
      <c r="EN44" s="9">
        <v>1</v>
      </c>
      <c r="EO44" s="1">
        <v>38</v>
      </c>
      <c r="EP44" s="1">
        <v>27</v>
      </c>
      <c r="EQ44" s="1">
        <v>49</v>
      </c>
      <c r="ER44" s="19"/>
      <c r="ES44" s="19"/>
      <c r="EX44" s="1">
        <v>4</v>
      </c>
      <c r="EY44" s="1">
        <v>3.2</v>
      </c>
      <c r="EZ44" s="1">
        <v>4.8</v>
      </c>
      <c r="FD44" s="1">
        <v>4</v>
      </c>
      <c r="FE44" s="1">
        <v>3.2</v>
      </c>
      <c r="FF44" s="1">
        <v>4.8</v>
      </c>
      <c r="FG44" s="1">
        <v>24</v>
      </c>
      <c r="FJ44" s="1">
        <v>7.2</v>
      </c>
      <c r="FK44" s="1">
        <v>4.5999999999999996</v>
      </c>
      <c r="FL44" s="1">
        <v>9.8000000000000007</v>
      </c>
      <c r="FP44" s="1">
        <v>365</v>
      </c>
      <c r="FQ44" s="1">
        <v>328</v>
      </c>
      <c r="FR44" s="1">
        <v>402</v>
      </c>
      <c r="FS44" s="11"/>
      <c r="FT44" s="11"/>
      <c r="FU44" s="11"/>
      <c r="FV44" s="1">
        <v>365</v>
      </c>
      <c r="FW44" s="1">
        <v>328</v>
      </c>
      <c r="FX44" s="1">
        <v>402</v>
      </c>
      <c r="FZ44" s="19"/>
      <c r="GA44" s="19"/>
      <c r="GB44" s="19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 t="s">
        <v>1084</v>
      </c>
      <c r="GO44" s="8" t="s">
        <v>1084</v>
      </c>
      <c r="GP44" s="8" t="s">
        <v>1084</v>
      </c>
      <c r="GS44" s="1">
        <v>67</v>
      </c>
      <c r="GT44" s="1">
        <v>67</v>
      </c>
      <c r="GU44" s="1">
        <v>67</v>
      </c>
      <c r="GV44" s="13" t="s">
        <v>806</v>
      </c>
      <c r="GW44" s="13" t="s">
        <v>806</v>
      </c>
      <c r="GX44" s="13" t="s">
        <v>806</v>
      </c>
      <c r="GY44" s="13"/>
      <c r="GZ44" s="13" t="s">
        <v>806</v>
      </c>
      <c r="HA44" s="13" t="s">
        <v>806</v>
      </c>
      <c r="HB44" s="13" t="s">
        <v>806</v>
      </c>
      <c r="HC44" s="13" t="s">
        <v>806</v>
      </c>
      <c r="HD44" s="13" t="s">
        <v>806</v>
      </c>
      <c r="HE44" s="13" t="s">
        <v>806</v>
      </c>
      <c r="HF44" s="13" t="s">
        <v>806</v>
      </c>
      <c r="HI44" s="13" t="s">
        <v>806</v>
      </c>
      <c r="HJ44" s="13" t="s">
        <v>806</v>
      </c>
      <c r="HL44" s="13" t="s">
        <v>806</v>
      </c>
    </row>
    <row r="45" spans="1:220" ht="12.75" customHeight="1" x14ac:dyDescent="0.25">
      <c r="A45" s="1" t="s">
        <v>654</v>
      </c>
      <c r="B45" s="1" t="s">
        <v>654</v>
      </c>
      <c r="E45" s="1" t="s">
        <v>127</v>
      </c>
      <c r="F45" s="1">
        <v>2</v>
      </c>
      <c r="G45" s="1">
        <v>2030</v>
      </c>
      <c r="H45" s="1">
        <v>1</v>
      </c>
      <c r="I45" s="1">
        <v>0</v>
      </c>
      <c r="J45" s="1">
        <v>0</v>
      </c>
      <c r="K45" s="19"/>
      <c r="L45" s="19"/>
      <c r="M45" s="19"/>
      <c r="N45" s="19"/>
      <c r="O45" s="19"/>
      <c r="P45" s="19"/>
      <c r="Q45" s="19">
        <v>32.299999999999997</v>
      </c>
      <c r="R45" s="19">
        <v>21.6</v>
      </c>
      <c r="S45" s="19">
        <v>44.1</v>
      </c>
      <c r="T45" s="19"/>
      <c r="U45" s="19"/>
      <c r="V45" s="19"/>
      <c r="W45" s="19">
        <v>5.7</v>
      </c>
      <c r="X45" s="19">
        <v>2.7</v>
      </c>
      <c r="Y45" s="19">
        <v>9.8000000000000007</v>
      </c>
      <c r="Z45" s="19">
        <v>24.32</v>
      </c>
      <c r="AA45" s="19">
        <v>15.93</v>
      </c>
      <c r="AB45" s="19">
        <v>33.81</v>
      </c>
      <c r="AC45" s="19"/>
      <c r="AD45" s="19"/>
      <c r="AE45" s="19"/>
      <c r="AF45" s="19">
        <v>13.68</v>
      </c>
      <c r="AG45" s="19">
        <v>8.3699999999999992</v>
      </c>
      <c r="AH45" s="19">
        <v>20.09</v>
      </c>
      <c r="AI45" s="19">
        <v>14.44</v>
      </c>
      <c r="AJ45" s="19">
        <v>8.91</v>
      </c>
      <c r="AK45" s="19">
        <v>21.07</v>
      </c>
      <c r="AL45" s="19">
        <v>23.56</v>
      </c>
      <c r="AM45" s="19">
        <v>15.39</v>
      </c>
      <c r="AN45" s="19">
        <v>32.83</v>
      </c>
      <c r="AO45" s="19">
        <v>32.299999999999997</v>
      </c>
      <c r="AP45" s="19">
        <v>21.6</v>
      </c>
      <c r="AQ45" s="19">
        <v>44.1</v>
      </c>
      <c r="AR45" s="19"/>
      <c r="AS45" s="19"/>
      <c r="AT45" s="19"/>
      <c r="AU45" s="19">
        <v>5.7</v>
      </c>
      <c r="AV45" s="19">
        <v>2.7</v>
      </c>
      <c r="AW45" s="19">
        <v>9.8000000000000007</v>
      </c>
      <c r="AX45" s="19">
        <v>24.32</v>
      </c>
      <c r="AY45" s="19">
        <v>15.93</v>
      </c>
      <c r="AZ45" s="19">
        <v>33.81</v>
      </c>
      <c r="BA45" s="19"/>
      <c r="BB45" s="19"/>
      <c r="BC45" s="19"/>
      <c r="BD45" s="19">
        <v>13.68</v>
      </c>
      <c r="BE45" s="19">
        <v>8.3699999999999992</v>
      </c>
      <c r="BF45" s="19">
        <v>20.09</v>
      </c>
      <c r="BG45" s="19">
        <v>14.44</v>
      </c>
      <c r="BH45" s="19">
        <v>8.91</v>
      </c>
      <c r="BI45" s="19">
        <v>21.07</v>
      </c>
      <c r="BJ45" s="19"/>
      <c r="BK45" s="19"/>
      <c r="BL45" s="19"/>
      <c r="BM45" s="19">
        <v>23.56</v>
      </c>
      <c r="BN45" s="19">
        <v>15.39</v>
      </c>
      <c r="BO45" s="19">
        <v>32.83</v>
      </c>
      <c r="BP45" s="19">
        <v>32.299999999999997</v>
      </c>
      <c r="BQ45" s="19">
        <v>21.6</v>
      </c>
      <c r="BR45" s="19">
        <v>44.1</v>
      </c>
      <c r="BS45" s="19"/>
      <c r="BT45" s="19"/>
      <c r="BU45" s="19"/>
      <c r="BV45" s="19">
        <v>5.7</v>
      </c>
      <c r="BW45" s="19">
        <v>2.7</v>
      </c>
      <c r="BX45" s="19">
        <v>9.8000000000000007</v>
      </c>
      <c r="BY45" s="19">
        <v>24.32</v>
      </c>
      <c r="BZ45" s="19">
        <v>15.93</v>
      </c>
      <c r="CA45" s="19">
        <v>33.81</v>
      </c>
      <c r="CB45" s="19"/>
      <c r="CC45" s="19"/>
      <c r="CD45" s="19"/>
      <c r="CE45" s="19">
        <v>13.68</v>
      </c>
      <c r="CF45" s="19">
        <v>8.3699999999999992</v>
      </c>
      <c r="CG45" s="19">
        <v>20.09</v>
      </c>
      <c r="CH45" s="19">
        <v>14.44</v>
      </c>
      <c r="CI45" s="19">
        <v>8.91</v>
      </c>
      <c r="CJ45" s="19">
        <v>21.07</v>
      </c>
      <c r="CK45" s="19"/>
      <c r="CL45" s="19"/>
      <c r="CM45" s="19"/>
      <c r="CN45" s="19">
        <v>23.56</v>
      </c>
      <c r="CO45" s="19">
        <v>15.39</v>
      </c>
      <c r="CP45" s="19">
        <v>32.83</v>
      </c>
      <c r="CQ45" s="19"/>
      <c r="CR45" s="19"/>
      <c r="CS45" s="19"/>
      <c r="CT45" s="19"/>
      <c r="CU45" s="11">
        <f>Tabelle58971121[[#This Row],[Mindestauslastung durch]]*Tabelle58971121[[#This Row],[installierte Leistung MW durch]]</f>
        <v>5.7</v>
      </c>
      <c r="CV45" s="11">
        <f>Tabelle58971121[[#This Row],[Mindestauslastung min]]*Tabelle58971121[[#This Row],[installierte Leistung MW min]]</f>
        <v>4.05</v>
      </c>
      <c r="CW45" s="11">
        <f>Tabelle58971121[[#This Row],[Mindestauslastung max]]*Tabelle58971121[[#This Row],[installierte Leistung MW max]]</f>
        <v>7.35</v>
      </c>
      <c r="CX45" s="9">
        <v>0.15</v>
      </c>
      <c r="CY45" s="9">
        <v>0.15</v>
      </c>
      <c r="CZ45" s="9">
        <v>0.15</v>
      </c>
      <c r="DA45" s="9"/>
      <c r="DB45" s="9">
        <v>0.85</v>
      </c>
      <c r="DC45" s="9">
        <v>0.8</v>
      </c>
      <c r="DD45" s="9">
        <v>0.9</v>
      </c>
      <c r="DE45" s="9">
        <v>0.64</v>
      </c>
      <c r="DF45" s="9">
        <v>0.59</v>
      </c>
      <c r="DG45" s="9">
        <v>0.69</v>
      </c>
      <c r="DH45" s="9">
        <v>0.38</v>
      </c>
      <c r="DI45" s="9">
        <v>0.33</v>
      </c>
      <c r="DJ45" s="9">
        <v>0.43</v>
      </c>
      <c r="DK45" s="9">
        <v>0.85</v>
      </c>
      <c r="DL45" s="9">
        <v>0.8</v>
      </c>
      <c r="DM45" s="9">
        <v>0.9</v>
      </c>
      <c r="DN45" s="9">
        <v>0.64</v>
      </c>
      <c r="DO45" s="9">
        <v>0.59</v>
      </c>
      <c r="DP45" s="9">
        <v>0.69</v>
      </c>
      <c r="DQ45" s="9">
        <v>0.38</v>
      </c>
      <c r="DR45" s="9">
        <v>0.33</v>
      </c>
      <c r="DS45" s="9">
        <v>0.43</v>
      </c>
      <c r="DT45" s="9">
        <v>0.85</v>
      </c>
      <c r="DU45" s="9">
        <v>0.8</v>
      </c>
      <c r="DV45" s="9">
        <v>0.9</v>
      </c>
      <c r="DW45" s="9">
        <v>0.64</v>
      </c>
      <c r="DX45" s="9">
        <v>0.59</v>
      </c>
      <c r="DY45" s="9">
        <v>0.69</v>
      </c>
      <c r="DZ45" s="9">
        <v>0.38</v>
      </c>
      <c r="EA45" s="9">
        <v>0.33</v>
      </c>
      <c r="EB45" s="9">
        <v>0.43</v>
      </c>
      <c r="EC45" s="9"/>
      <c r="ED45" s="9"/>
      <c r="EE45" s="9"/>
      <c r="EF45" s="46">
        <f>Tabelle58971121[[#This Row],[Durchschnittsauslastung min]]*Tabelle58971121[[#This Row],[installierte Leistung MW min]]</f>
        <v>0</v>
      </c>
      <c r="EG45" s="46">
        <f>Tabelle58971121[[#This Row],[Durchschnittsauslastung durch]]*Tabelle58971121[[#This Row],[installierte Leistung MW durch]]</f>
        <v>0</v>
      </c>
      <c r="EH45" s="46">
        <f>Tabelle58971121[[#This Row],[Durchschnittsauslastung max]]*Tabelle58971121[[#This Row],[installierte Leistung MW max]]</f>
        <v>0</v>
      </c>
      <c r="EI45" s="83">
        <f>Tabelle58971121[[#This Row],[Maximalauslastung durch]]*Tabelle58971121[[#This Row],[installierte Leistung MW min]]</f>
        <v>27</v>
      </c>
      <c r="EJ45" s="46">
        <f>Tabelle58971121[[#This Row],[Maximalauslastung durch]]*Tabelle58971121[[#This Row],[installierte Leistung MW durch]]</f>
        <v>38</v>
      </c>
      <c r="EK45" s="19">
        <f>Tabelle58971121[[#This Row],[Maximalauslastung max]]*Tabelle58971121[[#This Row],[installierte Leistung MW durch]]</f>
        <v>38</v>
      </c>
      <c r="EL45" s="9">
        <v>1</v>
      </c>
      <c r="EM45" s="9">
        <v>1</v>
      </c>
      <c r="EN45" s="9">
        <v>1</v>
      </c>
      <c r="EO45" s="1">
        <v>38</v>
      </c>
      <c r="EP45" s="1">
        <v>27</v>
      </c>
      <c r="EQ45" s="1">
        <v>49</v>
      </c>
      <c r="ER45" s="19"/>
      <c r="ES45" s="19"/>
      <c r="EX45" s="1">
        <v>4</v>
      </c>
      <c r="EY45" s="1">
        <v>3.2</v>
      </c>
      <c r="EZ45" s="1">
        <v>4.8</v>
      </c>
      <c r="FD45" s="1">
        <v>4</v>
      </c>
      <c r="FE45" s="1">
        <v>3.2</v>
      </c>
      <c r="FF45" s="1">
        <v>4.8</v>
      </c>
      <c r="FG45" s="1">
        <v>24</v>
      </c>
      <c r="FJ45" s="1">
        <v>7.2</v>
      </c>
      <c r="FK45" s="1">
        <v>4.5999999999999996</v>
      </c>
      <c r="FL45" s="1">
        <v>9.8000000000000007</v>
      </c>
      <c r="FP45" s="1">
        <v>365</v>
      </c>
      <c r="FQ45" s="1">
        <v>328</v>
      </c>
      <c r="FR45" s="1">
        <v>402</v>
      </c>
      <c r="FS45" s="11"/>
      <c r="FT45" s="11"/>
      <c r="FU45" s="11"/>
      <c r="FV45" s="1">
        <v>365</v>
      </c>
      <c r="FW45" s="1">
        <v>328</v>
      </c>
      <c r="FX45" s="1">
        <v>402</v>
      </c>
      <c r="FZ45" s="19"/>
      <c r="GA45" s="19"/>
      <c r="GB45" s="19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 t="s">
        <v>1084</v>
      </c>
      <c r="GO45" s="8" t="s">
        <v>1084</v>
      </c>
      <c r="GP45" s="8" t="s">
        <v>1084</v>
      </c>
      <c r="GS45" s="1">
        <v>67</v>
      </c>
      <c r="GT45" s="1">
        <v>67</v>
      </c>
      <c r="GU45" s="1">
        <v>67</v>
      </c>
      <c r="GV45" s="13" t="s">
        <v>806</v>
      </c>
      <c r="GW45" s="13" t="s">
        <v>806</v>
      </c>
      <c r="GX45" s="13" t="s">
        <v>806</v>
      </c>
      <c r="GY45" s="13"/>
      <c r="GZ45" s="13" t="s">
        <v>806</v>
      </c>
      <c r="HA45" s="13" t="s">
        <v>806</v>
      </c>
      <c r="HB45" s="13" t="s">
        <v>806</v>
      </c>
      <c r="HC45" s="13" t="s">
        <v>806</v>
      </c>
      <c r="HD45" s="13" t="s">
        <v>806</v>
      </c>
      <c r="HE45" s="13" t="s">
        <v>806</v>
      </c>
      <c r="HF45" s="13" t="s">
        <v>806</v>
      </c>
      <c r="HI45" s="13" t="s">
        <v>806</v>
      </c>
      <c r="HJ45" s="13" t="s">
        <v>806</v>
      </c>
      <c r="HL45" s="13" t="s">
        <v>806</v>
      </c>
    </row>
    <row r="46" spans="1:220" ht="12.75" customHeight="1" x14ac:dyDescent="0.25">
      <c r="A46" s="1" t="s">
        <v>654</v>
      </c>
      <c r="B46" s="1" t="s">
        <v>654</v>
      </c>
      <c r="E46" s="1" t="s">
        <v>127</v>
      </c>
      <c r="F46" s="1">
        <v>2</v>
      </c>
      <c r="G46" s="1">
        <v>2035</v>
      </c>
      <c r="H46" s="1">
        <v>1</v>
      </c>
      <c r="I46" s="1">
        <v>0</v>
      </c>
      <c r="J46" s="1">
        <v>0</v>
      </c>
      <c r="K46" s="19"/>
      <c r="L46" s="19"/>
      <c r="M46" s="19"/>
      <c r="N46" s="19"/>
      <c r="O46" s="19"/>
      <c r="P46" s="19"/>
      <c r="Q46" s="19">
        <v>32.299999999999997</v>
      </c>
      <c r="R46" s="19">
        <v>21.6</v>
      </c>
      <c r="S46" s="19">
        <v>44.1</v>
      </c>
      <c r="T46" s="19"/>
      <c r="U46" s="19"/>
      <c r="V46" s="19"/>
      <c r="W46" s="19">
        <v>5.7</v>
      </c>
      <c r="X46" s="19">
        <v>2.7</v>
      </c>
      <c r="Y46" s="19">
        <v>9.8000000000000007</v>
      </c>
      <c r="Z46" s="19">
        <v>24.32</v>
      </c>
      <c r="AA46" s="19">
        <v>15.93</v>
      </c>
      <c r="AB46" s="19">
        <v>33.81</v>
      </c>
      <c r="AC46" s="19"/>
      <c r="AD46" s="19"/>
      <c r="AE46" s="19"/>
      <c r="AF46" s="19">
        <v>13.68</v>
      </c>
      <c r="AG46" s="19">
        <v>8.3699999999999992</v>
      </c>
      <c r="AH46" s="19">
        <v>20.09</v>
      </c>
      <c r="AI46" s="19">
        <v>14.44</v>
      </c>
      <c r="AJ46" s="19">
        <v>8.91</v>
      </c>
      <c r="AK46" s="19">
        <v>21.07</v>
      </c>
      <c r="AL46" s="19">
        <v>23.56</v>
      </c>
      <c r="AM46" s="19">
        <v>15.39</v>
      </c>
      <c r="AN46" s="19">
        <v>32.83</v>
      </c>
      <c r="AO46" s="19">
        <v>32.299999999999997</v>
      </c>
      <c r="AP46" s="19">
        <v>21.6</v>
      </c>
      <c r="AQ46" s="19">
        <v>44.1</v>
      </c>
      <c r="AR46" s="19"/>
      <c r="AS46" s="19"/>
      <c r="AT46" s="19"/>
      <c r="AU46" s="19">
        <v>5.7</v>
      </c>
      <c r="AV46" s="19">
        <v>2.7</v>
      </c>
      <c r="AW46" s="19">
        <v>9.8000000000000007</v>
      </c>
      <c r="AX46" s="19">
        <v>24.32</v>
      </c>
      <c r="AY46" s="19">
        <v>15.93</v>
      </c>
      <c r="AZ46" s="19">
        <v>33.81</v>
      </c>
      <c r="BA46" s="19"/>
      <c r="BB46" s="19"/>
      <c r="BC46" s="19"/>
      <c r="BD46" s="19">
        <v>13.68</v>
      </c>
      <c r="BE46" s="19">
        <v>8.3699999999999992</v>
      </c>
      <c r="BF46" s="19">
        <v>20.09</v>
      </c>
      <c r="BG46" s="19">
        <v>14.44</v>
      </c>
      <c r="BH46" s="19">
        <v>8.91</v>
      </c>
      <c r="BI46" s="19">
        <v>21.07</v>
      </c>
      <c r="BJ46" s="19"/>
      <c r="BK46" s="19"/>
      <c r="BL46" s="19"/>
      <c r="BM46" s="19">
        <v>23.56</v>
      </c>
      <c r="BN46" s="19">
        <v>15.39</v>
      </c>
      <c r="BO46" s="19">
        <v>32.83</v>
      </c>
      <c r="BP46" s="19">
        <v>32.299999999999997</v>
      </c>
      <c r="BQ46" s="19">
        <v>21.6</v>
      </c>
      <c r="BR46" s="19">
        <v>44.1</v>
      </c>
      <c r="BS46" s="19"/>
      <c r="BT46" s="19"/>
      <c r="BU46" s="19"/>
      <c r="BV46" s="19">
        <v>5.7</v>
      </c>
      <c r="BW46" s="19">
        <v>2.7</v>
      </c>
      <c r="BX46" s="19">
        <v>9.8000000000000007</v>
      </c>
      <c r="BY46" s="19">
        <v>24.32</v>
      </c>
      <c r="BZ46" s="19">
        <v>15.93</v>
      </c>
      <c r="CA46" s="19">
        <v>33.81</v>
      </c>
      <c r="CB46" s="19"/>
      <c r="CC46" s="19"/>
      <c r="CD46" s="19"/>
      <c r="CE46" s="19">
        <v>13.68</v>
      </c>
      <c r="CF46" s="19">
        <v>8.3699999999999992</v>
      </c>
      <c r="CG46" s="19">
        <v>20.09</v>
      </c>
      <c r="CH46" s="19">
        <v>14.44</v>
      </c>
      <c r="CI46" s="19">
        <v>8.91</v>
      </c>
      <c r="CJ46" s="19">
        <v>21.07</v>
      </c>
      <c r="CK46" s="19"/>
      <c r="CL46" s="19"/>
      <c r="CM46" s="19"/>
      <c r="CN46" s="19">
        <v>23.56</v>
      </c>
      <c r="CO46" s="19">
        <v>15.39</v>
      </c>
      <c r="CP46" s="19">
        <v>32.83</v>
      </c>
      <c r="CQ46" s="19"/>
      <c r="CR46" s="19"/>
      <c r="CS46" s="19"/>
      <c r="CT46" s="19"/>
      <c r="CU46" s="11">
        <f>Tabelle58971121[[#This Row],[Mindestauslastung durch]]*Tabelle58971121[[#This Row],[installierte Leistung MW durch]]</f>
        <v>5.7</v>
      </c>
      <c r="CV46" s="11">
        <f>Tabelle58971121[[#This Row],[Mindestauslastung min]]*Tabelle58971121[[#This Row],[installierte Leistung MW min]]</f>
        <v>4.05</v>
      </c>
      <c r="CW46" s="11">
        <f>Tabelle58971121[[#This Row],[Mindestauslastung max]]*Tabelle58971121[[#This Row],[installierte Leistung MW max]]</f>
        <v>7.35</v>
      </c>
      <c r="CX46" s="9">
        <v>0.15</v>
      </c>
      <c r="CY46" s="9">
        <v>0.15</v>
      </c>
      <c r="CZ46" s="9">
        <v>0.15</v>
      </c>
      <c r="DA46" s="9"/>
      <c r="DB46" s="9">
        <v>0.85</v>
      </c>
      <c r="DC46" s="9">
        <v>0.8</v>
      </c>
      <c r="DD46" s="9">
        <v>0.9</v>
      </c>
      <c r="DE46" s="9">
        <v>0.64</v>
      </c>
      <c r="DF46" s="9">
        <v>0.59</v>
      </c>
      <c r="DG46" s="9">
        <v>0.69</v>
      </c>
      <c r="DH46" s="9">
        <v>0.38</v>
      </c>
      <c r="DI46" s="9">
        <v>0.33</v>
      </c>
      <c r="DJ46" s="9">
        <v>0.43</v>
      </c>
      <c r="DK46" s="9">
        <v>0.85</v>
      </c>
      <c r="DL46" s="9">
        <v>0.8</v>
      </c>
      <c r="DM46" s="9">
        <v>0.9</v>
      </c>
      <c r="DN46" s="9">
        <v>0.64</v>
      </c>
      <c r="DO46" s="9">
        <v>0.59</v>
      </c>
      <c r="DP46" s="9">
        <v>0.69</v>
      </c>
      <c r="DQ46" s="9">
        <v>0.38</v>
      </c>
      <c r="DR46" s="9">
        <v>0.33</v>
      </c>
      <c r="DS46" s="9">
        <v>0.43</v>
      </c>
      <c r="DT46" s="9">
        <v>0.85</v>
      </c>
      <c r="DU46" s="9">
        <v>0.8</v>
      </c>
      <c r="DV46" s="9">
        <v>0.9</v>
      </c>
      <c r="DW46" s="9">
        <v>0.64</v>
      </c>
      <c r="DX46" s="9">
        <v>0.59</v>
      </c>
      <c r="DY46" s="9">
        <v>0.69</v>
      </c>
      <c r="DZ46" s="9">
        <v>0.38</v>
      </c>
      <c r="EA46" s="9">
        <v>0.33</v>
      </c>
      <c r="EB46" s="9">
        <v>0.43</v>
      </c>
      <c r="EC46" s="9"/>
      <c r="ED46" s="9"/>
      <c r="EE46" s="9"/>
      <c r="EF46" s="46">
        <f>Tabelle58971121[[#This Row],[Durchschnittsauslastung min]]*Tabelle58971121[[#This Row],[installierte Leistung MW min]]</f>
        <v>0</v>
      </c>
      <c r="EG46" s="46">
        <f>Tabelle58971121[[#This Row],[Durchschnittsauslastung durch]]*Tabelle58971121[[#This Row],[installierte Leistung MW durch]]</f>
        <v>0</v>
      </c>
      <c r="EH46" s="46">
        <f>Tabelle58971121[[#This Row],[Durchschnittsauslastung max]]*Tabelle58971121[[#This Row],[installierte Leistung MW max]]</f>
        <v>0</v>
      </c>
      <c r="EI46" s="83">
        <f>Tabelle58971121[[#This Row],[Maximalauslastung durch]]*Tabelle58971121[[#This Row],[installierte Leistung MW min]]</f>
        <v>27</v>
      </c>
      <c r="EJ46" s="46">
        <f>Tabelle58971121[[#This Row],[Maximalauslastung durch]]*Tabelle58971121[[#This Row],[installierte Leistung MW durch]]</f>
        <v>38</v>
      </c>
      <c r="EK46" s="19">
        <f>Tabelle58971121[[#This Row],[Maximalauslastung max]]*Tabelle58971121[[#This Row],[installierte Leistung MW durch]]</f>
        <v>38</v>
      </c>
      <c r="EL46" s="9">
        <v>1</v>
      </c>
      <c r="EM46" s="9">
        <v>1</v>
      </c>
      <c r="EN46" s="9">
        <v>1</v>
      </c>
      <c r="EO46" s="1">
        <v>38</v>
      </c>
      <c r="EP46" s="1">
        <v>27</v>
      </c>
      <c r="EQ46" s="1">
        <v>49</v>
      </c>
      <c r="ER46" s="19"/>
      <c r="ES46" s="19"/>
      <c r="EX46" s="1">
        <v>4</v>
      </c>
      <c r="EY46" s="1">
        <v>3.2</v>
      </c>
      <c r="EZ46" s="1">
        <v>4.8</v>
      </c>
      <c r="FD46" s="1">
        <v>4</v>
      </c>
      <c r="FE46" s="1">
        <v>3.2</v>
      </c>
      <c r="FF46" s="1">
        <v>4.8</v>
      </c>
      <c r="FG46" s="1">
        <v>24</v>
      </c>
      <c r="FJ46" s="1">
        <v>7.2</v>
      </c>
      <c r="FK46" s="1">
        <v>4.5999999999999996</v>
      </c>
      <c r="FL46" s="1">
        <v>9.8000000000000007</v>
      </c>
      <c r="FP46" s="1">
        <v>365</v>
      </c>
      <c r="FQ46" s="1">
        <v>328</v>
      </c>
      <c r="FR46" s="1">
        <v>402</v>
      </c>
      <c r="FS46" s="11"/>
      <c r="FT46" s="11"/>
      <c r="FU46" s="11"/>
      <c r="FV46" s="1">
        <v>365</v>
      </c>
      <c r="FW46" s="1">
        <v>328</v>
      </c>
      <c r="FX46" s="1">
        <v>402</v>
      </c>
      <c r="FZ46" s="19"/>
      <c r="GA46" s="19"/>
      <c r="GB46" s="19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 t="s">
        <v>1084</v>
      </c>
      <c r="GO46" s="8" t="s">
        <v>1084</v>
      </c>
      <c r="GP46" s="8" t="s">
        <v>1084</v>
      </c>
      <c r="GS46" s="1">
        <v>67</v>
      </c>
      <c r="GT46" s="1">
        <v>67</v>
      </c>
      <c r="GU46" s="1">
        <v>67</v>
      </c>
      <c r="GV46" s="13" t="s">
        <v>806</v>
      </c>
      <c r="GW46" s="13" t="s">
        <v>806</v>
      </c>
      <c r="GX46" s="13" t="s">
        <v>806</v>
      </c>
      <c r="GY46" s="13"/>
      <c r="GZ46" s="13" t="s">
        <v>806</v>
      </c>
      <c r="HA46" s="13" t="s">
        <v>806</v>
      </c>
      <c r="HB46" s="13" t="s">
        <v>806</v>
      </c>
      <c r="HC46" s="13" t="s">
        <v>806</v>
      </c>
      <c r="HD46" s="13" t="s">
        <v>806</v>
      </c>
      <c r="HE46" s="13" t="s">
        <v>806</v>
      </c>
      <c r="HF46" s="13" t="s">
        <v>806</v>
      </c>
      <c r="HI46" s="13" t="s">
        <v>806</v>
      </c>
      <c r="HJ46" s="13" t="s">
        <v>806</v>
      </c>
      <c r="HL46" s="13" t="s">
        <v>806</v>
      </c>
    </row>
    <row r="47" spans="1:220" ht="12.75" customHeight="1" x14ac:dyDescent="0.25">
      <c r="A47" s="1" t="s">
        <v>654</v>
      </c>
      <c r="B47" s="1" t="s">
        <v>654</v>
      </c>
      <c r="E47" s="1" t="s">
        <v>127</v>
      </c>
      <c r="F47" s="1">
        <v>2</v>
      </c>
      <c r="G47" s="1">
        <v>2040</v>
      </c>
      <c r="H47" s="1">
        <v>1</v>
      </c>
      <c r="I47" s="1">
        <v>0</v>
      </c>
      <c r="J47" s="1">
        <v>0</v>
      </c>
      <c r="K47" s="19"/>
      <c r="L47" s="19"/>
      <c r="M47" s="19"/>
      <c r="N47" s="19"/>
      <c r="O47" s="19"/>
      <c r="P47" s="19"/>
      <c r="Q47" s="19">
        <v>32.299999999999997</v>
      </c>
      <c r="R47" s="19">
        <v>21.6</v>
      </c>
      <c r="S47" s="19">
        <v>44.1</v>
      </c>
      <c r="T47" s="19"/>
      <c r="U47" s="19"/>
      <c r="V47" s="19"/>
      <c r="W47" s="19">
        <v>5.7</v>
      </c>
      <c r="X47" s="19">
        <v>2.7</v>
      </c>
      <c r="Y47" s="19">
        <v>9.8000000000000007</v>
      </c>
      <c r="Z47" s="19">
        <v>24.32</v>
      </c>
      <c r="AA47" s="19">
        <v>15.93</v>
      </c>
      <c r="AB47" s="19">
        <v>33.81</v>
      </c>
      <c r="AC47" s="19"/>
      <c r="AD47" s="19"/>
      <c r="AE47" s="19"/>
      <c r="AF47" s="19">
        <v>13.68</v>
      </c>
      <c r="AG47" s="19">
        <v>8.3699999999999992</v>
      </c>
      <c r="AH47" s="19">
        <v>20.09</v>
      </c>
      <c r="AI47" s="19">
        <v>14.44</v>
      </c>
      <c r="AJ47" s="19">
        <v>8.91</v>
      </c>
      <c r="AK47" s="19">
        <v>21.07</v>
      </c>
      <c r="AL47" s="19">
        <v>23.56</v>
      </c>
      <c r="AM47" s="19">
        <v>15.39</v>
      </c>
      <c r="AN47" s="19">
        <v>32.83</v>
      </c>
      <c r="AO47" s="19">
        <v>32.299999999999997</v>
      </c>
      <c r="AP47" s="19">
        <v>21.6</v>
      </c>
      <c r="AQ47" s="19">
        <v>44.1</v>
      </c>
      <c r="AR47" s="19"/>
      <c r="AS47" s="19"/>
      <c r="AT47" s="19"/>
      <c r="AU47" s="19">
        <v>5.7</v>
      </c>
      <c r="AV47" s="19">
        <v>2.7</v>
      </c>
      <c r="AW47" s="19">
        <v>9.8000000000000007</v>
      </c>
      <c r="AX47" s="19">
        <v>24.32</v>
      </c>
      <c r="AY47" s="19">
        <v>15.93</v>
      </c>
      <c r="AZ47" s="19">
        <v>33.81</v>
      </c>
      <c r="BA47" s="19"/>
      <c r="BB47" s="19"/>
      <c r="BC47" s="19"/>
      <c r="BD47" s="19">
        <v>13.68</v>
      </c>
      <c r="BE47" s="19">
        <v>8.3699999999999992</v>
      </c>
      <c r="BF47" s="19">
        <v>20.09</v>
      </c>
      <c r="BG47" s="19">
        <v>14.44</v>
      </c>
      <c r="BH47" s="19">
        <v>8.91</v>
      </c>
      <c r="BI47" s="19">
        <v>21.07</v>
      </c>
      <c r="BJ47" s="19"/>
      <c r="BK47" s="19"/>
      <c r="BL47" s="19"/>
      <c r="BM47" s="19">
        <v>23.56</v>
      </c>
      <c r="BN47" s="19">
        <v>15.39</v>
      </c>
      <c r="BO47" s="19">
        <v>32.83</v>
      </c>
      <c r="BP47" s="19">
        <v>32.299999999999997</v>
      </c>
      <c r="BQ47" s="19">
        <v>21.6</v>
      </c>
      <c r="BR47" s="19">
        <v>44.1</v>
      </c>
      <c r="BS47" s="19"/>
      <c r="BT47" s="19"/>
      <c r="BU47" s="19"/>
      <c r="BV47" s="19">
        <v>5.7</v>
      </c>
      <c r="BW47" s="19">
        <v>2.7</v>
      </c>
      <c r="BX47" s="19">
        <v>9.8000000000000007</v>
      </c>
      <c r="BY47" s="19">
        <v>24.32</v>
      </c>
      <c r="BZ47" s="19">
        <v>15.93</v>
      </c>
      <c r="CA47" s="19">
        <v>33.81</v>
      </c>
      <c r="CB47" s="19"/>
      <c r="CC47" s="19"/>
      <c r="CD47" s="19"/>
      <c r="CE47" s="19">
        <v>13.68</v>
      </c>
      <c r="CF47" s="19">
        <v>8.3699999999999992</v>
      </c>
      <c r="CG47" s="19">
        <v>20.09</v>
      </c>
      <c r="CH47" s="19">
        <v>14.44</v>
      </c>
      <c r="CI47" s="19">
        <v>8.91</v>
      </c>
      <c r="CJ47" s="19">
        <v>21.07</v>
      </c>
      <c r="CK47" s="19"/>
      <c r="CL47" s="19"/>
      <c r="CM47" s="19"/>
      <c r="CN47" s="19">
        <v>23.56</v>
      </c>
      <c r="CO47" s="19">
        <v>15.39</v>
      </c>
      <c r="CP47" s="19">
        <v>32.83</v>
      </c>
      <c r="CQ47" s="19"/>
      <c r="CR47" s="19"/>
      <c r="CS47" s="19"/>
      <c r="CT47" s="19"/>
      <c r="CU47" s="11">
        <f>Tabelle58971121[[#This Row],[Mindestauslastung durch]]*Tabelle58971121[[#This Row],[installierte Leistung MW durch]]</f>
        <v>5.7</v>
      </c>
      <c r="CV47" s="11">
        <f>Tabelle58971121[[#This Row],[Mindestauslastung min]]*Tabelle58971121[[#This Row],[installierte Leistung MW min]]</f>
        <v>4.05</v>
      </c>
      <c r="CW47" s="11">
        <f>Tabelle58971121[[#This Row],[Mindestauslastung max]]*Tabelle58971121[[#This Row],[installierte Leistung MW max]]</f>
        <v>7.35</v>
      </c>
      <c r="CX47" s="9">
        <v>0.15</v>
      </c>
      <c r="CY47" s="9">
        <v>0.15</v>
      </c>
      <c r="CZ47" s="9">
        <v>0.15</v>
      </c>
      <c r="DA47" s="9"/>
      <c r="DB47" s="9">
        <v>0.85</v>
      </c>
      <c r="DC47" s="9">
        <v>0.8</v>
      </c>
      <c r="DD47" s="9">
        <v>0.9</v>
      </c>
      <c r="DE47" s="9">
        <v>0.64</v>
      </c>
      <c r="DF47" s="9">
        <v>0.59</v>
      </c>
      <c r="DG47" s="9">
        <v>0.69</v>
      </c>
      <c r="DH47" s="9">
        <v>0.38</v>
      </c>
      <c r="DI47" s="9">
        <v>0.33</v>
      </c>
      <c r="DJ47" s="9">
        <v>0.43</v>
      </c>
      <c r="DK47" s="9">
        <v>0.85</v>
      </c>
      <c r="DL47" s="9">
        <v>0.8</v>
      </c>
      <c r="DM47" s="9">
        <v>0.9</v>
      </c>
      <c r="DN47" s="9">
        <v>0.64</v>
      </c>
      <c r="DO47" s="9">
        <v>0.59</v>
      </c>
      <c r="DP47" s="9">
        <v>0.69</v>
      </c>
      <c r="DQ47" s="9">
        <v>0.38</v>
      </c>
      <c r="DR47" s="9">
        <v>0.33</v>
      </c>
      <c r="DS47" s="9">
        <v>0.43</v>
      </c>
      <c r="DT47" s="9">
        <v>0.85</v>
      </c>
      <c r="DU47" s="9">
        <v>0.8</v>
      </c>
      <c r="DV47" s="9">
        <v>0.9</v>
      </c>
      <c r="DW47" s="9">
        <v>0.64</v>
      </c>
      <c r="DX47" s="9">
        <v>0.59</v>
      </c>
      <c r="DY47" s="9">
        <v>0.69</v>
      </c>
      <c r="DZ47" s="9">
        <v>0.38</v>
      </c>
      <c r="EA47" s="9">
        <v>0.33</v>
      </c>
      <c r="EB47" s="9">
        <v>0.43</v>
      </c>
      <c r="EC47" s="9"/>
      <c r="ED47" s="9"/>
      <c r="EE47" s="9"/>
      <c r="EF47" s="46">
        <f>Tabelle58971121[[#This Row],[Durchschnittsauslastung min]]*Tabelle58971121[[#This Row],[installierte Leistung MW min]]</f>
        <v>0</v>
      </c>
      <c r="EG47" s="46">
        <f>Tabelle58971121[[#This Row],[Durchschnittsauslastung durch]]*Tabelle58971121[[#This Row],[installierte Leistung MW durch]]</f>
        <v>0</v>
      </c>
      <c r="EH47" s="46">
        <f>Tabelle58971121[[#This Row],[Durchschnittsauslastung max]]*Tabelle58971121[[#This Row],[installierte Leistung MW max]]</f>
        <v>0</v>
      </c>
      <c r="EI47" s="83">
        <f>Tabelle58971121[[#This Row],[Maximalauslastung durch]]*Tabelle58971121[[#This Row],[installierte Leistung MW min]]</f>
        <v>27</v>
      </c>
      <c r="EJ47" s="46">
        <f>Tabelle58971121[[#This Row],[Maximalauslastung durch]]*Tabelle58971121[[#This Row],[installierte Leistung MW durch]]</f>
        <v>38</v>
      </c>
      <c r="EK47" s="19">
        <f>Tabelle58971121[[#This Row],[Maximalauslastung max]]*Tabelle58971121[[#This Row],[installierte Leistung MW durch]]</f>
        <v>38</v>
      </c>
      <c r="EL47" s="9">
        <v>1</v>
      </c>
      <c r="EM47" s="9">
        <v>1</v>
      </c>
      <c r="EN47" s="9">
        <v>1</v>
      </c>
      <c r="EO47" s="1">
        <v>38</v>
      </c>
      <c r="EP47" s="1">
        <v>27</v>
      </c>
      <c r="EQ47" s="1">
        <v>49</v>
      </c>
      <c r="ER47" s="19"/>
      <c r="ES47" s="19"/>
      <c r="EX47" s="1">
        <v>4</v>
      </c>
      <c r="EY47" s="1">
        <v>3.2</v>
      </c>
      <c r="EZ47" s="1">
        <v>4.8</v>
      </c>
      <c r="FD47" s="1">
        <v>4</v>
      </c>
      <c r="FE47" s="1">
        <v>3.2</v>
      </c>
      <c r="FF47" s="1">
        <v>4.8</v>
      </c>
      <c r="FG47" s="1">
        <v>24</v>
      </c>
      <c r="FJ47" s="1">
        <v>7.2</v>
      </c>
      <c r="FK47" s="1">
        <v>4.5999999999999996</v>
      </c>
      <c r="FL47" s="1">
        <v>9.8000000000000007</v>
      </c>
      <c r="FP47" s="1">
        <v>365</v>
      </c>
      <c r="FQ47" s="1">
        <v>328</v>
      </c>
      <c r="FR47" s="1">
        <v>402</v>
      </c>
      <c r="FS47" s="11"/>
      <c r="FT47" s="11"/>
      <c r="FU47" s="11"/>
      <c r="FV47" s="1">
        <v>365</v>
      </c>
      <c r="FW47" s="1">
        <v>328</v>
      </c>
      <c r="FX47" s="1">
        <v>402</v>
      </c>
      <c r="FZ47" s="19"/>
      <c r="GA47" s="19"/>
      <c r="GB47" s="19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 t="s">
        <v>1084</v>
      </c>
      <c r="GO47" s="8" t="s">
        <v>1084</v>
      </c>
      <c r="GP47" s="8" t="s">
        <v>1084</v>
      </c>
      <c r="GS47" s="1">
        <v>67</v>
      </c>
      <c r="GT47" s="1">
        <v>67</v>
      </c>
      <c r="GU47" s="1">
        <v>67</v>
      </c>
      <c r="GV47" s="13" t="s">
        <v>806</v>
      </c>
      <c r="GW47" s="13" t="s">
        <v>806</v>
      </c>
      <c r="GX47" s="13" t="s">
        <v>806</v>
      </c>
      <c r="GY47" s="13"/>
      <c r="GZ47" s="13" t="s">
        <v>806</v>
      </c>
      <c r="HA47" s="13" t="s">
        <v>806</v>
      </c>
      <c r="HB47" s="13" t="s">
        <v>806</v>
      </c>
      <c r="HC47" s="13" t="s">
        <v>806</v>
      </c>
      <c r="HD47" s="13" t="s">
        <v>806</v>
      </c>
      <c r="HE47" s="13" t="s">
        <v>806</v>
      </c>
      <c r="HF47" s="13" t="s">
        <v>806</v>
      </c>
      <c r="HI47" s="13" t="s">
        <v>806</v>
      </c>
      <c r="HJ47" s="13" t="s">
        <v>806</v>
      </c>
      <c r="HL47" s="13" t="s">
        <v>806</v>
      </c>
    </row>
    <row r="48" spans="1:220" ht="12.75" customHeight="1" x14ac:dyDescent="0.25">
      <c r="A48" s="1" t="s">
        <v>654</v>
      </c>
      <c r="B48" s="1" t="s">
        <v>654</v>
      </c>
      <c r="E48" s="1" t="s">
        <v>127</v>
      </c>
      <c r="F48" s="1">
        <v>2</v>
      </c>
      <c r="G48" s="1">
        <v>2045</v>
      </c>
      <c r="H48" s="1">
        <v>1</v>
      </c>
      <c r="I48" s="1">
        <v>0</v>
      </c>
      <c r="J48" s="1">
        <v>0</v>
      </c>
      <c r="K48" s="19"/>
      <c r="L48" s="19"/>
      <c r="M48" s="19"/>
      <c r="N48" s="19"/>
      <c r="O48" s="19"/>
      <c r="P48" s="19"/>
      <c r="Q48" s="19">
        <v>32.299999999999997</v>
      </c>
      <c r="R48" s="19">
        <v>21.6</v>
      </c>
      <c r="S48" s="19">
        <v>44.1</v>
      </c>
      <c r="T48" s="19"/>
      <c r="U48" s="19"/>
      <c r="V48" s="19"/>
      <c r="W48" s="19">
        <v>5.7</v>
      </c>
      <c r="X48" s="19">
        <v>2.7</v>
      </c>
      <c r="Y48" s="19">
        <v>9.8000000000000007</v>
      </c>
      <c r="Z48" s="19">
        <v>24.32</v>
      </c>
      <c r="AA48" s="19">
        <v>15.93</v>
      </c>
      <c r="AB48" s="19">
        <v>33.81</v>
      </c>
      <c r="AC48" s="19"/>
      <c r="AD48" s="19"/>
      <c r="AE48" s="19"/>
      <c r="AF48" s="19">
        <v>13.68</v>
      </c>
      <c r="AG48" s="19">
        <v>8.3699999999999992</v>
      </c>
      <c r="AH48" s="19">
        <v>20.09</v>
      </c>
      <c r="AI48" s="19">
        <v>14.44</v>
      </c>
      <c r="AJ48" s="19">
        <v>8.91</v>
      </c>
      <c r="AK48" s="19">
        <v>21.07</v>
      </c>
      <c r="AL48" s="19">
        <v>23.56</v>
      </c>
      <c r="AM48" s="19">
        <v>15.39</v>
      </c>
      <c r="AN48" s="19">
        <v>32.83</v>
      </c>
      <c r="AO48" s="19">
        <v>32.299999999999997</v>
      </c>
      <c r="AP48" s="19">
        <v>21.6</v>
      </c>
      <c r="AQ48" s="19">
        <v>44.1</v>
      </c>
      <c r="AR48" s="19"/>
      <c r="AS48" s="19"/>
      <c r="AT48" s="19"/>
      <c r="AU48" s="19">
        <v>5.7</v>
      </c>
      <c r="AV48" s="19">
        <v>2.7</v>
      </c>
      <c r="AW48" s="19">
        <v>9.8000000000000007</v>
      </c>
      <c r="AX48" s="19">
        <v>24.32</v>
      </c>
      <c r="AY48" s="19">
        <v>15.93</v>
      </c>
      <c r="AZ48" s="19">
        <v>33.81</v>
      </c>
      <c r="BA48" s="19"/>
      <c r="BB48" s="19"/>
      <c r="BC48" s="19"/>
      <c r="BD48" s="19">
        <v>13.68</v>
      </c>
      <c r="BE48" s="19">
        <v>8.3699999999999992</v>
      </c>
      <c r="BF48" s="19">
        <v>20.09</v>
      </c>
      <c r="BG48" s="19">
        <v>14.44</v>
      </c>
      <c r="BH48" s="19">
        <v>8.91</v>
      </c>
      <c r="BI48" s="19">
        <v>21.07</v>
      </c>
      <c r="BJ48" s="19"/>
      <c r="BK48" s="19"/>
      <c r="BL48" s="19"/>
      <c r="BM48" s="19">
        <v>23.56</v>
      </c>
      <c r="BN48" s="19">
        <v>15.39</v>
      </c>
      <c r="BO48" s="19">
        <v>32.83</v>
      </c>
      <c r="BP48" s="19">
        <v>32.299999999999997</v>
      </c>
      <c r="BQ48" s="19">
        <v>21.6</v>
      </c>
      <c r="BR48" s="19">
        <v>44.1</v>
      </c>
      <c r="BS48" s="19"/>
      <c r="BT48" s="19"/>
      <c r="BU48" s="19"/>
      <c r="BV48" s="19">
        <v>5.7</v>
      </c>
      <c r="BW48" s="19">
        <v>2.7</v>
      </c>
      <c r="BX48" s="19">
        <v>9.8000000000000007</v>
      </c>
      <c r="BY48" s="19">
        <v>24.32</v>
      </c>
      <c r="BZ48" s="19">
        <v>15.93</v>
      </c>
      <c r="CA48" s="19">
        <v>33.81</v>
      </c>
      <c r="CB48" s="19"/>
      <c r="CC48" s="19"/>
      <c r="CD48" s="19"/>
      <c r="CE48" s="19">
        <v>13.68</v>
      </c>
      <c r="CF48" s="19">
        <v>8.3699999999999992</v>
      </c>
      <c r="CG48" s="19">
        <v>20.09</v>
      </c>
      <c r="CH48" s="19">
        <v>14.44</v>
      </c>
      <c r="CI48" s="19">
        <v>8.91</v>
      </c>
      <c r="CJ48" s="19">
        <v>21.07</v>
      </c>
      <c r="CK48" s="19"/>
      <c r="CL48" s="19"/>
      <c r="CM48" s="19"/>
      <c r="CN48" s="19">
        <v>23.56</v>
      </c>
      <c r="CO48" s="19">
        <v>15.39</v>
      </c>
      <c r="CP48" s="19">
        <v>32.83</v>
      </c>
      <c r="CQ48" s="19"/>
      <c r="CR48" s="19"/>
      <c r="CS48" s="19"/>
      <c r="CT48" s="19"/>
      <c r="CU48" s="11">
        <f>Tabelle58971121[[#This Row],[Mindestauslastung durch]]*Tabelle58971121[[#This Row],[installierte Leistung MW durch]]</f>
        <v>5.7</v>
      </c>
      <c r="CV48" s="11">
        <f>Tabelle58971121[[#This Row],[Mindestauslastung min]]*Tabelle58971121[[#This Row],[installierte Leistung MW min]]</f>
        <v>4.05</v>
      </c>
      <c r="CW48" s="11">
        <f>Tabelle58971121[[#This Row],[Mindestauslastung max]]*Tabelle58971121[[#This Row],[installierte Leistung MW max]]</f>
        <v>7.35</v>
      </c>
      <c r="CX48" s="9">
        <v>0.15</v>
      </c>
      <c r="CY48" s="9">
        <v>0.15</v>
      </c>
      <c r="CZ48" s="9">
        <v>0.15</v>
      </c>
      <c r="DA48" s="9"/>
      <c r="DB48" s="9">
        <v>0.85</v>
      </c>
      <c r="DC48" s="9">
        <v>0.8</v>
      </c>
      <c r="DD48" s="9">
        <v>0.9</v>
      </c>
      <c r="DE48" s="9">
        <v>0.64</v>
      </c>
      <c r="DF48" s="9">
        <v>0.59</v>
      </c>
      <c r="DG48" s="9">
        <v>0.69</v>
      </c>
      <c r="DH48" s="9">
        <v>0.38</v>
      </c>
      <c r="DI48" s="9">
        <v>0.33</v>
      </c>
      <c r="DJ48" s="9">
        <v>0.43</v>
      </c>
      <c r="DK48" s="9">
        <v>0.85</v>
      </c>
      <c r="DL48" s="9">
        <v>0.8</v>
      </c>
      <c r="DM48" s="9">
        <v>0.9</v>
      </c>
      <c r="DN48" s="9">
        <v>0.64</v>
      </c>
      <c r="DO48" s="9">
        <v>0.59</v>
      </c>
      <c r="DP48" s="9">
        <v>0.69</v>
      </c>
      <c r="DQ48" s="9">
        <v>0.38</v>
      </c>
      <c r="DR48" s="9">
        <v>0.33</v>
      </c>
      <c r="DS48" s="9">
        <v>0.43</v>
      </c>
      <c r="DT48" s="9">
        <v>0.85</v>
      </c>
      <c r="DU48" s="9">
        <v>0.8</v>
      </c>
      <c r="DV48" s="9">
        <v>0.9</v>
      </c>
      <c r="DW48" s="9">
        <v>0.64</v>
      </c>
      <c r="DX48" s="9">
        <v>0.59</v>
      </c>
      <c r="DY48" s="9">
        <v>0.69</v>
      </c>
      <c r="DZ48" s="9">
        <v>0.38</v>
      </c>
      <c r="EA48" s="9">
        <v>0.33</v>
      </c>
      <c r="EB48" s="9">
        <v>0.43</v>
      </c>
      <c r="EC48" s="9"/>
      <c r="ED48" s="9"/>
      <c r="EE48" s="9"/>
      <c r="EF48" s="46">
        <f>Tabelle58971121[[#This Row],[Durchschnittsauslastung min]]*Tabelle58971121[[#This Row],[installierte Leistung MW min]]</f>
        <v>0</v>
      </c>
      <c r="EG48" s="46">
        <f>Tabelle58971121[[#This Row],[Durchschnittsauslastung durch]]*Tabelle58971121[[#This Row],[installierte Leistung MW durch]]</f>
        <v>0</v>
      </c>
      <c r="EH48" s="46">
        <f>Tabelle58971121[[#This Row],[Durchschnittsauslastung max]]*Tabelle58971121[[#This Row],[installierte Leistung MW max]]</f>
        <v>0</v>
      </c>
      <c r="EI48" s="83">
        <f>Tabelle58971121[[#This Row],[Maximalauslastung durch]]*Tabelle58971121[[#This Row],[installierte Leistung MW min]]</f>
        <v>27</v>
      </c>
      <c r="EJ48" s="46">
        <f>Tabelle58971121[[#This Row],[Maximalauslastung durch]]*Tabelle58971121[[#This Row],[installierte Leistung MW durch]]</f>
        <v>38</v>
      </c>
      <c r="EK48" s="19">
        <f>Tabelle58971121[[#This Row],[Maximalauslastung max]]*Tabelle58971121[[#This Row],[installierte Leistung MW durch]]</f>
        <v>38</v>
      </c>
      <c r="EL48" s="9">
        <v>1</v>
      </c>
      <c r="EM48" s="9">
        <v>1</v>
      </c>
      <c r="EN48" s="9">
        <v>1</v>
      </c>
      <c r="EO48" s="1">
        <v>38</v>
      </c>
      <c r="EP48" s="1">
        <v>27</v>
      </c>
      <c r="EQ48" s="1">
        <v>49</v>
      </c>
      <c r="ER48" s="19"/>
      <c r="ES48" s="19"/>
      <c r="EX48" s="1">
        <v>4</v>
      </c>
      <c r="EY48" s="1">
        <v>3.2</v>
      </c>
      <c r="EZ48" s="1">
        <v>4.8</v>
      </c>
      <c r="FD48" s="1">
        <v>4</v>
      </c>
      <c r="FE48" s="1">
        <v>3.2</v>
      </c>
      <c r="FF48" s="1">
        <v>4.8</v>
      </c>
      <c r="FG48" s="1">
        <v>24</v>
      </c>
      <c r="FJ48" s="1">
        <v>7.2</v>
      </c>
      <c r="FK48" s="1">
        <v>4.5999999999999996</v>
      </c>
      <c r="FL48" s="1">
        <v>9.8000000000000007</v>
      </c>
      <c r="FP48" s="1">
        <v>365</v>
      </c>
      <c r="FQ48" s="1">
        <v>328</v>
      </c>
      <c r="FR48" s="1">
        <v>402</v>
      </c>
      <c r="FS48" s="11"/>
      <c r="FT48" s="11"/>
      <c r="FU48" s="11"/>
      <c r="FV48" s="1">
        <v>365</v>
      </c>
      <c r="FW48" s="1">
        <v>328</v>
      </c>
      <c r="FX48" s="1">
        <v>402</v>
      </c>
      <c r="FZ48" s="19"/>
      <c r="GA48" s="19"/>
      <c r="GB48" s="19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 t="s">
        <v>1084</v>
      </c>
      <c r="GO48" s="8" t="s">
        <v>1084</v>
      </c>
      <c r="GP48" s="8" t="s">
        <v>1084</v>
      </c>
      <c r="GS48" s="1">
        <v>67</v>
      </c>
      <c r="GT48" s="1">
        <v>67</v>
      </c>
      <c r="GU48" s="1">
        <v>67</v>
      </c>
      <c r="GV48" s="13" t="s">
        <v>806</v>
      </c>
      <c r="GW48" s="13" t="s">
        <v>806</v>
      </c>
      <c r="GX48" s="13" t="s">
        <v>806</v>
      </c>
      <c r="GY48" s="13"/>
      <c r="GZ48" s="13" t="s">
        <v>806</v>
      </c>
      <c r="HA48" s="13" t="s">
        <v>806</v>
      </c>
      <c r="HB48" s="13" t="s">
        <v>806</v>
      </c>
      <c r="HC48" s="13" t="s">
        <v>806</v>
      </c>
      <c r="HD48" s="13" t="s">
        <v>806</v>
      </c>
      <c r="HE48" s="13" t="s">
        <v>806</v>
      </c>
      <c r="HF48" s="13" t="s">
        <v>806</v>
      </c>
      <c r="HI48" s="13" t="s">
        <v>806</v>
      </c>
      <c r="HJ48" s="13" t="s">
        <v>806</v>
      </c>
      <c r="HL48" s="13" t="s">
        <v>806</v>
      </c>
    </row>
    <row r="49" spans="1:220" ht="12.75" customHeight="1" x14ac:dyDescent="0.25">
      <c r="A49" s="1" t="s">
        <v>654</v>
      </c>
      <c r="B49" s="1" t="s">
        <v>654</v>
      </c>
      <c r="E49" s="1" t="s">
        <v>127</v>
      </c>
      <c r="F49" s="1">
        <v>2</v>
      </c>
      <c r="G49" s="1">
        <v>2050</v>
      </c>
      <c r="H49" s="1">
        <v>1</v>
      </c>
      <c r="I49" s="1">
        <v>0</v>
      </c>
      <c r="J49" s="1">
        <v>0</v>
      </c>
      <c r="K49" s="19"/>
      <c r="L49" s="19"/>
      <c r="M49" s="19"/>
      <c r="N49" s="19"/>
      <c r="O49" s="19"/>
      <c r="P49" s="19"/>
      <c r="Q49" s="19">
        <v>32.299999999999997</v>
      </c>
      <c r="R49" s="19">
        <v>21.6</v>
      </c>
      <c r="S49" s="19">
        <v>44.1</v>
      </c>
      <c r="T49" s="19"/>
      <c r="U49" s="19"/>
      <c r="V49" s="19"/>
      <c r="W49" s="19">
        <v>5.7</v>
      </c>
      <c r="X49" s="19">
        <v>2.7</v>
      </c>
      <c r="Y49" s="19">
        <v>9.8000000000000007</v>
      </c>
      <c r="Z49" s="19">
        <v>24.32</v>
      </c>
      <c r="AA49" s="19">
        <v>15.93</v>
      </c>
      <c r="AB49" s="19">
        <v>33.81</v>
      </c>
      <c r="AC49" s="19"/>
      <c r="AD49" s="19"/>
      <c r="AE49" s="19"/>
      <c r="AF49" s="19">
        <v>13.68</v>
      </c>
      <c r="AG49" s="19">
        <v>8.3699999999999992</v>
      </c>
      <c r="AH49" s="19">
        <v>20.09</v>
      </c>
      <c r="AI49" s="19">
        <v>14.44</v>
      </c>
      <c r="AJ49" s="19">
        <v>8.91</v>
      </c>
      <c r="AK49" s="19">
        <v>21.07</v>
      </c>
      <c r="AL49" s="19">
        <v>23.56</v>
      </c>
      <c r="AM49" s="19">
        <v>15.39</v>
      </c>
      <c r="AN49" s="19">
        <v>32.83</v>
      </c>
      <c r="AO49" s="19">
        <v>32.299999999999997</v>
      </c>
      <c r="AP49" s="19">
        <v>21.6</v>
      </c>
      <c r="AQ49" s="19">
        <v>44.1</v>
      </c>
      <c r="AR49" s="19"/>
      <c r="AS49" s="19"/>
      <c r="AT49" s="19"/>
      <c r="AU49" s="19">
        <v>5.7</v>
      </c>
      <c r="AV49" s="19">
        <v>2.7</v>
      </c>
      <c r="AW49" s="19">
        <v>9.8000000000000007</v>
      </c>
      <c r="AX49" s="19">
        <v>24.32</v>
      </c>
      <c r="AY49" s="19">
        <v>15.93</v>
      </c>
      <c r="AZ49" s="19">
        <v>33.81</v>
      </c>
      <c r="BA49" s="19"/>
      <c r="BB49" s="19"/>
      <c r="BC49" s="19"/>
      <c r="BD49" s="19">
        <v>13.68</v>
      </c>
      <c r="BE49" s="19">
        <v>8.3699999999999992</v>
      </c>
      <c r="BF49" s="19">
        <v>20.09</v>
      </c>
      <c r="BG49" s="19">
        <v>14.44</v>
      </c>
      <c r="BH49" s="19">
        <v>8.91</v>
      </c>
      <c r="BI49" s="19">
        <v>21.07</v>
      </c>
      <c r="BJ49" s="19"/>
      <c r="BK49" s="19"/>
      <c r="BL49" s="19"/>
      <c r="BM49" s="19">
        <v>23.56</v>
      </c>
      <c r="BN49" s="19">
        <v>15.39</v>
      </c>
      <c r="BO49" s="19">
        <v>32.83</v>
      </c>
      <c r="BP49" s="19">
        <v>32.299999999999997</v>
      </c>
      <c r="BQ49" s="19">
        <v>21.6</v>
      </c>
      <c r="BR49" s="19">
        <v>44.1</v>
      </c>
      <c r="BS49" s="19"/>
      <c r="BT49" s="19"/>
      <c r="BU49" s="19"/>
      <c r="BV49" s="19">
        <v>5.7</v>
      </c>
      <c r="BW49" s="19">
        <v>2.7</v>
      </c>
      <c r="BX49" s="19">
        <v>9.8000000000000007</v>
      </c>
      <c r="BY49" s="19">
        <v>24.32</v>
      </c>
      <c r="BZ49" s="19">
        <v>15.93</v>
      </c>
      <c r="CA49" s="19">
        <v>33.81</v>
      </c>
      <c r="CB49" s="19"/>
      <c r="CC49" s="19"/>
      <c r="CD49" s="19"/>
      <c r="CE49" s="19">
        <v>13.68</v>
      </c>
      <c r="CF49" s="19">
        <v>8.3699999999999992</v>
      </c>
      <c r="CG49" s="19">
        <v>20.09</v>
      </c>
      <c r="CH49" s="19">
        <v>14.44</v>
      </c>
      <c r="CI49" s="19">
        <v>8.91</v>
      </c>
      <c r="CJ49" s="19">
        <v>21.07</v>
      </c>
      <c r="CK49" s="19"/>
      <c r="CL49" s="19"/>
      <c r="CM49" s="19"/>
      <c r="CN49" s="19">
        <v>23.56</v>
      </c>
      <c r="CO49" s="19">
        <v>15.39</v>
      </c>
      <c r="CP49" s="19">
        <v>32.83</v>
      </c>
      <c r="CQ49" s="19"/>
      <c r="CR49" s="19"/>
      <c r="CS49" s="19"/>
      <c r="CT49" s="19"/>
      <c r="CU49" s="11">
        <f>Tabelle58971121[[#This Row],[Mindestauslastung durch]]*Tabelle58971121[[#This Row],[installierte Leistung MW durch]]</f>
        <v>5.7</v>
      </c>
      <c r="CV49" s="11">
        <f>Tabelle58971121[[#This Row],[Mindestauslastung min]]*Tabelle58971121[[#This Row],[installierte Leistung MW min]]</f>
        <v>4.05</v>
      </c>
      <c r="CW49" s="11">
        <f>Tabelle58971121[[#This Row],[Mindestauslastung max]]*Tabelle58971121[[#This Row],[installierte Leistung MW max]]</f>
        <v>7.35</v>
      </c>
      <c r="CX49" s="9">
        <v>0.15</v>
      </c>
      <c r="CY49" s="9">
        <v>0.15</v>
      </c>
      <c r="CZ49" s="9">
        <v>0.15</v>
      </c>
      <c r="DA49" s="9"/>
      <c r="DB49" s="9">
        <v>0.85</v>
      </c>
      <c r="DC49" s="9">
        <v>0.8</v>
      </c>
      <c r="DD49" s="9">
        <v>0.9</v>
      </c>
      <c r="DE49" s="9">
        <v>0.64</v>
      </c>
      <c r="DF49" s="9">
        <v>0.59</v>
      </c>
      <c r="DG49" s="9">
        <v>0.69</v>
      </c>
      <c r="DH49" s="9">
        <v>0.38</v>
      </c>
      <c r="DI49" s="9">
        <v>0.33</v>
      </c>
      <c r="DJ49" s="9">
        <v>0.43</v>
      </c>
      <c r="DK49" s="9">
        <v>0.85</v>
      </c>
      <c r="DL49" s="9">
        <v>0.8</v>
      </c>
      <c r="DM49" s="9">
        <v>0.9</v>
      </c>
      <c r="DN49" s="9">
        <v>0.64</v>
      </c>
      <c r="DO49" s="9">
        <v>0.59</v>
      </c>
      <c r="DP49" s="9">
        <v>0.69</v>
      </c>
      <c r="DQ49" s="9">
        <v>0.38</v>
      </c>
      <c r="DR49" s="9">
        <v>0.33</v>
      </c>
      <c r="DS49" s="9">
        <v>0.43</v>
      </c>
      <c r="DT49" s="9">
        <v>0.85</v>
      </c>
      <c r="DU49" s="9">
        <v>0.8</v>
      </c>
      <c r="DV49" s="9">
        <v>0.9</v>
      </c>
      <c r="DW49" s="9">
        <v>0.64</v>
      </c>
      <c r="DX49" s="9">
        <v>0.59</v>
      </c>
      <c r="DY49" s="9">
        <v>0.69</v>
      </c>
      <c r="DZ49" s="9">
        <v>0.38</v>
      </c>
      <c r="EA49" s="9">
        <v>0.33</v>
      </c>
      <c r="EB49" s="9">
        <v>0.43</v>
      </c>
      <c r="EC49" s="9"/>
      <c r="ED49" s="9"/>
      <c r="EE49" s="9"/>
      <c r="EF49" s="46">
        <f>Tabelle58971121[[#This Row],[Durchschnittsauslastung min]]*Tabelle58971121[[#This Row],[installierte Leistung MW min]]</f>
        <v>0</v>
      </c>
      <c r="EG49" s="46">
        <f>Tabelle58971121[[#This Row],[Durchschnittsauslastung durch]]*Tabelle58971121[[#This Row],[installierte Leistung MW durch]]</f>
        <v>0</v>
      </c>
      <c r="EH49" s="46">
        <f>Tabelle58971121[[#This Row],[Durchschnittsauslastung max]]*Tabelle58971121[[#This Row],[installierte Leistung MW max]]</f>
        <v>0</v>
      </c>
      <c r="EI49" s="83">
        <f>Tabelle58971121[[#This Row],[Maximalauslastung durch]]*Tabelle58971121[[#This Row],[installierte Leistung MW min]]</f>
        <v>27</v>
      </c>
      <c r="EJ49" s="46">
        <f>Tabelle58971121[[#This Row],[Maximalauslastung durch]]*Tabelle58971121[[#This Row],[installierte Leistung MW durch]]</f>
        <v>38</v>
      </c>
      <c r="EK49" s="19">
        <f>Tabelle58971121[[#This Row],[Maximalauslastung max]]*Tabelle58971121[[#This Row],[installierte Leistung MW durch]]</f>
        <v>38</v>
      </c>
      <c r="EL49" s="9">
        <v>1</v>
      </c>
      <c r="EM49" s="9">
        <v>1</v>
      </c>
      <c r="EN49" s="9">
        <v>1</v>
      </c>
      <c r="EO49" s="1">
        <v>38</v>
      </c>
      <c r="EP49" s="1">
        <v>27</v>
      </c>
      <c r="EQ49" s="1">
        <v>49</v>
      </c>
      <c r="ER49" s="19"/>
      <c r="ES49" s="19"/>
      <c r="EX49" s="1">
        <v>4</v>
      </c>
      <c r="EY49" s="1">
        <v>3.2</v>
      </c>
      <c r="EZ49" s="1">
        <v>4.8</v>
      </c>
      <c r="FD49" s="1">
        <v>4</v>
      </c>
      <c r="FE49" s="1">
        <v>3.2</v>
      </c>
      <c r="FF49" s="1">
        <v>4.8</v>
      </c>
      <c r="FG49" s="1">
        <v>24</v>
      </c>
      <c r="FJ49" s="1">
        <v>7.2</v>
      </c>
      <c r="FK49" s="1">
        <v>4.5999999999999996</v>
      </c>
      <c r="FL49" s="1">
        <v>9.8000000000000007</v>
      </c>
      <c r="FP49" s="1">
        <v>365</v>
      </c>
      <c r="FQ49" s="1">
        <v>328</v>
      </c>
      <c r="FR49" s="1">
        <v>402</v>
      </c>
      <c r="FS49" s="11"/>
      <c r="FT49" s="11"/>
      <c r="FU49" s="11"/>
      <c r="FV49" s="1">
        <v>365</v>
      </c>
      <c r="FW49" s="1">
        <v>328</v>
      </c>
      <c r="FX49" s="1">
        <v>402</v>
      </c>
      <c r="FZ49" s="19"/>
      <c r="GA49" s="19"/>
      <c r="GB49" s="19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 t="s">
        <v>1084</v>
      </c>
      <c r="GO49" s="8" t="s">
        <v>1084</v>
      </c>
      <c r="GP49" s="8" t="s">
        <v>1084</v>
      </c>
      <c r="GS49" s="1">
        <v>67</v>
      </c>
      <c r="GT49" s="1">
        <v>67</v>
      </c>
      <c r="GU49" s="1">
        <v>67</v>
      </c>
      <c r="GV49" s="13" t="s">
        <v>806</v>
      </c>
      <c r="GW49" s="13" t="s">
        <v>806</v>
      </c>
      <c r="GX49" s="13" t="s">
        <v>806</v>
      </c>
      <c r="GY49" s="13"/>
      <c r="GZ49" s="13" t="s">
        <v>806</v>
      </c>
      <c r="HA49" s="13" t="s">
        <v>806</v>
      </c>
      <c r="HB49" s="13" t="s">
        <v>806</v>
      </c>
      <c r="HC49" s="13" t="s">
        <v>806</v>
      </c>
      <c r="HD49" s="13" t="s">
        <v>806</v>
      </c>
      <c r="HE49" s="13" t="s">
        <v>806</v>
      </c>
      <c r="HF49" s="13" t="s">
        <v>806</v>
      </c>
      <c r="HI49" s="13" t="s">
        <v>806</v>
      </c>
      <c r="HJ49" s="13" t="s">
        <v>806</v>
      </c>
      <c r="HL49" s="13" t="s">
        <v>806</v>
      </c>
    </row>
    <row r="50" spans="1:220" ht="12.75" customHeight="1" x14ac:dyDescent="0.25">
      <c r="A50" s="1" t="s">
        <v>138</v>
      </c>
      <c r="B50" s="1" t="s">
        <v>743</v>
      </c>
      <c r="E50" s="1" t="s">
        <v>139</v>
      </c>
      <c r="F50" s="1">
        <v>2</v>
      </c>
      <c r="G50" s="1">
        <v>2015</v>
      </c>
      <c r="H50" s="1">
        <v>1</v>
      </c>
      <c r="I50" s="1">
        <v>0</v>
      </c>
      <c r="J50" s="1">
        <v>0</v>
      </c>
      <c r="K50" s="19"/>
      <c r="L50" s="19"/>
      <c r="M50" s="19"/>
      <c r="N50" s="19"/>
      <c r="O50" s="19"/>
      <c r="P50" s="19"/>
      <c r="Q50" s="19">
        <v>1283.333333333333</v>
      </c>
      <c r="R50" s="19">
        <v>0</v>
      </c>
      <c r="S50" s="19">
        <v>4308</v>
      </c>
      <c r="T50" s="19"/>
      <c r="U50" s="19"/>
      <c r="V50" s="19"/>
      <c r="W50" s="19">
        <v>0</v>
      </c>
      <c r="X50" s="19">
        <v>0</v>
      </c>
      <c r="Y50" s="19">
        <v>0</v>
      </c>
      <c r="Z50" s="19">
        <v>1283.333333333333</v>
      </c>
      <c r="AA50" s="19">
        <v>0</v>
      </c>
      <c r="AB50" s="19">
        <v>4308</v>
      </c>
      <c r="AC50" s="19"/>
      <c r="AD50" s="19"/>
      <c r="AE50" s="19"/>
      <c r="AF50" s="19">
        <v>0</v>
      </c>
      <c r="AG50" s="19">
        <v>0</v>
      </c>
      <c r="AH50" s="19">
        <v>0</v>
      </c>
      <c r="AI50" s="19">
        <v>1283.333333333333</v>
      </c>
      <c r="AJ50" s="19">
        <v>0</v>
      </c>
      <c r="AK50" s="19">
        <v>4308</v>
      </c>
      <c r="AL50" s="19">
        <v>0</v>
      </c>
      <c r="AM50" s="19">
        <v>0</v>
      </c>
      <c r="AN50" s="19">
        <v>0</v>
      </c>
      <c r="AO50" s="19">
        <v>3704.166666666667</v>
      </c>
      <c r="AP50" s="19">
        <v>170.5</v>
      </c>
      <c r="AQ50" s="19">
        <v>9513.5</v>
      </c>
      <c r="AR50" s="19"/>
      <c r="AS50" s="19"/>
      <c r="AT50" s="19"/>
      <c r="AU50" s="19">
        <v>0</v>
      </c>
      <c r="AV50" s="19">
        <v>0</v>
      </c>
      <c r="AW50" s="19">
        <v>0</v>
      </c>
      <c r="AX50" s="19">
        <v>3704.166666666667</v>
      </c>
      <c r="AY50" s="19">
        <v>170.5</v>
      </c>
      <c r="AZ50" s="19">
        <v>9513.5</v>
      </c>
      <c r="BA50" s="19"/>
      <c r="BB50" s="19"/>
      <c r="BC50" s="19"/>
      <c r="BD50" s="19">
        <v>0</v>
      </c>
      <c r="BE50" s="19">
        <v>0</v>
      </c>
      <c r="BF50" s="19">
        <v>0</v>
      </c>
      <c r="BG50" s="19">
        <v>3704.166666666667</v>
      </c>
      <c r="BH50" s="19">
        <v>170.5</v>
      </c>
      <c r="BI50" s="19">
        <v>9513.5</v>
      </c>
      <c r="BJ50" s="19"/>
      <c r="BK50" s="19"/>
      <c r="BL50" s="19"/>
      <c r="BM50" s="19">
        <v>0</v>
      </c>
      <c r="BN50" s="19">
        <v>0</v>
      </c>
      <c r="BO50" s="19">
        <v>0</v>
      </c>
      <c r="BP50" s="19">
        <v>5607.2916666666661</v>
      </c>
      <c r="BQ50" s="19">
        <v>170.5</v>
      </c>
      <c r="BR50" s="19">
        <v>14360</v>
      </c>
      <c r="BS50" s="19"/>
      <c r="BT50" s="19"/>
      <c r="BU50" s="19"/>
      <c r="BV50" s="19">
        <v>0</v>
      </c>
      <c r="BW50" s="19">
        <v>0</v>
      </c>
      <c r="BX50" s="19">
        <v>0</v>
      </c>
      <c r="BY50" s="19">
        <v>5607.2916666666661</v>
      </c>
      <c r="BZ50" s="19">
        <v>170.5</v>
      </c>
      <c r="CA50" s="19">
        <v>14360</v>
      </c>
      <c r="CB50" s="19"/>
      <c r="CC50" s="19"/>
      <c r="CD50" s="19"/>
      <c r="CE50" s="19">
        <v>0</v>
      </c>
      <c r="CF50" s="19">
        <v>0</v>
      </c>
      <c r="CG50" s="19">
        <v>0</v>
      </c>
      <c r="CH50" s="19">
        <v>5607.2916666666661</v>
      </c>
      <c r="CI50" s="19">
        <v>170.5</v>
      </c>
      <c r="CJ50" s="19">
        <v>14360</v>
      </c>
      <c r="CK50" s="19"/>
      <c r="CL50" s="19"/>
      <c r="CM50" s="19"/>
      <c r="CN50" s="19">
        <v>0</v>
      </c>
      <c r="CO50" s="19">
        <v>0</v>
      </c>
      <c r="CP50" s="19">
        <v>0</v>
      </c>
      <c r="CQ50" s="19"/>
      <c r="CR50" s="19"/>
      <c r="CS50" s="19"/>
      <c r="CT50" s="19"/>
      <c r="CU50" s="11">
        <f>Tabelle58971121[[#This Row],[Mindestauslastung durch]]*Tabelle58971121[[#This Row],[installierte Leistung MW durch]]</f>
        <v>2625</v>
      </c>
      <c r="CV50" s="11">
        <f>Tabelle58971121[[#This Row],[Mindestauslastung min]]*Tabelle58971121[[#This Row],[installierte Leistung MW min]]</f>
        <v>2557.5</v>
      </c>
      <c r="CW50" s="11">
        <f>Tabelle58971121[[#This Row],[Mindestauslastung max]]*Tabelle58971121[[#This Row],[installierte Leistung MW max]]</f>
        <v>2692.5</v>
      </c>
      <c r="CX50" s="9">
        <v>0.15</v>
      </c>
      <c r="CY50" s="9">
        <v>0.15</v>
      </c>
      <c r="CZ50" s="9">
        <v>0.15</v>
      </c>
      <c r="DA50" s="9"/>
      <c r="DB50" s="9">
        <v>7.3333333333333334E-2</v>
      </c>
      <c r="DC50" s="9">
        <v>0</v>
      </c>
      <c r="DD50" s="9">
        <v>0.24</v>
      </c>
      <c r="DE50" s="9">
        <v>7.3333333333333334E-2</v>
      </c>
      <c r="DF50" s="9">
        <v>0</v>
      </c>
      <c r="DG50" s="9">
        <v>0.24</v>
      </c>
      <c r="DH50" s="9">
        <v>7.3333333333333334E-2</v>
      </c>
      <c r="DI50" s="9">
        <v>0</v>
      </c>
      <c r="DJ50" s="9">
        <v>0.24</v>
      </c>
      <c r="DK50" s="9">
        <v>0.2116666666666667</v>
      </c>
      <c r="DL50" s="9">
        <v>0.01</v>
      </c>
      <c r="DM50" s="9">
        <v>0.53</v>
      </c>
      <c r="DN50" s="9">
        <v>0.2116666666666667</v>
      </c>
      <c r="DO50" s="9">
        <v>0.01</v>
      </c>
      <c r="DP50" s="9">
        <v>0.53</v>
      </c>
      <c r="DQ50" s="9">
        <v>0.2116666666666667</v>
      </c>
      <c r="DR50" s="9">
        <v>0.01</v>
      </c>
      <c r="DS50" s="9">
        <v>0.53</v>
      </c>
      <c r="DT50" s="9">
        <v>0.32041666666666663</v>
      </c>
      <c r="DU50" s="9">
        <v>0.01</v>
      </c>
      <c r="DV50" s="9">
        <v>0.8</v>
      </c>
      <c r="DW50" s="9">
        <v>0.32041666666666663</v>
      </c>
      <c r="DX50" s="9">
        <v>0.01</v>
      </c>
      <c r="DY50" s="9">
        <v>0.8</v>
      </c>
      <c r="DZ50" s="9">
        <v>0.32041666666666663</v>
      </c>
      <c r="EA50" s="9">
        <v>0.01</v>
      </c>
      <c r="EB50" s="9">
        <v>0.8</v>
      </c>
      <c r="EC50" s="9"/>
      <c r="ED50" s="9"/>
      <c r="EE50" s="9"/>
      <c r="EF50" s="46">
        <f>Tabelle58971121[[#This Row],[Durchschnittsauslastung min]]*Tabelle58971121[[#This Row],[installierte Leistung MW min]]</f>
        <v>0</v>
      </c>
      <c r="EG50" s="46">
        <f>Tabelle58971121[[#This Row],[Durchschnittsauslastung durch]]*Tabelle58971121[[#This Row],[installierte Leistung MW durch]]</f>
        <v>0</v>
      </c>
      <c r="EH50" s="46">
        <f>Tabelle58971121[[#This Row],[Durchschnittsauslastung max]]*Tabelle58971121[[#This Row],[installierte Leistung MW max]]</f>
        <v>0</v>
      </c>
      <c r="EI50" s="83">
        <f>Tabelle58971121[[#This Row],[Maximalauslastung durch]]*Tabelle58971121[[#This Row],[installierte Leistung MW min]]</f>
        <v>12787.5</v>
      </c>
      <c r="EJ50" s="46">
        <f>Tabelle58971121[[#This Row],[Maximalauslastung durch]]*Tabelle58971121[[#This Row],[installierte Leistung MW durch]]</f>
        <v>13125</v>
      </c>
      <c r="EK50" s="19">
        <f>Tabelle58971121[[#This Row],[Maximalauslastung max]]*Tabelle58971121[[#This Row],[installierte Leistung MW durch]]</f>
        <v>14175.000000000002</v>
      </c>
      <c r="EL50" s="9">
        <v>0.75</v>
      </c>
      <c r="EM50" s="9">
        <v>0.69</v>
      </c>
      <c r="EN50" s="9">
        <v>0.81</v>
      </c>
      <c r="EO50" s="1">
        <v>17500</v>
      </c>
      <c r="EP50" s="1">
        <v>17050</v>
      </c>
      <c r="EQ50" s="1">
        <v>17950</v>
      </c>
      <c r="ER50" s="19"/>
      <c r="ES50" s="19"/>
      <c r="EX50" s="1">
        <v>4</v>
      </c>
      <c r="EY50" s="1">
        <v>3.1</v>
      </c>
      <c r="EZ50" s="1">
        <v>4.9000000000000004</v>
      </c>
      <c r="FD50" s="1">
        <v>9</v>
      </c>
      <c r="FE50" s="1">
        <v>7.2</v>
      </c>
      <c r="FF50" s="1">
        <v>10.8</v>
      </c>
      <c r="FG50" s="1">
        <v>24</v>
      </c>
      <c r="FH50" s="1">
        <v>24</v>
      </c>
      <c r="FI50" s="1">
        <v>24</v>
      </c>
      <c r="FJ50" s="1">
        <v>7.4</v>
      </c>
      <c r="FK50" s="1">
        <v>4.6000000000000014</v>
      </c>
      <c r="FL50" s="1">
        <v>10.199999999999999</v>
      </c>
      <c r="FP50" s="1">
        <v>160</v>
      </c>
      <c r="FQ50" s="1">
        <v>144</v>
      </c>
      <c r="FR50" s="1">
        <v>176</v>
      </c>
      <c r="FS50" s="11"/>
      <c r="FT50" s="11"/>
      <c r="FU50" s="11"/>
      <c r="FV50" s="1">
        <v>160</v>
      </c>
      <c r="FW50" s="1">
        <v>144</v>
      </c>
      <c r="FX50" s="1">
        <v>176</v>
      </c>
      <c r="FY50" s="1">
        <v>25.848235294117643</v>
      </c>
      <c r="FZ50" s="19">
        <v>23.30411764705882</v>
      </c>
      <c r="GA50" s="19">
        <v>28.392352941176469</v>
      </c>
      <c r="GB50" s="19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>
        <v>38.670588235294112</v>
      </c>
      <c r="GO50" s="8">
        <v>34.803529411764707</v>
      </c>
      <c r="GP50" s="8">
        <v>42.537647058823524</v>
      </c>
      <c r="GS50" s="1">
        <v>67</v>
      </c>
      <c r="GT50" s="1">
        <v>67</v>
      </c>
      <c r="GU50" s="1">
        <v>67</v>
      </c>
      <c r="GV50" s="13" t="s">
        <v>806</v>
      </c>
      <c r="GW50" s="13" t="s">
        <v>806</v>
      </c>
      <c r="GX50" s="13" t="s">
        <v>806</v>
      </c>
      <c r="GY50" s="13"/>
      <c r="GZ50" s="13" t="s">
        <v>806</v>
      </c>
      <c r="HA50" s="13" t="s">
        <v>806</v>
      </c>
      <c r="HB50" s="13" t="s">
        <v>806</v>
      </c>
      <c r="HC50" s="13" t="s">
        <v>806</v>
      </c>
      <c r="HD50" s="13" t="s">
        <v>806</v>
      </c>
      <c r="HE50" s="13" t="s">
        <v>806</v>
      </c>
      <c r="HF50" s="13" t="s">
        <v>806</v>
      </c>
      <c r="HI50" s="13" t="s">
        <v>806</v>
      </c>
      <c r="HJ50" s="13" t="s">
        <v>806</v>
      </c>
      <c r="HL50" s="13" t="s">
        <v>806</v>
      </c>
    </row>
    <row r="51" spans="1:220" ht="12.75" customHeight="1" x14ac:dyDescent="0.25">
      <c r="A51" s="1" t="s">
        <v>138</v>
      </c>
      <c r="B51" s="1" t="s">
        <v>743</v>
      </c>
      <c r="E51" s="1" t="s">
        <v>139</v>
      </c>
      <c r="F51" s="1">
        <v>2</v>
      </c>
      <c r="G51" s="1">
        <v>2020</v>
      </c>
      <c r="H51" s="1">
        <v>1</v>
      </c>
      <c r="I51" s="1">
        <v>0</v>
      </c>
      <c r="J51" s="1">
        <v>0</v>
      </c>
      <c r="K51" s="19"/>
      <c r="L51" s="19"/>
      <c r="M51" s="19"/>
      <c r="N51" s="19"/>
      <c r="O51" s="19"/>
      <c r="P51" s="19"/>
      <c r="Q51" s="19">
        <v>1039.4999999999998</v>
      </c>
      <c r="R51" s="19">
        <v>0</v>
      </c>
      <c r="S51" s="19">
        <v>3489.48</v>
      </c>
      <c r="T51" s="19"/>
      <c r="U51" s="19"/>
      <c r="V51" s="19"/>
      <c r="W51" s="19">
        <v>0</v>
      </c>
      <c r="X51" s="19">
        <v>0</v>
      </c>
      <c r="Y51" s="19">
        <v>0</v>
      </c>
      <c r="Z51" s="19">
        <v>1039.4999999999998</v>
      </c>
      <c r="AA51" s="19">
        <v>0</v>
      </c>
      <c r="AB51" s="19">
        <v>3489.48</v>
      </c>
      <c r="AC51" s="19"/>
      <c r="AD51" s="19"/>
      <c r="AE51" s="19"/>
      <c r="AF51" s="19">
        <v>0</v>
      </c>
      <c r="AG51" s="19">
        <v>0</v>
      </c>
      <c r="AH51" s="19">
        <v>0</v>
      </c>
      <c r="AI51" s="19">
        <v>1039.4999999999998</v>
      </c>
      <c r="AJ51" s="19">
        <v>0</v>
      </c>
      <c r="AK51" s="19">
        <v>3489.48</v>
      </c>
      <c r="AL51" s="19">
        <v>0</v>
      </c>
      <c r="AM51" s="19">
        <v>0</v>
      </c>
      <c r="AN51" s="19">
        <v>0</v>
      </c>
      <c r="AO51" s="19">
        <v>3000.3750000000005</v>
      </c>
      <c r="AP51" s="19">
        <v>138.10500000000002</v>
      </c>
      <c r="AQ51" s="19">
        <v>7705.9350000000004</v>
      </c>
      <c r="AR51" s="19"/>
      <c r="AS51" s="19"/>
      <c r="AT51" s="19"/>
      <c r="AU51" s="19">
        <v>0</v>
      </c>
      <c r="AV51" s="19">
        <v>0</v>
      </c>
      <c r="AW51" s="19">
        <v>0</v>
      </c>
      <c r="AX51" s="19">
        <v>3000.3750000000005</v>
      </c>
      <c r="AY51" s="19">
        <v>138.10500000000002</v>
      </c>
      <c r="AZ51" s="19">
        <v>7705.9350000000004</v>
      </c>
      <c r="BA51" s="19"/>
      <c r="BB51" s="19"/>
      <c r="BC51" s="19"/>
      <c r="BD51" s="19">
        <v>0</v>
      </c>
      <c r="BE51" s="19">
        <v>0</v>
      </c>
      <c r="BF51" s="19">
        <v>0</v>
      </c>
      <c r="BG51" s="19">
        <v>3000.3750000000005</v>
      </c>
      <c r="BH51" s="19">
        <v>138.10500000000002</v>
      </c>
      <c r="BI51" s="19">
        <v>7705.9350000000004</v>
      </c>
      <c r="BJ51" s="19"/>
      <c r="BK51" s="19"/>
      <c r="BL51" s="19"/>
      <c r="BM51" s="19">
        <v>0</v>
      </c>
      <c r="BN51" s="19">
        <v>0</v>
      </c>
      <c r="BO51" s="19">
        <v>0</v>
      </c>
      <c r="BP51" s="19">
        <v>4541.90625</v>
      </c>
      <c r="BQ51" s="19">
        <v>138.10500000000002</v>
      </c>
      <c r="BR51" s="19">
        <v>11631.6</v>
      </c>
      <c r="BS51" s="19"/>
      <c r="BT51" s="19"/>
      <c r="BU51" s="19"/>
      <c r="BV51" s="19">
        <v>0</v>
      </c>
      <c r="BW51" s="19">
        <v>0</v>
      </c>
      <c r="BX51" s="19">
        <v>0</v>
      </c>
      <c r="BY51" s="19">
        <v>4541.90625</v>
      </c>
      <c r="BZ51" s="19">
        <v>138.10500000000002</v>
      </c>
      <c r="CA51" s="19">
        <v>11631.6</v>
      </c>
      <c r="CB51" s="19"/>
      <c r="CC51" s="19"/>
      <c r="CD51" s="19"/>
      <c r="CE51" s="19">
        <v>0</v>
      </c>
      <c r="CF51" s="19">
        <v>0</v>
      </c>
      <c r="CG51" s="19">
        <v>0</v>
      </c>
      <c r="CH51" s="19">
        <v>4541.90625</v>
      </c>
      <c r="CI51" s="19">
        <v>138.10500000000002</v>
      </c>
      <c r="CJ51" s="19">
        <v>11631.6</v>
      </c>
      <c r="CK51" s="19"/>
      <c r="CL51" s="19"/>
      <c r="CM51" s="19"/>
      <c r="CN51" s="19">
        <v>0</v>
      </c>
      <c r="CO51" s="19">
        <v>0</v>
      </c>
      <c r="CP51" s="19">
        <v>0</v>
      </c>
      <c r="CQ51" s="19"/>
      <c r="CR51" s="19"/>
      <c r="CS51" s="19"/>
      <c r="CT51" s="19"/>
      <c r="CU51" s="11">
        <f>Tabelle58971121[[#This Row],[Mindestauslastung durch]]*Tabelle58971121[[#This Row],[installierte Leistung MW durch]]</f>
        <v>2126.25</v>
      </c>
      <c r="CV51" s="11">
        <f>Tabelle58971121[[#This Row],[Mindestauslastung min]]*Tabelle58971121[[#This Row],[installierte Leistung MW min]]</f>
        <v>2071.5749999999998</v>
      </c>
      <c r="CW51" s="11">
        <f>Tabelle58971121[[#This Row],[Mindestauslastung max]]*Tabelle58971121[[#This Row],[installierte Leistung MW max]]</f>
        <v>2180.9249999999997</v>
      </c>
      <c r="CX51" s="9">
        <v>0.15</v>
      </c>
      <c r="CY51" s="9">
        <v>0.15</v>
      </c>
      <c r="CZ51" s="9">
        <v>0.15</v>
      </c>
      <c r="DA51" s="9"/>
      <c r="DB51" s="9">
        <v>7.3333333333333334E-2</v>
      </c>
      <c r="DC51" s="9">
        <v>0</v>
      </c>
      <c r="DD51" s="9">
        <v>0.24</v>
      </c>
      <c r="DE51" s="9">
        <v>7.3333333333333334E-2</v>
      </c>
      <c r="DF51" s="9">
        <v>0</v>
      </c>
      <c r="DG51" s="9">
        <v>0.24</v>
      </c>
      <c r="DH51" s="9">
        <v>7.3333333333333334E-2</v>
      </c>
      <c r="DI51" s="9">
        <v>0</v>
      </c>
      <c r="DJ51" s="9">
        <v>0.24</v>
      </c>
      <c r="DK51" s="9">
        <v>0.2116666666666667</v>
      </c>
      <c r="DL51" s="9">
        <v>0.01</v>
      </c>
      <c r="DM51" s="9">
        <v>0.53</v>
      </c>
      <c r="DN51" s="9">
        <v>0.2116666666666667</v>
      </c>
      <c r="DO51" s="9">
        <v>0.01</v>
      </c>
      <c r="DP51" s="9">
        <v>0.53</v>
      </c>
      <c r="DQ51" s="9">
        <v>0.2116666666666667</v>
      </c>
      <c r="DR51" s="9">
        <v>0.01</v>
      </c>
      <c r="DS51" s="9">
        <v>0.53</v>
      </c>
      <c r="DT51" s="9">
        <v>0.32041666666666663</v>
      </c>
      <c r="DU51" s="9">
        <v>0.01</v>
      </c>
      <c r="DV51" s="9">
        <v>0.8</v>
      </c>
      <c r="DW51" s="9">
        <v>0.32041666666666663</v>
      </c>
      <c r="DX51" s="9">
        <v>0.01</v>
      </c>
      <c r="DY51" s="9">
        <v>0.8</v>
      </c>
      <c r="DZ51" s="9">
        <v>0.32041666666666663</v>
      </c>
      <c r="EA51" s="9">
        <v>0.01</v>
      </c>
      <c r="EB51" s="9">
        <v>0.8</v>
      </c>
      <c r="EC51" s="9"/>
      <c r="ED51" s="9"/>
      <c r="EE51" s="9"/>
      <c r="EF51" s="46">
        <f>Tabelle58971121[[#This Row],[Durchschnittsauslastung min]]*Tabelle58971121[[#This Row],[installierte Leistung MW min]]</f>
        <v>0</v>
      </c>
      <c r="EG51" s="46">
        <f>Tabelle58971121[[#This Row],[Durchschnittsauslastung durch]]*Tabelle58971121[[#This Row],[installierte Leistung MW durch]]</f>
        <v>0</v>
      </c>
      <c r="EH51" s="46">
        <f>Tabelle58971121[[#This Row],[Durchschnittsauslastung max]]*Tabelle58971121[[#This Row],[installierte Leistung MW max]]</f>
        <v>0</v>
      </c>
      <c r="EI51" s="83">
        <f>Tabelle58971121[[#This Row],[Maximalauslastung durch]]*Tabelle58971121[[#This Row],[installierte Leistung MW min]]</f>
        <v>10357.875</v>
      </c>
      <c r="EJ51" s="46">
        <f>Tabelle58971121[[#This Row],[Maximalauslastung durch]]*Tabelle58971121[[#This Row],[installierte Leistung MW durch]]</f>
        <v>10631.25</v>
      </c>
      <c r="EK51" s="19">
        <f>Tabelle58971121[[#This Row],[Maximalauslastung max]]*Tabelle58971121[[#This Row],[installierte Leistung MW durch]]</f>
        <v>11481.75</v>
      </c>
      <c r="EL51" s="9">
        <v>0.75</v>
      </c>
      <c r="EM51" s="9">
        <v>0.69</v>
      </c>
      <c r="EN51" s="9">
        <v>0.81</v>
      </c>
      <c r="EO51" s="1">
        <v>14175</v>
      </c>
      <c r="EP51" s="1">
        <v>13810.5</v>
      </c>
      <c r="EQ51" s="1">
        <v>14539.5</v>
      </c>
      <c r="ER51" s="19"/>
      <c r="ES51" s="19"/>
      <c r="EX51" s="1">
        <v>4</v>
      </c>
      <c r="EY51" s="1">
        <v>3.1</v>
      </c>
      <c r="EZ51" s="1">
        <v>4.9000000000000004</v>
      </c>
      <c r="FD51" s="1">
        <v>9</v>
      </c>
      <c r="FE51" s="1">
        <v>7.2</v>
      </c>
      <c r="FF51" s="1">
        <v>10.8</v>
      </c>
      <c r="FG51" s="1">
        <v>24</v>
      </c>
      <c r="FH51" s="1">
        <v>24</v>
      </c>
      <c r="FI51" s="1">
        <v>24</v>
      </c>
      <c r="FJ51" s="1">
        <v>7.4</v>
      </c>
      <c r="FK51" s="1">
        <v>4.6000000000000014</v>
      </c>
      <c r="FL51" s="1">
        <v>10.199999999999999</v>
      </c>
      <c r="FP51" s="1">
        <v>160</v>
      </c>
      <c r="FQ51" s="1">
        <v>144</v>
      </c>
      <c r="FR51" s="1">
        <v>176</v>
      </c>
      <c r="FS51" s="11"/>
      <c r="FT51" s="11"/>
      <c r="FU51" s="11"/>
      <c r="FV51" s="1">
        <v>160</v>
      </c>
      <c r="FW51" s="1">
        <v>144</v>
      </c>
      <c r="FX51" s="1">
        <v>176</v>
      </c>
      <c r="FY51" s="1">
        <v>25.848235294117643</v>
      </c>
      <c r="FZ51" s="19">
        <v>23.30411764705882</v>
      </c>
      <c r="GA51" s="19">
        <v>28.392352941176469</v>
      </c>
      <c r="GB51" s="19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>
        <v>38.670588235294112</v>
      </c>
      <c r="GO51" s="8">
        <v>34.803529411764707</v>
      </c>
      <c r="GP51" s="8">
        <v>42.537647058823524</v>
      </c>
      <c r="GS51" s="1">
        <v>67</v>
      </c>
      <c r="GT51" s="1">
        <v>67</v>
      </c>
      <c r="GU51" s="1">
        <v>67</v>
      </c>
      <c r="GV51" s="13" t="s">
        <v>806</v>
      </c>
      <c r="GW51" s="13" t="s">
        <v>806</v>
      </c>
      <c r="GX51" s="13" t="s">
        <v>806</v>
      </c>
      <c r="GY51" s="13"/>
      <c r="GZ51" s="13" t="s">
        <v>806</v>
      </c>
      <c r="HA51" s="13" t="s">
        <v>806</v>
      </c>
      <c r="HB51" s="13" t="s">
        <v>806</v>
      </c>
      <c r="HC51" s="13" t="s">
        <v>806</v>
      </c>
      <c r="HD51" s="13" t="s">
        <v>806</v>
      </c>
      <c r="HE51" s="13" t="s">
        <v>806</v>
      </c>
      <c r="HF51" s="13" t="s">
        <v>806</v>
      </c>
      <c r="HI51" s="13" t="s">
        <v>806</v>
      </c>
      <c r="HJ51" s="13" t="s">
        <v>806</v>
      </c>
      <c r="HL51" s="13" t="s">
        <v>806</v>
      </c>
    </row>
    <row r="52" spans="1:220" ht="12.75" customHeight="1" x14ac:dyDescent="0.25">
      <c r="A52" s="1" t="s">
        <v>138</v>
      </c>
      <c r="B52" s="1" t="s">
        <v>743</v>
      </c>
      <c r="E52" s="1" t="s">
        <v>139</v>
      </c>
      <c r="F52" s="1">
        <v>2</v>
      </c>
      <c r="G52" s="1">
        <v>2025</v>
      </c>
      <c r="H52" s="1">
        <v>1</v>
      </c>
      <c r="I52" s="1">
        <v>0</v>
      </c>
      <c r="J52" s="1">
        <v>0</v>
      </c>
      <c r="K52" s="19"/>
      <c r="L52" s="19"/>
      <c r="M52" s="19"/>
      <c r="N52" s="19"/>
      <c r="O52" s="19"/>
      <c r="P52" s="19"/>
      <c r="Q52" s="19">
        <v>859.83333333333314</v>
      </c>
      <c r="R52" s="19">
        <v>0</v>
      </c>
      <c r="S52" s="19">
        <v>2886.36</v>
      </c>
      <c r="T52" s="19"/>
      <c r="U52" s="19"/>
      <c r="V52" s="19"/>
      <c r="W52" s="19">
        <v>0</v>
      </c>
      <c r="X52" s="19">
        <v>0</v>
      </c>
      <c r="Y52" s="19">
        <v>0</v>
      </c>
      <c r="Z52" s="19">
        <v>859.83333333333314</v>
      </c>
      <c r="AA52" s="19">
        <v>0</v>
      </c>
      <c r="AB52" s="19">
        <v>2886.36</v>
      </c>
      <c r="AC52" s="19"/>
      <c r="AD52" s="19"/>
      <c r="AE52" s="19"/>
      <c r="AF52" s="19">
        <v>0</v>
      </c>
      <c r="AG52" s="19">
        <v>0</v>
      </c>
      <c r="AH52" s="19">
        <v>0</v>
      </c>
      <c r="AI52" s="19">
        <v>859.83333333333314</v>
      </c>
      <c r="AJ52" s="19">
        <v>0</v>
      </c>
      <c r="AK52" s="19">
        <v>2886.36</v>
      </c>
      <c r="AL52" s="19">
        <v>0</v>
      </c>
      <c r="AM52" s="19">
        <v>0</v>
      </c>
      <c r="AN52" s="19">
        <v>0</v>
      </c>
      <c r="AO52" s="19">
        <v>2481.791666666667</v>
      </c>
      <c r="AP52" s="19">
        <v>114.23500000000001</v>
      </c>
      <c r="AQ52" s="19">
        <v>6374.0450000000001</v>
      </c>
      <c r="AR52" s="19"/>
      <c r="AS52" s="19"/>
      <c r="AT52" s="19"/>
      <c r="AU52" s="19">
        <v>0</v>
      </c>
      <c r="AV52" s="19">
        <v>0</v>
      </c>
      <c r="AW52" s="19">
        <v>0</v>
      </c>
      <c r="AX52" s="19">
        <v>2481.791666666667</v>
      </c>
      <c r="AY52" s="19">
        <v>114.23500000000001</v>
      </c>
      <c r="AZ52" s="19">
        <v>6374.0450000000001</v>
      </c>
      <c r="BA52" s="19"/>
      <c r="BB52" s="19"/>
      <c r="BC52" s="19"/>
      <c r="BD52" s="19">
        <v>0</v>
      </c>
      <c r="BE52" s="19">
        <v>0</v>
      </c>
      <c r="BF52" s="19">
        <v>0</v>
      </c>
      <c r="BG52" s="19">
        <v>2481.791666666667</v>
      </c>
      <c r="BH52" s="19">
        <v>114.23500000000001</v>
      </c>
      <c r="BI52" s="19">
        <v>6374.0450000000001</v>
      </c>
      <c r="BJ52" s="19"/>
      <c r="BK52" s="19"/>
      <c r="BL52" s="19"/>
      <c r="BM52" s="19">
        <v>0</v>
      </c>
      <c r="BN52" s="19">
        <v>0</v>
      </c>
      <c r="BO52" s="19">
        <v>0</v>
      </c>
      <c r="BP52" s="19">
        <v>3756.8854166666665</v>
      </c>
      <c r="BQ52" s="19">
        <v>114.23500000000001</v>
      </c>
      <c r="BR52" s="19">
        <v>9621.2000000000007</v>
      </c>
      <c r="BS52" s="19"/>
      <c r="BT52" s="19"/>
      <c r="BU52" s="19"/>
      <c r="BV52" s="19">
        <v>0</v>
      </c>
      <c r="BW52" s="19">
        <v>0</v>
      </c>
      <c r="BX52" s="19">
        <v>0</v>
      </c>
      <c r="BY52" s="19">
        <v>3756.8854166666665</v>
      </c>
      <c r="BZ52" s="19">
        <v>114.23500000000001</v>
      </c>
      <c r="CA52" s="19">
        <v>9621.2000000000007</v>
      </c>
      <c r="CB52" s="19"/>
      <c r="CC52" s="19"/>
      <c r="CD52" s="19"/>
      <c r="CE52" s="19">
        <v>0</v>
      </c>
      <c r="CF52" s="19">
        <v>0</v>
      </c>
      <c r="CG52" s="19">
        <v>0</v>
      </c>
      <c r="CH52" s="19">
        <v>3756.8854166666665</v>
      </c>
      <c r="CI52" s="19">
        <v>114.23500000000001</v>
      </c>
      <c r="CJ52" s="19">
        <v>9621.2000000000007</v>
      </c>
      <c r="CK52" s="19"/>
      <c r="CL52" s="19"/>
      <c r="CM52" s="19"/>
      <c r="CN52" s="19">
        <v>0</v>
      </c>
      <c r="CO52" s="19">
        <v>0</v>
      </c>
      <c r="CP52" s="19">
        <v>0</v>
      </c>
      <c r="CQ52" s="19"/>
      <c r="CR52" s="19"/>
      <c r="CS52" s="19"/>
      <c r="CT52" s="19"/>
      <c r="CU52" s="11">
        <f>Tabelle58971121[[#This Row],[Mindestauslastung durch]]*Tabelle58971121[[#This Row],[installierte Leistung MW durch]]</f>
        <v>1758.75</v>
      </c>
      <c r="CV52" s="11">
        <f>Tabelle58971121[[#This Row],[Mindestauslastung min]]*Tabelle58971121[[#This Row],[installierte Leistung MW min]]</f>
        <v>1713.5249999999999</v>
      </c>
      <c r="CW52" s="11">
        <f>Tabelle58971121[[#This Row],[Mindestauslastung max]]*Tabelle58971121[[#This Row],[installierte Leistung MW max]]</f>
        <v>1803.9749999999999</v>
      </c>
      <c r="CX52" s="9">
        <v>0.15</v>
      </c>
      <c r="CY52" s="9">
        <v>0.15</v>
      </c>
      <c r="CZ52" s="9">
        <v>0.15</v>
      </c>
      <c r="DA52" s="9"/>
      <c r="DB52" s="9">
        <v>7.3333333333333334E-2</v>
      </c>
      <c r="DC52" s="9">
        <v>0</v>
      </c>
      <c r="DD52" s="9">
        <v>0.24</v>
      </c>
      <c r="DE52" s="9">
        <v>7.3333333333333334E-2</v>
      </c>
      <c r="DF52" s="9">
        <v>0</v>
      </c>
      <c r="DG52" s="9">
        <v>0.24</v>
      </c>
      <c r="DH52" s="9">
        <v>7.3333333333333334E-2</v>
      </c>
      <c r="DI52" s="9">
        <v>0</v>
      </c>
      <c r="DJ52" s="9">
        <v>0.24</v>
      </c>
      <c r="DK52" s="9">
        <v>0.2116666666666667</v>
      </c>
      <c r="DL52" s="9">
        <v>0.01</v>
      </c>
      <c r="DM52" s="9">
        <v>0.53</v>
      </c>
      <c r="DN52" s="9">
        <v>0.2116666666666667</v>
      </c>
      <c r="DO52" s="9">
        <v>0.01</v>
      </c>
      <c r="DP52" s="9">
        <v>0.53</v>
      </c>
      <c r="DQ52" s="9">
        <v>0.2116666666666667</v>
      </c>
      <c r="DR52" s="9">
        <v>0.01</v>
      </c>
      <c r="DS52" s="9">
        <v>0.53</v>
      </c>
      <c r="DT52" s="9">
        <v>0.32041666666666663</v>
      </c>
      <c r="DU52" s="9">
        <v>0.01</v>
      </c>
      <c r="DV52" s="9">
        <v>0.8</v>
      </c>
      <c r="DW52" s="9">
        <v>0.32041666666666663</v>
      </c>
      <c r="DX52" s="9">
        <v>0.01</v>
      </c>
      <c r="DY52" s="9">
        <v>0.8</v>
      </c>
      <c r="DZ52" s="9">
        <v>0.32041666666666663</v>
      </c>
      <c r="EA52" s="9">
        <v>0.01</v>
      </c>
      <c r="EB52" s="9">
        <v>0.8</v>
      </c>
      <c r="EC52" s="9"/>
      <c r="ED52" s="9"/>
      <c r="EE52" s="9"/>
      <c r="EF52" s="46">
        <f>Tabelle58971121[[#This Row],[Durchschnittsauslastung min]]*Tabelle58971121[[#This Row],[installierte Leistung MW min]]</f>
        <v>0</v>
      </c>
      <c r="EG52" s="46">
        <f>Tabelle58971121[[#This Row],[Durchschnittsauslastung durch]]*Tabelle58971121[[#This Row],[installierte Leistung MW durch]]</f>
        <v>0</v>
      </c>
      <c r="EH52" s="46">
        <f>Tabelle58971121[[#This Row],[Durchschnittsauslastung max]]*Tabelle58971121[[#This Row],[installierte Leistung MW max]]</f>
        <v>0</v>
      </c>
      <c r="EI52" s="83">
        <f>Tabelle58971121[[#This Row],[Maximalauslastung durch]]*Tabelle58971121[[#This Row],[installierte Leistung MW min]]</f>
        <v>8567.625</v>
      </c>
      <c r="EJ52" s="46">
        <f>Tabelle58971121[[#This Row],[Maximalauslastung durch]]*Tabelle58971121[[#This Row],[installierte Leistung MW durch]]</f>
        <v>8793.75</v>
      </c>
      <c r="EK52" s="19">
        <f>Tabelle58971121[[#This Row],[Maximalauslastung max]]*Tabelle58971121[[#This Row],[installierte Leistung MW durch]]</f>
        <v>9497.25</v>
      </c>
      <c r="EL52" s="9">
        <v>0.75</v>
      </c>
      <c r="EM52" s="9">
        <v>0.69</v>
      </c>
      <c r="EN52" s="9">
        <v>0.81</v>
      </c>
      <c r="EO52" s="1">
        <v>11725</v>
      </c>
      <c r="EP52" s="1">
        <v>11423.5</v>
      </c>
      <c r="EQ52" s="1">
        <v>12026.5</v>
      </c>
      <c r="ER52" s="19"/>
      <c r="ES52" s="19"/>
      <c r="EX52" s="1">
        <v>4</v>
      </c>
      <c r="EY52" s="1">
        <v>3.1</v>
      </c>
      <c r="EZ52" s="1">
        <v>4.9000000000000004</v>
      </c>
      <c r="FD52" s="1">
        <v>9</v>
      </c>
      <c r="FE52" s="1">
        <v>7.2</v>
      </c>
      <c r="FF52" s="1">
        <v>10.8</v>
      </c>
      <c r="FG52" s="1">
        <v>24</v>
      </c>
      <c r="FH52" s="1">
        <v>24</v>
      </c>
      <c r="FI52" s="1">
        <v>24</v>
      </c>
      <c r="FJ52" s="1">
        <v>7.4</v>
      </c>
      <c r="FK52" s="1">
        <v>4.6000000000000014</v>
      </c>
      <c r="FL52" s="1">
        <v>10.199999999999999</v>
      </c>
      <c r="FP52" s="1">
        <v>160</v>
      </c>
      <c r="FQ52" s="1">
        <v>144</v>
      </c>
      <c r="FR52" s="1">
        <v>176</v>
      </c>
      <c r="FS52" s="11"/>
      <c r="FT52" s="11"/>
      <c r="FU52" s="11"/>
      <c r="FV52" s="1">
        <v>160</v>
      </c>
      <c r="FW52" s="1">
        <v>144</v>
      </c>
      <c r="FX52" s="1">
        <v>176</v>
      </c>
      <c r="FY52" s="1">
        <v>25.848235294117643</v>
      </c>
      <c r="FZ52" s="19">
        <v>23.30411764705882</v>
      </c>
      <c r="GA52" s="19">
        <v>28.392352941176469</v>
      </c>
      <c r="GB52" s="19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>
        <v>38.670588235294112</v>
      </c>
      <c r="GO52" s="8">
        <v>34.803529411764707</v>
      </c>
      <c r="GP52" s="8">
        <v>42.537647058823524</v>
      </c>
      <c r="GS52" s="1">
        <v>67</v>
      </c>
      <c r="GT52" s="1">
        <v>67</v>
      </c>
      <c r="GU52" s="1">
        <v>67</v>
      </c>
      <c r="GV52" s="13" t="s">
        <v>806</v>
      </c>
      <c r="GW52" s="13" t="s">
        <v>806</v>
      </c>
      <c r="GX52" s="13" t="s">
        <v>806</v>
      </c>
      <c r="GY52" s="13"/>
      <c r="GZ52" s="13" t="s">
        <v>806</v>
      </c>
      <c r="HA52" s="13" t="s">
        <v>806</v>
      </c>
      <c r="HB52" s="13" t="s">
        <v>806</v>
      </c>
      <c r="HC52" s="13" t="s">
        <v>806</v>
      </c>
      <c r="HD52" s="13" t="s">
        <v>806</v>
      </c>
      <c r="HE52" s="13" t="s">
        <v>806</v>
      </c>
      <c r="HF52" s="13" t="s">
        <v>806</v>
      </c>
      <c r="HI52" s="13" t="s">
        <v>806</v>
      </c>
      <c r="HJ52" s="13" t="s">
        <v>806</v>
      </c>
      <c r="HL52" s="13" t="s">
        <v>806</v>
      </c>
    </row>
    <row r="53" spans="1:220" ht="12.75" customHeight="1" x14ac:dyDescent="0.25">
      <c r="A53" s="1" t="s">
        <v>138</v>
      </c>
      <c r="B53" s="1" t="s">
        <v>743</v>
      </c>
      <c r="E53" s="1" t="s">
        <v>139</v>
      </c>
      <c r="F53" s="1">
        <v>2</v>
      </c>
      <c r="G53" s="1">
        <v>2030</v>
      </c>
      <c r="H53" s="1">
        <v>1</v>
      </c>
      <c r="I53" s="1">
        <v>0</v>
      </c>
      <c r="J53" s="1">
        <v>0</v>
      </c>
      <c r="K53" s="19"/>
      <c r="L53" s="19"/>
      <c r="M53" s="19"/>
      <c r="N53" s="19"/>
      <c r="O53" s="19"/>
      <c r="P53" s="19"/>
      <c r="Q53" s="19">
        <v>692.99999999999989</v>
      </c>
      <c r="R53" s="19">
        <v>0</v>
      </c>
      <c r="S53" s="19">
        <v>2326.3200000000002</v>
      </c>
      <c r="T53" s="19"/>
      <c r="U53" s="19"/>
      <c r="V53" s="19"/>
      <c r="W53" s="19">
        <v>0</v>
      </c>
      <c r="X53" s="19">
        <v>0</v>
      </c>
      <c r="Y53" s="19">
        <v>0</v>
      </c>
      <c r="Z53" s="19">
        <v>692.99999999999989</v>
      </c>
      <c r="AA53" s="19">
        <v>0</v>
      </c>
      <c r="AB53" s="19">
        <v>2326.3200000000002</v>
      </c>
      <c r="AC53" s="19"/>
      <c r="AD53" s="19"/>
      <c r="AE53" s="19"/>
      <c r="AF53" s="19">
        <v>0</v>
      </c>
      <c r="AG53" s="19">
        <v>0</v>
      </c>
      <c r="AH53" s="19">
        <v>0</v>
      </c>
      <c r="AI53" s="19">
        <v>692.99999999999989</v>
      </c>
      <c r="AJ53" s="19">
        <v>0</v>
      </c>
      <c r="AK53" s="19">
        <v>2326.3200000000002</v>
      </c>
      <c r="AL53" s="19">
        <v>0</v>
      </c>
      <c r="AM53" s="19">
        <v>0</v>
      </c>
      <c r="AN53" s="19">
        <v>0</v>
      </c>
      <c r="AO53" s="19">
        <v>2000.2500000000002</v>
      </c>
      <c r="AP53" s="19">
        <v>92.070000000000007</v>
      </c>
      <c r="AQ53" s="19">
        <v>5137.29</v>
      </c>
      <c r="AR53" s="19"/>
      <c r="AS53" s="19"/>
      <c r="AT53" s="19"/>
      <c r="AU53" s="19">
        <v>0</v>
      </c>
      <c r="AV53" s="19">
        <v>0</v>
      </c>
      <c r="AW53" s="19">
        <v>0</v>
      </c>
      <c r="AX53" s="19">
        <v>2000.2500000000002</v>
      </c>
      <c r="AY53" s="19">
        <v>92.070000000000007</v>
      </c>
      <c r="AZ53" s="19">
        <v>5137.29</v>
      </c>
      <c r="BA53" s="19"/>
      <c r="BB53" s="19"/>
      <c r="BC53" s="19"/>
      <c r="BD53" s="19">
        <v>0</v>
      </c>
      <c r="BE53" s="19">
        <v>0</v>
      </c>
      <c r="BF53" s="19">
        <v>0</v>
      </c>
      <c r="BG53" s="19">
        <v>2000.2500000000002</v>
      </c>
      <c r="BH53" s="19">
        <v>92.070000000000007</v>
      </c>
      <c r="BI53" s="19">
        <v>5137.29</v>
      </c>
      <c r="BJ53" s="19"/>
      <c r="BK53" s="19"/>
      <c r="BL53" s="19"/>
      <c r="BM53" s="19">
        <v>0</v>
      </c>
      <c r="BN53" s="19">
        <v>0</v>
      </c>
      <c r="BO53" s="19">
        <v>0</v>
      </c>
      <c r="BP53" s="19">
        <v>3027.9375</v>
      </c>
      <c r="BQ53" s="19">
        <v>92.070000000000007</v>
      </c>
      <c r="BR53" s="19">
        <v>7754.4000000000005</v>
      </c>
      <c r="BS53" s="19"/>
      <c r="BT53" s="19"/>
      <c r="BU53" s="19"/>
      <c r="BV53" s="19">
        <v>0</v>
      </c>
      <c r="BW53" s="19">
        <v>0</v>
      </c>
      <c r="BX53" s="19">
        <v>0</v>
      </c>
      <c r="BY53" s="19">
        <v>3027.9375</v>
      </c>
      <c r="BZ53" s="19">
        <v>92.070000000000007</v>
      </c>
      <c r="CA53" s="19">
        <v>7754.4000000000005</v>
      </c>
      <c r="CB53" s="19"/>
      <c r="CC53" s="19"/>
      <c r="CD53" s="19"/>
      <c r="CE53" s="19">
        <v>0</v>
      </c>
      <c r="CF53" s="19">
        <v>0</v>
      </c>
      <c r="CG53" s="19">
        <v>0</v>
      </c>
      <c r="CH53" s="19">
        <v>3027.9375</v>
      </c>
      <c r="CI53" s="19">
        <v>92.070000000000007</v>
      </c>
      <c r="CJ53" s="19">
        <v>7754.4000000000005</v>
      </c>
      <c r="CK53" s="19"/>
      <c r="CL53" s="19"/>
      <c r="CM53" s="19"/>
      <c r="CN53" s="19">
        <v>0</v>
      </c>
      <c r="CO53" s="19">
        <v>0</v>
      </c>
      <c r="CP53" s="19">
        <v>0</v>
      </c>
      <c r="CQ53" s="19"/>
      <c r="CR53" s="19"/>
      <c r="CS53" s="19"/>
      <c r="CT53" s="19"/>
      <c r="CU53" s="11">
        <f>Tabelle58971121[[#This Row],[Mindestauslastung durch]]*Tabelle58971121[[#This Row],[installierte Leistung MW durch]]</f>
        <v>1417.5</v>
      </c>
      <c r="CV53" s="11">
        <f>Tabelle58971121[[#This Row],[Mindestauslastung min]]*Tabelle58971121[[#This Row],[installierte Leistung MW min]]</f>
        <v>1381.05</v>
      </c>
      <c r="CW53" s="11">
        <f>Tabelle58971121[[#This Row],[Mindestauslastung max]]*Tabelle58971121[[#This Row],[installierte Leistung MW max]]</f>
        <v>1453.95</v>
      </c>
      <c r="CX53" s="9">
        <v>0.15</v>
      </c>
      <c r="CY53" s="9">
        <v>0.15</v>
      </c>
      <c r="CZ53" s="9">
        <v>0.15</v>
      </c>
      <c r="DA53" s="9"/>
      <c r="DB53" s="9">
        <v>7.3333333333333334E-2</v>
      </c>
      <c r="DC53" s="9">
        <v>0</v>
      </c>
      <c r="DD53" s="9">
        <v>0.24</v>
      </c>
      <c r="DE53" s="9">
        <v>7.3333333333333334E-2</v>
      </c>
      <c r="DF53" s="9">
        <v>0</v>
      </c>
      <c r="DG53" s="9">
        <v>0.24</v>
      </c>
      <c r="DH53" s="9">
        <v>7.3333333333333334E-2</v>
      </c>
      <c r="DI53" s="9">
        <v>0</v>
      </c>
      <c r="DJ53" s="9">
        <v>0.24</v>
      </c>
      <c r="DK53" s="9">
        <v>0.2116666666666667</v>
      </c>
      <c r="DL53" s="9">
        <v>0.01</v>
      </c>
      <c r="DM53" s="9">
        <v>0.53</v>
      </c>
      <c r="DN53" s="9">
        <v>0.2116666666666667</v>
      </c>
      <c r="DO53" s="9">
        <v>0.01</v>
      </c>
      <c r="DP53" s="9">
        <v>0.53</v>
      </c>
      <c r="DQ53" s="9">
        <v>0.2116666666666667</v>
      </c>
      <c r="DR53" s="9">
        <v>0.01</v>
      </c>
      <c r="DS53" s="9">
        <v>0.53</v>
      </c>
      <c r="DT53" s="9">
        <v>0.32041666666666663</v>
      </c>
      <c r="DU53" s="9">
        <v>0.01</v>
      </c>
      <c r="DV53" s="9">
        <v>0.8</v>
      </c>
      <c r="DW53" s="9">
        <v>0.32041666666666663</v>
      </c>
      <c r="DX53" s="9">
        <v>0.01</v>
      </c>
      <c r="DY53" s="9">
        <v>0.8</v>
      </c>
      <c r="DZ53" s="9">
        <v>0.32041666666666663</v>
      </c>
      <c r="EA53" s="9">
        <v>0.01</v>
      </c>
      <c r="EB53" s="9">
        <v>0.8</v>
      </c>
      <c r="EC53" s="9"/>
      <c r="ED53" s="9"/>
      <c r="EE53" s="9"/>
      <c r="EF53" s="46">
        <f>Tabelle58971121[[#This Row],[Durchschnittsauslastung min]]*Tabelle58971121[[#This Row],[installierte Leistung MW min]]</f>
        <v>0</v>
      </c>
      <c r="EG53" s="46">
        <f>Tabelle58971121[[#This Row],[Durchschnittsauslastung durch]]*Tabelle58971121[[#This Row],[installierte Leistung MW durch]]</f>
        <v>0</v>
      </c>
      <c r="EH53" s="46">
        <f>Tabelle58971121[[#This Row],[Durchschnittsauslastung max]]*Tabelle58971121[[#This Row],[installierte Leistung MW max]]</f>
        <v>0</v>
      </c>
      <c r="EI53" s="83">
        <f>Tabelle58971121[[#This Row],[Maximalauslastung durch]]*Tabelle58971121[[#This Row],[installierte Leistung MW min]]</f>
        <v>6905.25</v>
      </c>
      <c r="EJ53" s="46">
        <f>Tabelle58971121[[#This Row],[Maximalauslastung durch]]*Tabelle58971121[[#This Row],[installierte Leistung MW durch]]</f>
        <v>7087.5</v>
      </c>
      <c r="EK53" s="19">
        <f>Tabelle58971121[[#This Row],[Maximalauslastung max]]*Tabelle58971121[[#This Row],[installierte Leistung MW durch]]</f>
        <v>7654.5000000000009</v>
      </c>
      <c r="EL53" s="9">
        <v>0.75</v>
      </c>
      <c r="EM53" s="9">
        <v>0.69</v>
      </c>
      <c r="EN53" s="9">
        <v>0.81</v>
      </c>
      <c r="EO53" s="1">
        <v>9450</v>
      </c>
      <c r="EP53" s="1">
        <v>9207</v>
      </c>
      <c r="EQ53" s="1">
        <v>9693</v>
      </c>
      <c r="ER53" s="19"/>
      <c r="ES53" s="19"/>
      <c r="EX53" s="1">
        <v>4</v>
      </c>
      <c r="EY53" s="1">
        <v>3.1</v>
      </c>
      <c r="EZ53" s="1">
        <v>4.9000000000000004</v>
      </c>
      <c r="FD53" s="1">
        <v>9</v>
      </c>
      <c r="FE53" s="1">
        <v>7.2</v>
      </c>
      <c r="FF53" s="1">
        <v>10.8</v>
      </c>
      <c r="FG53" s="1">
        <v>24</v>
      </c>
      <c r="FH53" s="1">
        <v>24</v>
      </c>
      <c r="FI53" s="1">
        <v>24</v>
      </c>
      <c r="FJ53" s="1">
        <v>7.4</v>
      </c>
      <c r="FK53" s="1">
        <v>4.6000000000000014</v>
      </c>
      <c r="FL53" s="1">
        <v>10.199999999999999</v>
      </c>
      <c r="FP53" s="1">
        <v>160</v>
      </c>
      <c r="FQ53" s="1">
        <v>144</v>
      </c>
      <c r="FR53" s="1">
        <v>176</v>
      </c>
      <c r="FS53" s="11"/>
      <c r="FT53" s="11"/>
      <c r="FU53" s="11"/>
      <c r="FV53" s="1">
        <v>160</v>
      </c>
      <c r="FW53" s="1">
        <v>144</v>
      </c>
      <c r="FX53" s="1">
        <v>176</v>
      </c>
      <c r="FY53" s="1">
        <v>25.848235294117643</v>
      </c>
      <c r="FZ53" s="19">
        <v>23.30411764705882</v>
      </c>
      <c r="GA53" s="19">
        <v>28.392352941176469</v>
      </c>
      <c r="GB53" s="19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>
        <v>38.670588235294112</v>
      </c>
      <c r="GO53" s="8">
        <v>34.803529411764707</v>
      </c>
      <c r="GP53" s="8">
        <v>42.537647058823524</v>
      </c>
      <c r="GS53" s="1">
        <v>67</v>
      </c>
      <c r="GT53" s="1">
        <v>67</v>
      </c>
      <c r="GU53" s="1">
        <v>67</v>
      </c>
      <c r="GV53" s="13" t="s">
        <v>806</v>
      </c>
      <c r="GW53" s="13" t="s">
        <v>806</v>
      </c>
      <c r="GX53" s="13" t="s">
        <v>806</v>
      </c>
      <c r="GY53" s="13"/>
      <c r="GZ53" s="13" t="s">
        <v>806</v>
      </c>
      <c r="HA53" s="13" t="s">
        <v>806</v>
      </c>
      <c r="HB53" s="13" t="s">
        <v>806</v>
      </c>
      <c r="HC53" s="13" t="s">
        <v>806</v>
      </c>
      <c r="HD53" s="13" t="s">
        <v>806</v>
      </c>
      <c r="HE53" s="13" t="s">
        <v>806</v>
      </c>
      <c r="HF53" s="13" t="s">
        <v>806</v>
      </c>
      <c r="HI53" s="13" t="s">
        <v>806</v>
      </c>
      <c r="HJ53" s="13" t="s">
        <v>806</v>
      </c>
      <c r="HL53" s="13" t="s">
        <v>806</v>
      </c>
    </row>
    <row r="54" spans="1:220" ht="12.75" customHeight="1" x14ac:dyDescent="0.25">
      <c r="A54" s="1" t="s">
        <v>138</v>
      </c>
      <c r="B54" s="1" t="s">
        <v>743</v>
      </c>
      <c r="E54" s="1" t="s">
        <v>139</v>
      </c>
      <c r="F54" s="1">
        <v>2</v>
      </c>
      <c r="G54" s="1">
        <v>2035</v>
      </c>
      <c r="H54" s="1">
        <v>1</v>
      </c>
      <c r="I54" s="1">
        <v>0</v>
      </c>
      <c r="J54" s="1">
        <v>0</v>
      </c>
      <c r="K54" s="19"/>
      <c r="L54" s="19"/>
      <c r="M54" s="19"/>
      <c r="N54" s="19"/>
      <c r="O54" s="19"/>
      <c r="P54" s="19"/>
      <c r="Q54" s="19">
        <v>410.66666666666657</v>
      </c>
      <c r="R54" s="19">
        <v>0</v>
      </c>
      <c r="S54" s="19">
        <v>1378.56</v>
      </c>
      <c r="T54" s="19"/>
      <c r="U54" s="19"/>
      <c r="V54" s="19"/>
      <c r="W54" s="19">
        <v>0</v>
      </c>
      <c r="X54" s="19">
        <v>0</v>
      </c>
      <c r="Y54" s="19">
        <v>0</v>
      </c>
      <c r="Z54" s="19">
        <v>410.66666666666657</v>
      </c>
      <c r="AA54" s="19">
        <v>0</v>
      </c>
      <c r="AB54" s="19">
        <v>1378.56</v>
      </c>
      <c r="AC54" s="19"/>
      <c r="AD54" s="19"/>
      <c r="AE54" s="19"/>
      <c r="AF54" s="19">
        <v>0</v>
      </c>
      <c r="AG54" s="19">
        <v>0</v>
      </c>
      <c r="AH54" s="19">
        <v>0</v>
      </c>
      <c r="AI54" s="19">
        <v>410.66666666666657</v>
      </c>
      <c r="AJ54" s="19">
        <v>0</v>
      </c>
      <c r="AK54" s="19">
        <v>1378.56</v>
      </c>
      <c r="AL54" s="19">
        <v>0</v>
      </c>
      <c r="AM54" s="19">
        <v>0</v>
      </c>
      <c r="AN54" s="19">
        <v>0</v>
      </c>
      <c r="AO54" s="19">
        <v>1185.3333333333335</v>
      </c>
      <c r="AP54" s="19">
        <v>54.56</v>
      </c>
      <c r="AQ54" s="19">
        <v>3044.32</v>
      </c>
      <c r="AR54" s="19"/>
      <c r="AS54" s="19"/>
      <c r="AT54" s="19"/>
      <c r="AU54" s="19">
        <v>0</v>
      </c>
      <c r="AV54" s="19">
        <v>0</v>
      </c>
      <c r="AW54" s="19">
        <v>0</v>
      </c>
      <c r="AX54" s="19">
        <v>1185.3333333333335</v>
      </c>
      <c r="AY54" s="19">
        <v>54.56</v>
      </c>
      <c r="AZ54" s="19">
        <v>3044.32</v>
      </c>
      <c r="BA54" s="19"/>
      <c r="BB54" s="19"/>
      <c r="BC54" s="19"/>
      <c r="BD54" s="19">
        <v>0</v>
      </c>
      <c r="BE54" s="19">
        <v>0</v>
      </c>
      <c r="BF54" s="19">
        <v>0</v>
      </c>
      <c r="BG54" s="19">
        <v>1185.3333333333335</v>
      </c>
      <c r="BH54" s="19">
        <v>54.56</v>
      </c>
      <c r="BI54" s="19">
        <v>3044.32</v>
      </c>
      <c r="BJ54" s="19"/>
      <c r="BK54" s="19"/>
      <c r="BL54" s="19"/>
      <c r="BM54" s="19">
        <v>0</v>
      </c>
      <c r="BN54" s="19">
        <v>0</v>
      </c>
      <c r="BO54" s="19">
        <v>0</v>
      </c>
      <c r="BP54" s="19">
        <v>1794.3333333333333</v>
      </c>
      <c r="BQ54" s="19">
        <v>54.56</v>
      </c>
      <c r="BR54" s="19">
        <v>4595.2</v>
      </c>
      <c r="BS54" s="19"/>
      <c r="BT54" s="19"/>
      <c r="BU54" s="19"/>
      <c r="BV54" s="19">
        <v>0</v>
      </c>
      <c r="BW54" s="19">
        <v>0</v>
      </c>
      <c r="BX54" s="19">
        <v>0</v>
      </c>
      <c r="BY54" s="19">
        <v>1794.3333333333333</v>
      </c>
      <c r="BZ54" s="19">
        <v>54.56</v>
      </c>
      <c r="CA54" s="19">
        <v>4595.2</v>
      </c>
      <c r="CB54" s="19"/>
      <c r="CC54" s="19"/>
      <c r="CD54" s="19"/>
      <c r="CE54" s="19">
        <v>0</v>
      </c>
      <c r="CF54" s="19">
        <v>0</v>
      </c>
      <c r="CG54" s="19">
        <v>0</v>
      </c>
      <c r="CH54" s="19">
        <v>1794.3333333333333</v>
      </c>
      <c r="CI54" s="19">
        <v>54.56</v>
      </c>
      <c r="CJ54" s="19">
        <v>4595.2</v>
      </c>
      <c r="CK54" s="19"/>
      <c r="CL54" s="19"/>
      <c r="CM54" s="19"/>
      <c r="CN54" s="19">
        <v>0</v>
      </c>
      <c r="CO54" s="19">
        <v>0</v>
      </c>
      <c r="CP54" s="19">
        <v>0</v>
      </c>
      <c r="CQ54" s="19"/>
      <c r="CR54" s="19"/>
      <c r="CS54" s="19"/>
      <c r="CT54" s="19"/>
      <c r="CU54" s="11">
        <f>Tabelle58971121[[#This Row],[Mindestauslastung durch]]*Tabelle58971121[[#This Row],[installierte Leistung MW durch]]</f>
        <v>840</v>
      </c>
      <c r="CV54" s="11">
        <f>Tabelle58971121[[#This Row],[Mindestauslastung min]]*Tabelle58971121[[#This Row],[installierte Leistung MW min]]</f>
        <v>818.4</v>
      </c>
      <c r="CW54" s="11">
        <f>Tabelle58971121[[#This Row],[Mindestauslastung max]]*Tabelle58971121[[#This Row],[installierte Leistung MW max]]</f>
        <v>861.6</v>
      </c>
      <c r="CX54" s="9">
        <v>0.15</v>
      </c>
      <c r="CY54" s="9">
        <v>0.15</v>
      </c>
      <c r="CZ54" s="9">
        <v>0.15</v>
      </c>
      <c r="DA54" s="9"/>
      <c r="DB54" s="9">
        <v>7.3333333333333334E-2</v>
      </c>
      <c r="DC54" s="9">
        <v>0</v>
      </c>
      <c r="DD54" s="9">
        <v>0.24</v>
      </c>
      <c r="DE54" s="9">
        <v>7.3333333333333334E-2</v>
      </c>
      <c r="DF54" s="9">
        <v>0</v>
      </c>
      <c r="DG54" s="9">
        <v>0.24</v>
      </c>
      <c r="DH54" s="9">
        <v>7.3333333333333334E-2</v>
      </c>
      <c r="DI54" s="9">
        <v>0</v>
      </c>
      <c r="DJ54" s="9">
        <v>0.24</v>
      </c>
      <c r="DK54" s="9">
        <v>0.2116666666666667</v>
      </c>
      <c r="DL54" s="9">
        <v>0.01</v>
      </c>
      <c r="DM54" s="9">
        <v>0.53</v>
      </c>
      <c r="DN54" s="9">
        <v>0.2116666666666667</v>
      </c>
      <c r="DO54" s="9">
        <v>0.01</v>
      </c>
      <c r="DP54" s="9">
        <v>0.53</v>
      </c>
      <c r="DQ54" s="9">
        <v>0.2116666666666667</v>
      </c>
      <c r="DR54" s="9">
        <v>0.01</v>
      </c>
      <c r="DS54" s="9">
        <v>0.53</v>
      </c>
      <c r="DT54" s="9">
        <v>0.32041666666666663</v>
      </c>
      <c r="DU54" s="9">
        <v>0.01</v>
      </c>
      <c r="DV54" s="9">
        <v>0.8</v>
      </c>
      <c r="DW54" s="9">
        <v>0.32041666666666663</v>
      </c>
      <c r="DX54" s="9">
        <v>0.01</v>
      </c>
      <c r="DY54" s="9">
        <v>0.8</v>
      </c>
      <c r="DZ54" s="9">
        <v>0.32041666666666663</v>
      </c>
      <c r="EA54" s="9">
        <v>0.01</v>
      </c>
      <c r="EB54" s="9">
        <v>0.8</v>
      </c>
      <c r="EC54" s="9"/>
      <c r="ED54" s="9"/>
      <c r="EE54" s="9"/>
      <c r="EF54" s="46">
        <f>Tabelle58971121[[#This Row],[Durchschnittsauslastung min]]*Tabelle58971121[[#This Row],[installierte Leistung MW min]]</f>
        <v>0</v>
      </c>
      <c r="EG54" s="46">
        <f>Tabelle58971121[[#This Row],[Durchschnittsauslastung durch]]*Tabelle58971121[[#This Row],[installierte Leistung MW durch]]</f>
        <v>0</v>
      </c>
      <c r="EH54" s="46">
        <f>Tabelle58971121[[#This Row],[Durchschnittsauslastung max]]*Tabelle58971121[[#This Row],[installierte Leistung MW max]]</f>
        <v>0</v>
      </c>
      <c r="EI54" s="83">
        <f>Tabelle58971121[[#This Row],[Maximalauslastung durch]]*Tabelle58971121[[#This Row],[installierte Leistung MW min]]</f>
        <v>4092</v>
      </c>
      <c r="EJ54" s="46">
        <f>Tabelle58971121[[#This Row],[Maximalauslastung durch]]*Tabelle58971121[[#This Row],[installierte Leistung MW durch]]</f>
        <v>4200</v>
      </c>
      <c r="EK54" s="19">
        <f>Tabelle58971121[[#This Row],[Maximalauslastung max]]*Tabelle58971121[[#This Row],[installierte Leistung MW durch]]</f>
        <v>4536</v>
      </c>
      <c r="EL54" s="9">
        <v>0.75</v>
      </c>
      <c r="EM54" s="9">
        <v>0.69</v>
      </c>
      <c r="EN54" s="9">
        <v>0.81</v>
      </c>
      <c r="EO54" s="1">
        <v>5600</v>
      </c>
      <c r="EP54" s="1">
        <v>5456</v>
      </c>
      <c r="EQ54" s="1">
        <v>5744</v>
      </c>
      <c r="ER54" s="19"/>
      <c r="ES54" s="19"/>
      <c r="EX54" s="1">
        <v>4</v>
      </c>
      <c r="EY54" s="1">
        <v>3.1</v>
      </c>
      <c r="EZ54" s="1">
        <v>4.9000000000000004</v>
      </c>
      <c r="FD54" s="1">
        <v>9</v>
      </c>
      <c r="FE54" s="1">
        <v>7.2</v>
      </c>
      <c r="FF54" s="1">
        <v>10.8</v>
      </c>
      <c r="FG54" s="1">
        <v>24</v>
      </c>
      <c r="FH54" s="1">
        <v>24</v>
      </c>
      <c r="FI54" s="1">
        <v>24</v>
      </c>
      <c r="FJ54" s="1">
        <v>7.4</v>
      </c>
      <c r="FK54" s="1">
        <v>4.6000000000000014</v>
      </c>
      <c r="FL54" s="1">
        <v>10.199999999999999</v>
      </c>
      <c r="FP54" s="1">
        <v>160</v>
      </c>
      <c r="FQ54" s="1">
        <v>144</v>
      </c>
      <c r="FR54" s="1">
        <v>176</v>
      </c>
      <c r="FS54" s="11"/>
      <c r="FT54" s="11"/>
      <c r="FU54" s="11"/>
      <c r="FV54" s="1">
        <v>160</v>
      </c>
      <c r="FW54" s="1">
        <v>144</v>
      </c>
      <c r="FX54" s="1">
        <v>176</v>
      </c>
      <c r="FY54" s="1">
        <v>25.848235294117643</v>
      </c>
      <c r="FZ54" s="19">
        <v>23.30411764705882</v>
      </c>
      <c r="GA54" s="19">
        <v>28.392352941176469</v>
      </c>
      <c r="GB54" s="19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>
        <v>38.670588235294112</v>
      </c>
      <c r="GO54" s="8">
        <v>34.803529411764707</v>
      </c>
      <c r="GP54" s="8">
        <v>42.537647058823524</v>
      </c>
      <c r="GS54" s="1">
        <v>67</v>
      </c>
      <c r="GT54" s="1">
        <v>67</v>
      </c>
      <c r="GU54" s="1">
        <v>67</v>
      </c>
      <c r="GV54" s="13" t="s">
        <v>806</v>
      </c>
      <c r="GW54" s="13" t="s">
        <v>806</v>
      </c>
      <c r="GX54" s="13" t="s">
        <v>806</v>
      </c>
      <c r="GY54" s="13"/>
      <c r="GZ54" s="13" t="s">
        <v>806</v>
      </c>
      <c r="HA54" s="13" t="s">
        <v>806</v>
      </c>
      <c r="HB54" s="13" t="s">
        <v>806</v>
      </c>
      <c r="HC54" s="13" t="s">
        <v>806</v>
      </c>
      <c r="HD54" s="13" t="s">
        <v>806</v>
      </c>
      <c r="HE54" s="13" t="s">
        <v>806</v>
      </c>
      <c r="HF54" s="13" t="s">
        <v>806</v>
      </c>
      <c r="HI54" s="13" t="s">
        <v>806</v>
      </c>
      <c r="HJ54" s="13" t="s">
        <v>806</v>
      </c>
      <c r="HL54" s="13" t="s">
        <v>806</v>
      </c>
    </row>
    <row r="55" spans="1:220" ht="12.75" customHeight="1" x14ac:dyDescent="0.25">
      <c r="A55" s="1" t="s">
        <v>138</v>
      </c>
      <c r="B55" s="1" t="s">
        <v>743</v>
      </c>
      <c r="E55" s="1" t="s">
        <v>139</v>
      </c>
      <c r="F55" s="1">
        <v>2</v>
      </c>
      <c r="G55" s="1">
        <v>2040</v>
      </c>
      <c r="H55" s="1">
        <v>1</v>
      </c>
      <c r="I55" s="1">
        <v>0</v>
      </c>
      <c r="J55" s="1">
        <v>0</v>
      </c>
      <c r="K55" s="19"/>
      <c r="L55" s="19"/>
      <c r="M55" s="19"/>
      <c r="N55" s="19"/>
      <c r="O55" s="19"/>
      <c r="P55" s="19"/>
      <c r="Q55" s="19">
        <v>243.83333333333329</v>
      </c>
      <c r="R55" s="19">
        <v>0</v>
      </c>
      <c r="S55" s="19">
        <v>818.52</v>
      </c>
      <c r="T55" s="19"/>
      <c r="U55" s="19"/>
      <c r="V55" s="19"/>
      <c r="W55" s="19">
        <v>0</v>
      </c>
      <c r="X55" s="19">
        <v>0</v>
      </c>
      <c r="Y55" s="19">
        <v>0</v>
      </c>
      <c r="Z55" s="19">
        <v>243.83333333333329</v>
      </c>
      <c r="AA55" s="19">
        <v>0</v>
      </c>
      <c r="AB55" s="19">
        <v>818.52</v>
      </c>
      <c r="AC55" s="19"/>
      <c r="AD55" s="19"/>
      <c r="AE55" s="19"/>
      <c r="AF55" s="19">
        <v>0</v>
      </c>
      <c r="AG55" s="19">
        <v>0</v>
      </c>
      <c r="AH55" s="19">
        <v>0</v>
      </c>
      <c r="AI55" s="19">
        <v>243.83333333333329</v>
      </c>
      <c r="AJ55" s="19">
        <v>0</v>
      </c>
      <c r="AK55" s="19">
        <v>818.52</v>
      </c>
      <c r="AL55" s="19">
        <v>0</v>
      </c>
      <c r="AM55" s="19">
        <v>0</v>
      </c>
      <c r="AN55" s="19">
        <v>0</v>
      </c>
      <c r="AO55" s="19">
        <v>703.79166666666674</v>
      </c>
      <c r="AP55" s="19">
        <v>32.395000000000003</v>
      </c>
      <c r="AQ55" s="19">
        <v>1807.5650000000001</v>
      </c>
      <c r="AR55" s="19"/>
      <c r="AS55" s="19"/>
      <c r="AT55" s="19"/>
      <c r="AU55" s="19">
        <v>0</v>
      </c>
      <c r="AV55" s="19">
        <v>0</v>
      </c>
      <c r="AW55" s="19">
        <v>0</v>
      </c>
      <c r="AX55" s="19">
        <v>703.79166666666674</v>
      </c>
      <c r="AY55" s="19">
        <v>32.395000000000003</v>
      </c>
      <c r="AZ55" s="19">
        <v>1807.5650000000001</v>
      </c>
      <c r="BA55" s="19"/>
      <c r="BB55" s="19"/>
      <c r="BC55" s="19"/>
      <c r="BD55" s="19">
        <v>0</v>
      </c>
      <c r="BE55" s="19">
        <v>0</v>
      </c>
      <c r="BF55" s="19">
        <v>0</v>
      </c>
      <c r="BG55" s="19">
        <v>703.79166666666674</v>
      </c>
      <c r="BH55" s="19">
        <v>32.395000000000003</v>
      </c>
      <c r="BI55" s="19">
        <v>1807.5650000000001</v>
      </c>
      <c r="BJ55" s="19"/>
      <c r="BK55" s="19"/>
      <c r="BL55" s="19"/>
      <c r="BM55" s="19">
        <v>0</v>
      </c>
      <c r="BN55" s="19">
        <v>0</v>
      </c>
      <c r="BO55" s="19">
        <v>0</v>
      </c>
      <c r="BP55" s="19">
        <v>1065.3854166666665</v>
      </c>
      <c r="BQ55" s="19">
        <v>32.395000000000003</v>
      </c>
      <c r="BR55" s="19">
        <v>2728.4</v>
      </c>
      <c r="BS55" s="19"/>
      <c r="BT55" s="19"/>
      <c r="BU55" s="19"/>
      <c r="BV55" s="19">
        <v>0</v>
      </c>
      <c r="BW55" s="19">
        <v>0</v>
      </c>
      <c r="BX55" s="19">
        <v>0</v>
      </c>
      <c r="BY55" s="19">
        <v>1065.3854166666665</v>
      </c>
      <c r="BZ55" s="19">
        <v>32.395000000000003</v>
      </c>
      <c r="CA55" s="19">
        <v>2728.4</v>
      </c>
      <c r="CB55" s="19"/>
      <c r="CC55" s="19"/>
      <c r="CD55" s="19"/>
      <c r="CE55" s="19">
        <v>0</v>
      </c>
      <c r="CF55" s="19">
        <v>0</v>
      </c>
      <c r="CG55" s="19">
        <v>0</v>
      </c>
      <c r="CH55" s="19">
        <v>1065.3854166666665</v>
      </c>
      <c r="CI55" s="19">
        <v>32.395000000000003</v>
      </c>
      <c r="CJ55" s="19">
        <v>2728.4</v>
      </c>
      <c r="CK55" s="19"/>
      <c r="CL55" s="19"/>
      <c r="CM55" s="19"/>
      <c r="CN55" s="19">
        <v>0</v>
      </c>
      <c r="CO55" s="19">
        <v>0</v>
      </c>
      <c r="CP55" s="19">
        <v>0</v>
      </c>
      <c r="CQ55" s="19"/>
      <c r="CR55" s="19"/>
      <c r="CS55" s="19"/>
      <c r="CT55" s="19"/>
      <c r="CU55" s="11">
        <f>Tabelle58971121[[#This Row],[Mindestauslastung durch]]*Tabelle58971121[[#This Row],[installierte Leistung MW durch]]</f>
        <v>498.75</v>
      </c>
      <c r="CV55" s="11">
        <f>Tabelle58971121[[#This Row],[Mindestauslastung min]]*Tabelle58971121[[#This Row],[installierte Leistung MW min]]</f>
        <v>485.92499999999995</v>
      </c>
      <c r="CW55" s="11">
        <f>Tabelle58971121[[#This Row],[Mindestauslastung max]]*Tabelle58971121[[#This Row],[installierte Leistung MW max]]</f>
        <v>511.57499999999999</v>
      </c>
      <c r="CX55" s="9">
        <v>0.15</v>
      </c>
      <c r="CY55" s="9">
        <v>0.15</v>
      </c>
      <c r="CZ55" s="9">
        <v>0.15</v>
      </c>
      <c r="DA55" s="9"/>
      <c r="DB55" s="9">
        <v>7.3333333333333334E-2</v>
      </c>
      <c r="DC55" s="9">
        <v>0</v>
      </c>
      <c r="DD55" s="9">
        <v>0.24</v>
      </c>
      <c r="DE55" s="9">
        <v>7.3333333333333334E-2</v>
      </c>
      <c r="DF55" s="9">
        <v>0</v>
      </c>
      <c r="DG55" s="9">
        <v>0.24</v>
      </c>
      <c r="DH55" s="9">
        <v>7.3333333333333334E-2</v>
      </c>
      <c r="DI55" s="9">
        <v>0</v>
      </c>
      <c r="DJ55" s="9">
        <v>0.24</v>
      </c>
      <c r="DK55" s="9">
        <v>0.2116666666666667</v>
      </c>
      <c r="DL55" s="9">
        <v>0.01</v>
      </c>
      <c r="DM55" s="9">
        <v>0.53</v>
      </c>
      <c r="DN55" s="9">
        <v>0.2116666666666667</v>
      </c>
      <c r="DO55" s="9">
        <v>0.01</v>
      </c>
      <c r="DP55" s="9">
        <v>0.53</v>
      </c>
      <c r="DQ55" s="9">
        <v>0.2116666666666667</v>
      </c>
      <c r="DR55" s="9">
        <v>0.01</v>
      </c>
      <c r="DS55" s="9">
        <v>0.53</v>
      </c>
      <c r="DT55" s="9">
        <v>0.32041666666666663</v>
      </c>
      <c r="DU55" s="9">
        <v>0.01</v>
      </c>
      <c r="DV55" s="9">
        <v>0.8</v>
      </c>
      <c r="DW55" s="9">
        <v>0.32041666666666663</v>
      </c>
      <c r="DX55" s="9">
        <v>0.01</v>
      </c>
      <c r="DY55" s="9">
        <v>0.8</v>
      </c>
      <c r="DZ55" s="9">
        <v>0.32041666666666663</v>
      </c>
      <c r="EA55" s="9">
        <v>0.01</v>
      </c>
      <c r="EB55" s="9">
        <v>0.8</v>
      </c>
      <c r="EC55" s="9"/>
      <c r="ED55" s="9"/>
      <c r="EE55" s="9"/>
      <c r="EF55" s="46">
        <f>Tabelle58971121[[#This Row],[Durchschnittsauslastung min]]*Tabelle58971121[[#This Row],[installierte Leistung MW min]]</f>
        <v>0</v>
      </c>
      <c r="EG55" s="46">
        <f>Tabelle58971121[[#This Row],[Durchschnittsauslastung durch]]*Tabelle58971121[[#This Row],[installierte Leistung MW durch]]</f>
        <v>0</v>
      </c>
      <c r="EH55" s="46">
        <f>Tabelle58971121[[#This Row],[Durchschnittsauslastung max]]*Tabelle58971121[[#This Row],[installierte Leistung MW max]]</f>
        <v>0</v>
      </c>
      <c r="EI55" s="83">
        <f>Tabelle58971121[[#This Row],[Maximalauslastung durch]]*Tabelle58971121[[#This Row],[installierte Leistung MW min]]</f>
        <v>2429.625</v>
      </c>
      <c r="EJ55" s="46">
        <f>Tabelle58971121[[#This Row],[Maximalauslastung durch]]*Tabelle58971121[[#This Row],[installierte Leistung MW durch]]</f>
        <v>2493.75</v>
      </c>
      <c r="EK55" s="19">
        <f>Tabelle58971121[[#This Row],[Maximalauslastung max]]*Tabelle58971121[[#This Row],[installierte Leistung MW durch]]</f>
        <v>2693.25</v>
      </c>
      <c r="EL55" s="9">
        <v>0.75</v>
      </c>
      <c r="EM55" s="9">
        <v>0.69</v>
      </c>
      <c r="EN55" s="9">
        <v>0.81</v>
      </c>
      <c r="EO55" s="1">
        <v>3325</v>
      </c>
      <c r="EP55" s="1">
        <v>3239.5</v>
      </c>
      <c r="EQ55" s="1">
        <v>3410.5</v>
      </c>
      <c r="ER55" s="19"/>
      <c r="ES55" s="19"/>
      <c r="EX55" s="1">
        <v>4</v>
      </c>
      <c r="EY55" s="1">
        <v>3.1</v>
      </c>
      <c r="EZ55" s="1">
        <v>4.9000000000000004</v>
      </c>
      <c r="FD55" s="1">
        <v>9</v>
      </c>
      <c r="FE55" s="1">
        <v>7.2</v>
      </c>
      <c r="FF55" s="1">
        <v>10.8</v>
      </c>
      <c r="FG55" s="1">
        <v>24</v>
      </c>
      <c r="FH55" s="1">
        <v>24</v>
      </c>
      <c r="FI55" s="1">
        <v>24</v>
      </c>
      <c r="FJ55" s="1">
        <v>7.4</v>
      </c>
      <c r="FK55" s="1">
        <v>4.6000000000000014</v>
      </c>
      <c r="FL55" s="1">
        <v>10.199999999999999</v>
      </c>
      <c r="FP55" s="1">
        <v>160</v>
      </c>
      <c r="FQ55" s="1">
        <v>144</v>
      </c>
      <c r="FR55" s="1">
        <v>176</v>
      </c>
      <c r="FS55" s="11"/>
      <c r="FT55" s="11"/>
      <c r="FU55" s="11"/>
      <c r="FV55" s="1">
        <v>160</v>
      </c>
      <c r="FW55" s="1">
        <v>144</v>
      </c>
      <c r="FX55" s="1">
        <v>176</v>
      </c>
      <c r="FY55" s="1">
        <v>25.848235294117643</v>
      </c>
      <c r="FZ55" s="19">
        <v>23.30411764705882</v>
      </c>
      <c r="GA55" s="19">
        <v>28.392352941176469</v>
      </c>
      <c r="GB55" s="19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>
        <v>38.670588235294112</v>
      </c>
      <c r="GO55" s="8">
        <v>34.803529411764707</v>
      </c>
      <c r="GP55" s="8">
        <v>42.537647058823524</v>
      </c>
      <c r="GS55" s="1">
        <v>67</v>
      </c>
      <c r="GT55" s="1">
        <v>67</v>
      </c>
      <c r="GU55" s="1">
        <v>67</v>
      </c>
      <c r="GV55" s="13" t="s">
        <v>806</v>
      </c>
      <c r="GW55" s="13" t="s">
        <v>806</v>
      </c>
      <c r="GX55" s="13" t="s">
        <v>806</v>
      </c>
      <c r="GY55" s="13"/>
      <c r="GZ55" s="13" t="s">
        <v>806</v>
      </c>
      <c r="HA55" s="13" t="s">
        <v>806</v>
      </c>
      <c r="HB55" s="13" t="s">
        <v>806</v>
      </c>
      <c r="HC55" s="13" t="s">
        <v>806</v>
      </c>
      <c r="HD55" s="13" t="s">
        <v>806</v>
      </c>
      <c r="HE55" s="13" t="s">
        <v>806</v>
      </c>
      <c r="HF55" s="13" t="s">
        <v>806</v>
      </c>
      <c r="HI55" s="13" t="s">
        <v>806</v>
      </c>
      <c r="HJ55" s="13" t="s">
        <v>806</v>
      </c>
      <c r="HL55" s="13" t="s">
        <v>806</v>
      </c>
    </row>
    <row r="56" spans="1:220" ht="12.75" customHeight="1" x14ac:dyDescent="0.25">
      <c r="A56" s="1" t="s">
        <v>138</v>
      </c>
      <c r="B56" s="1" t="s">
        <v>743</v>
      </c>
      <c r="E56" s="1" t="s">
        <v>139</v>
      </c>
      <c r="F56" s="1">
        <v>2</v>
      </c>
      <c r="G56" s="1">
        <v>2045</v>
      </c>
      <c r="H56" s="1">
        <v>1</v>
      </c>
      <c r="I56" s="1">
        <v>0</v>
      </c>
      <c r="J56" s="1">
        <v>0</v>
      </c>
      <c r="K56" s="19"/>
      <c r="L56" s="19"/>
      <c r="M56" s="19"/>
      <c r="N56" s="19"/>
      <c r="O56" s="19"/>
      <c r="P56" s="19"/>
      <c r="Q56" s="19">
        <v>141.16666666666663</v>
      </c>
      <c r="R56" s="19">
        <v>0</v>
      </c>
      <c r="S56" s="19">
        <v>473.88</v>
      </c>
      <c r="T56" s="19"/>
      <c r="U56" s="19"/>
      <c r="V56" s="19"/>
      <c r="W56" s="19">
        <v>0</v>
      </c>
      <c r="X56" s="19">
        <v>0</v>
      </c>
      <c r="Y56" s="19">
        <v>0</v>
      </c>
      <c r="Z56" s="19">
        <v>141.16666666666663</v>
      </c>
      <c r="AA56" s="19">
        <v>0</v>
      </c>
      <c r="AB56" s="19">
        <v>473.88</v>
      </c>
      <c r="AC56" s="19"/>
      <c r="AD56" s="19"/>
      <c r="AE56" s="19"/>
      <c r="AF56" s="19">
        <v>0</v>
      </c>
      <c r="AG56" s="19">
        <v>0</v>
      </c>
      <c r="AH56" s="19">
        <v>0</v>
      </c>
      <c r="AI56" s="19">
        <v>141.16666666666663</v>
      </c>
      <c r="AJ56" s="19">
        <v>0</v>
      </c>
      <c r="AK56" s="19">
        <v>473.88</v>
      </c>
      <c r="AL56" s="19">
        <v>0</v>
      </c>
      <c r="AM56" s="19">
        <v>0</v>
      </c>
      <c r="AN56" s="19">
        <v>0</v>
      </c>
      <c r="AO56" s="19">
        <v>407.45833333333337</v>
      </c>
      <c r="AP56" s="19">
        <v>18.754999999999999</v>
      </c>
      <c r="AQ56" s="19">
        <v>1046.4849999999999</v>
      </c>
      <c r="AR56" s="19"/>
      <c r="AS56" s="19"/>
      <c r="AT56" s="19"/>
      <c r="AU56" s="19">
        <v>0</v>
      </c>
      <c r="AV56" s="19">
        <v>0</v>
      </c>
      <c r="AW56" s="19">
        <v>0</v>
      </c>
      <c r="AX56" s="19">
        <v>407.45833333333337</v>
      </c>
      <c r="AY56" s="19">
        <v>18.754999999999999</v>
      </c>
      <c r="AZ56" s="19">
        <v>1046.4849999999999</v>
      </c>
      <c r="BA56" s="19"/>
      <c r="BB56" s="19"/>
      <c r="BC56" s="19"/>
      <c r="BD56" s="19">
        <v>0</v>
      </c>
      <c r="BE56" s="19">
        <v>0</v>
      </c>
      <c r="BF56" s="19">
        <v>0</v>
      </c>
      <c r="BG56" s="19">
        <v>407.45833333333337</v>
      </c>
      <c r="BH56" s="19">
        <v>18.754999999999999</v>
      </c>
      <c r="BI56" s="19">
        <v>1046.4849999999999</v>
      </c>
      <c r="BJ56" s="19"/>
      <c r="BK56" s="19"/>
      <c r="BL56" s="19"/>
      <c r="BM56" s="19">
        <v>0</v>
      </c>
      <c r="BN56" s="19">
        <v>0</v>
      </c>
      <c r="BO56" s="19">
        <v>0</v>
      </c>
      <c r="BP56" s="19">
        <v>616.80208333333326</v>
      </c>
      <c r="BQ56" s="19">
        <v>18.754999999999999</v>
      </c>
      <c r="BR56" s="19">
        <v>1579.6</v>
      </c>
      <c r="BS56" s="19"/>
      <c r="BT56" s="19"/>
      <c r="BU56" s="19"/>
      <c r="BV56" s="19">
        <v>0</v>
      </c>
      <c r="BW56" s="19">
        <v>0</v>
      </c>
      <c r="BX56" s="19">
        <v>0</v>
      </c>
      <c r="BY56" s="19">
        <v>616.80208333333326</v>
      </c>
      <c r="BZ56" s="19">
        <v>18.754999999999999</v>
      </c>
      <c r="CA56" s="19">
        <v>1579.6</v>
      </c>
      <c r="CB56" s="19"/>
      <c r="CC56" s="19"/>
      <c r="CD56" s="19"/>
      <c r="CE56" s="19">
        <v>0</v>
      </c>
      <c r="CF56" s="19">
        <v>0</v>
      </c>
      <c r="CG56" s="19">
        <v>0</v>
      </c>
      <c r="CH56" s="19">
        <v>616.80208333333326</v>
      </c>
      <c r="CI56" s="19">
        <v>18.754999999999999</v>
      </c>
      <c r="CJ56" s="19">
        <v>1579.6</v>
      </c>
      <c r="CK56" s="19"/>
      <c r="CL56" s="19"/>
      <c r="CM56" s="19"/>
      <c r="CN56" s="19">
        <v>0</v>
      </c>
      <c r="CO56" s="19">
        <v>0</v>
      </c>
      <c r="CP56" s="19">
        <v>0</v>
      </c>
      <c r="CQ56" s="19"/>
      <c r="CR56" s="19"/>
      <c r="CS56" s="19"/>
      <c r="CT56" s="19"/>
      <c r="CU56" s="11">
        <f>Tabelle58971121[[#This Row],[Mindestauslastung durch]]*Tabelle58971121[[#This Row],[installierte Leistung MW durch]]</f>
        <v>288.75</v>
      </c>
      <c r="CV56" s="11">
        <f>Tabelle58971121[[#This Row],[Mindestauslastung min]]*Tabelle58971121[[#This Row],[installierte Leistung MW min]]</f>
        <v>281.32499999999999</v>
      </c>
      <c r="CW56" s="11">
        <f>Tabelle58971121[[#This Row],[Mindestauslastung max]]*Tabelle58971121[[#This Row],[installierte Leistung MW max]]</f>
        <v>296.17500000000001</v>
      </c>
      <c r="CX56" s="9">
        <v>0.15</v>
      </c>
      <c r="CY56" s="9">
        <v>0.15</v>
      </c>
      <c r="CZ56" s="9">
        <v>0.15</v>
      </c>
      <c r="DA56" s="9"/>
      <c r="DB56" s="9">
        <v>7.3333333333333334E-2</v>
      </c>
      <c r="DC56" s="9">
        <v>0</v>
      </c>
      <c r="DD56" s="9">
        <v>0.24</v>
      </c>
      <c r="DE56" s="9">
        <v>7.3333333333333334E-2</v>
      </c>
      <c r="DF56" s="9">
        <v>0</v>
      </c>
      <c r="DG56" s="9">
        <v>0.24</v>
      </c>
      <c r="DH56" s="9">
        <v>7.3333333333333334E-2</v>
      </c>
      <c r="DI56" s="9">
        <v>0</v>
      </c>
      <c r="DJ56" s="9">
        <v>0.24</v>
      </c>
      <c r="DK56" s="9">
        <v>0.2116666666666667</v>
      </c>
      <c r="DL56" s="9">
        <v>0.01</v>
      </c>
      <c r="DM56" s="9">
        <v>0.53</v>
      </c>
      <c r="DN56" s="9">
        <v>0.2116666666666667</v>
      </c>
      <c r="DO56" s="9">
        <v>0.01</v>
      </c>
      <c r="DP56" s="9">
        <v>0.53</v>
      </c>
      <c r="DQ56" s="9">
        <v>0.2116666666666667</v>
      </c>
      <c r="DR56" s="9">
        <v>0.01</v>
      </c>
      <c r="DS56" s="9">
        <v>0.53</v>
      </c>
      <c r="DT56" s="9">
        <v>0.32041666666666663</v>
      </c>
      <c r="DU56" s="9">
        <v>0.01</v>
      </c>
      <c r="DV56" s="9">
        <v>0.8</v>
      </c>
      <c r="DW56" s="9">
        <v>0.32041666666666663</v>
      </c>
      <c r="DX56" s="9">
        <v>0.01</v>
      </c>
      <c r="DY56" s="9">
        <v>0.8</v>
      </c>
      <c r="DZ56" s="9">
        <v>0.32041666666666663</v>
      </c>
      <c r="EA56" s="9">
        <v>0.01</v>
      </c>
      <c r="EB56" s="9">
        <v>0.8</v>
      </c>
      <c r="EC56" s="9"/>
      <c r="ED56" s="9"/>
      <c r="EE56" s="9"/>
      <c r="EF56" s="46">
        <f>Tabelle58971121[[#This Row],[Durchschnittsauslastung min]]*Tabelle58971121[[#This Row],[installierte Leistung MW min]]</f>
        <v>0</v>
      </c>
      <c r="EG56" s="46">
        <f>Tabelle58971121[[#This Row],[Durchschnittsauslastung durch]]*Tabelle58971121[[#This Row],[installierte Leistung MW durch]]</f>
        <v>0</v>
      </c>
      <c r="EH56" s="46">
        <f>Tabelle58971121[[#This Row],[Durchschnittsauslastung max]]*Tabelle58971121[[#This Row],[installierte Leistung MW max]]</f>
        <v>0</v>
      </c>
      <c r="EI56" s="83">
        <f>Tabelle58971121[[#This Row],[Maximalauslastung durch]]*Tabelle58971121[[#This Row],[installierte Leistung MW min]]</f>
        <v>1406.625</v>
      </c>
      <c r="EJ56" s="46">
        <f>Tabelle58971121[[#This Row],[Maximalauslastung durch]]*Tabelle58971121[[#This Row],[installierte Leistung MW durch]]</f>
        <v>1443.75</v>
      </c>
      <c r="EK56" s="19">
        <f>Tabelle58971121[[#This Row],[Maximalauslastung max]]*Tabelle58971121[[#This Row],[installierte Leistung MW durch]]</f>
        <v>1559.25</v>
      </c>
      <c r="EL56" s="9">
        <v>0.75</v>
      </c>
      <c r="EM56" s="9">
        <v>0.69</v>
      </c>
      <c r="EN56" s="9">
        <v>0.81</v>
      </c>
      <c r="EO56" s="1">
        <v>1925</v>
      </c>
      <c r="EP56" s="1">
        <v>1875.5</v>
      </c>
      <c r="EQ56" s="1">
        <v>1974.5</v>
      </c>
      <c r="ER56" s="19"/>
      <c r="ES56" s="19"/>
      <c r="EX56" s="1">
        <v>4</v>
      </c>
      <c r="EY56" s="1">
        <v>3.1</v>
      </c>
      <c r="EZ56" s="1">
        <v>4.9000000000000004</v>
      </c>
      <c r="FD56" s="1">
        <v>9</v>
      </c>
      <c r="FE56" s="1">
        <v>7.2</v>
      </c>
      <c r="FF56" s="1">
        <v>10.8</v>
      </c>
      <c r="FG56" s="1">
        <v>24</v>
      </c>
      <c r="FH56" s="1">
        <v>24</v>
      </c>
      <c r="FI56" s="1">
        <v>24</v>
      </c>
      <c r="FJ56" s="1">
        <v>7.4</v>
      </c>
      <c r="FK56" s="1">
        <v>4.6000000000000014</v>
      </c>
      <c r="FL56" s="1">
        <v>10.199999999999999</v>
      </c>
      <c r="FP56" s="1">
        <v>160</v>
      </c>
      <c r="FQ56" s="1">
        <v>144</v>
      </c>
      <c r="FR56" s="1">
        <v>176</v>
      </c>
      <c r="FS56" s="11"/>
      <c r="FT56" s="11"/>
      <c r="FU56" s="11"/>
      <c r="FV56" s="1">
        <v>160</v>
      </c>
      <c r="FW56" s="1">
        <v>144</v>
      </c>
      <c r="FX56" s="1">
        <v>176</v>
      </c>
      <c r="FY56" s="1">
        <v>25.848235294117643</v>
      </c>
      <c r="FZ56" s="19">
        <v>23.30411764705882</v>
      </c>
      <c r="GA56" s="19">
        <v>28.392352941176469</v>
      </c>
      <c r="GB56" s="19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>
        <v>38.670588235294112</v>
      </c>
      <c r="GO56" s="8">
        <v>34.803529411764707</v>
      </c>
      <c r="GP56" s="8">
        <v>42.537647058823524</v>
      </c>
      <c r="GS56" s="1">
        <v>67</v>
      </c>
      <c r="GT56" s="1">
        <v>67</v>
      </c>
      <c r="GU56" s="1">
        <v>67</v>
      </c>
      <c r="GV56" s="13" t="s">
        <v>806</v>
      </c>
      <c r="GW56" s="13" t="s">
        <v>806</v>
      </c>
      <c r="GX56" s="13" t="s">
        <v>806</v>
      </c>
      <c r="GY56" s="13"/>
      <c r="GZ56" s="13" t="s">
        <v>806</v>
      </c>
      <c r="HA56" s="13" t="s">
        <v>806</v>
      </c>
      <c r="HB56" s="13" t="s">
        <v>806</v>
      </c>
      <c r="HC56" s="13" t="s">
        <v>806</v>
      </c>
      <c r="HD56" s="13" t="s">
        <v>806</v>
      </c>
      <c r="HE56" s="13" t="s">
        <v>806</v>
      </c>
      <c r="HF56" s="13" t="s">
        <v>806</v>
      </c>
      <c r="HI56" s="13" t="s">
        <v>806</v>
      </c>
      <c r="HJ56" s="13" t="s">
        <v>806</v>
      </c>
      <c r="HL56" s="13" t="s">
        <v>806</v>
      </c>
    </row>
    <row r="57" spans="1:220" ht="12.75" customHeight="1" x14ac:dyDescent="0.25">
      <c r="A57" s="1" t="s">
        <v>138</v>
      </c>
      <c r="B57" s="1" t="s">
        <v>743</v>
      </c>
      <c r="E57" s="1" t="s">
        <v>139</v>
      </c>
      <c r="F57" s="1">
        <v>2</v>
      </c>
      <c r="G57" s="1">
        <v>2050</v>
      </c>
      <c r="H57" s="1">
        <v>1</v>
      </c>
      <c r="I57" s="1">
        <v>0</v>
      </c>
      <c r="J57" s="1">
        <v>0</v>
      </c>
      <c r="K57" s="19"/>
      <c r="L57" s="19"/>
      <c r="M57" s="19"/>
      <c r="N57" s="19"/>
      <c r="O57" s="19"/>
      <c r="P57" s="19"/>
      <c r="Q57" s="19">
        <v>76.999999999999986</v>
      </c>
      <c r="R57" s="19">
        <v>0</v>
      </c>
      <c r="S57" s="19">
        <v>258.48</v>
      </c>
      <c r="T57" s="19"/>
      <c r="U57" s="19"/>
      <c r="V57" s="19"/>
      <c r="W57" s="19">
        <v>0</v>
      </c>
      <c r="X57" s="19">
        <v>0</v>
      </c>
      <c r="Y57" s="19">
        <v>0</v>
      </c>
      <c r="Z57" s="19">
        <v>76.999999999999986</v>
      </c>
      <c r="AA57" s="19">
        <v>0</v>
      </c>
      <c r="AB57" s="19">
        <v>258.48</v>
      </c>
      <c r="AC57" s="19"/>
      <c r="AD57" s="19"/>
      <c r="AE57" s="19"/>
      <c r="AF57" s="19">
        <v>0</v>
      </c>
      <c r="AG57" s="19">
        <v>0</v>
      </c>
      <c r="AH57" s="19">
        <v>0</v>
      </c>
      <c r="AI57" s="19">
        <v>76.999999999999986</v>
      </c>
      <c r="AJ57" s="19">
        <v>0</v>
      </c>
      <c r="AK57" s="19">
        <v>258.48</v>
      </c>
      <c r="AL57" s="19">
        <v>0</v>
      </c>
      <c r="AM57" s="19">
        <v>0</v>
      </c>
      <c r="AN57" s="19">
        <v>0</v>
      </c>
      <c r="AO57" s="19">
        <v>222.25</v>
      </c>
      <c r="AP57" s="19">
        <v>10.23</v>
      </c>
      <c r="AQ57" s="19">
        <v>570.80999999999995</v>
      </c>
      <c r="AR57" s="19"/>
      <c r="AS57" s="19"/>
      <c r="AT57" s="19"/>
      <c r="AU57" s="19">
        <v>0</v>
      </c>
      <c r="AV57" s="19">
        <v>0</v>
      </c>
      <c r="AW57" s="19">
        <v>0</v>
      </c>
      <c r="AX57" s="19">
        <v>222.25</v>
      </c>
      <c r="AY57" s="19">
        <v>10.23</v>
      </c>
      <c r="AZ57" s="19">
        <v>570.80999999999995</v>
      </c>
      <c r="BA57" s="19"/>
      <c r="BB57" s="19"/>
      <c r="BC57" s="19"/>
      <c r="BD57" s="19">
        <v>0</v>
      </c>
      <c r="BE57" s="19">
        <v>0</v>
      </c>
      <c r="BF57" s="19">
        <v>0</v>
      </c>
      <c r="BG57" s="19">
        <v>222.25</v>
      </c>
      <c r="BH57" s="19">
        <v>10.23</v>
      </c>
      <c r="BI57" s="19">
        <v>570.80999999999995</v>
      </c>
      <c r="BJ57" s="19"/>
      <c r="BK57" s="19"/>
      <c r="BL57" s="19"/>
      <c r="BM57" s="19">
        <v>0</v>
      </c>
      <c r="BN57" s="19">
        <v>0</v>
      </c>
      <c r="BO57" s="19">
        <v>0</v>
      </c>
      <c r="BP57" s="19">
        <v>336.43749999999994</v>
      </c>
      <c r="BQ57" s="19">
        <v>10.23</v>
      </c>
      <c r="BR57" s="19">
        <v>861.6</v>
      </c>
      <c r="BS57" s="19"/>
      <c r="BT57" s="19"/>
      <c r="BU57" s="19"/>
      <c r="BV57" s="19">
        <v>0</v>
      </c>
      <c r="BW57" s="19">
        <v>0</v>
      </c>
      <c r="BX57" s="19">
        <v>0</v>
      </c>
      <c r="BY57" s="19">
        <v>336.43749999999994</v>
      </c>
      <c r="BZ57" s="19">
        <v>10.23</v>
      </c>
      <c r="CA57" s="19">
        <v>861.6</v>
      </c>
      <c r="CB57" s="19"/>
      <c r="CC57" s="19"/>
      <c r="CD57" s="19"/>
      <c r="CE57" s="19">
        <v>0</v>
      </c>
      <c r="CF57" s="19">
        <v>0</v>
      </c>
      <c r="CG57" s="19">
        <v>0</v>
      </c>
      <c r="CH57" s="19">
        <v>336.43749999999994</v>
      </c>
      <c r="CI57" s="19">
        <v>10.23</v>
      </c>
      <c r="CJ57" s="19">
        <v>861.6</v>
      </c>
      <c r="CK57" s="19"/>
      <c r="CL57" s="19"/>
      <c r="CM57" s="19"/>
      <c r="CN57" s="19">
        <v>0</v>
      </c>
      <c r="CO57" s="19">
        <v>0</v>
      </c>
      <c r="CP57" s="19">
        <v>0</v>
      </c>
      <c r="CQ57" s="19"/>
      <c r="CR57" s="19"/>
      <c r="CS57" s="19"/>
      <c r="CT57" s="19"/>
      <c r="CU57" s="11">
        <f>Tabelle58971121[[#This Row],[Mindestauslastung durch]]*Tabelle58971121[[#This Row],[installierte Leistung MW durch]]</f>
        <v>157.5</v>
      </c>
      <c r="CV57" s="11">
        <f>Tabelle58971121[[#This Row],[Mindestauslastung min]]*Tabelle58971121[[#This Row],[installierte Leistung MW min]]</f>
        <v>153.44999999999999</v>
      </c>
      <c r="CW57" s="11">
        <f>Tabelle58971121[[#This Row],[Mindestauslastung max]]*Tabelle58971121[[#This Row],[installierte Leistung MW max]]</f>
        <v>161.54999999999998</v>
      </c>
      <c r="CX57" s="9">
        <v>0.15</v>
      </c>
      <c r="CY57" s="9">
        <v>0.15</v>
      </c>
      <c r="CZ57" s="9">
        <v>0.15</v>
      </c>
      <c r="DA57" s="9"/>
      <c r="DB57" s="9">
        <v>7.3333333333333334E-2</v>
      </c>
      <c r="DC57" s="9">
        <v>0</v>
      </c>
      <c r="DD57" s="9">
        <v>0.24</v>
      </c>
      <c r="DE57" s="9">
        <v>7.3333333333333334E-2</v>
      </c>
      <c r="DF57" s="9">
        <v>0</v>
      </c>
      <c r="DG57" s="9">
        <v>0.24</v>
      </c>
      <c r="DH57" s="9">
        <v>7.3333333333333334E-2</v>
      </c>
      <c r="DI57" s="9">
        <v>0</v>
      </c>
      <c r="DJ57" s="9">
        <v>0.24</v>
      </c>
      <c r="DK57" s="9">
        <v>0.2116666666666667</v>
      </c>
      <c r="DL57" s="9">
        <v>0.01</v>
      </c>
      <c r="DM57" s="9">
        <v>0.53</v>
      </c>
      <c r="DN57" s="9">
        <v>0.2116666666666667</v>
      </c>
      <c r="DO57" s="9">
        <v>0.01</v>
      </c>
      <c r="DP57" s="9">
        <v>0.53</v>
      </c>
      <c r="DQ57" s="9">
        <v>0.2116666666666667</v>
      </c>
      <c r="DR57" s="9">
        <v>0.01</v>
      </c>
      <c r="DS57" s="9">
        <v>0.53</v>
      </c>
      <c r="DT57" s="9">
        <v>0.32041666666666663</v>
      </c>
      <c r="DU57" s="9">
        <v>0.01</v>
      </c>
      <c r="DV57" s="9">
        <v>0.8</v>
      </c>
      <c r="DW57" s="9">
        <v>0.32041666666666663</v>
      </c>
      <c r="DX57" s="9">
        <v>0.01</v>
      </c>
      <c r="DY57" s="9">
        <v>0.8</v>
      </c>
      <c r="DZ57" s="9">
        <v>0.32041666666666663</v>
      </c>
      <c r="EA57" s="9">
        <v>0.01</v>
      </c>
      <c r="EB57" s="9">
        <v>0.8</v>
      </c>
      <c r="EC57" s="9"/>
      <c r="ED57" s="9"/>
      <c r="EE57" s="9"/>
      <c r="EF57" s="46">
        <f>Tabelle58971121[[#This Row],[Durchschnittsauslastung min]]*Tabelle58971121[[#This Row],[installierte Leistung MW min]]</f>
        <v>0</v>
      </c>
      <c r="EG57" s="46">
        <f>Tabelle58971121[[#This Row],[Durchschnittsauslastung durch]]*Tabelle58971121[[#This Row],[installierte Leistung MW durch]]</f>
        <v>0</v>
      </c>
      <c r="EH57" s="46">
        <f>Tabelle58971121[[#This Row],[Durchschnittsauslastung max]]*Tabelle58971121[[#This Row],[installierte Leistung MW max]]</f>
        <v>0</v>
      </c>
      <c r="EI57" s="83">
        <f>Tabelle58971121[[#This Row],[Maximalauslastung durch]]*Tabelle58971121[[#This Row],[installierte Leistung MW min]]</f>
        <v>767.25</v>
      </c>
      <c r="EJ57" s="46">
        <f>Tabelle58971121[[#This Row],[Maximalauslastung durch]]*Tabelle58971121[[#This Row],[installierte Leistung MW durch]]</f>
        <v>787.5</v>
      </c>
      <c r="EK57" s="19">
        <f>Tabelle58971121[[#This Row],[Maximalauslastung max]]*Tabelle58971121[[#This Row],[installierte Leistung MW durch]]</f>
        <v>850.5</v>
      </c>
      <c r="EL57" s="9">
        <v>0.75</v>
      </c>
      <c r="EM57" s="9">
        <v>0.69</v>
      </c>
      <c r="EN57" s="9">
        <v>0.81</v>
      </c>
      <c r="EO57" s="1">
        <v>1050</v>
      </c>
      <c r="EP57" s="1">
        <v>1023</v>
      </c>
      <c r="EQ57" s="1">
        <v>1077</v>
      </c>
      <c r="ER57" s="19"/>
      <c r="ES57" s="19"/>
      <c r="EX57" s="1">
        <v>4</v>
      </c>
      <c r="EY57" s="1">
        <v>3.1</v>
      </c>
      <c r="EZ57" s="1">
        <v>4.9000000000000004</v>
      </c>
      <c r="FD57" s="1">
        <v>9</v>
      </c>
      <c r="FE57" s="1">
        <v>7.2</v>
      </c>
      <c r="FF57" s="1">
        <v>10.8</v>
      </c>
      <c r="FG57" s="1">
        <v>24</v>
      </c>
      <c r="FH57" s="1">
        <v>24</v>
      </c>
      <c r="FI57" s="1">
        <v>24</v>
      </c>
      <c r="FJ57" s="1">
        <v>7.4</v>
      </c>
      <c r="FK57" s="1">
        <v>4.6000000000000014</v>
      </c>
      <c r="FL57" s="1">
        <v>10.199999999999999</v>
      </c>
      <c r="FP57" s="1">
        <v>160</v>
      </c>
      <c r="FQ57" s="1">
        <v>144</v>
      </c>
      <c r="FR57" s="1">
        <v>176</v>
      </c>
      <c r="FS57" s="11"/>
      <c r="FT57" s="11"/>
      <c r="FU57" s="11"/>
      <c r="FV57" s="1">
        <v>160</v>
      </c>
      <c r="FW57" s="1">
        <v>144</v>
      </c>
      <c r="FX57" s="1">
        <v>176</v>
      </c>
      <c r="FY57" s="1">
        <v>25.848235294117643</v>
      </c>
      <c r="FZ57" s="19">
        <v>23.30411764705882</v>
      </c>
      <c r="GA57" s="19">
        <v>28.392352941176469</v>
      </c>
      <c r="GB57" s="19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>
        <v>38.670588235294112</v>
      </c>
      <c r="GO57" s="8">
        <v>34.803529411764707</v>
      </c>
      <c r="GP57" s="8">
        <v>42.537647058823524</v>
      </c>
      <c r="GS57" s="1">
        <v>67</v>
      </c>
      <c r="GT57" s="1">
        <v>67</v>
      </c>
      <c r="GU57" s="1">
        <v>67</v>
      </c>
      <c r="GV57" s="13" t="s">
        <v>806</v>
      </c>
      <c r="GW57" s="13" t="s">
        <v>806</v>
      </c>
      <c r="GX57" s="13" t="s">
        <v>806</v>
      </c>
      <c r="GY57" s="13"/>
      <c r="GZ57" s="13" t="s">
        <v>806</v>
      </c>
      <c r="HA57" s="13" t="s">
        <v>806</v>
      </c>
      <c r="HB57" s="13" t="s">
        <v>806</v>
      </c>
      <c r="HC57" s="13" t="s">
        <v>806</v>
      </c>
      <c r="HD57" s="13" t="s">
        <v>806</v>
      </c>
      <c r="HE57" s="13" t="s">
        <v>806</v>
      </c>
      <c r="HF57" s="13" t="s">
        <v>806</v>
      </c>
      <c r="HI57" s="13" t="s">
        <v>806</v>
      </c>
      <c r="HJ57" s="13" t="s">
        <v>806</v>
      </c>
      <c r="HL57" s="13" t="s">
        <v>806</v>
      </c>
    </row>
    <row r="58" spans="1:220" ht="12.75" customHeight="1" x14ac:dyDescent="0.25">
      <c r="A58" s="1" t="s">
        <v>133</v>
      </c>
      <c r="B58" s="1" t="s">
        <v>652</v>
      </c>
      <c r="E58" s="1" t="s">
        <v>139</v>
      </c>
      <c r="F58" s="1">
        <v>2</v>
      </c>
      <c r="G58" s="1">
        <v>2015</v>
      </c>
      <c r="H58" s="1">
        <v>1</v>
      </c>
      <c r="I58" s="1">
        <v>0</v>
      </c>
      <c r="J58" s="1">
        <v>0</v>
      </c>
      <c r="K58" s="19"/>
      <c r="L58" s="19"/>
      <c r="M58" s="19"/>
      <c r="N58" s="19"/>
      <c r="O58" s="19"/>
      <c r="P58" s="19"/>
      <c r="Q58" s="19">
        <v>780.48749999999995</v>
      </c>
      <c r="R58" s="19">
        <v>548.13199999999995</v>
      </c>
      <c r="S58" s="19">
        <v>1071.8499999999999</v>
      </c>
      <c r="T58" s="19"/>
      <c r="U58" s="19"/>
      <c r="V58" s="19"/>
      <c r="W58" s="19">
        <v>0</v>
      </c>
      <c r="X58" s="19">
        <v>0</v>
      </c>
      <c r="Y58" s="19">
        <v>0</v>
      </c>
      <c r="Z58" s="19">
        <v>780.48749999999995</v>
      </c>
      <c r="AA58" s="19">
        <v>548.13199999999995</v>
      </c>
      <c r="AB58" s="19">
        <v>1071.8499999999999</v>
      </c>
      <c r="AC58" s="19"/>
      <c r="AD58" s="19"/>
      <c r="AE58" s="19"/>
      <c r="AF58" s="19">
        <v>0</v>
      </c>
      <c r="AG58" s="19">
        <v>0</v>
      </c>
      <c r="AH58" s="19">
        <v>0</v>
      </c>
      <c r="AI58" s="19">
        <v>780.48749999999995</v>
      </c>
      <c r="AJ58" s="19">
        <v>548.13199999999995</v>
      </c>
      <c r="AK58" s="19">
        <v>1071.8499999999999</v>
      </c>
      <c r="AL58" s="19">
        <v>0</v>
      </c>
      <c r="AM58" s="19">
        <v>0</v>
      </c>
      <c r="AN58" s="19">
        <v>0</v>
      </c>
      <c r="AO58" s="19">
        <v>780.48749999999995</v>
      </c>
      <c r="AP58" s="19">
        <v>548.13199999999995</v>
      </c>
      <c r="AQ58" s="19">
        <v>1071.8499999999999</v>
      </c>
      <c r="AR58" s="19"/>
      <c r="AS58" s="19"/>
      <c r="AT58" s="19"/>
      <c r="AU58" s="19">
        <v>0</v>
      </c>
      <c r="AV58" s="19">
        <v>0</v>
      </c>
      <c r="AW58" s="19">
        <v>0</v>
      </c>
      <c r="AX58" s="19">
        <v>780.48749999999995</v>
      </c>
      <c r="AY58" s="19">
        <v>548.13199999999995</v>
      </c>
      <c r="AZ58" s="19">
        <v>1071.8499999999999</v>
      </c>
      <c r="BA58" s="19"/>
      <c r="BB58" s="19"/>
      <c r="BC58" s="19"/>
      <c r="BD58" s="19">
        <v>0</v>
      </c>
      <c r="BE58" s="19">
        <v>0</v>
      </c>
      <c r="BF58" s="19">
        <v>0</v>
      </c>
      <c r="BG58" s="19">
        <v>780.48749999999995</v>
      </c>
      <c r="BH58" s="19">
        <v>548.13199999999995</v>
      </c>
      <c r="BI58" s="19">
        <v>1071.8499999999999</v>
      </c>
      <c r="BJ58" s="19"/>
      <c r="BK58" s="19"/>
      <c r="BL58" s="19"/>
      <c r="BM58" s="19">
        <v>0</v>
      </c>
      <c r="BN58" s="19">
        <v>0</v>
      </c>
      <c r="BO58" s="19">
        <v>0</v>
      </c>
      <c r="BP58" s="19">
        <v>780.48749999999995</v>
      </c>
      <c r="BQ58" s="19">
        <v>548.13199999999995</v>
      </c>
      <c r="BR58" s="19">
        <v>1071.8499999999999</v>
      </c>
      <c r="BS58" s="19"/>
      <c r="BT58" s="19"/>
      <c r="BU58" s="19"/>
      <c r="BV58" s="19">
        <v>0</v>
      </c>
      <c r="BW58" s="19">
        <v>0</v>
      </c>
      <c r="BX58" s="19">
        <v>0</v>
      </c>
      <c r="BY58" s="19">
        <v>780.48749999999995</v>
      </c>
      <c r="BZ58" s="19">
        <v>548.13199999999995</v>
      </c>
      <c r="CA58" s="19">
        <v>1071.8499999999999</v>
      </c>
      <c r="CB58" s="19"/>
      <c r="CC58" s="19"/>
      <c r="CD58" s="19"/>
      <c r="CE58" s="19">
        <v>0</v>
      </c>
      <c r="CF58" s="19">
        <v>0</v>
      </c>
      <c r="CG58" s="19">
        <v>0</v>
      </c>
      <c r="CH58" s="19">
        <v>780.48749999999995</v>
      </c>
      <c r="CI58" s="19">
        <v>548.13199999999995</v>
      </c>
      <c r="CJ58" s="19">
        <v>1071.8499999999999</v>
      </c>
      <c r="CK58" s="19"/>
      <c r="CL58" s="19"/>
      <c r="CM58" s="19"/>
      <c r="CN58" s="19">
        <v>0</v>
      </c>
      <c r="CO58" s="19">
        <v>0</v>
      </c>
      <c r="CP58" s="19">
        <v>0</v>
      </c>
      <c r="CQ58" s="19"/>
      <c r="CR58" s="19"/>
      <c r="CS58" s="19"/>
      <c r="CT58" s="19"/>
      <c r="CU58" s="11">
        <f>Tabelle58971121[[#This Row],[Mindestauslastung durch]]*Tabelle58971121[[#This Row],[installierte Leistung MW durch]]</f>
        <v>351</v>
      </c>
      <c r="CV58" s="11">
        <f>Tabelle58971121[[#This Row],[Mindestauslastung min]]*Tabelle58971121[[#This Row],[installierte Leistung MW min]]</f>
        <v>323.7</v>
      </c>
      <c r="CW58" s="11">
        <f>Tabelle58971121[[#This Row],[Mindestauslastung max]]*Tabelle58971121[[#This Row],[installierte Leistung MW max]]</f>
        <v>378.3</v>
      </c>
      <c r="CX58" s="9">
        <v>0.15</v>
      </c>
      <c r="CY58" s="9">
        <v>0.15</v>
      </c>
      <c r="CZ58" s="9">
        <v>0.15</v>
      </c>
      <c r="DA58" s="9"/>
      <c r="DB58" s="9">
        <v>0.33354166666666663</v>
      </c>
      <c r="DC58" s="9">
        <v>0.254</v>
      </c>
      <c r="DD58" s="9">
        <v>0.42499999999999999</v>
      </c>
      <c r="DE58" s="9">
        <v>0.33354166666666663</v>
      </c>
      <c r="DF58" s="9">
        <v>0.254</v>
      </c>
      <c r="DG58" s="9">
        <v>0.42499999999999999</v>
      </c>
      <c r="DH58" s="9">
        <v>0.33354166666666663</v>
      </c>
      <c r="DI58" s="9">
        <v>0.254</v>
      </c>
      <c r="DJ58" s="9">
        <v>0.42499999999999999</v>
      </c>
      <c r="DK58" s="9">
        <v>0.33354166666666663</v>
      </c>
      <c r="DL58" s="9">
        <v>0.254</v>
      </c>
      <c r="DM58" s="9">
        <v>0.42499999999999999</v>
      </c>
      <c r="DN58" s="9">
        <v>0.33354166666666663</v>
      </c>
      <c r="DO58" s="9">
        <v>0.254</v>
      </c>
      <c r="DP58" s="9">
        <v>0.42499999999999999</v>
      </c>
      <c r="DQ58" s="9">
        <v>0.33354166666666663</v>
      </c>
      <c r="DR58" s="9">
        <v>0.254</v>
      </c>
      <c r="DS58" s="9">
        <v>0.42499999999999999</v>
      </c>
      <c r="DT58" s="9">
        <v>0.33354166666666663</v>
      </c>
      <c r="DU58" s="9">
        <v>0.254</v>
      </c>
      <c r="DV58" s="9">
        <v>0.42499999999999999</v>
      </c>
      <c r="DW58" s="9">
        <v>0.33354166666666663</v>
      </c>
      <c r="DX58" s="9">
        <v>0.254</v>
      </c>
      <c r="DY58" s="9">
        <v>0.42499999999999999</v>
      </c>
      <c r="DZ58" s="9">
        <v>0.33354166666666663</v>
      </c>
      <c r="EA58" s="9">
        <v>0.254</v>
      </c>
      <c r="EB58" s="9">
        <v>0.42499999999999999</v>
      </c>
      <c r="EC58" s="9"/>
      <c r="ED58" s="9"/>
      <c r="EE58" s="9"/>
      <c r="EF58" s="46">
        <f>Tabelle58971121[[#This Row],[Durchschnittsauslastung min]]*Tabelle58971121[[#This Row],[installierte Leistung MW min]]</f>
        <v>0</v>
      </c>
      <c r="EG58" s="46">
        <f>Tabelle58971121[[#This Row],[Durchschnittsauslastung durch]]*Tabelle58971121[[#This Row],[installierte Leistung MW durch]]</f>
        <v>0</v>
      </c>
      <c r="EH58" s="46">
        <f>Tabelle58971121[[#This Row],[Durchschnittsauslastung max]]*Tabelle58971121[[#This Row],[installierte Leistung MW max]]</f>
        <v>0</v>
      </c>
      <c r="EI58" s="83">
        <f>Tabelle58971121[[#This Row],[Maximalauslastung durch]]*Tabelle58971121[[#This Row],[installierte Leistung MW min]]</f>
        <v>2158</v>
      </c>
      <c r="EJ58" s="46">
        <f>Tabelle58971121[[#This Row],[Maximalauslastung durch]]*Tabelle58971121[[#This Row],[installierte Leistung MW durch]]</f>
        <v>2340</v>
      </c>
      <c r="EK58" s="19">
        <f>Tabelle58971121[[#This Row],[Maximalauslastung max]]*Tabelle58971121[[#This Row],[installierte Leistung MW durch]]</f>
        <v>2340</v>
      </c>
      <c r="EL58" s="9">
        <v>1</v>
      </c>
      <c r="EM58" s="9">
        <v>1</v>
      </c>
      <c r="EN58" s="9">
        <v>1</v>
      </c>
      <c r="EO58" s="1">
        <v>2340</v>
      </c>
      <c r="EP58" s="1">
        <v>2158</v>
      </c>
      <c r="EQ58" s="1">
        <v>2522</v>
      </c>
      <c r="ER58" s="19"/>
      <c r="ES58" s="19"/>
      <c r="EX58" s="1">
        <v>0.25</v>
      </c>
      <c r="EY58" s="1">
        <v>0.2</v>
      </c>
      <c r="EZ58" s="1">
        <v>0.3</v>
      </c>
      <c r="FD58" s="1">
        <v>0.25</v>
      </c>
      <c r="FE58" s="1">
        <v>0.2</v>
      </c>
      <c r="FF58" s="1">
        <v>0.3</v>
      </c>
      <c r="FG58" s="1">
        <v>4.5</v>
      </c>
      <c r="FH58" s="1">
        <v>3</v>
      </c>
      <c r="FI58" s="1">
        <v>6</v>
      </c>
      <c r="FJ58" s="1">
        <v>0.4</v>
      </c>
      <c r="FK58" s="1">
        <v>0.3</v>
      </c>
      <c r="FL58" s="1">
        <v>0.5</v>
      </c>
      <c r="FP58" s="1">
        <v>6570</v>
      </c>
      <c r="FQ58" s="1">
        <v>4380</v>
      </c>
      <c r="FR58" s="1">
        <v>8760</v>
      </c>
      <c r="FS58" s="11"/>
      <c r="FT58" s="11"/>
      <c r="FU58" s="11"/>
      <c r="FV58" s="1">
        <v>6570</v>
      </c>
      <c r="FW58" s="1">
        <v>4380</v>
      </c>
      <c r="FX58" s="1">
        <v>8760</v>
      </c>
      <c r="FY58" s="1">
        <v>25.848235294117643</v>
      </c>
      <c r="FZ58" s="19">
        <v>23.30411764705882</v>
      </c>
      <c r="GA58" s="19">
        <v>28.392352941176469</v>
      </c>
      <c r="GB58" s="19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>
        <v>38.670588235294112</v>
      </c>
      <c r="GO58" s="8">
        <v>34.803529411764707</v>
      </c>
      <c r="GP58" s="8">
        <v>42.537647058823524</v>
      </c>
      <c r="GS58" s="1">
        <v>67</v>
      </c>
      <c r="GT58" s="1">
        <v>67</v>
      </c>
      <c r="GU58" s="1">
        <v>67</v>
      </c>
      <c r="GV58" s="13" t="s">
        <v>806</v>
      </c>
      <c r="GW58" s="13" t="s">
        <v>806</v>
      </c>
      <c r="GX58" s="13" t="s">
        <v>806</v>
      </c>
      <c r="GY58" s="13"/>
      <c r="GZ58" s="13" t="s">
        <v>806</v>
      </c>
      <c r="HA58" s="13" t="s">
        <v>806</v>
      </c>
      <c r="HB58" s="13" t="s">
        <v>806</v>
      </c>
      <c r="HC58" s="13" t="s">
        <v>806</v>
      </c>
      <c r="HD58" s="13" t="s">
        <v>806</v>
      </c>
      <c r="HE58" s="13" t="s">
        <v>806</v>
      </c>
      <c r="HF58" s="13" t="s">
        <v>806</v>
      </c>
      <c r="HI58" s="13" t="s">
        <v>806</v>
      </c>
      <c r="HJ58" s="13" t="s">
        <v>806</v>
      </c>
      <c r="HL58" s="13" t="s">
        <v>806</v>
      </c>
    </row>
    <row r="59" spans="1:220" ht="12.75" customHeight="1" x14ac:dyDescent="0.25">
      <c r="A59" s="1" t="s">
        <v>133</v>
      </c>
      <c r="B59" s="1" t="s">
        <v>652</v>
      </c>
      <c r="E59" s="1" t="s">
        <v>139</v>
      </c>
      <c r="F59" s="1">
        <v>2</v>
      </c>
      <c r="G59" s="1">
        <v>2020</v>
      </c>
      <c r="H59" s="1">
        <v>1</v>
      </c>
      <c r="I59" s="1">
        <v>0</v>
      </c>
      <c r="J59" s="1">
        <v>0</v>
      </c>
      <c r="K59" s="19"/>
      <c r="L59" s="19"/>
      <c r="M59" s="19"/>
      <c r="N59" s="19"/>
      <c r="O59" s="19"/>
      <c r="P59" s="19"/>
      <c r="Q59" s="19">
        <v>694.63387499999999</v>
      </c>
      <c r="R59" s="19">
        <v>487.83747999999997</v>
      </c>
      <c r="S59" s="19">
        <v>953.9464999999999</v>
      </c>
      <c r="T59" s="19"/>
      <c r="U59" s="19"/>
      <c r="V59" s="19"/>
      <c r="W59" s="19">
        <v>0</v>
      </c>
      <c r="X59" s="19">
        <v>0</v>
      </c>
      <c r="Y59" s="19">
        <v>0</v>
      </c>
      <c r="Z59" s="19">
        <v>694.63387499999999</v>
      </c>
      <c r="AA59" s="19">
        <v>487.83747999999997</v>
      </c>
      <c r="AB59" s="19">
        <v>953.9464999999999</v>
      </c>
      <c r="AC59" s="19"/>
      <c r="AD59" s="19"/>
      <c r="AE59" s="19"/>
      <c r="AF59" s="19">
        <v>0</v>
      </c>
      <c r="AG59" s="19">
        <v>0</v>
      </c>
      <c r="AH59" s="19">
        <v>0</v>
      </c>
      <c r="AI59" s="19">
        <v>694.63387499999999</v>
      </c>
      <c r="AJ59" s="19">
        <v>487.83747999999997</v>
      </c>
      <c r="AK59" s="19">
        <v>953.9464999999999</v>
      </c>
      <c r="AL59" s="19">
        <v>0</v>
      </c>
      <c r="AM59" s="19">
        <v>0</v>
      </c>
      <c r="AN59" s="19">
        <v>0</v>
      </c>
      <c r="AO59" s="19">
        <v>694.63387499999999</v>
      </c>
      <c r="AP59" s="19">
        <v>487.83747999999997</v>
      </c>
      <c r="AQ59" s="19">
        <v>953.9464999999999</v>
      </c>
      <c r="AR59" s="19"/>
      <c r="AS59" s="19"/>
      <c r="AT59" s="19"/>
      <c r="AU59" s="19">
        <v>0</v>
      </c>
      <c r="AV59" s="19">
        <v>0</v>
      </c>
      <c r="AW59" s="19">
        <v>0</v>
      </c>
      <c r="AX59" s="19">
        <v>694.63387499999999</v>
      </c>
      <c r="AY59" s="19">
        <v>487.83747999999997</v>
      </c>
      <c r="AZ59" s="19">
        <v>953.9464999999999</v>
      </c>
      <c r="BA59" s="19"/>
      <c r="BB59" s="19"/>
      <c r="BC59" s="19"/>
      <c r="BD59" s="19">
        <v>0</v>
      </c>
      <c r="BE59" s="19">
        <v>0</v>
      </c>
      <c r="BF59" s="19">
        <v>0</v>
      </c>
      <c r="BG59" s="19">
        <v>694.63387499999999</v>
      </c>
      <c r="BH59" s="19">
        <v>487.83747999999997</v>
      </c>
      <c r="BI59" s="19">
        <v>953.9464999999999</v>
      </c>
      <c r="BJ59" s="19"/>
      <c r="BK59" s="19"/>
      <c r="BL59" s="19"/>
      <c r="BM59" s="19">
        <v>0</v>
      </c>
      <c r="BN59" s="19">
        <v>0</v>
      </c>
      <c r="BO59" s="19">
        <v>0</v>
      </c>
      <c r="BP59" s="19">
        <v>694.63387499999999</v>
      </c>
      <c r="BQ59" s="19">
        <v>487.83747999999997</v>
      </c>
      <c r="BR59" s="19">
        <v>953.9464999999999</v>
      </c>
      <c r="BS59" s="19"/>
      <c r="BT59" s="19"/>
      <c r="BU59" s="19"/>
      <c r="BV59" s="19">
        <v>0</v>
      </c>
      <c r="BW59" s="19">
        <v>0</v>
      </c>
      <c r="BX59" s="19">
        <v>0</v>
      </c>
      <c r="BY59" s="19">
        <v>694.63387499999999</v>
      </c>
      <c r="BZ59" s="19">
        <v>487.83747999999997</v>
      </c>
      <c r="CA59" s="19">
        <v>953.9464999999999</v>
      </c>
      <c r="CB59" s="19"/>
      <c r="CC59" s="19"/>
      <c r="CD59" s="19"/>
      <c r="CE59" s="19">
        <v>0</v>
      </c>
      <c r="CF59" s="19">
        <v>0</v>
      </c>
      <c r="CG59" s="19">
        <v>0</v>
      </c>
      <c r="CH59" s="19">
        <v>694.63387499999999</v>
      </c>
      <c r="CI59" s="19">
        <v>487.83747999999997</v>
      </c>
      <c r="CJ59" s="19">
        <v>953.9464999999999</v>
      </c>
      <c r="CK59" s="19"/>
      <c r="CL59" s="19"/>
      <c r="CM59" s="19"/>
      <c r="CN59" s="19">
        <v>0</v>
      </c>
      <c r="CO59" s="19">
        <v>0</v>
      </c>
      <c r="CP59" s="19">
        <v>0</v>
      </c>
      <c r="CQ59" s="19"/>
      <c r="CR59" s="19"/>
      <c r="CS59" s="19"/>
      <c r="CT59" s="19"/>
      <c r="CU59" s="11">
        <f>Tabelle58971121[[#This Row],[Mindestauslastung durch]]*Tabelle58971121[[#This Row],[installierte Leistung MW durch]]</f>
        <v>312.39</v>
      </c>
      <c r="CV59" s="11">
        <f>Tabelle58971121[[#This Row],[Mindestauslastung min]]*Tabelle58971121[[#This Row],[installierte Leistung MW min]]</f>
        <v>288.09299999999996</v>
      </c>
      <c r="CW59" s="11">
        <f>Tabelle58971121[[#This Row],[Mindestauslastung max]]*Tabelle58971121[[#This Row],[installierte Leistung MW max]]</f>
        <v>336.68699999999995</v>
      </c>
      <c r="CX59" s="9">
        <v>0.15</v>
      </c>
      <c r="CY59" s="9">
        <v>0.15</v>
      </c>
      <c r="CZ59" s="9">
        <v>0.15</v>
      </c>
      <c r="DA59" s="9"/>
      <c r="DB59" s="9">
        <v>0.33354166666666663</v>
      </c>
      <c r="DC59" s="9">
        <v>0.254</v>
      </c>
      <c r="DD59" s="9">
        <v>0.42499999999999999</v>
      </c>
      <c r="DE59" s="9">
        <v>0.33354166666666663</v>
      </c>
      <c r="DF59" s="9">
        <v>0.254</v>
      </c>
      <c r="DG59" s="9">
        <v>0.42499999999999999</v>
      </c>
      <c r="DH59" s="9">
        <v>0.33354166666666663</v>
      </c>
      <c r="DI59" s="9">
        <v>0.254</v>
      </c>
      <c r="DJ59" s="9">
        <v>0.42499999999999999</v>
      </c>
      <c r="DK59" s="9">
        <v>0.33354166666666663</v>
      </c>
      <c r="DL59" s="9">
        <v>0.254</v>
      </c>
      <c r="DM59" s="9">
        <v>0.42499999999999999</v>
      </c>
      <c r="DN59" s="9">
        <v>0.33354166666666663</v>
      </c>
      <c r="DO59" s="9">
        <v>0.254</v>
      </c>
      <c r="DP59" s="9">
        <v>0.42499999999999999</v>
      </c>
      <c r="DQ59" s="9">
        <v>0.33354166666666663</v>
      </c>
      <c r="DR59" s="9">
        <v>0.254</v>
      </c>
      <c r="DS59" s="9">
        <v>0.42499999999999999</v>
      </c>
      <c r="DT59" s="9">
        <v>0.33354166666666663</v>
      </c>
      <c r="DU59" s="9">
        <v>0.254</v>
      </c>
      <c r="DV59" s="9">
        <v>0.42499999999999999</v>
      </c>
      <c r="DW59" s="9">
        <v>0.33354166666666663</v>
      </c>
      <c r="DX59" s="9">
        <v>0.254</v>
      </c>
      <c r="DY59" s="9">
        <v>0.42499999999999999</v>
      </c>
      <c r="DZ59" s="9">
        <v>0.33354166666666663</v>
      </c>
      <c r="EA59" s="9">
        <v>0.254</v>
      </c>
      <c r="EB59" s="9">
        <v>0.42499999999999999</v>
      </c>
      <c r="EC59" s="9"/>
      <c r="ED59" s="9"/>
      <c r="EE59" s="9"/>
      <c r="EF59" s="46">
        <f>Tabelle58971121[[#This Row],[Durchschnittsauslastung min]]*Tabelle58971121[[#This Row],[installierte Leistung MW min]]</f>
        <v>0</v>
      </c>
      <c r="EG59" s="46">
        <f>Tabelle58971121[[#This Row],[Durchschnittsauslastung durch]]*Tabelle58971121[[#This Row],[installierte Leistung MW durch]]</f>
        <v>0</v>
      </c>
      <c r="EH59" s="46">
        <f>Tabelle58971121[[#This Row],[Durchschnittsauslastung max]]*Tabelle58971121[[#This Row],[installierte Leistung MW max]]</f>
        <v>0</v>
      </c>
      <c r="EI59" s="83">
        <f>Tabelle58971121[[#This Row],[Maximalauslastung durch]]*Tabelle58971121[[#This Row],[installierte Leistung MW min]]</f>
        <v>1920.62</v>
      </c>
      <c r="EJ59" s="46">
        <f>Tabelle58971121[[#This Row],[Maximalauslastung durch]]*Tabelle58971121[[#This Row],[installierte Leistung MW durch]]</f>
        <v>2082.6</v>
      </c>
      <c r="EK59" s="19">
        <f>Tabelle58971121[[#This Row],[Maximalauslastung max]]*Tabelle58971121[[#This Row],[installierte Leistung MW durch]]</f>
        <v>2082.6</v>
      </c>
      <c r="EL59" s="9">
        <v>1</v>
      </c>
      <c r="EM59" s="9">
        <v>1</v>
      </c>
      <c r="EN59" s="9">
        <v>1</v>
      </c>
      <c r="EO59" s="1">
        <v>2082.6</v>
      </c>
      <c r="EP59" s="1">
        <v>1920.62</v>
      </c>
      <c r="EQ59" s="1">
        <v>2244.58</v>
      </c>
      <c r="ER59" s="19"/>
      <c r="ES59" s="19"/>
      <c r="EX59" s="1">
        <v>0.25</v>
      </c>
      <c r="EY59" s="1">
        <v>0.2</v>
      </c>
      <c r="EZ59" s="1">
        <v>0.3</v>
      </c>
      <c r="FD59" s="1">
        <v>0.25</v>
      </c>
      <c r="FE59" s="1">
        <v>0.2</v>
      </c>
      <c r="FF59" s="1">
        <v>0.3</v>
      </c>
      <c r="FG59" s="1">
        <v>4.5</v>
      </c>
      <c r="FH59" s="1">
        <v>3</v>
      </c>
      <c r="FI59" s="1">
        <v>6</v>
      </c>
      <c r="FJ59" s="1">
        <v>0.4</v>
      </c>
      <c r="FK59" s="1">
        <v>0.3</v>
      </c>
      <c r="FL59" s="1">
        <v>0.5</v>
      </c>
      <c r="FP59" s="1">
        <v>6570</v>
      </c>
      <c r="FQ59" s="1">
        <v>4380</v>
      </c>
      <c r="FR59" s="1">
        <v>8760</v>
      </c>
      <c r="FS59" s="11"/>
      <c r="FT59" s="11"/>
      <c r="FU59" s="11"/>
      <c r="FV59" s="1">
        <v>6570</v>
      </c>
      <c r="FW59" s="1">
        <v>4380</v>
      </c>
      <c r="FX59" s="1">
        <v>8760</v>
      </c>
      <c r="FY59" s="1">
        <v>25.848235294117643</v>
      </c>
      <c r="FZ59" s="19">
        <v>23.30411764705882</v>
      </c>
      <c r="GA59" s="19">
        <v>28.392352941176469</v>
      </c>
      <c r="GB59" s="19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>
        <v>38.670588235294112</v>
      </c>
      <c r="GO59" s="8">
        <v>34.803529411764707</v>
      </c>
      <c r="GP59" s="8">
        <v>42.537647058823524</v>
      </c>
      <c r="GS59" s="1">
        <v>67</v>
      </c>
      <c r="GT59" s="1">
        <v>67</v>
      </c>
      <c r="GU59" s="1">
        <v>67</v>
      </c>
      <c r="GV59" s="13" t="s">
        <v>806</v>
      </c>
      <c r="GW59" s="13" t="s">
        <v>806</v>
      </c>
      <c r="GX59" s="13" t="s">
        <v>806</v>
      </c>
      <c r="GY59" s="13"/>
      <c r="GZ59" s="13" t="s">
        <v>806</v>
      </c>
      <c r="HA59" s="13" t="s">
        <v>806</v>
      </c>
      <c r="HB59" s="13" t="s">
        <v>806</v>
      </c>
      <c r="HC59" s="13" t="s">
        <v>806</v>
      </c>
      <c r="HD59" s="13" t="s">
        <v>806</v>
      </c>
      <c r="HE59" s="13" t="s">
        <v>806</v>
      </c>
      <c r="HF59" s="13" t="s">
        <v>806</v>
      </c>
      <c r="HI59" s="13" t="s">
        <v>806</v>
      </c>
      <c r="HJ59" s="13" t="s">
        <v>806</v>
      </c>
      <c r="HL59" s="13" t="s">
        <v>806</v>
      </c>
    </row>
    <row r="60" spans="1:220" ht="12.75" customHeight="1" x14ac:dyDescent="0.25">
      <c r="A60" s="1" t="s">
        <v>133</v>
      </c>
      <c r="B60" s="1" t="s">
        <v>652</v>
      </c>
      <c r="E60" s="1" t="s">
        <v>139</v>
      </c>
      <c r="F60" s="1">
        <v>2</v>
      </c>
      <c r="G60" s="1">
        <v>2025</v>
      </c>
      <c r="H60" s="1">
        <v>1</v>
      </c>
      <c r="I60" s="1">
        <v>0</v>
      </c>
      <c r="J60" s="1">
        <v>0</v>
      </c>
      <c r="K60" s="19"/>
      <c r="L60" s="19"/>
      <c r="M60" s="19"/>
      <c r="N60" s="19"/>
      <c r="O60" s="19"/>
      <c r="P60" s="19"/>
      <c r="Q60" s="19">
        <v>679.02412499999991</v>
      </c>
      <c r="R60" s="19">
        <v>476.87483999999995</v>
      </c>
      <c r="S60" s="19">
        <v>932.50949999999989</v>
      </c>
      <c r="T60" s="19"/>
      <c r="U60" s="19"/>
      <c r="V60" s="19"/>
      <c r="W60" s="19">
        <v>0</v>
      </c>
      <c r="X60" s="19">
        <v>0</v>
      </c>
      <c r="Y60" s="19">
        <v>0</v>
      </c>
      <c r="Z60" s="19">
        <v>679.02412499999991</v>
      </c>
      <c r="AA60" s="19">
        <v>476.87483999999995</v>
      </c>
      <c r="AB60" s="19">
        <v>932.50949999999989</v>
      </c>
      <c r="AC60" s="19"/>
      <c r="AD60" s="19"/>
      <c r="AE60" s="19"/>
      <c r="AF60" s="19">
        <v>0</v>
      </c>
      <c r="AG60" s="19">
        <v>0</v>
      </c>
      <c r="AH60" s="19">
        <v>0</v>
      </c>
      <c r="AI60" s="19">
        <v>679.02412499999991</v>
      </c>
      <c r="AJ60" s="19">
        <v>476.87483999999995</v>
      </c>
      <c r="AK60" s="19">
        <v>932.50949999999989</v>
      </c>
      <c r="AL60" s="19">
        <v>0</v>
      </c>
      <c r="AM60" s="19">
        <v>0</v>
      </c>
      <c r="AN60" s="19">
        <v>0</v>
      </c>
      <c r="AO60" s="19">
        <v>679.02412499999991</v>
      </c>
      <c r="AP60" s="19">
        <v>476.87483999999995</v>
      </c>
      <c r="AQ60" s="19">
        <v>932.50949999999989</v>
      </c>
      <c r="AR60" s="19"/>
      <c r="AS60" s="19"/>
      <c r="AT60" s="19"/>
      <c r="AU60" s="19">
        <v>0</v>
      </c>
      <c r="AV60" s="19">
        <v>0</v>
      </c>
      <c r="AW60" s="19">
        <v>0</v>
      </c>
      <c r="AX60" s="19">
        <v>679.02412499999991</v>
      </c>
      <c r="AY60" s="19">
        <v>476.87483999999995</v>
      </c>
      <c r="AZ60" s="19">
        <v>932.50949999999989</v>
      </c>
      <c r="BA60" s="19"/>
      <c r="BB60" s="19"/>
      <c r="BC60" s="19"/>
      <c r="BD60" s="19">
        <v>0</v>
      </c>
      <c r="BE60" s="19">
        <v>0</v>
      </c>
      <c r="BF60" s="19">
        <v>0</v>
      </c>
      <c r="BG60" s="19">
        <v>679.02412499999991</v>
      </c>
      <c r="BH60" s="19">
        <v>476.87483999999995</v>
      </c>
      <c r="BI60" s="19">
        <v>932.50949999999989</v>
      </c>
      <c r="BJ60" s="19"/>
      <c r="BK60" s="19"/>
      <c r="BL60" s="19"/>
      <c r="BM60" s="19">
        <v>0</v>
      </c>
      <c r="BN60" s="19">
        <v>0</v>
      </c>
      <c r="BO60" s="19">
        <v>0</v>
      </c>
      <c r="BP60" s="19">
        <v>679.02412499999991</v>
      </c>
      <c r="BQ60" s="19">
        <v>476.87483999999995</v>
      </c>
      <c r="BR60" s="19">
        <v>932.50949999999989</v>
      </c>
      <c r="BS60" s="19"/>
      <c r="BT60" s="19"/>
      <c r="BU60" s="19"/>
      <c r="BV60" s="19">
        <v>0</v>
      </c>
      <c r="BW60" s="19">
        <v>0</v>
      </c>
      <c r="BX60" s="19">
        <v>0</v>
      </c>
      <c r="BY60" s="19">
        <v>679.02412499999991</v>
      </c>
      <c r="BZ60" s="19">
        <v>476.87483999999995</v>
      </c>
      <c r="CA60" s="19">
        <v>932.50949999999989</v>
      </c>
      <c r="CB60" s="19"/>
      <c r="CC60" s="19"/>
      <c r="CD60" s="19"/>
      <c r="CE60" s="19">
        <v>0</v>
      </c>
      <c r="CF60" s="19">
        <v>0</v>
      </c>
      <c r="CG60" s="19">
        <v>0</v>
      </c>
      <c r="CH60" s="19">
        <v>679.02412499999991</v>
      </c>
      <c r="CI60" s="19">
        <v>476.87483999999995</v>
      </c>
      <c r="CJ60" s="19">
        <v>932.50949999999989</v>
      </c>
      <c r="CK60" s="19"/>
      <c r="CL60" s="19"/>
      <c r="CM60" s="19"/>
      <c r="CN60" s="19">
        <v>0</v>
      </c>
      <c r="CO60" s="19">
        <v>0</v>
      </c>
      <c r="CP60" s="19">
        <v>0</v>
      </c>
      <c r="CQ60" s="19"/>
      <c r="CR60" s="19"/>
      <c r="CS60" s="19"/>
      <c r="CT60" s="19"/>
      <c r="CU60" s="11">
        <f>Tabelle58971121[[#This Row],[Mindestauslastung durch]]*Tabelle58971121[[#This Row],[installierte Leistung MW durch]]</f>
        <v>305.37</v>
      </c>
      <c r="CV60" s="11">
        <f>Tabelle58971121[[#This Row],[Mindestauslastung min]]*Tabelle58971121[[#This Row],[installierte Leistung MW min]]</f>
        <v>281.61899999999997</v>
      </c>
      <c r="CW60" s="11">
        <f>Tabelle58971121[[#This Row],[Mindestauslastung max]]*Tabelle58971121[[#This Row],[installierte Leistung MW max]]</f>
        <v>329.12099999999998</v>
      </c>
      <c r="CX60" s="9">
        <v>0.15</v>
      </c>
      <c r="CY60" s="9">
        <v>0.15</v>
      </c>
      <c r="CZ60" s="9">
        <v>0.15</v>
      </c>
      <c r="DA60" s="9"/>
      <c r="DB60" s="9">
        <v>0.33354166666666663</v>
      </c>
      <c r="DC60" s="9">
        <v>0.254</v>
      </c>
      <c r="DD60" s="9">
        <v>0.42499999999999999</v>
      </c>
      <c r="DE60" s="9">
        <v>0.33354166666666663</v>
      </c>
      <c r="DF60" s="9">
        <v>0.254</v>
      </c>
      <c r="DG60" s="9">
        <v>0.42499999999999999</v>
      </c>
      <c r="DH60" s="9">
        <v>0.33354166666666663</v>
      </c>
      <c r="DI60" s="9">
        <v>0.254</v>
      </c>
      <c r="DJ60" s="9">
        <v>0.42499999999999999</v>
      </c>
      <c r="DK60" s="9">
        <v>0.33354166666666663</v>
      </c>
      <c r="DL60" s="9">
        <v>0.254</v>
      </c>
      <c r="DM60" s="9">
        <v>0.42499999999999999</v>
      </c>
      <c r="DN60" s="9">
        <v>0.33354166666666663</v>
      </c>
      <c r="DO60" s="9">
        <v>0.254</v>
      </c>
      <c r="DP60" s="9">
        <v>0.42499999999999999</v>
      </c>
      <c r="DQ60" s="9">
        <v>0.33354166666666663</v>
      </c>
      <c r="DR60" s="9">
        <v>0.254</v>
      </c>
      <c r="DS60" s="9">
        <v>0.42499999999999999</v>
      </c>
      <c r="DT60" s="9">
        <v>0.33354166666666663</v>
      </c>
      <c r="DU60" s="9">
        <v>0.254</v>
      </c>
      <c r="DV60" s="9">
        <v>0.42499999999999999</v>
      </c>
      <c r="DW60" s="9">
        <v>0.33354166666666663</v>
      </c>
      <c r="DX60" s="9">
        <v>0.254</v>
      </c>
      <c r="DY60" s="9">
        <v>0.42499999999999999</v>
      </c>
      <c r="DZ60" s="9">
        <v>0.33354166666666663</v>
      </c>
      <c r="EA60" s="9">
        <v>0.254</v>
      </c>
      <c r="EB60" s="9">
        <v>0.42499999999999999</v>
      </c>
      <c r="EC60" s="9"/>
      <c r="ED60" s="9"/>
      <c r="EE60" s="9"/>
      <c r="EF60" s="46">
        <f>Tabelle58971121[[#This Row],[Durchschnittsauslastung min]]*Tabelle58971121[[#This Row],[installierte Leistung MW min]]</f>
        <v>0</v>
      </c>
      <c r="EG60" s="46">
        <f>Tabelle58971121[[#This Row],[Durchschnittsauslastung durch]]*Tabelle58971121[[#This Row],[installierte Leistung MW durch]]</f>
        <v>0</v>
      </c>
      <c r="EH60" s="46">
        <f>Tabelle58971121[[#This Row],[Durchschnittsauslastung max]]*Tabelle58971121[[#This Row],[installierte Leistung MW max]]</f>
        <v>0</v>
      </c>
      <c r="EI60" s="83">
        <f>Tabelle58971121[[#This Row],[Maximalauslastung durch]]*Tabelle58971121[[#This Row],[installierte Leistung MW min]]</f>
        <v>1877.46</v>
      </c>
      <c r="EJ60" s="46">
        <f>Tabelle58971121[[#This Row],[Maximalauslastung durch]]*Tabelle58971121[[#This Row],[installierte Leistung MW durch]]</f>
        <v>2035.8</v>
      </c>
      <c r="EK60" s="19">
        <f>Tabelle58971121[[#This Row],[Maximalauslastung max]]*Tabelle58971121[[#This Row],[installierte Leistung MW durch]]</f>
        <v>2035.8</v>
      </c>
      <c r="EL60" s="9">
        <v>1</v>
      </c>
      <c r="EM60" s="9">
        <v>1</v>
      </c>
      <c r="EN60" s="9">
        <v>1</v>
      </c>
      <c r="EO60" s="1">
        <v>2035.8</v>
      </c>
      <c r="EP60" s="1">
        <v>1877.46</v>
      </c>
      <c r="EQ60" s="1">
        <v>2194.14</v>
      </c>
      <c r="ER60" s="19"/>
      <c r="ES60" s="19"/>
      <c r="EX60" s="1">
        <v>0.25</v>
      </c>
      <c r="EY60" s="1">
        <v>0.2</v>
      </c>
      <c r="EZ60" s="1">
        <v>0.3</v>
      </c>
      <c r="FD60" s="1">
        <v>0.25</v>
      </c>
      <c r="FE60" s="1">
        <v>0.2</v>
      </c>
      <c r="FF60" s="1">
        <v>0.3</v>
      </c>
      <c r="FG60" s="1">
        <v>4.5</v>
      </c>
      <c r="FH60" s="1">
        <v>3</v>
      </c>
      <c r="FI60" s="1">
        <v>6</v>
      </c>
      <c r="FJ60" s="1">
        <v>0.4</v>
      </c>
      <c r="FK60" s="1">
        <v>0.3</v>
      </c>
      <c r="FL60" s="1">
        <v>0.5</v>
      </c>
      <c r="FP60" s="1">
        <v>6570</v>
      </c>
      <c r="FQ60" s="1">
        <v>4380</v>
      </c>
      <c r="FR60" s="1">
        <v>8760</v>
      </c>
      <c r="FS60" s="11"/>
      <c r="FT60" s="11"/>
      <c r="FU60" s="11"/>
      <c r="FV60" s="1">
        <v>6570</v>
      </c>
      <c r="FW60" s="1">
        <v>4380</v>
      </c>
      <c r="FX60" s="1">
        <v>8760</v>
      </c>
      <c r="FY60" s="1">
        <v>25.848235294117643</v>
      </c>
      <c r="FZ60" s="19">
        <v>23.30411764705882</v>
      </c>
      <c r="GA60" s="19">
        <v>28.392352941176469</v>
      </c>
      <c r="GB60" s="19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>
        <v>38.670588235294112</v>
      </c>
      <c r="GO60" s="8">
        <v>34.803529411764707</v>
      </c>
      <c r="GP60" s="8">
        <v>42.537647058823524</v>
      </c>
      <c r="GS60" s="1">
        <v>67</v>
      </c>
      <c r="GT60" s="1">
        <v>67</v>
      </c>
      <c r="GU60" s="1">
        <v>67</v>
      </c>
      <c r="GV60" s="13" t="s">
        <v>806</v>
      </c>
      <c r="GW60" s="13" t="s">
        <v>806</v>
      </c>
      <c r="GX60" s="13" t="s">
        <v>806</v>
      </c>
      <c r="GY60" s="13"/>
      <c r="GZ60" s="13" t="s">
        <v>806</v>
      </c>
      <c r="HA60" s="13" t="s">
        <v>806</v>
      </c>
      <c r="HB60" s="13" t="s">
        <v>806</v>
      </c>
      <c r="HC60" s="13" t="s">
        <v>806</v>
      </c>
      <c r="HD60" s="13" t="s">
        <v>806</v>
      </c>
      <c r="HE60" s="13" t="s">
        <v>806</v>
      </c>
      <c r="HF60" s="13" t="s">
        <v>806</v>
      </c>
      <c r="HI60" s="13" t="s">
        <v>806</v>
      </c>
      <c r="HJ60" s="13" t="s">
        <v>806</v>
      </c>
      <c r="HL60" s="13" t="s">
        <v>806</v>
      </c>
    </row>
    <row r="61" spans="1:220" ht="12.75" customHeight="1" x14ac:dyDescent="0.25">
      <c r="A61" s="1" t="s">
        <v>133</v>
      </c>
      <c r="B61" s="1" t="s">
        <v>652</v>
      </c>
      <c r="E61" s="1" t="s">
        <v>139</v>
      </c>
      <c r="F61" s="1">
        <v>2</v>
      </c>
      <c r="G61" s="1">
        <v>2030</v>
      </c>
      <c r="H61" s="1">
        <v>1</v>
      </c>
      <c r="I61" s="1">
        <v>0</v>
      </c>
      <c r="J61" s="1">
        <v>0</v>
      </c>
      <c r="K61" s="19"/>
      <c r="L61" s="19"/>
      <c r="M61" s="19"/>
      <c r="N61" s="19"/>
      <c r="O61" s="19"/>
      <c r="P61" s="19"/>
      <c r="Q61" s="19">
        <v>647.80462499999999</v>
      </c>
      <c r="R61" s="19">
        <v>454.94955999999996</v>
      </c>
      <c r="S61" s="19">
        <v>889.63549999999987</v>
      </c>
      <c r="T61" s="19"/>
      <c r="U61" s="19"/>
      <c r="V61" s="19"/>
      <c r="W61" s="19">
        <v>0</v>
      </c>
      <c r="X61" s="19">
        <v>0</v>
      </c>
      <c r="Y61" s="19">
        <v>0</v>
      </c>
      <c r="Z61" s="19">
        <v>647.80462499999999</v>
      </c>
      <c r="AA61" s="19">
        <v>454.94955999999996</v>
      </c>
      <c r="AB61" s="19">
        <v>889.63549999999987</v>
      </c>
      <c r="AC61" s="19"/>
      <c r="AD61" s="19"/>
      <c r="AE61" s="19"/>
      <c r="AF61" s="19">
        <v>0</v>
      </c>
      <c r="AG61" s="19">
        <v>0</v>
      </c>
      <c r="AH61" s="19">
        <v>0</v>
      </c>
      <c r="AI61" s="19">
        <v>647.80462499999999</v>
      </c>
      <c r="AJ61" s="19">
        <v>454.94955999999996</v>
      </c>
      <c r="AK61" s="19">
        <v>889.63549999999987</v>
      </c>
      <c r="AL61" s="19">
        <v>0</v>
      </c>
      <c r="AM61" s="19">
        <v>0</v>
      </c>
      <c r="AN61" s="19">
        <v>0</v>
      </c>
      <c r="AO61" s="19">
        <v>647.80462499999999</v>
      </c>
      <c r="AP61" s="19">
        <v>454.94955999999996</v>
      </c>
      <c r="AQ61" s="19">
        <v>889.63549999999987</v>
      </c>
      <c r="AR61" s="19"/>
      <c r="AS61" s="19"/>
      <c r="AT61" s="19"/>
      <c r="AU61" s="19">
        <v>0</v>
      </c>
      <c r="AV61" s="19">
        <v>0</v>
      </c>
      <c r="AW61" s="19">
        <v>0</v>
      </c>
      <c r="AX61" s="19">
        <v>647.80462499999999</v>
      </c>
      <c r="AY61" s="19">
        <v>454.94955999999996</v>
      </c>
      <c r="AZ61" s="19">
        <v>889.63549999999987</v>
      </c>
      <c r="BA61" s="19"/>
      <c r="BB61" s="19"/>
      <c r="BC61" s="19"/>
      <c r="BD61" s="19">
        <v>0</v>
      </c>
      <c r="BE61" s="19">
        <v>0</v>
      </c>
      <c r="BF61" s="19">
        <v>0</v>
      </c>
      <c r="BG61" s="19">
        <v>647.80462499999999</v>
      </c>
      <c r="BH61" s="19">
        <v>454.94955999999996</v>
      </c>
      <c r="BI61" s="19">
        <v>889.63549999999987</v>
      </c>
      <c r="BJ61" s="19"/>
      <c r="BK61" s="19"/>
      <c r="BL61" s="19"/>
      <c r="BM61" s="19">
        <v>0</v>
      </c>
      <c r="BN61" s="19">
        <v>0</v>
      </c>
      <c r="BO61" s="19">
        <v>0</v>
      </c>
      <c r="BP61" s="19">
        <v>647.80462499999999</v>
      </c>
      <c r="BQ61" s="19">
        <v>454.94955999999996</v>
      </c>
      <c r="BR61" s="19">
        <v>889.63549999999987</v>
      </c>
      <c r="BS61" s="19"/>
      <c r="BT61" s="19"/>
      <c r="BU61" s="19"/>
      <c r="BV61" s="19">
        <v>0</v>
      </c>
      <c r="BW61" s="19">
        <v>0</v>
      </c>
      <c r="BX61" s="19">
        <v>0</v>
      </c>
      <c r="BY61" s="19">
        <v>647.80462499999999</v>
      </c>
      <c r="BZ61" s="19">
        <v>454.94955999999996</v>
      </c>
      <c r="CA61" s="19">
        <v>889.63549999999987</v>
      </c>
      <c r="CB61" s="19"/>
      <c r="CC61" s="19"/>
      <c r="CD61" s="19"/>
      <c r="CE61" s="19">
        <v>0</v>
      </c>
      <c r="CF61" s="19">
        <v>0</v>
      </c>
      <c r="CG61" s="19">
        <v>0</v>
      </c>
      <c r="CH61" s="19">
        <v>647.80462499999999</v>
      </c>
      <c r="CI61" s="19">
        <v>454.94955999999996</v>
      </c>
      <c r="CJ61" s="19">
        <v>889.63549999999987</v>
      </c>
      <c r="CK61" s="19"/>
      <c r="CL61" s="19"/>
      <c r="CM61" s="19"/>
      <c r="CN61" s="19">
        <v>0</v>
      </c>
      <c r="CO61" s="19">
        <v>0</v>
      </c>
      <c r="CP61" s="19">
        <v>0</v>
      </c>
      <c r="CQ61" s="19"/>
      <c r="CR61" s="19"/>
      <c r="CS61" s="19"/>
      <c r="CT61" s="19"/>
      <c r="CU61" s="11">
        <f>Tabelle58971121[[#This Row],[Mindestauslastung durch]]*Tabelle58971121[[#This Row],[installierte Leistung MW durch]]</f>
        <v>291.33</v>
      </c>
      <c r="CV61" s="11">
        <f>Tabelle58971121[[#This Row],[Mindestauslastung min]]*Tabelle58971121[[#This Row],[installierte Leistung MW min]]</f>
        <v>268.67099999999999</v>
      </c>
      <c r="CW61" s="11">
        <f>Tabelle58971121[[#This Row],[Mindestauslastung max]]*Tabelle58971121[[#This Row],[installierte Leistung MW max]]</f>
        <v>313.98900000000003</v>
      </c>
      <c r="CX61" s="9">
        <v>0.15</v>
      </c>
      <c r="CY61" s="9">
        <v>0.15</v>
      </c>
      <c r="CZ61" s="9">
        <v>0.15</v>
      </c>
      <c r="DA61" s="9"/>
      <c r="DB61" s="9">
        <v>0.33354166666666663</v>
      </c>
      <c r="DC61" s="9">
        <v>0.254</v>
      </c>
      <c r="DD61" s="9">
        <v>0.42499999999999999</v>
      </c>
      <c r="DE61" s="9">
        <v>0.33354166666666663</v>
      </c>
      <c r="DF61" s="9">
        <v>0.254</v>
      </c>
      <c r="DG61" s="9">
        <v>0.42499999999999999</v>
      </c>
      <c r="DH61" s="9">
        <v>0.33354166666666663</v>
      </c>
      <c r="DI61" s="9">
        <v>0.254</v>
      </c>
      <c r="DJ61" s="9">
        <v>0.42499999999999999</v>
      </c>
      <c r="DK61" s="9">
        <v>0.33354166666666663</v>
      </c>
      <c r="DL61" s="9">
        <v>0.254</v>
      </c>
      <c r="DM61" s="9">
        <v>0.42499999999999999</v>
      </c>
      <c r="DN61" s="9">
        <v>0.33354166666666663</v>
      </c>
      <c r="DO61" s="9">
        <v>0.254</v>
      </c>
      <c r="DP61" s="9">
        <v>0.42499999999999999</v>
      </c>
      <c r="DQ61" s="9">
        <v>0.33354166666666663</v>
      </c>
      <c r="DR61" s="9">
        <v>0.254</v>
      </c>
      <c r="DS61" s="9">
        <v>0.42499999999999999</v>
      </c>
      <c r="DT61" s="9">
        <v>0.33354166666666663</v>
      </c>
      <c r="DU61" s="9">
        <v>0.254</v>
      </c>
      <c r="DV61" s="9">
        <v>0.42499999999999999</v>
      </c>
      <c r="DW61" s="9">
        <v>0.33354166666666663</v>
      </c>
      <c r="DX61" s="9">
        <v>0.254</v>
      </c>
      <c r="DY61" s="9">
        <v>0.42499999999999999</v>
      </c>
      <c r="DZ61" s="9">
        <v>0.33354166666666663</v>
      </c>
      <c r="EA61" s="9">
        <v>0.254</v>
      </c>
      <c r="EB61" s="9">
        <v>0.42499999999999999</v>
      </c>
      <c r="EC61" s="9"/>
      <c r="ED61" s="9"/>
      <c r="EE61" s="9"/>
      <c r="EF61" s="46">
        <f>Tabelle58971121[[#This Row],[Durchschnittsauslastung min]]*Tabelle58971121[[#This Row],[installierte Leistung MW min]]</f>
        <v>0</v>
      </c>
      <c r="EG61" s="46">
        <f>Tabelle58971121[[#This Row],[Durchschnittsauslastung durch]]*Tabelle58971121[[#This Row],[installierte Leistung MW durch]]</f>
        <v>0</v>
      </c>
      <c r="EH61" s="46">
        <f>Tabelle58971121[[#This Row],[Durchschnittsauslastung max]]*Tabelle58971121[[#This Row],[installierte Leistung MW max]]</f>
        <v>0</v>
      </c>
      <c r="EI61" s="83">
        <f>Tabelle58971121[[#This Row],[Maximalauslastung durch]]*Tabelle58971121[[#This Row],[installierte Leistung MW min]]</f>
        <v>1791.14</v>
      </c>
      <c r="EJ61" s="46">
        <f>Tabelle58971121[[#This Row],[Maximalauslastung durch]]*Tabelle58971121[[#This Row],[installierte Leistung MW durch]]</f>
        <v>1942.2</v>
      </c>
      <c r="EK61" s="19">
        <f>Tabelle58971121[[#This Row],[Maximalauslastung max]]*Tabelle58971121[[#This Row],[installierte Leistung MW durch]]</f>
        <v>1942.2</v>
      </c>
      <c r="EL61" s="9">
        <v>1</v>
      </c>
      <c r="EM61" s="9">
        <v>1</v>
      </c>
      <c r="EN61" s="9">
        <v>1</v>
      </c>
      <c r="EO61" s="1">
        <v>1942.2</v>
      </c>
      <c r="EP61" s="1">
        <v>1791.14</v>
      </c>
      <c r="EQ61" s="1">
        <v>2093.2600000000002</v>
      </c>
      <c r="ER61" s="19"/>
      <c r="ES61" s="19"/>
      <c r="EX61" s="1">
        <v>0.25</v>
      </c>
      <c r="EY61" s="1">
        <v>0.2</v>
      </c>
      <c r="EZ61" s="1">
        <v>0.3</v>
      </c>
      <c r="FD61" s="1">
        <v>0.25</v>
      </c>
      <c r="FE61" s="1">
        <v>0.2</v>
      </c>
      <c r="FF61" s="1">
        <v>0.3</v>
      </c>
      <c r="FG61" s="1">
        <v>4.5</v>
      </c>
      <c r="FH61" s="1">
        <v>3</v>
      </c>
      <c r="FI61" s="1">
        <v>6</v>
      </c>
      <c r="FJ61" s="1">
        <v>0.4</v>
      </c>
      <c r="FK61" s="1">
        <v>0.3</v>
      </c>
      <c r="FL61" s="1">
        <v>0.5</v>
      </c>
      <c r="FP61" s="1">
        <v>6570</v>
      </c>
      <c r="FQ61" s="1">
        <v>4380</v>
      </c>
      <c r="FR61" s="1">
        <v>8760</v>
      </c>
      <c r="FS61" s="11"/>
      <c r="FT61" s="11"/>
      <c r="FU61" s="11"/>
      <c r="FV61" s="1">
        <v>6570</v>
      </c>
      <c r="FW61" s="1">
        <v>4380</v>
      </c>
      <c r="FX61" s="1">
        <v>8760</v>
      </c>
      <c r="FY61" s="1">
        <v>25.848235294117643</v>
      </c>
      <c r="FZ61" s="19">
        <v>23.30411764705882</v>
      </c>
      <c r="GA61" s="19">
        <v>28.392352941176469</v>
      </c>
      <c r="GB61" s="19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>
        <v>38.670588235294112</v>
      </c>
      <c r="GO61" s="8">
        <v>34.803529411764707</v>
      </c>
      <c r="GP61" s="8">
        <v>42.537647058823524</v>
      </c>
      <c r="GS61" s="1">
        <v>67</v>
      </c>
      <c r="GT61" s="1">
        <v>67</v>
      </c>
      <c r="GU61" s="1">
        <v>67</v>
      </c>
      <c r="GV61" s="13" t="s">
        <v>806</v>
      </c>
      <c r="GW61" s="13" t="s">
        <v>806</v>
      </c>
      <c r="GX61" s="13" t="s">
        <v>806</v>
      </c>
      <c r="GY61" s="13"/>
      <c r="GZ61" s="13" t="s">
        <v>806</v>
      </c>
      <c r="HA61" s="13" t="s">
        <v>806</v>
      </c>
      <c r="HB61" s="13" t="s">
        <v>806</v>
      </c>
      <c r="HC61" s="13" t="s">
        <v>806</v>
      </c>
      <c r="HD61" s="13" t="s">
        <v>806</v>
      </c>
      <c r="HE61" s="13" t="s">
        <v>806</v>
      </c>
      <c r="HF61" s="13" t="s">
        <v>806</v>
      </c>
      <c r="HI61" s="13" t="s">
        <v>806</v>
      </c>
      <c r="HJ61" s="13" t="s">
        <v>806</v>
      </c>
      <c r="HL61" s="13" t="s">
        <v>806</v>
      </c>
    </row>
    <row r="62" spans="1:220" ht="12.75" customHeight="1" x14ac:dyDescent="0.25">
      <c r="A62" s="1" t="s">
        <v>133</v>
      </c>
      <c r="B62" s="1" t="s">
        <v>652</v>
      </c>
      <c r="E62" s="1" t="s">
        <v>139</v>
      </c>
      <c r="F62" s="1">
        <v>2</v>
      </c>
      <c r="G62" s="1">
        <v>2035</v>
      </c>
      <c r="H62" s="1">
        <v>1</v>
      </c>
      <c r="I62" s="1">
        <v>0</v>
      </c>
      <c r="J62" s="1">
        <v>0</v>
      </c>
      <c r="K62" s="19"/>
      <c r="L62" s="19"/>
      <c r="M62" s="19"/>
      <c r="N62" s="19"/>
      <c r="O62" s="19"/>
      <c r="P62" s="19"/>
      <c r="Q62" s="19">
        <v>600.97537499999999</v>
      </c>
      <c r="R62" s="19">
        <v>422.06163999999995</v>
      </c>
      <c r="S62" s="19">
        <v>825.32449999999994</v>
      </c>
      <c r="T62" s="19"/>
      <c r="U62" s="19"/>
      <c r="V62" s="19"/>
      <c r="W62" s="19">
        <v>0</v>
      </c>
      <c r="X62" s="19">
        <v>0</v>
      </c>
      <c r="Y62" s="19">
        <v>0</v>
      </c>
      <c r="Z62" s="19">
        <v>600.97537499999999</v>
      </c>
      <c r="AA62" s="19">
        <v>422.06163999999995</v>
      </c>
      <c r="AB62" s="19">
        <v>825.32449999999994</v>
      </c>
      <c r="AC62" s="19"/>
      <c r="AD62" s="19"/>
      <c r="AE62" s="19"/>
      <c r="AF62" s="19">
        <v>0</v>
      </c>
      <c r="AG62" s="19">
        <v>0</v>
      </c>
      <c r="AH62" s="19">
        <v>0</v>
      </c>
      <c r="AI62" s="19">
        <v>600.97537499999999</v>
      </c>
      <c r="AJ62" s="19">
        <v>422.06163999999995</v>
      </c>
      <c r="AK62" s="19">
        <v>825.32449999999994</v>
      </c>
      <c r="AL62" s="19">
        <v>0</v>
      </c>
      <c r="AM62" s="19">
        <v>0</v>
      </c>
      <c r="AN62" s="19">
        <v>0</v>
      </c>
      <c r="AO62" s="19">
        <v>600.97537499999999</v>
      </c>
      <c r="AP62" s="19">
        <v>422.06163999999995</v>
      </c>
      <c r="AQ62" s="19">
        <v>825.32449999999994</v>
      </c>
      <c r="AR62" s="19"/>
      <c r="AS62" s="19"/>
      <c r="AT62" s="19"/>
      <c r="AU62" s="19">
        <v>0</v>
      </c>
      <c r="AV62" s="19">
        <v>0</v>
      </c>
      <c r="AW62" s="19">
        <v>0</v>
      </c>
      <c r="AX62" s="19">
        <v>600.97537499999999</v>
      </c>
      <c r="AY62" s="19">
        <v>422.06163999999995</v>
      </c>
      <c r="AZ62" s="19">
        <v>825.32449999999994</v>
      </c>
      <c r="BA62" s="19"/>
      <c r="BB62" s="19"/>
      <c r="BC62" s="19"/>
      <c r="BD62" s="19">
        <v>0</v>
      </c>
      <c r="BE62" s="19">
        <v>0</v>
      </c>
      <c r="BF62" s="19">
        <v>0</v>
      </c>
      <c r="BG62" s="19">
        <v>600.97537499999999</v>
      </c>
      <c r="BH62" s="19">
        <v>422.06163999999995</v>
      </c>
      <c r="BI62" s="19">
        <v>825.32449999999994</v>
      </c>
      <c r="BJ62" s="19"/>
      <c r="BK62" s="19"/>
      <c r="BL62" s="19"/>
      <c r="BM62" s="19">
        <v>0</v>
      </c>
      <c r="BN62" s="19">
        <v>0</v>
      </c>
      <c r="BO62" s="19">
        <v>0</v>
      </c>
      <c r="BP62" s="19">
        <v>600.97537499999999</v>
      </c>
      <c r="BQ62" s="19">
        <v>422.06163999999995</v>
      </c>
      <c r="BR62" s="19">
        <v>825.32449999999994</v>
      </c>
      <c r="BS62" s="19"/>
      <c r="BT62" s="19"/>
      <c r="BU62" s="19"/>
      <c r="BV62" s="19">
        <v>0</v>
      </c>
      <c r="BW62" s="19">
        <v>0</v>
      </c>
      <c r="BX62" s="19">
        <v>0</v>
      </c>
      <c r="BY62" s="19">
        <v>600.97537499999999</v>
      </c>
      <c r="BZ62" s="19">
        <v>422.06163999999995</v>
      </c>
      <c r="CA62" s="19">
        <v>825.32449999999994</v>
      </c>
      <c r="CB62" s="19"/>
      <c r="CC62" s="19"/>
      <c r="CD62" s="19"/>
      <c r="CE62" s="19">
        <v>0</v>
      </c>
      <c r="CF62" s="19">
        <v>0</v>
      </c>
      <c r="CG62" s="19">
        <v>0</v>
      </c>
      <c r="CH62" s="19">
        <v>600.97537499999999</v>
      </c>
      <c r="CI62" s="19">
        <v>422.06163999999995</v>
      </c>
      <c r="CJ62" s="19">
        <v>825.32449999999994</v>
      </c>
      <c r="CK62" s="19"/>
      <c r="CL62" s="19"/>
      <c r="CM62" s="19"/>
      <c r="CN62" s="19">
        <v>0</v>
      </c>
      <c r="CO62" s="19">
        <v>0</v>
      </c>
      <c r="CP62" s="19">
        <v>0</v>
      </c>
      <c r="CQ62" s="19"/>
      <c r="CR62" s="19"/>
      <c r="CS62" s="19"/>
      <c r="CT62" s="19"/>
      <c r="CU62" s="11">
        <f>Tabelle58971121[[#This Row],[Mindestauslastung durch]]*Tabelle58971121[[#This Row],[installierte Leistung MW durch]]</f>
        <v>270.27</v>
      </c>
      <c r="CV62" s="11">
        <f>Tabelle58971121[[#This Row],[Mindestauslastung min]]*Tabelle58971121[[#This Row],[installierte Leistung MW min]]</f>
        <v>249.249</v>
      </c>
      <c r="CW62" s="11">
        <f>Tabelle58971121[[#This Row],[Mindestauslastung max]]*Tabelle58971121[[#This Row],[installierte Leistung MW max]]</f>
        <v>291.291</v>
      </c>
      <c r="CX62" s="9">
        <v>0.15</v>
      </c>
      <c r="CY62" s="9">
        <v>0.15</v>
      </c>
      <c r="CZ62" s="9">
        <v>0.15</v>
      </c>
      <c r="DA62" s="9"/>
      <c r="DB62" s="9">
        <v>0.33354166666666663</v>
      </c>
      <c r="DC62" s="9">
        <v>0.254</v>
      </c>
      <c r="DD62" s="9">
        <v>0.42499999999999999</v>
      </c>
      <c r="DE62" s="9">
        <v>0.33354166666666663</v>
      </c>
      <c r="DF62" s="9">
        <v>0.254</v>
      </c>
      <c r="DG62" s="9">
        <v>0.42499999999999999</v>
      </c>
      <c r="DH62" s="9">
        <v>0.33354166666666663</v>
      </c>
      <c r="DI62" s="9">
        <v>0.254</v>
      </c>
      <c r="DJ62" s="9">
        <v>0.42499999999999999</v>
      </c>
      <c r="DK62" s="9">
        <v>0.33354166666666663</v>
      </c>
      <c r="DL62" s="9">
        <v>0.254</v>
      </c>
      <c r="DM62" s="9">
        <v>0.42499999999999999</v>
      </c>
      <c r="DN62" s="9">
        <v>0.33354166666666663</v>
      </c>
      <c r="DO62" s="9">
        <v>0.254</v>
      </c>
      <c r="DP62" s="9">
        <v>0.42499999999999999</v>
      </c>
      <c r="DQ62" s="9">
        <v>0.33354166666666663</v>
      </c>
      <c r="DR62" s="9">
        <v>0.254</v>
      </c>
      <c r="DS62" s="9">
        <v>0.42499999999999999</v>
      </c>
      <c r="DT62" s="9">
        <v>0.33354166666666663</v>
      </c>
      <c r="DU62" s="9">
        <v>0.254</v>
      </c>
      <c r="DV62" s="9">
        <v>0.42499999999999999</v>
      </c>
      <c r="DW62" s="9">
        <v>0.33354166666666663</v>
      </c>
      <c r="DX62" s="9">
        <v>0.254</v>
      </c>
      <c r="DY62" s="9">
        <v>0.42499999999999999</v>
      </c>
      <c r="DZ62" s="9">
        <v>0.33354166666666663</v>
      </c>
      <c r="EA62" s="9">
        <v>0.254</v>
      </c>
      <c r="EB62" s="9">
        <v>0.42499999999999999</v>
      </c>
      <c r="EC62" s="9"/>
      <c r="ED62" s="9"/>
      <c r="EE62" s="9"/>
      <c r="EF62" s="46">
        <f>Tabelle58971121[[#This Row],[Durchschnittsauslastung min]]*Tabelle58971121[[#This Row],[installierte Leistung MW min]]</f>
        <v>0</v>
      </c>
      <c r="EG62" s="46">
        <f>Tabelle58971121[[#This Row],[Durchschnittsauslastung durch]]*Tabelle58971121[[#This Row],[installierte Leistung MW durch]]</f>
        <v>0</v>
      </c>
      <c r="EH62" s="46">
        <f>Tabelle58971121[[#This Row],[Durchschnittsauslastung max]]*Tabelle58971121[[#This Row],[installierte Leistung MW max]]</f>
        <v>0</v>
      </c>
      <c r="EI62" s="83">
        <f>Tabelle58971121[[#This Row],[Maximalauslastung durch]]*Tabelle58971121[[#This Row],[installierte Leistung MW min]]</f>
        <v>1661.66</v>
      </c>
      <c r="EJ62" s="46">
        <f>Tabelle58971121[[#This Row],[Maximalauslastung durch]]*Tabelle58971121[[#This Row],[installierte Leistung MW durch]]</f>
        <v>1801.8</v>
      </c>
      <c r="EK62" s="19">
        <f>Tabelle58971121[[#This Row],[Maximalauslastung max]]*Tabelle58971121[[#This Row],[installierte Leistung MW durch]]</f>
        <v>1801.8</v>
      </c>
      <c r="EL62" s="9">
        <v>1</v>
      </c>
      <c r="EM62" s="9">
        <v>1</v>
      </c>
      <c r="EN62" s="9">
        <v>1</v>
      </c>
      <c r="EO62" s="1">
        <v>1801.8</v>
      </c>
      <c r="EP62" s="1">
        <v>1661.66</v>
      </c>
      <c r="EQ62" s="1">
        <v>1941.94</v>
      </c>
      <c r="ER62" s="19"/>
      <c r="ES62" s="19"/>
      <c r="EX62" s="1">
        <v>0.25</v>
      </c>
      <c r="EY62" s="1">
        <v>0.2</v>
      </c>
      <c r="EZ62" s="1">
        <v>0.3</v>
      </c>
      <c r="FD62" s="1">
        <v>0.25</v>
      </c>
      <c r="FE62" s="1">
        <v>0.2</v>
      </c>
      <c r="FF62" s="1">
        <v>0.3</v>
      </c>
      <c r="FG62" s="1">
        <v>4.5</v>
      </c>
      <c r="FH62" s="1">
        <v>3</v>
      </c>
      <c r="FI62" s="1">
        <v>6</v>
      </c>
      <c r="FJ62" s="1">
        <v>0.4</v>
      </c>
      <c r="FK62" s="1">
        <v>0.3</v>
      </c>
      <c r="FL62" s="1">
        <v>0.5</v>
      </c>
      <c r="FP62" s="1">
        <v>6570</v>
      </c>
      <c r="FQ62" s="1">
        <v>4380</v>
      </c>
      <c r="FR62" s="1">
        <v>8760</v>
      </c>
      <c r="FS62" s="11"/>
      <c r="FT62" s="11"/>
      <c r="FU62" s="11"/>
      <c r="FV62" s="1">
        <v>6570</v>
      </c>
      <c r="FW62" s="1">
        <v>4380</v>
      </c>
      <c r="FX62" s="1">
        <v>8760</v>
      </c>
      <c r="FY62" s="1">
        <v>25.848235294117643</v>
      </c>
      <c r="FZ62" s="19">
        <v>23.30411764705882</v>
      </c>
      <c r="GA62" s="19">
        <v>28.392352941176469</v>
      </c>
      <c r="GB62" s="19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>
        <v>38.670588235294112</v>
      </c>
      <c r="GO62" s="8">
        <v>34.803529411764707</v>
      </c>
      <c r="GP62" s="8">
        <v>42.537647058823524</v>
      </c>
      <c r="GS62" s="1">
        <v>67</v>
      </c>
      <c r="GT62" s="1">
        <v>67</v>
      </c>
      <c r="GU62" s="1">
        <v>67</v>
      </c>
      <c r="GV62" s="13" t="s">
        <v>806</v>
      </c>
      <c r="GW62" s="13" t="s">
        <v>806</v>
      </c>
      <c r="GX62" s="13" t="s">
        <v>806</v>
      </c>
      <c r="GY62" s="13"/>
      <c r="GZ62" s="13" t="s">
        <v>806</v>
      </c>
      <c r="HA62" s="13" t="s">
        <v>806</v>
      </c>
      <c r="HB62" s="13" t="s">
        <v>806</v>
      </c>
      <c r="HC62" s="13" t="s">
        <v>806</v>
      </c>
      <c r="HD62" s="13" t="s">
        <v>806</v>
      </c>
      <c r="HE62" s="13" t="s">
        <v>806</v>
      </c>
      <c r="HF62" s="13" t="s">
        <v>806</v>
      </c>
      <c r="HI62" s="13" t="s">
        <v>806</v>
      </c>
      <c r="HJ62" s="13" t="s">
        <v>806</v>
      </c>
      <c r="HL62" s="13" t="s">
        <v>806</v>
      </c>
    </row>
    <row r="63" spans="1:220" ht="12.75" customHeight="1" x14ac:dyDescent="0.25">
      <c r="A63" s="1" t="s">
        <v>133</v>
      </c>
      <c r="B63" s="1" t="s">
        <v>652</v>
      </c>
      <c r="E63" s="1" t="s">
        <v>139</v>
      </c>
      <c r="F63" s="1">
        <v>2</v>
      </c>
      <c r="G63" s="1">
        <v>2040</v>
      </c>
      <c r="H63" s="1">
        <v>1</v>
      </c>
      <c r="I63" s="1">
        <v>0</v>
      </c>
      <c r="J63" s="1">
        <v>0</v>
      </c>
      <c r="K63" s="19"/>
      <c r="L63" s="19"/>
      <c r="M63" s="19"/>
      <c r="N63" s="19"/>
      <c r="O63" s="19"/>
      <c r="P63" s="19"/>
      <c r="Q63" s="19">
        <v>546.34124999999995</v>
      </c>
      <c r="R63" s="19">
        <v>383.69239999999996</v>
      </c>
      <c r="S63" s="19">
        <v>750.29499999999985</v>
      </c>
      <c r="T63" s="19"/>
      <c r="U63" s="19"/>
      <c r="V63" s="19"/>
      <c r="W63" s="19">
        <v>0</v>
      </c>
      <c r="X63" s="19">
        <v>0</v>
      </c>
      <c r="Y63" s="19">
        <v>0</v>
      </c>
      <c r="Z63" s="19">
        <v>546.34124999999995</v>
      </c>
      <c r="AA63" s="19">
        <v>383.69239999999996</v>
      </c>
      <c r="AB63" s="19">
        <v>750.29499999999985</v>
      </c>
      <c r="AC63" s="19"/>
      <c r="AD63" s="19"/>
      <c r="AE63" s="19"/>
      <c r="AF63" s="19">
        <v>0</v>
      </c>
      <c r="AG63" s="19">
        <v>0</v>
      </c>
      <c r="AH63" s="19">
        <v>0</v>
      </c>
      <c r="AI63" s="19">
        <v>546.34124999999995</v>
      </c>
      <c r="AJ63" s="19">
        <v>383.69239999999996</v>
      </c>
      <c r="AK63" s="19">
        <v>750.29499999999985</v>
      </c>
      <c r="AL63" s="19">
        <v>0</v>
      </c>
      <c r="AM63" s="19">
        <v>0</v>
      </c>
      <c r="AN63" s="19">
        <v>0</v>
      </c>
      <c r="AO63" s="19">
        <v>546.34124999999995</v>
      </c>
      <c r="AP63" s="19">
        <v>383.69239999999996</v>
      </c>
      <c r="AQ63" s="19">
        <v>750.29499999999985</v>
      </c>
      <c r="AR63" s="19"/>
      <c r="AS63" s="19"/>
      <c r="AT63" s="19"/>
      <c r="AU63" s="19">
        <v>0</v>
      </c>
      <c r="AV63" s="19">
        <v>0</v>
      </c>
      <c r="AW63" s="19">
        <v>0</v>
      </c>
      <c r="AX63" s="19">
        <v>546.34124999999995</v>
      </c>
      <c r="AY63" s="19">
        <v>383.69239999999996</v>
      </c>
      <c r="AZ63" s="19">
        <v>750.29499999999985</v>
      </c>
      <c r="BA63" s="19"/>
      <c r="BB63" s="19"/>
      <c r="BC63" s="19"/>
      <c r="BD63" s="19">
        <v>0</v>
      </c>
      <c r="BE63" s="19">
        <v>0</v>
      </c>
      <c r="BF63" s="19">
        <v>0</v>
      </c>
      <c r="BG63" s="19">
        <v>546.34124999999995</v>
      </c>
      <c r="BH63" s="19">
        <v>383.69239999999996</v>
      </c>
      <c r="BI63" s="19">
        <v>750.29499999999985</v>
      </c>
      <c r="BJ63" s="19"/>
      <c r="BK63" s="19"/>
      <c r="BL63" s="19"/>
      <c r="BM63" s="19">
        <v>0</v>
      </c>
      <c r="BN63" s="19">
        <v>0</v>
      </c>
      <c r="BO63" s="19">
        <v>0</v>
      </c>
      <c r="BP63" s="19">
        <v>546.34124999999995</v>
      </c>
      <c r="BQ63" s="19">
        <v>383.69239999999996</v>
      </c>
      <c r="BR63" s="19">
        <v>750.29499999999985</v>
      </c>
      <c r="BS63" s="19"/>
      <c r="BT63" s="19"/>
      <c r="BU63" s="19"/>
      <c r="BV63" s="19">
        <v>0</v>
      </c>
      <c r="BW63" s="19">
        <v>0</v>
      </c>
      <c r="BX63" s="19">
        <v>0</v>
      </c>
      <c r="BY63" s="19">
        <v>546.34124999999995</v>
      </c>
      <c r="BZ63" s="19">
        <v>383.69239999999996</v>
      </c>
      <c r="CA63" s="19">
        <v>750.29499999999985</v>
      </c>
      <c r="CB63" s="19"/>
      <c r="CC63" s="19"/>
      <c r="CD63" s="19"/>
      <c r="CE63" s="19">
        <v>0</v>
      </c>
      <c r="CF63" s="19">
        <v>0</v>
      </c>
      <c r="CG63" s="19">
        <v>0</v>
      </c>
      <c r="CH63" s="19">
        <v>546.34124999999995</v>
      </c>
      <c r="CI63" s="19">
        <v>383.69239999999996</v>
      </c>
      <c r="CJ63" s="19">
        <v>750.29499999999985</v>
      </c>
      <c r="CK63" s="19"/>
      <c r="CL63" s="19"/>
      <c r="CM63" s="19"/>
      <c r="CN63" s="19">
        <v>0</v>
      </c>
      <c r="CO63" s="19">
        <v>0</v>
      </c>
      <c r="CP63" s="19">
        <v>0</v>
      </c>
      <c r="CQ63" s="19"/>
      <c r="CR63" s="19"/>
      <c r="CS63" s="19"/>
      <c r="CT63" s="19"/>
      <c r="CU63" s="11">
        <f>Tabelle58971121[[#This Row],[Mindestauslastung durch]]*Tabelle58971121[[#This Row],[installierte Leistung MW durch]]</f>
        <v>245.7</v>
      </c>
      <c r="CV63" s="11">
        <f>Tabelle58971121[[#This Row],[Mindestauslastung min]]*Tabelle58971121[[#This Row],[installierte Leistung MW min]]</f>
        <v>226.58999999999997</v>
      </c>
      <c r="CW63" s="11">
        <f>Tabelle58971121[[#This Row],[Mindestauslastung max]]*Tabelle58971121[[#This Row],[installierte Leistung MW max]]</f>
        <v>264.81</v>
      </c>
      <c r="CX63" s="9">
        <v>0.15</v>
      </c>
      <c r="CY63" s="9">
        <v>0.15</v>
      </c>
      <c r="CZ63" s="9">
        <v>0.15</v>
      </c>
      <c r="DA63" s="9"/>
      <c r="DB63" s="9">
        <v>0.33354166666666663</v>
      </c>
      <c r="DC63" s="9">
        <v>0.254</v>
      </c>
      <c r="DD63" s="9">
        <v>0.42499999999999999</v>
      </c>
      <c r="DE63" s="9">
        <v>0.33354166666666663</v>
      </c>
      <c r="DF63" s="9">
        <v>0.254</v>
      </c>
      <c r="DG63" s="9">
        <v>0.42499999999999999</v>
      </c>
      <c r="DH63" s="9">
        <v>0.33354166666666663</v>
      </c>
      <c r="DI63" s="9">
        <v>0.254</v>
      </c>
      <c r="DJ63" s="9">
        <v>0.42499999999999999</v>
      </c>
      <c r="DK63" s="9">
        <v>0.33354166666666663</v>
      </c>
      <c r="DL63" s="9">
        <v>0.254</v>
      </c>
      <c r="DM63" s="9">
        <v>0.42499999999999999</v>
      </c>
      <c r="DN63" s="9">
        <v>0.33354166666666663</v>
      </c>
      <c r="DO63" s="9">
        <v>0.254</v>
      </c>
      <c r="DP63" s="9">
        <v>0.42499999999999999</v>
      </c>
      <c r="DQ63" s="9">
        <v>0.33354166666666663</v>
      </c>
      <c r="DR63" s="9">
        <v>0.254</v>
      </c>
      <c r="DS63" s="9">
        <v>0.42499999999999999</v>
      </c>
      <c r="DT63" s="9">
        <v>0.33354166666666663</v>
      </c>
      <c r="DU63" s="9">
        <v>0.254</v>
      </c>
      <c r="DV63" s="9">
        <v>0.42499999999999999</v>
      </c>
      <c r="DW63" s="9">
        <v>0.33354166666666663</v>
      </c>
      <c r="DX63" s="9">
        <v>0.254</v>
      </c>
      <c r="DY63" s="9">
        <v>0.42499999999999999</v>
      </c>
      <c r="DZ63" s="9">
        <v>0.33354166666666663</v>
      </c>
      <c r="EA63" s="9">
        <v>0.254</v>
      </c>
      <c r="EB63" s="9">
        <v>0.42499999999999999</v>
      </c>
      <c r="EC63" s="9"/>
      <c r="ED63" s="9"/>
      <c r="EE63" s="9"/>
      <c r="EF63" s="46">
        <f>Tabelle58971121[[#This Row],[Durchschnittsauslastung min]]*Tabelle58971121[[#This Row],[installierte Leistung MW min]]</f>
        <v>0</v>
      </c>
      <c r="EG63" s="46">
        <f>Tabelle58971121[[#This Row],[Durchschnittsauslastung durch]]*Tabelle58971121[[#This Row],[installierte Leistung MW durch]]</f>
        <v>0</v>
      </c>
      <c r="EH63" s="46">
        <f>Tabelle58971121[[#This Row],[Durchschnittsauslastung max]]*Tabelle58971121[[#This Row],[installierte Leistung MW max]]</f>
        <v>0</v>
      </c>
      <c r="EI63" s="83">
        <f>Tabelle58971121[[#This Row],[Maximalauslastung durch]]*Tabelle58971121[[#This Row],[installierte Leistung MW min]]</f>
        <v>1510.6</v>
      </c>
      <c r="EJ63" s="46">
        <f>Tabelle58971121[[#This Row],[Maximalauslastung durch]]*Tabelle58971121[[#This Row],[installierte Leistung MW durch]]</f>
        <v>1638</v>
      </c>
      <c r="EK63" s="19">
        <f>Tabelle58971121[[#This Row],[Maximalauslastung max]]*Tabelle58971121[[#This Row],[installierte Leistung MW durch]]</f>
        <v>1638</v>
      </c>
      <c r="EL63" s="9">
        <v>1</v>
      </c>
      <c r="EM63" s="9">
        <v>1</v>
      </c>
      <c r="EN63" s="9">
        <v>1</v>
      </c>
      <c r="EO63" s="1">
        <v>1638</v>
      </c>
      <c r="EP63" s="1">
        <v>1510.6</v>
      </c>
      <c r="EQ63" s="1">
        <v>1765.4</v>
      </c>
      <c r="ER63" s="19"/>
      <c r="ES63" s="19"/>
      <c r="EX63" s="1">
        <v>0.25</v>
      </c>
      <c r="EY63" s="1">
        <v>0.2</v>
      </c>
      <c r="EZ63" s="1">
        <v>0.3</v>
      </c>
      <c r="FD63" s="1">
        <v>0.25</v>
      </c>
      <c r="FE63" s="1">
        <v>0.2</v>
      </c>
      <c r="FF63" s="1">
        <v>0.3</v>
      </c>
      <c r="FG63" s="1">
        <v>4.5</v>
      </c>
      <c r="FH63" s="1">
        <v>3</v>
      </c>
      <c r="FI63" s="1">
        <v>6</v>
      </c>
      <c r="FJ63" s="1">
        <v>0.4</v>
      </c>
      <c r="FK63" s="1">
        <v>0.3</v>
      </c>
      <c r="FL63" s="1">
        <v>0.5</v>
      </c>
      <c r="FP63" s="1">
        <v>6570</v>
      </c>
      <c r="FQ63" s="1">
        <v>4380</v>
      </c>
      <c r="FR63" s="1">
        <v>8760</v>
      </c>
      <c r="FS63" s="11"/>
      <c r="FT63" s="11"/>
      <c r="FU63" s="11"/>
      <c r="FV63" s="1">
        <v>6570</v>
      </c>
      <c r="FW63" s="1">
        <v>4380</v>
      </c>
      <c r="FX63" s="1">
        <v>8760</v>
      </c>
      <c r="FY63" s="1">
        <v>25.848235294117643</v>
      </c>
      <c r="FZ63" s="19">
        <v>23.30411764705882</v>
      </c>
      <c r="GA63" s="19">
        <v>28.392352941176469</v>
      </c>
      <c r="GB63" s="19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>
        <v>38.670588235294112</v>
      </c>
      <c r="GO63" s="8">
        <v>34.803529411764707</v>
      </c>
      <c r="GP63" s="8">
        <v>42.537647058823524</v>
      </c>
      <c r="GS63" s="1">
        <v>67</v>
      </c>
      <c r="GT63" s="1">
        <v>67</v>
      </c>
      <c r="GU63" s="1">
        <v>67</v>
      </c>
      <c r="GV63" s="13" t="s">
        <v>806</v>
      </c>
      <c r="GW63" s="13" t="s">
        <v>806</v>
      </c>
      <c r="GX63" s="13" t="s">
        <v>806</v>
      </c>
      <c r="GY63" s="13"/>
      <c r="GZ63" s="13" t="s">
        <v>806</v>
      </c>
      <c r="HA63" s="13" t="s">
        <v>806</v>
      </c>
      <c r="HB63" s="13" t="s">
        <v>806</v>
      </c>
      <c r="HC63" s="13" t="s">
        <v>806</v>
      </c>
      <c r="HD63" s="13" t="s">
        <v>806</v>
      </c>
      <c r="HE63" s="13" t="s">
        <v>806</v>
      </c>
      <c r="HF63" s="13" t="s">
        <v>806</v>
      </c>
      <c r="HI63" s="13" t="s">
        <v>806</v>
      </c>
      <c r="HJ63" s="13" t="s">
        <v>806</v>
      </c>
      <c r="HL63" s="13" t="s">
        <v>806</v>
      </c>
    </row>
    <row r="64" spans="1:220" ht="12.75" customHeight="1" x14ac:dyDescent="0.25">
      <c r="A64" s="1" t="s">
        <v>133</v>
      </c>
      <c r="B64" s="1" t="s">
        <v>652</v>
      </c>
      <c r="E64" s="1" t="s">
        <v>139</v>
      </c>
      <c r="F64" s="1">
        <v>2</v>
      </c>
      <c r="G64" s="1">
        <v>2045</v>
      </c>
      <c r="H64" s="1">
        <v>1</v>
      </c>
      <c r="I64" s="1">
        <v>0</v>
      </c>
      <c r="J64" s="1">
        <v>0</v>
      </c>
      <c r="K64" s="19"/>
      <c r="L64" s="19"/>
      <c r="M64" s="19"/>
      <c r="N64" s="19"/>
      <c r="O64" s="19"/>
      <c r="P64" s="19"/>
      <c r="Q64" s="19">
        <v>507.31687499999998</v>
      </c>
      <c r="R64" s="19">
        <v>356.28579999999999</v>
      </c>
      <c r="S64" s="19">
        <v>696.70249999999999</v>
      </c>
      <c r="T64" s="19"/>
      <c r="U64" s="19"/>
      <c r="V64" s="19"/>
      <c r="W64" s="19">
        <v>0</v>
      </c>
      <c r="X64" s="19">
        <v>0</v>
      </c>
      <c r="Y64" s="19">
        <v>0</v>
      </c>
      <c r="Z64" s="19">
        <v>507.31687499999998</v>
      </c>
      <c r="AA64" s="19">
        <v>356.28579999999999</v>
      </c>
      <c r="AB64" s="19">
        <v>696.70249999999999</v>
      </c>
      <c r="AC64" s="19"/>
      <c r="AD64" s="19"/>
      <c r="AE64" s="19"/>
      <c r="AF64" s="19">
        <v>0</v>
      </c>
      <c r="AG64" s="19">
        <v>0</v>
      </c>
      <c r="AH64" s="19">
        <v>0</v>
      </c>
      <c r="AI64" s="19">
        <v>507.31687499999998</v>
      </c>
      <c r="AJ64" s="19">
        <v>356.28579999999999</v>
      </c>
      <c r="AK64" s="19">
        <v>696.70249999999999</v>
      </c>
      <c r="AL64" s="19">
        <v>0</v>
      </c>
      <c r="AM64" s="19">
        <v>0</v>
      </c>
      <c r="AN64" s="19">
        <v>0</v>
      </c>
      <c r="AO64" s="19">
        <v>507.31687499999998</v>
      </c>
      <c r="AP64" s="19">
        <v>356.28579999999999</v>
      </c>
      <c r="AQ64" s="19">
        <v>696.70249999999999</v>
      </c>
      <c r="AR64" s="19"/>
      <c r="AS64" s="19"/>
      <c r="AT64" s="19"/>
      <c r="AU64" s="19">
        <v>0</v>
      </c>
      <c r="AV64" s="19">
        <v>0</v>
      </c>
      <c r="AW64" s="19">
        <v>0</v>
      </c>
      <c r="AX64" s="19">
        <v>507.31687499999998</v>
      </c>
      <c r="AY64" s="19">
        <v>356.28579999999999</v>
      </c>
      <c r="AZ64" s="19">
        <v>696.70249999999999</v>
      </c>
      <c r="BA64" s="19"/>
      <c r="BB64" s="19"/>
      <c r="BC64" s="19"/>
      <c r="BD64" s="19">
        <v>0</v>
      </c>
      <c r="BE64" s="19">
        <v>0</v>
      </c>
      <c r="BF64" s="19">
        <v>0</v>
      </c>
      <c r="BG64" s="19">
        <v>507.31687499999998</v>
      </c>
      <c r="BH64" s="19">
        <v>356.28579999999999</v>
      </c>
      <c r="BI64" s="19">
        <v>696.70249999999999</v>
      </c>
      <c r="BJ64" s="19"/>
      <c r="BK64" s="19"/>
      <c r="BL64" s="19"/>
      <c r="BM64" s="19">
        <v>0</v>
      </c>
      <c r="BN64" s="19">
        <v>0</v>
      </c>
      <c r="BO64" s="19">
        <v>0</v>
      </c>
      <c r="BP64" s="19">
        <v>507.31687499999998</v>
      </c>
      <c r="BQ64" s="19">
        <v>356.28579999999999</v>
      </c>
      <c r="BR64" s="19">
        <v>696.70249999999999</v>
      </c>
      <c r="BS64" s="19"/>
      <c r="BT64" s="19"/>
      <c r="BU64" s="19"/>
      <c r="BV64" s="19">
        <v>0</v>
      </c>
      <c r="BW64" s="19">
        <v>0</v>
      </c>
      <c r="BX64" s="19">
        <v>0</v>
      </c>
      <c r="BY64" s="19">
        <v>507.31687499999998</v>
      </c>
      <c r="BZ64" s="19">
        <v>356.28579999999999</v>
      </c>
      <c r="CA64" s="19">
        <v>696.70249999999999</v>
      </c>
      <c r="CB64" s="19"/>
      <c r="CC64" s="19"/>
      <c r="CD64" s="19"/>
      <c r="CE64" s="19">
        <v>0</v>
      </c>
      <c r="CF64" s="19">
        <v>0</v>
      </c>
      <c r="CG64" s="19">
        <v>0</v>
      </c>
      <c r="CH64" s="19">
        <v>507.31687499999998</v>
      </c>
      <c r="CI64" s="19">
        <v>356.28579999999999</v>
      </c>
      <c r="CJ64" s="19">
        <v>696.70249999999999</v>
      </c>
      <c r="CK64" s="19"/>
      <c r="CL64" s="19"/>
      <c r="CM64" s="19"/>
      <c r="CN64" s="19">
        <v>0</v>
      </c>
      <c r="CO64" s="19">
        <v>0</v>
      </c>
      <c r="CP64" s="19">
        <v>0</v>
      </c>
      <c r="CQ64" s="19"/>
      <c r="CR64" s="19"/>
      <c r="CS64" s="19"/>
      <c r="CT64" s="19"/>
      <c r="CU64" s="11">
        <f>Tabelle58971121[[#This Row],[Mindestauslastung durch]]*Tabelle58971121[[#This Row],[installierte Leistung MW durch]]</f>
        <v>228.15</v>
      </c>
      <c r="CV64" s="11">
        <f>Tabelle58971121[[#This Row],[Mindestauslastung min]]*Tabelle58971121[[#This Row],[installierte Leistung MW min]]</f>
        <v>210.405</v>
      </c>
      <c r="CW64" s="11">
        <f>Tabelle58971121[[#This Row],[Mindestauslastung max]]*Tabelle58971121[[#This Row],[installierte Leistung MW max]]</f>
        <v>245.89499999999998</v>
      </c>
      <c r="CX64" s="9">
        <v>0.15</v>
      </c>
      <c r="CY64" s="9">
        <v>0.15</v>
      </c>
      <c r="CZ64" s="9">
        <v>0.15</v>
      </c>
      <c r="DA64" s="9"/>
      <c r="DB64" s="9">
        <v>0.33354166666666663</v>
      </c>
      <c r="DC64" s="9">
        <v>0.254</v>
      </c>
      <c r="DD64" s="9">
        <v>0.42499999999999999</v>
      </c>
      <c r="DE64" s="9">
        <v>0.33354166666666663</v>
      </c>
      <c r="DF64" s="9">
        <v>0.254</v>
      </c>
      <c r="DG64" s="9">
        <v>0.42499999999999999</v>
      </c>
      <c r="DH64" s="9">
        <v>0.33354166666666663</v>
      </c>
      <c r="DI64" s="9">
        <v>0.254</v>
      </c>
      <c r="DJ64" s="9">
        <v>0.42499999999999999</v>
      </c>
      <c r="DK64" s="9">
        <v>0.33354166666666663</v>
      </c>
      <c r="DL64" s="9">
        <v>0.254</v>
      </c>
      <c r="DM64" s="9">
        <v>0.42499999999999999</v>
      </c>
      <c r="DN64" s="9">
        <v>0.33354166666666663</v>
      </c>
      <c r="DO64" s="9">
        <v>0.254</v>
      </c>
      <c r="DP64" s="9">
        <v>0.42499999999999999</v>
      </c>
      <c r="DQ64" s="9">
        <v>0.33354166666666663</v>
      </c>
      <c r="DR64" s="9">
        <v>0.254</v>
      </c>
      <c r="DS64" s="9">
        <v>0.42499999999999999</v>
      </c>
      <c r="DT64" s="9">
        <v>0.33354166666666663</v>
      </c>
      <c r="DU64" s="9">
        <v>0.254</v>
      </c>
      <c r="DV64" s="9">
        <v>0.42499999999999999</v>
      </c>
      <c r="DW64" s="9">
        <v>0.33354166666666663</v>
      </c>
      <c r="DX64" s="9">
        <v>0.254</v>
      </c>
      <c r="DY64" s="9">
        <v>0.42499999999999999</v>
      </c>
      <c r="DZ64" s="9">
        <v>0.33354166666666663</v>
      </c>
      <c r="EA64" s="9">
        <v>0.254</v>
      </c>
      <c r="EB64" s="9">
        <v>0.42499999999999999</v>
      </c>
      <c r="EC64" s="9"/>
      <c r="ED64" s="9"/>
      <c r="EE64" s="9"/>
      <c r="EF64" s="46">
        <f>Tabelle58971121[[#This Row],[Durchschnittsauslastung min]]*Tabelle58971121[[#This Row],[installierte Leistung MW min]]</f>
        <v>0</v>
      </c>
      <c r="EG64" s="46">
        <f>Tabelle58971121[[#This Row],[Durchschnittsauslastung durch]]*Tabelle58971121[[#This Row],[installierte Leistung MW durch]]</f>
        <v>0</v>
      </c>
      <c r="EH64" s="46">
        <f>Tabelle58971121[[#This Row],[Durchschnittsauslastung max]]*Tabelle58971121[[#This Row],[installierte Leistung MW max]]</f>
        <v>0</v>
      </c>
      <c r="EI64" s="83">
        <f>Tabelle58971121[[#This Row],[Maximalauslastung durch]]*Tabelle58971121[[#This Row],[installierte Leistung MW min]]</f>
        <v>1402.7</v>
      </c>
      <c r="EJ64" s="46">
        <f>Tabelle58971121[[#This Row],[Maximalauslastung durch]]*Tabelle58971121[[#This Row],[installierte Leistung MW durch]]</f>
        <v>1521</v>
      </c>
      <c r="EK64" s="19">
        <f>Tabelle58971121[[#This Row],[Maximalauslastung max]]*Tabelle58971121[[#This Row],[installierte Leistung MW durch]]</f>
        <v>1521</v>
      </c>
      <c r="EL64" s="9">
        <v>1</v>
      </c>
      <c r="EM64" s="9">
        <v>1</v>
      </c>
      <c r="EN64" s="9">
        <v>1</v>
      </c>
      <c r="EO64" s="1">
        <v>1521</v>
      </c>
      <c r="EP64" s="1">
        <v>1402.7</v>
      </c>
      <c r="EQ64" s="1">
        <v>1639.3</v>
      </c>
      <c r="ER64" s="19"/>
      <c r="ES64" s="19"/>
      <c r="EX64" s="1">
        <v>0.25</v>
      </c>
      <c r="EY64" s="1">
        <v>0.2</v>
      </c>
      <c r="EZ64" s="1">
        <v>0.3</v>
      </c>
      <c r="FD64" s="1">
        <v>0.25</v>
      </c>
      <c r="FE64" s="1">
        <v>0.2</v>
      </c>
      <c r="FF64" s="1">
        <v>0.3</v>
      </c>
      <c r="FG64" s="1">
        <v>4.5</v>
      </c>
      <c r="FH64" s="1">
        <v>3</v>
      </c>
      <c r="FI64" s="1">
        <v>6</v>
      </c>
      <c r="FJ64" s="1">
        <v>0.4</v>
      </c>
      <c r="FK64" s="1">
        <v>0.3</v>
      </c>
      <c r="FL64" s="1">
        <v>0.5</v>
      </c>
      <c r="FP64" s="1">
        <v>6570</v>
      </c>
      <c r="FQ64" s="1">
        <v>4380</v>
      </c>
      <c r="FR64" s="1">
        <v>8760</v>
      </c>
      <c r="FS64" s="11"/>
      <c r="FT64" s="11"/>
      <c r="FU64" s="11"/>
      <c r="FV64" s="1">
        <v>6570</v>
      </c>
      <c r="FW64" s="1">
        <v>4380</v>
      </c>
      <c r="FX64" s="1">
        <v>8760</v>
      </c>
      <c r="FY64" s="1">
        <v>25.848235294117643</v>
      </c>
      <c r="FZ64" s="19">
        <v>23.30411764705882</v>
      </c>
      <c r="GA64" s="19">
        <v>28.392352941176469</v>
      </c>
      <c r="GB64" s="19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>
        <v>38.670588235294112</v>
      </c>
      <c r="GO64" s="8">
        <v>34.803529411764707</v>
      </c>
      <c r="GP64" s="8">
        <v>42.537647058823524</v>
      </c>
      <c r="GS64" s="1">
        <v>67</v>
      </c>
      <c r="GT64" s="1">
        <v>67</v>
      </c>
      <c r="GU64" s="1">
        <v>67</v>
      </c>
      <c r="GV64" s="13" t="s">
        <v>806</v>
      </c>
      <c r="GW64" s="13" t="s">
        <v>806</v>
      </c>
      <c r="GX64" s="13" t="s">
        <v>806</v>
      </c>
      <c r="GY64" s="13"/>
      <c r="GZ64" s="13" t="s">
        <v>806</v>
      </c>
      <c r="HA64" s="13" t="s">
        <v>806</v>
      </c>
      <c r="HB64" s="13" t="s">
        <v>806</v>
      </c>
      <c r="HC64" s="13" t="s">
        <v>806</v>
      </c>
      <c r="HD64" s="13" t="s">
        <v>806</v>
      </c>
      <c r="HE64" s="13" t="s">
        <v>806</v>
      </c>
      <c r="HF64" s="13" t="s">
        <v>806</v>
      </c>
      <c r="HI64" s="13" t="s">
        <v>806</v>
      </c>
      <c r="HJ64" s="13" t="s">
        <v>806</v>
      </c>
      <c r="HL64" s="13" t="s">
        <v>806</v>
      </c>
    </row>
    <row r="65" spans="1:220" ht="12.75" customHeight="1" x14ac:dyDescent="0.25">
      <c r="A65" s="1" t="s">
        <v>133</v>
      </c>
      <c r="B65" s="1" t="s">
        <v>652</v>
      </c>
      <c r="E65" s="1" t="s">
        <v>139</v>
      </c>
      <c r="F65" s="1">
        <v>2</v>
      </c>
      <c r="G65" s="1">
        <v>2050</v>
      </c>
      <c r="H65" s="1">
        <v>1</v>
      </c>
      <c r="I65" s="1">
        <v>0</v>
      </c>
      <c r="J65" s="1">
        <v>0</v>
      </c>
      <c r="K65" s="19"/>
      <c r="L65" s="19"/>
      <c r="M65" s="19"/>
      <c r="N65" s="19"/>
      <c r="O65" s="19"/>
      <c r="P65" s="19"/>
      <c r="Q65" s="19">
        <v>460.48762499999992</v>
      </c>
      <c r="R65" s="19">
        <v>323.39787999999993</v>
      </c>
      <c r="S65" s="19">
        <v>632.39149999999995</v>
      </c>
      <c r="T65" s="19"/>
      <c r="U65" s="19"/>
      <c r="V65" s="19"/>
      <c r="W65" s="19">
        <v>0</v>
      </c>
      <c r="X65" s="19">
        <v>0</v>
      </c>
      <c r="Y65" s="19">
        <v>0</v>
      </c>
      <c r="Z65" s="19">
        <v>460.48762499999992</v>
      </c>
      <c r="AA65" s="19">
        <v>323.39787999999993</v>
      </c>
      <c r="AB65" s="19">
        <v>632.39149999999995</v>
      </c>
      <c r="AC65" s="19"/>
      <c r="AD65" s="19"/>
      <c r="AE65" s="19"/>
      <c r="AF65" s="19">
        <v>0</v>
      </c>
      <c r="AG65" s="19">
        <v>0</v>
      </c>
      <c r="AH65" s="19">
        <v>0</v>
      </c>
      <c r="AI65" s="19">
        <v>460.48762499999992</v>
      </c>
      <c r="AJ65" s="19">
        <v>323.39787999999993</v>
      </c>
      <c r="AK65" s="19">
        <v>632.39149999999995</v>
      </c>
      <c r="AL65" s="19">
        <v>0</v>
      </c>
      <c r="AM65" s="19">
        <v>0</v>
      </c>
      <c r="AN65" s="19">
        <v>0</v>
      </c>
      <c r="AO65" s="19">
        <v>460.48762499999992</v>
      </c>
      <c r="AP65" s="19">
        <v>323.39787999999993</v>
      </c>
      <c r="AQ65" s="19">
        <v>632.39149999999995</v>
      </c>
      <c r="AR65" s="19"/>
      <c r="AS65" s="19"/>
      <c r="AT65" s="19"/>
      <c r="AU65" s="19">
        <v>0</v>
      </c>
      <c r="AV65" s="19">
        <v>0</v>
      </c>
      <c r="AW65" s="19">
        <v>0</v>
      </c>
      <c r="AX65" s="19">
        <v>460.48762499999992</v>
      </c>
      <c r="AY65" s="19">
        <v>323.39787999999993</v>
      </c>
      <c r="AZ65" s="19">
        <v>632.39149999999995</v>
      </c>
      <c r="BA65" s="19"/>
      <c r="BB65" s="19"/>
      <c r="BC65" s="19"/>
      <c r="BD65" s="19">
        <v>0</v>
      </c>
      <c r="BE65" s="19">
        <v>0</v>
      </c>
      <c r="BF65" s="19">
        <v>0</v>
      </c>
      <c r="BG65" s="19">
        <v>460.48762499999992</v>
      </c>
      <c r="BH65" s="19">
        <v>323.39787999999993</v>
      </c>
      <c r="BI65" s="19">
        <v>632.39149999999995</v>
      </c>
      <c r="BJ65" s="19"/>
      <c r="BK65" s="19"/>
      <c r="BL65" s="19"/>
      <c r="BM65" s="19">
        <v>0</v>
      </c>
      <c r="BN65" s="19">
        <v>0</v>
      </c>
      <c r="BO65" s="19">
        <v>0</v>
      </c>
      <c r="BP65" s="19">
        <v>460.48762499999992</v>
      </c>
      <c r="BQ65" s="19">
        <v>323.39787999999993</v>
      </c>
      <c r="BR65" s="19">
        <v>632.39149999999995</v>
      </c>
      <c r="BS65" s="19"/>
      <c r="BT65" s="19"/>
      <c r="BU65" s="19"/>
      <c r="BV65" s="19">
        <v>0</v>
      </c>
      <c r="BW65" s="19">
        <v>0</v>
      </c>
      <c r="BX65" s="19">
        <v>0</v>
      </c>
      <c r="BY65" s="19">
        <v>460.48762499999992</v>
      </c>
      <c r="BZ65" s="19">
        <v>323.39787999999993</v>
      </c>
      <c r="CA65" s="19">
        <v>632.39149999999995</v>
      </c>
      <c r="CB65" s="19"/>
      <c r="CC65" s="19"/>
      <c r="CD65" s="19"/>
      <c r="CE65" s="19">
        <v>0</v>
      </c>
      <c r="CF65" s="19">
        <v>0</v>
      </c>
      <c r="CG65" s="19">
        <v>0</v>
      </c>
      <c r="CH65" s="19">
        <v>460.48762499999992</v>
      </c>
      <c r="CI65" s="19">
        <v>323.39787999999993</v>
      </c>
      <c r="CJ65" s="19">
        <v>632.39149999999995</v>
      </c>
      <c r="CK65" s="19"/>
      <c r="CL65" s="19"/>
      <c r="CM65" s="19"/>
      <c r="CN65" s="19">
        <v>0</v>
      </c>
      <c r="CO65" s="19">
        <v>0</v>
      </c>
      <c r="CP65" s="19">
        <v>0</v>
      </c>
      <c r="CQ65" s="19"/>
      <c r="CR65" s="19"/>
      <c r="CS65" s="19"/>
      <c r="CT65" s="19"/>
      <c r="CU65" s="11">
        <f>Tabelle58971121[[#This Row],[Mindestauslastung durch]]*Tabelle58971121[[#This Row],[installierte Leistung MW durch]]</f>
        <v>207.08999999999997</v>
      </c>
      <c r="CV65" s="11">
        <f>Tabelle58971121[[#This Row],[Mindestauslastung min]]*Tabelle58971121[[#This Row],[installierte Leistung MW min]]</f>
        <v>190.983</v>
      </c>
      <c r="CW65" s="11">
        <f>Tabelle58971121[[#This Row],[Mindestauslastung max]]*Tabelle58971121[[#This Row],[installierte Leistung MW max]]</f>
        <v>223.197</v>
      </c>
      <c r="CX65" s="9">
        <v>0.15</v>
      </c>
      <c r="CY65" s="9">
        <v>0.15</v>
      </c>
      <c r="CZ65" s="9">
        <v>0.15</v>
      </c>
      <c r="DA65" s="9"/>
      <c r="DB65" s="9">
        <v>0.33354166666666663</v>
      </c>
      <c r="DC65" s="9">
        <v>0.254</v>
      </c>
      <c r="DD65" s="9">
        <v>0.42499999999999999</v>
      </c>
      <c r="DE65" s="9">
        <v>0.33354166666666663</v>
      </c>
      <c r="DF65" s="9">
        <v>0.254</v>
      </c>
      <c r="DG65" s="9">
        <v>0.42499999999999999</v>
      </c>
      <c r="DH65" s="9">
        <v>0.33354166666666663</v>
      </c>
      <c r="DI65" s="9">
        <v>0.254</v>
      </c>
      <c r="DJ65" s="9">
        <v>0.42499999999999999</v>
      </c>
      <c r="DK65" s="9">
        <v>0.33354166666666663</v>
      </c>
      <c r="DL65" s="9">
        <v>0.254</v>
      </c>
      <c r="DM65" s="9">
        <v>0.42499999999999999</v>
      </c>
      <c r="DN65" s="9">
        <v>0.33354166666666663</v>
      </c>
      <c r="DO65" s="9">
        <v>0.254</v>
      </c>
      <c r="DP65" s="9">
        <v>0.42499999999999999</v>
      </c>
      <c r="DQ65" s="9">
        <v>0.33354166666666663</v>
      </c>
      <c r="DR65" s="9">
        <v>0.254</v>
      </c>
      <c r="DS65" s="9">
        <v>0.42499999999999999</v>
      </c>
      <c r="DT65" s="9">
        <v>0.33354166666666663</v>
      </c>
      <c r="DU65" s="9">
        <v>0.254</v>
      </c>
      <c r="DV65" s="9">
        <v>0.42499999999999999</v>
      </c>
      <c r="DW65" s="9">
        <v>0.33354166666666663</v>
      </c>
      <c r="DX65" s="9">
        <v>0.254</v>
      </c>
      <c r="DY65" s="9">
        <v>0.42499999999999999</v>
      </c>
      <c r="DZ65" s="9">
        <v>0.33354166666666663</v>
      </c>
      <c r="EA65" s="9">
        <v>0.254</v>
      </c>
      <c r="EB65" s="9">
        <v>0.42499999999999999</v>
      </c>
      <c r="EC65" s="9"/>
      <c r="ED65" s="9"/>
      <c r="EE65" s="9"/>
      <c r="EF65" s="46">
        <f>Tabelle58971121[[#This Row],[Durchschnittsauslastung min]]*Tabelle58971121[[#This Row],[installierte Leistung MW min]]</f>
        <v>0</v>
      </c>
      <c r="EG65" s="46">
        <f>Tabelle58971121[[#This Row],[Durchschnittsauslastung durch]]*Tabelle58971121[[#This Row],[installierte Leistung MW durch]]</f>
        <v>0</v>
      </c>
      <c r="EH65" s="46">
        <f>Tabelle58971121[[#This Row],[Durchschnittsauslastung max]]*Tabelle58971121[[#This Row],[installierte Leistung MW max]]</f>
        <v>0</v>
      </c>
      <c r="EI65" s="83">
        <f>Tabelle58971121[[#This Row],[Maximalauslastung durch]]*Tabelle58971121[[#This Row],[installierte Leistung MW min]]</f>
        <v>1273.22</v>
      </c>
      <c r="EJ65" s="46">
        <f>Tabelle58971121[[#This Row],[Maximalauslastung durch]]*Tabelle58971121[[#This Row],[installierte Leistung MW durch]]</f>
        <v>1380.6</v>
      </c>
      <c r="EK65" s="19">
        <f>Tabelle58971121[[#This Row],[Maximalauslastung max]]*Tabelle58971121[[#This Row],[installierte Leistung MW durch]]</f>
        <v>1380.6</v>
      </c>
      <c r="EL65" s="9">
        <v>1</v>
      </c>
      <c r="EM65" s="9">
        <v>1</v>
      </c>
      <c r="EN65" s="9">
        <v>1</v>
      </c>
      <c r="EO65" s="1">
        <v>1380.6</v>
      </c>
      <c r="EP65" s="1">
        <v>1273.22</v>
      </c>
      <c r="EQ65" s="1">
        <v>1487.98</v>
      </c>
      <c r="ER65" s="19"/>
      <c r="ES65" s="19"/>
      <c r="EX65" s="1">
        <v>0.25</v>
      </c>
      <c r="EY65" s="1">
        <v>0.2</v>
      </c>
      <c r="EZ65" s="1">
        <v>0.3</v>
      </c>
      <c r="FD65" s="1">
        <v>0.25</v>
      </c>
      <c r="FE65" s="1">
        <v>0.2</v>
      </c>
      <c r="FF65" s="1">
        <v>0.3</v>
      </c>
      <c r="FG65" s="1">
        <v>4.5</v>
      </c>
      <c r="FH65" s="1">
        <v>3</v>
      </c>
      <c r="FI65" s="1">
        <v>6</v>
      </c>
      <c r="FJ65" s="1">
        <v>0.4</v>
      </c>
      <c r="FK65" s="1">
        <v>0.3</v>
      </c>
      <c r="FL65" s="1">
        <v>0.5</v>
      </c>
      <c r="FP65" s="1">
        <v>6570</v>
      </c>
      <c r="FQ65" s="1">
        <v>4380</v>
      </c>
      <c r="FR65" s="1">
        <v>8760</v>
      </c>
      <c r="FS65" s="11"/>
      <c r="FT65" s="11"/>
      <c r="FU65" s="11"/>
      <c r="FV65" s="1">
        <v>6570</v>
      </c>
      <c r="FW65" s="1">
        <v>4380</v>
      </c>
      <c r="FX65" s="1">
        <v>8760</v>
      </c>
      <c r="FY65" s="1">
        <v>25.848235294117643</v>
      </c>
      <c r="FZ65" s="19">
        <v>23.30411764705882</v>
      </c>
      <c r="GA65" s="19">
        <v>28.392352941176469</v>
      </c>
      <c r="GB65" s="19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>
        <v>38.670588235294112</v>
      </c>
      <c r="GO65" s="8">
        <v>34.803529411764707</v>
      </c>
      <c r="GP65" s="8">
        <v>42.537647058823524</v>
      </c>
      <c r="GS65" s="1">
        <v>67</v>
      </c>
      <c r="GT65" s="1">
        <v>67</v>
      </c>
      <c r="GU65" s="1">
        <v>67</v>
      </c>
      <c r="GV65" s="13" t="s">
        <v>806</v>
      </c>
      <c r="GW65" s="13" t="s">
        <v>806</v>
      </c>
      <c r="GX65" s="13" t="s">
        <v>806</v>
      </c>
      <c r="GY65" s="13"/>
      <c r="GZ65" s="13" t="s">
        <v>806</v>
      </c>
      <c r="HA65" s="13" t="s">
        <v>806</v>
      </c>
      <c r="HB65" s="13" t="s">
        <v>806</v>
      </c>
      <c r="HC65" s="13" t="s">
        <v>806</v>
      </c>
      <c r="HD65" s="13" t="s">
        <v>806</v>
      </c>
      <c r="HE65" s="13" t="s">
        <v>806</v>
      </c>
      <c r="HF65" s="13" t="s">
        <v>806</v>
      </c>
      <c r="HI65" s="13" t="s">
        <v>806</v>
      </c>
      <c r="HJ65" s="13" t="s">
        <v>806</v>
      </c>
      <c r="HL65" s="13" t="s">
        <v>806</v>
      </c>
    </row>
    <row r="66" spans="1:220" ht="12.75" customHeight="1" x14ac:dyDescent="0.25">
      <c r="A66" s="1" t="s">
        <v>283</v>
      </c>
      <c r="B66" s="1" t="s">
        <v>283</v>
      </c>
      <c r="E66" s="1" t="s">
        <v>139</v>
      </c>
      <c r="F66" s="1">
        <v>2</v>
      </c>
      <c r="G66" s="1">
        <v>2015</v>
      </c>
      <c r="H66" s="1">
        <v>0</v>
      </c>
      <c r="I66" s="1">
        <v>0</v>
      </c>
      <c r="J66" s="1">
        <v>1</v>
      </c>
      <c r="K66" s="19"/>
      <c r="L66" s="19"/>
      <c r="M66" s="19"/>
      <c r="N66" s="19"/>
      <c r="O66" s="19"/>
      <c r="P66" s="19"/>
      <c r="Q66" s="19">
        <v>0</v>
      </c>
      <c r="R66" s="19">
        <v>0</v>
      </c>
      <c r="S66" s="19">
        <v>470.57400000000013</v>
      </c>
      <c r="T66" s="19"/>
      <c r="U66" s="19"/>
      <c r="V66" s="19"/>
      <c r="W66" s="19">
        <v>484.8205833333335</v>
      </c>
      <c r="X66" s="19">
        <v>0</v>
      </c>
      <c r="Y66" s="19">
        <v>1986.8679999999999</v>
      </c>
      <c r="Z66" s="19">
        <v>0</v>
      </c>
      <c r="AA66" s="19">
        <v>0</v>
      </c>
      <c r="AB66" s="19">
        <v>470.57400000000013</v>
      </c>
      <c r="AC66" s="19"/>
      <c r="AD66" s="19"/>
      <c r="AE66" s="19"/>
      <c r="AF66" s="19">
        <v>484.8205833333335</v>
      </c>
      <c r="AG66" s="19">
        <v>0</v>
      </c>
      <c r="AH66" s="19">
        <v>1986.8679999999999</v>
      </c>
      <c r="AI66" s="19">
        <v>0</v>
      </c>
      <c r="AJ66" s="19">
        <v>0</v>
      </c>
      <c r="AK66" s="19">
        <v>470.57400000000013</v>
      </c>
      <c r="AL66" s="19">
        <v>484.8205833333335</v>
      </c>
      <c r="AM66" s="19">
        <v>0</v>
      </c>
      <c r="AN66" s="19">
        <v>1986.8679999999999</v>
      </c>
      <c r="AO66" s="19">
        <v>0</v>
      </c>
      <c r="AP66" s="19">
        <v>0</v>
      </c>
      <c r="AQ66" s="19">
        <v>470.57400000000013</v>
      </c>
      <c r="AR66" s="19"/>
      <c r="AS66" s="19"/>
      <c r="AT66" s="19"/>
      <c r="AU66" s="19">
        <v>484.8205833333335</v>
      </c>
      <c r="AV66" s="19">
        <v>0</v>
      </c>
      <c r="AW66" s="19">
        <v>1986.8679999999999</v>
      </c>
      <c r="AX66" s="19">
        <v>0</v>
      </c>
      <c r="AY66" s="19">
        <v>0</v>
      </c>
      <c r="AZ66" s="19">
        <v>470.57400000000013</v>
      </c>
      <c r="BA66" s="19"/>
      <c r="BB66" s="19"/>
      <c r="BC66" s="19"/>
      <c r="BD66" s="19">
        <v>484.8205833333335</v>
      </c>
      <c r="BE66" s="19">
        <v>0</v>
      </c>
      <c r="BF66" s="19">
        <v>1986.8679999999999</v>
      </c>
      <c r="BG66" s="19">
        <v>0</v>
      </c>
      <c r="BH66" s="19">
        <v>0</v>
      </c>
      <c r="BI66" s="19">
        <v>470.57400000000013</v>
      </c>
      <c r="BJ66" s="19"/>
      <c r="BK66" s="19"/>
      <c r="BL66" s="19"/>
      <c r="BM66" s="19">
        <v>484.8205833333335</v>
      </c>
      <c r="BN66" s="19">
        <v>0</v>
      </c>
      <c r="BO66" s="19">
        <v>1986.8679999999999</v>
      </c>
      <c r="BP66" s="19">
        <v>0</v>
      </c>
      <c r="BQ66" s="19">
        <v>0</v>
      </c>
      <c r="BR66" s="19">
        <v>470.57400000000013</v>
      </c>
      <c r="BS66" s="19"/>
      <c r="BT66" s="19"/>
      <c r="BU66" s="19"/>
      <c r="BV66" s="19">
        <v>484.8205833333335</v>
      </c>
      <c r="BW66" s="19">
        <v>0</v>
      </c>
      <c r="BX66" s="19">
        <v>1986.8679999999999</v>
      </c>
      <c r="BY66" s="19">
        <v>0</v>
      </c>
      <c r="BZ66" s="19">
        <v>0</v>
      </c>
      <c r="CA66" s="19">
        <v>470.57400000000013</v>
      </c>
      <c r="CB66" s="19"/>
      <c r="CC66" s="19"/>
      <c r="CD66" s="19"/>
      <c r="CE66" s="19">
        <v>484.8205833333335</v>
      </c>
      <c r="CF66" s="19">
        <v>0</v>
      </c>
      <c r="CG66" s="19">
        <v>1986.8679999999999</v>
      </c>
      <c r="CH66" s="19">
        <v>0</v>
      </c>
      <c r="CI66" s="19">
        <v>0</v>
      </c>
      <c r="CJ66" s="19">
        <v>470.57400000000013</v>
      </c>
      <c r="CK66" s="19"/>
      <c r="CL66" s="19"/>
      <c r="CM66" s="19"/>
      <c r="CN66" s="19">
        <v>484.8205833333335</v>
      </c>
      <c r="CO66" s="19">
        <v>0</v>
      </c>
      <c r="CP66" s="19">
        <v>1986.8679999999999</v>
      </c>
      <c r="CQ66" s="19"/>
      <c r="CR66" s="19"/>
      <c r="CS66" s="19"/>
      <c r="CT66" s="19"/>
      <c r="CU66" s="11">
        <f>Tabelle58971121[[#This Row],[Mindestauslastung durch]]*Tabelle58971121[[#This Row],[installierte Leistung MW durch]]</f>
        <v>678.31399999999996</v>
      </c>
      <c r="CV66" s="11">
        <f>Tabelle58971121[[#This Row],[Mindestauslastung min]]*Tabelle58971121[[#This Row],[installierte Leistung MW min]]</f>
        <v>676.91</v>
      </c>
      <c r="CW66" s="11">
        <f>Tabelle58971121[[#This Row],[Mindestauslastung max]]*Tabelle58971121[[#This Row],[installierte Leistung MW max]]</f>
        <v>679.71799999999996</v>
      </c>
      <c r="CX66" s="9">
        <v>1.2999999999999999E-2</v>
      </c>
      <c r="CY66" s="9">
        <v>1.2999999999999999E-2</v>
      </c>
      <c r="CZ66" s="9">
        <v>1.2999999999999999E-2</v>
      </c>
      <c r="DA66" s="9"/>
      <c r="DB66" s="9">
        <v>1.270833333333333E-2</v>
      </c>
      <c r="DC66" s="9">
        <v>4.0000000000000001E-3</v>
      </c>
      <c r="DD66" s="9">
        <v>2.1999999999999999E-2</v>
      </c>
      <c r="DE66" s="9">
        <v>1.270833333333333E-2</v>
      </c>
      <c r="DF66" s="9">
        <v>4.0000000000000001E-3</v>
      </c>
      <c r="DG66" s="9">
        <v>2.1999999999999999E-2</v>
      </c>
      <c r="DH66" s="9">
        <v>1.270833333333333E-2</v>
      </c>
      <c r="DI66" s="9">
        <v>4.0000000000000001E-3</v>
      </c>
      <c r="DJ66" s="9">
        <v>2.1999999999999999E-2</v>
      </c>
      <c r="DK66" s="9">
        <v>1.270833333333333E-2</v>
      </c>
      <c r="DL66" s="9">
        <v>4.0000000000000001E-3</v>
      </c>
      <c r="DM66" s="9">
        <v>2.1999999999999999E-2</v>
      </c>
      <c r="DN66" s="9">
        <v>1.270833333333333E-2</v>
      </c>
      <c r="DO66" s="9">
        <v>4.0000000000000001E-3</v>
      </c>
      <c r="DP66" s="9">
        <v>2.1999999999999999E-2</v>
      </c>
      <c r="DQ66" s="9">
        <v>1.270833333333333E-2</v>
      </c>
      <c r="DR66" s="9">
        <v>4.0000000000000001E-3</v>
      </c>
      <c r="DS66" s="9">
        <v>2.1999999999999999E-2</v>
      </c>
      <c r="DT66" s="9">
        <v>1.270833333333333E-2</v>
      </c>
      <c r="DU66" s="9">
        <v>4.0000000000000001E-3</v>
      </c>
      <c r="DV66" s="9">
        <v>2.1999999999999999E-2</v>
      </c>
      <c r="DW66" s="9">
        <v>1.270833333333333E-2</v>
      </c>
      <c r="DX66" s="9">
        <v>4.0000000000000001E-3</v>
      </c>
      <c r="DY66" s="9">
        <v>2.1999999999999999E-2</v>
      </c>
      <c r="DZ66" s="9">
        <v>1.270833333333333E-2</v>
      </c>
      <c r="EA66" s="9">
        <v>4.0000000000000001E-3</v>
      </c>
      <c r="EB66" s="9">
        <v>2.1999999999999999E-2</v>
      </c>
      <c r="EC66" s="9"/>
      <c r="ED66" s="9"/>
      <c r="EE66" s="9"/>
      <c r="EF66" s="46">
        <f>Tabelle58971121[[#This Row],[Durchschnittsauslastung min]]*Tabelle58971121[[#This Row],[installierte Leistung MW min]]</f>
        <v>0</v>
      </c>
      <c r="EG66" s="46">
        <f>Tabelle58971121[[#This Row],[Durchschnittsauslastung durch]]*Tabelle58971121[[#This Row],[installierte Leistung MW durch]]</f>
        <v>0</v>
      </c>
      <c r="EH66" s="46">
        <f>Tabelle58971121[[#This Row],[Durchschnittsauslastung max]]*Tabelle58971121[[#This Row],[installierte Leistung MW max]]</f>
        <v>0</v>
      </c>
      <c r="EI66" s="83">
        <f>Tabelle58971121[[#This Row],[Maximalauslastung durch]]*Tabelle58971121[[#This Row],[installierte Leistung MW min]]</f>
        <v>1145.54</v>
      </c>
      <c r="EJ66" s="46">
        <f>Tabelle58971121[[#This Row],[Maximalauslastung durch]]*Tabelle58971121[[#This Row],[installierte Leistung MW durch]]</f>
        <v>1147.9159999999999</v>
      </c>
      <c r="EK66" s="19">
        <f>Tabelle58971121[[#This Row],[Maximalauslastung max]]*Tabelle58971121[[#This Row],[installierte Leistung MW durch]]</f>
        <v>2191.4760000000001</v>
      </c>
      <c r="EL66" s="9">
        <v>2.1999999999999999E-2</v>
      </c>
      <c r="EM66" s="9">
        <v>2.0000000000000022E-3</v>
      </c>
      <c r="EN66" s="9">
        <v>4.2000000000000003E-2</v>
      </c>
      <c r="EO66" s="1">
        <v>52178</v>
      </c>
      <c r="EP66" s="1">
        <v>52070</v>
      </c>
      <c r="EQ66" s="1">
        <v>52286</v>
      </c>
      <c r="ER66" s="19"/>
      <c r="ES66" s="19"/>
      <c r="EX66" s="1">
        <v>2.25</v>
      </c>
      <c r="EY66" s="1">
        <v>1.5</v>
      </c>
      <c r="EZ66" s="1">
        <v>3</v>
      </c>
      <c r="FD66" s="1">
        <v>2.25</v>
      </c>
      <c r="FE66" s="1">
        <v>1.5</v>
      </c>
      <c r="FF66" s="1">
        <v>3</v>
      </c>
      <c r="FG66" s="1">
        <v>18</v>
      </c>
      <c r="FH66" s="1">
        <v>12</v>
      </c>
      <c r="FI66" s="1">
        <v>24</v>
      </c>
      <c r="FJ66" s="1">
        <v>18</v>
      </c>
      <c r="FK66" s="1">
        <v>18</v>
      </c>
      <c r="FL66" s="1">
        <v>18</v>
      </c>
      <c r="FP66" s="1" t="s">
        <v>1084</v>
      </c>
      <c r="FQ66" s="1" t="s">
        <v>1084</v>
      </c>
      <c r="FR66" s="1" t="s">
        <v>1084</v>
      </c>
      <c r="FS66" s="11"/>
      <c r="FT66" s="11"/>
      <c r="FU66" s="11"/>
      <c r="FV66" s="1">
        <v>280</v>
      </c>
      <c r="FW66" s="1">
        <v>252</v>
      </c>
      <c r="FX66" s="1">
        <v>308</v>
      </c>
      <c r="FY66" s="1">
        <v>92.50411764705882</v>
      </c>
      <c r="FZ66" s="19">
        <v>83.243529411764712</v>
      </c>
      <c r="GA66" s="19">
        <v>101.76470588235293</v>
      </c>
      <c r="GB66" s="19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>
        <v>753.05882352941171</v>
      </c>
      <c r="GO66" s="8">
        <v>745.52823529411762</v>
      </c>
      <c r="GP66" s="8">
        <v>760.5894117647058</v>
      </c>
      <c r="GS66" s="1">
        <v>67</v>
      </c>
      <c r="GT66" s="1">
        <v>67</v>
      </c>
      <c r="GU66" s="1">
        <v>67</v>
      </c>
      <c r="GV66" s="13" t="s">
        <v>806</v>
      </c>
      <c r="GW66" s="13" t="s">
        <v>806</v>
      </c>
      <c r="GX66" s="13" t="s">
        <v>806</v>
      </c>
      <c r="GY66" s="13"/>
      <c r="GZ66" s="13" t="s">
        <v>806</v>
      </c>
      <c r="HA66" s="13" t="s">
        <v>806</v>
      </c>
      <c r="HB66" s="13" t="s">
        <v>806</v>
      </c>
      <c r="HC66" s="13" t="s">
        <v>806</v>
      </c>
      <c r="HD66" s="13" t="s">
        <v>806</v>
      </c>
      <c r="HE66" s="13" t="s">
        <v>806</v>
      </c>
      <c r="HF66" s="13" t="s">
        <v>806</v>
      </c>
      <c r="HI66" s="13" t="s">
        <v>806</v>
      </c>
      <c r="HJ66" s="13" t="s">
        <v>806</v>
      </c>
      <c r="HL66" s="13" t="s">
        <v>806</v>
      </c>
    </row>
    <row r="67" spans="1:220" ht="12.75" customHeight="1" x14ac:dyDescent="0.25">
      <c r="A67" s="1" t="s">
        <v>283</v>
      </c>
      <c r="B67" s="1" t="s">
        <v>283</v>
      </c>
      <c r="E67" s="1" t="s">
        <v>139</v>
      </c>
      <c r="F67" s="1">
        <v>2</v>
      </c>
      <c r="G67" s="1">
        <v>2020</v>
      </c>
      <c r="H67" s="1">
        <v>0</v>
      </c>
      <c r="I67" s="1">
        <v>0</v>
      </c>
      <c r="J67" s="1">
        <v>1</v>
      </c>
      <c r="K67" s="19"/>
      <c r="L67" s="19"/>
      <c r="M67" s="19"/>
      <c r="N67" s="19"/>
      <c r="O67" s="19"/>
      <c r="P67" s="19"/>
      <c r="Q67" s="19">
        <v>0</v>
      </c>
      <c r="R67" s="19">
        <v>0</v>
      </c>
      <c r="S67" s="19">
        <v>418.8108600000001</v>
      </c>
      <c r="T67" s="19"/>
      <c r="U67" s="19"/>
      <c r="V67" s="19"/>
      <c r="W67" s="19">
        <v>431.49031916666684</v>
      </c>
      <c r="X67" s="19">
        <v>0</v>
      </c>
      <c r="Y67" s="19">
        <v>1768.3125199999999</v>
      </c>
      <c r="Z67" s="19">
        <v>0</v>
      </c>
      <c r="AA67" s="19">
        <v>0</v>
      </c>
      <c r="AB67" s="19">
        <v>418.8108600000001</v>
      </c>
      <c r="AC67" s="19"/>
      <c r="AD67" s="19"/>
      <c r="AE67" s="19"/>
      <c r="AF67" s="19">
        <v>431.49031916666684</v>
      </c>
      <c r="AG67" s="19">
        <v>0</v>
      </c>
      <c r="AH67" s="19">
        <v>1768.3125199999999</v>
      </c>
      <c r="AI67" s="19">
        <v>0</v>
      </c>
      <c r="AJ67" s="19">
        <v>0</v>
      </c>
      <c r="AK67" s="19">
        <v>418.8108600000001</v>
      </c>
      <c r="AL67" s="19">
        <v>431.49031916666684</v>
      </c>
      <c r="AM67" s="19">
        <v>0</v>
      </c>
      <c r="AN67" s="19">
        <v>1768.3125199999999</v>
      </c>
      <c r="AO67" s="19">
        <v>0</v>
      </c>
      <c r="AP67" s="19">
        <v>0</v>
      </c>
      <c r="AQ67" s="19">
        <v>418.8108600000001</v>
      </c>
      <c r="AR67" s="19"/>
      <c r="AS67" s="19"/>
      <c r="AT67" s="19"/>
      <c r="AU67" s="19">
        <v>431.49031916666684</v>
      </c>
      <c r="AV67" s="19">
        <v>0</v>
      </c>
      <c r="AW67" s="19">
        <v>1768.3125199999999</v>
      </c>
      <c r="AX67" s="19">
        <v>0</v>
      </c>
      <c r="AY67" s="19">
        <v>0</v>
      </c>
      <c r="AZ67" s="19">
        <v>418.8108600000001</v>
      </c>
      <c r="BA67" s="19"/>
      <c r="BB67" s="19"/>
      <c r="BC67" s="19"/>
      <c r="BD67" s="19">
        <v>431.49031916666684</v>
      </c>
      <c r="BE67" s="19">
        <v>0</v>
      </c>
      <c r="BF67" s="19">
        <v>1768.3125199999999</v>
      </c>
      <c r="BG67" s="19">
        <v>0</v>
      </c>
      <c r="BH67" s="19">
        <v>0</v>
      </c>
      <c r="BI67" s="19">
        <v>418.8108600000001</v>
      </c>
      <c r="BJ67" s="19"/>
      <c r="BK67" s="19"/>
      <c r="BL67" s="19"/>
      <c r="BM67" s="19">
        <v>431.49031916666684</v>
      </c>
      <c r="BN67" s="19">
        <v>0</v>
      </c>
      <c r="BO67" s="19">
        <v>1768.3125199999999</v>
      </c>
      <c r="BP67" s="19">
        <v>0</v>
      </c>
      <c r="BQ67" s="19">
        <v>0</v>
      </c>
      <c r="BR67" s="19">
        <v>418.8108600000001</v>
      </c>
      <c r="BS67" s="19"/>
      <c r="BT67" s="19"/>
      <c r="BU67" s="19"/>
      <c r="BV67" s="19">
        <v>431.49031916666684</v>
      </c>
      <c r="BW67" s="19">
        <v>0</v>
      </c>
      <c r="BX67" s="19">
        <v>1768.3125199999999</v>
      </c>
      <c r="BY67" s="19">
        <v>0</v>
      </c>
      <c r="BZ67" s="19">
        <v>0</v>
      </c>
      <c r="CA67" s="19">
        <v>418.8108600000001</v>
      </c>
      <c r="CB67" s="19"/>
      <c r="CC67" s="19"/>
      <c r="CD67" s="19"/>
      <c r="CE67" s="19">
        <v>431.49031916666684</v>
      </c>
      <c r="CF67" s="19">
        <v>0</v>
      </c>
      <c r="CG67" s="19">
        <v>1768.3125199999999</v>
      </c>
      <c r="CH67" s="19">
        <v>0</v>
      </c>
      <c r="CI67" s="19">
        <v>0</v>
      </c>
      <c r="CJ67" s="19">
        <v>418.8108600000001</v>
      </c>
      <c r="CK67" s="19"/>
      <c r="CL67" s="19"/>
      <c r="CM67" s="19"/>
      <c r="CN67" s="19">
        <v>431.49031916666684</v>
      </c>
      <c r="CO67" s="19">
        <v>0</v>
      </c>
      <c r="CP67" s="19">
        <v>1768.3125199999999</v>
      </c>
      <c r="CQ67" s="19"/>
      <c r="CR67" s="19"/>
      <c r="CS67" s="19"/>
      <c r="CT67" s="19"/>
      <c r="CU67" s="11">
        <f>Tabelle58971121[[#This Row],[Mindestauslastung durch]]*Tabelle58971121[[#This Row],[installierte Leistung MW durch]]</f>
        <v>603.69945999999993</v>
      </c>
      <c r="CV67" s="11">
        <f>Tabelle58971121[[#This Row],[Mindestauslastung min]]*Tabelle58971121[[#This Row],[installierte Leistung MW min]]</f>
        <v>602.44989999999996</v>
      </c>
      <c r="CW67" s="11">
        <f>Tabelle58971121[[#This Row],[Mindestauslastung max]]*Tabelle58971121[[#This Row],[installierte Leistung MW max]]</f>
        <v>604.94902000000002</v>
      </c>
      <c r="CX67" s="9">
        <v>1.2999999999999999E-2</v>
      </c>
      <c r="CY67" s="9">
        <v>1.2999999999999999E-2</v>
      </c>
      <c r="CZ67" s="9">
        <v>1.2999999999999999E-2</v>
      </c>
      <c r="DA67" s="9"/>
      <c r="DB67" s="9">
        <v>1.270833333333333E-2</v>
      </c>
      <c r="DC67" s="9">
        <v>4.0000000000000001E-3</v>
      </c>
      <c r="DD67" s="9">
        <v>2.1999999999999999E-2</v>
      </c>
      <c r="DE67" s="9">
        <v>1.270833333333333E-2</v>
      </c>
      <c r="DF67" s="9">
        <v>4.0000000000000001E-3</v>
      </c>
      <c r="DG67" s="9">
        <v>2.1999999999999999E-2</v>
      </c>
      <c r="DH67" s="9">
        <v>1.270833333333333E-2</v>
      </c>
      <c r="DI67" s="9">
        <v>4.0000000000000001E-3</v>
      </c>
      <c r="DJ67" s="9">
        <v>2.1999999999999999E-2</v>
      </c>
      <c r="DK67" s="9">
        <v>1.270833333333333E-2</v>
      </c>
      <c r="DL67" s="9">
        <v>4.0000000000000001E-3</v>
      </c>
      <c r="DM67" s="9">
        <v>2.1999999999999999E-2</v>
      </c>
      <c r="DN67" s="9">
        <v>1.270833333333333E-2</v>
      </c>
      <c r="DO67" s="9">
        <v>4.0000000000000001E-3</v>
      </c>
      <c r="DP67" s="9">
        <v>2.1999999999999999E-2</v>
      </c>
      <c r="DQ67" s="9">
        <v>1.270833333333333E-2</v>
      </c>
      <c r="DR67" s="9">
        <v>4.0000000000000001E-3</v>
      </c>
      <c r="DS67" s="9">
        <v>2.1999999999999999E-2</v>
      </c>
      <c r="DT67" s="9">
        <v>1.270833333333333E-2</v>
      </c>
      <c r="DU67" s="9">
        <v>4.0000000000000001E-3</v>
      </c>
      <c r="DV67" s="9">
        <v>2.1999999999999999E-2</v>
      </c>
      <c r="DW67" s="9">
        <v>1.270833333333333E-2</v>
      </c>
      <c r="DX67" s="9">
        <v>4.0000000000000001E-3</v>
      </c>
      <c r="DY67" s="9">
        <v>2.1999999999999999E-2</v>
      </c>
      <c r="DZ67" s="9">
        <v>1.270833333333333E-2</v>
      </c>
      <c r="EA67" s="9">
        <v>4.0000000000000001E-3</v>
      </c>
      <c r="EB67" s="9">
        <v>2.1999999999999999E-2</v>
      </c>
      <c r="EC67" s="9"/>
      <c r="ED67" s="9"/>
      <c r="EE67" s="9"/>
      <c r="EF67" s="46">
        <f>Tabelle58971121[[#This Row],[Durchschnittsauslastung min]]*Tabelle58971121[[#This Row],[installierte Leistung MW min]]</f>
        <v>0</v>
      </c>
      <c r="EG67" s="46">
        <f>Tabelle58971121[[#This Row],[Durchschnittsauslastung durch]]*Tabelle58971121[[#This Row],[installierte Leistung MW durch]]</f>
        <v>0</v>
      </c>
      <c r="EH67" s="46">
        <f>Tabelle58971121[[#This Row],[Durchschnittsauslastung max]]*Tabelle58971121[[#This Row],[installierte Leistung MW max]]</f>
        <v>0</v>
      </c>
      <c r="EI67" s="83">
        <f>Tabelle58971121[[#This Row],[Maximalauslastung durch]]*Tabelle58971121[[#This Row],[installierte Leistung MW min]]</f>
        <v>1019.5306</v>
      </c>
      <c r="EJ67" s="46">
        <f>Tabelle58971121[[#This Row],[Maximalauslastung durch]]*Tabelle58971121[[#This Row],[installierte Leistung MW durch]]</f>
        <v>1021.6452399999999</v>
      </c>
      <c r="EK67" s="19">
        <f>Tabelle58971121[[#This Row],[Maximalauslastung max]]*Tabelle58971121[[#This Row],[installierte Leistung MW durch]]</f>
        <v>1950.41364</v>
      </c>
      <c r="EL67" s="9">
        <v>2.1999999999999999E-2</v>
      </c>
      <c r="EM67" s="9">
        <v>2.0000000000000022E-3</v>
      </c>
      <c r="EN67" s="9">
        <v>4.2000000000000003E-2</v>
      </c>
      <c r="EO67" s="1">
        <v>46438.42</v>
      </c>
      <c r="EP67" s="1">
        <v>46342.3</v>
      </c>
      <c r="EQ67" s="1">
        <v>46534.54</v>
      </c>
      <c r="ER67" s="19"/>
      <c r="ES67" s="19"/>
      <c r="EX67" s="1">
        <v>2.25</v>
      </c>
      <c r="EY67" s="1">
        <v>1.5</v>
      </c>
      <c r="EZ67" s="1">
        <v>3</v>
      </c>
      <c r="FD67" s="1">
        <v>2.25</v>
      </c>
      <c r="FE67" s="1">
        <v>1.5</v>
      </c>
      <c r="FF67" s="1">
        <v>3</v>
      </c>
      <c r="FG67" s="1">
        <v>18</v>
      </c>
      <c r="FH67" s="1">
        <v>12</v>
      </c>
      <c r="FI67" s="1">
        <v>24</v>
      </c>
      <c r="FJ67" s="1">
        <v>18</v>
      </c>
      <c r="FK67" s="1">
        <v>18</v>
      </c>
      <c r="FL67" s="1">
        <v>18</v>
      </c>
      <c r="FP67" s="1" t="s">
        <v>1084</v>
      </c>
      <c r="FQ67" s="1" t="s">
        <v>1084</v>
      </c>
      <c r="FR67" s="1" t="s">
        <v>1084</v>
      </c>
      <c r="FS67" s="11"/>
      <c r="FT67" s="11"/>
      <c r="FU67" s="11"/>
      <c r="FV67" s="1">
        <v>280</v>
      </c>
      <c r="FW67" s="1">
        <v>252</v>
      </c>
      <c r="FX67" s="1">
        <v>308</v>
      </c>
      <c r="FY67" s="1">
        <v>92.50411764705882</v>
      </c>
      <c r="FZ67" s="19">
        <v>83.243529411764712</v>
      </c>
      <c r="GA67" s="19">
        <v>101.76470588235293</v>
      </c>
      <c r="GB67" s="19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>
        <v>753.05882352941171</v>
      </c>
      <c r="GO67" s="8">
        <v>745.52823529411762</v>
      </c>
      <c r="GP67" s="8">
        <v>760.5894117647058</v>
      </c>
      <c r="GS67" s="1">
        <v>67</v>
      </c>
      <c r="GT67" s="1">
        <v>67</v>
      </c>
      <c r="GU67" s="1">
        <v>67</v>
      </c>
      <c r="GV67" s="13" t="s">
        <v>806</v>
      </c>
      <c r="GW67" s="13" t="s">
        <v>806</v>
      </c>
      <c r="GX67" s="13" t="s">
        <v>806</v>
      </c>
      <c r="GY67" s="13"/>
      <c r="GZ67" s="13" t="s">
        <v>806</v>
      </c>
      <c r="HA67" s="13" t="s">
        <v>806</v>
      </c>
      <c r="HB67" s="13" t="s">
        <v>806</v>
      </c>
      <c r="HC67" s="13" t="s">
        <v>806</v>
      </c>
      <c r="HD67" s="13" t="s">
        <v>806</v>
      </c>
      <c r="HE67" s="13" t="s">
        <v>806</v>
      </c>
      <c r="HF67" s="13" t="s">
        <v>806</v>
      </c>
      <c r="HI67" s="13" t="s">
        <v>806</v>
      </c>
      <c r="HJ67" s="13" t="s">
        <v>806</v>
      </c>
      <c r="HL67" s="13" t="s">
        <v>806</v>
      </c>
    </row>
    <row r="68" spans="1:220" ht="12.75" customHeight="1" x14ac:dyDescent="0.25">
      <c r="A68" s="1" t="s">
        <v>283</v>
      </c>
      <c r="B68" s="1" t="s">
        <v>283</v>
      </c>
      <c r="E68" s="1" t="s">
        <v>139</v>
      </c>
      <c r="F68" s="1">
        <v>2</v>
      </c>
      <c r="G68" s="1">
        <v>2025</v>
      </c>
      <c r="H68" s="1">
        <v>0</v>
      </c>
      <c r="I68" s="1">
        <v>0</v>
      </c>
      <c r="J68" s="1">
        <v>1</v>
      </c>
      <c r="K68" s="19"/>
      <c r="L68" s="19"/>
      <c r="M68" s="19"/>
      <c r="N68" s="19"/>
      <c r="O68" s="19"/>
      <c r="P68" s="19"/>
      <c r="Q68" s="19">
        <v>0</v>
      </c>
      <c r="R68" s="19">
        <v>0</v>
      </c>
      <c r="S68" s="19">
        <v>385.87068000000011</v>
      </c>
      <c r="T68" s="19"/>
      <c r="U68" s="19"/>
      <c r="V68" s="19"/>
      <c r="W68" s="19">
        <v>397.55287833333347</v>
      </c>
      <c r="X68" s="19">
        <v>0</v>
      </c>
      <c r="Y68" s="19">
        <v>1629.2317599999999</v>
      </c>
      <c r="Z68" s="19">
        <v>0</v>
      </c>
      <c r="AA68" s="19">
        <v>0</v>
      </c>
      <c r="AB68" s="19">
        <v>385.87068000000011</v>
      </c>
      <c r="AC68" s="19"/>
      <c r="AD68" s="19"/>
      <c r="AE68" s="19"/>
      <c r="AF68" s="19">
        <v>397.55287833333347</v>
      </c>
      <c r="AG68" s="19">
        <v>0</v>
      </c>
      <c r="AH68" s="19">
        <v>1629.2317599999999</v>
      </c>
      <c r="AI68" s="19">
        <v>0</v>
      </c>
      <c r="AJ68" s="19">
        <v>0</v>
      </c>
      <c r="AK68" s="19">
        <v>385.87068000000011</v>
      </c>
      <c r="AL68" s="19">
        <v>397.55287833333347</v>
      </c>
      <c r="AM68" s="19">
        <v>0</v>
      </c>
      <c r="AN68" s="19">
        <v>1629.2317599999999</v>
      </c>
      <c r="AO68" s="19">
        <v>0</v>
      </c>
      <c r="AP68" s="19">
        <v>0</v>
      </c>
      <c r="AQ68" s="19">
        <v>385.87068000000011</v>
      </c>
      <c r="AR68" s="19"/>
      <c r="AS68" s="19"/>
      <c r="AT68" s="19"/>
      <c r="AU68" s="19">
        <v>397.55287833333347</v>
      </c>
      <c r="AV68" s="19">
        <v>0</v>
      </c>
      <c r="AW68" s="19">
        <v>1629.2317599999999</v>
      </c>
      <c r="AX68" s="19">
        <v>0</v>
      </c>
      <c r="AY68" s="19">
        <v>0</v>
      </c>
      <c r="AZ68" s="19">
        <v>385.87068000000011</v>
      </c>
      <c r="BA68" s="19"/>
      <c r="BB68" s="19"/>
      <c r="BC68" s="19"/>
      <c r="BD68" s="19">
        <v>397.55287833333347</v>
      </c>
      <c r="BE68" s="19">
        <v>0</v>
      </c>
      <c r="BF68" s="19">
        <v>1629.2317599999999</v>
      </c>
      <c r="BG68" s="19">
        <v>0</v>
      </c>
      <c r="BH68" s="19">
        <v>0</v>
      </c>
      <c r="BI68" s="19">
        <v>385.87068000000011</v>
      </c>
      <c r="BJ68" s="19"/>
      <c r="BK68" s="19"/>
      <c r="BL68" s="19"/>
      <c r="BM68" s="19">
        <v>397.55287833333347</v>
      </c>
      <c r="BN68" s="19">
        <v>0</v>
      </c>
      <c r="BO68" s="19">
        <v>1629.2317599999999</v>
      </c>
      <c r="BP68" s="19">
        <v>0</v>
      </c>
      <c r="BQ68" s="19">
        <v>0</v>
      </c>
      <c r="BR68" s="19">
        <v>385.87068000000011</v>
      </c>
      <c r="BS68" s="19"/>
      <c r="BT68" s="19"/>
      <c r="BU68" s="19"/>
      <c r="BV68" s="19">
        <v>397.55287833333347</v>
      </c>
      <c r="BW68" s="19">
        <v>0</v>
      </c>
      <c r="BX68" s="19">
        <v>1629.2317599999999</v>
      </c>
      <c r="BY68" s="19">
        <v>0</v>
      </c>
      <c r="BZ68" s="19">
        <v>0</v>
      </c>
      <c r="CA68" s="19">
        <v>385.87068000000011</v>
      </c>
      <c r="CB68" s="19"/>
      <c r="CC68" s="19"/>
      <c r="CD68" s="19"/>
      <c r="CE68" s="19">
        <v>397.55287833333347</v>
      </c>
      <c r="CF68" s="19">
        <v>0</v>
      </c>
      <c r="CG68" s="19">
        <v>1629.2317599999999</v>
      </c>
      <c r="CH68" s="19">
        <v>0</v>
      </c>
      <c r="CI68" s="19">
        <v>0</v>
      </c>
      <c r="CJ68" s="19">
        <v>385.87068000000011</v>
      </c>
      <c r="CK68" s="19"/>
      <c r="CL68" s="19"/>
      <c r="CM68" s="19"/>
      <c r="CN68" s="19">
        <v>397.55287833333347</v>
      </c>
      <c r="CO68" s="19">
        <v>0</v>
      </c>
      <c r="CP68" s="19">
        <v>1629.2317599999999</v>
      </c>
      <c r="CQ68" s="19"/>
      <c r="CR68" s="19"/>
      <c r="CS68" s="19"/>
      <c r="CT68" s="19"/>
      <c r="CU68" s="11">
        <f>Tabelle58971121[[#This Row],[Mindestauslastung durch]]*Tabelle58971121[[#This Row],[installierte Leistung MW durch]]</f>
        <v>556.21747999999991</v>
      </c>
      <c r="CV68" s="11">
        <f>Tabelle58971121[[#This Row],[Mindestauslastung min]]*Tabelle58971121[[#This Row],[installierte Leistung MW min]]</f>
        <v>555.06619999999998</v>
      </c>
      <c r="CW68" s="11">
        <f>Tabelle58971121[[#This Row],[Mindestauslastung max]]*Tabelle58971121[[#This Row],[installierte Leistung MW max]]</f>
        <v>557.36875999999995</v>
      </c>
      <c r="CX68" s="9">
        <v>1.2999999999999999E-2</v>
      </c>
      <c r="CY68" s="9">
        <v>1.2999999999999999E-2</v>
      </c>
      <c r="CZ68" s="9">
        <v>1.2999999999999999E-2</v>
      </c>
      <c r="DA68" s="9"/>
      <c r="DB68" s="9">
        <v>1.270833333333333E-2</v>
      </c>
      <c r="DC68" s="9">
        <v>4.0000000000000001E-3</v>
      </c>
      <c r="DD68" s="9">
        <v>2.1999999999999999E-2</v>
      </c>
      <c r="DE68" s="9">
        <v>1.270833333333333E-2</v>
      </c>
      <c r="DF68" s="9">
        <v>4.0000000000000001E-3</v>
      </c>
      <c r="DG68" s="9">
        <v>2.1999999999999999E-2</v>
      </c>
      <c r="DH68" s="9">
        <v>1.270833333333333E-2</v>
      </c>
      <c r="DI68" s="9">
        <v>4.0000000000000001E-3</v>
      </c>
      <c r="DJ68" s="9">
        <v>2.1999999999999999E-2</v>
      </c>
      <c r="DK68" s="9">
        <v>1.270833333333333E-2</v>
      </c>
      <c r="DL68" s="9">
        <v>4.0000000000000001E-3</v>
      </c>
      <c r="DM68" s="9">
        <v>2.1999999999999999E-2</v>
      </c>
      <c r="DN68" s="9">
        <v>1.270833333333333E-2</v>
      </c>
      <c r="DO68" s="9">
        <v>4.0000000000000001E-3</v>
      </c>
      <c r="DP68" s="9">
        <v>2.1999999999999999E-2</v>
      </c>
      <c r="DQ68" s="9">
        <v>1.270833333333333E-2</v>
      </c>
      <c r="DR68" s="9">
        <v>4.0000000000000001E-3</v>
      </c>
      <c r="DS68" s="9">
        <v>2.1999999999999999E-2</v>
      </c>
      <c r="DT68" s="9">
        <v>1.270833333333333E-2</v>
      </c>
      <c r="DU68" s="9">
        <v>4.0000000000000001E-3</v>
      </c>
      <c r="DV68" s="9">
        <v>2.1999999999999999E-2</v>
      </c>
      <c r="DW68" s="9">
        <v>1.270833333333333E-2</v>
      </c>
      <c r="DX68" s="9">
        <v>4.0000000000000001E-3</v>
      </c>
      <c r="DY68" s="9">
        <v>2.1999999999999999E-2</v>
      </c>
      <c r="DZ68" s="9">
        <v>1.270833333333333E-2</v>
      </c>
      <c r="EA68" s="9">
        <v>4.0000000000000001E-3</v>
      </c>
      <c r="EB68" s="9">
        <v>2.1999999999999999E-2</v>
      </c>
      <c r="EC68" s="9"/>
      <c r="ED68" s="9"/>
      <c r="EE68" s="9"/>
      <c r="EF68" s="46">
        <f>Tabelle58971121[[#This Row],[Durchschnittsauslastung min]]*Tabelle58971121[[#This Row],[installierte Leistung MW min]]</f>
        <v>0</v>
      </c>
      <c r="EG68" s="46">
        <f>Tabelle58971121[[#This Row],[Durchschnittsauslastung durch]]*Tabelle58971121[[#This Row],[installierte Leistung MW durch]]</f>
        <v>0</v>
      </c>
      <c r="EH68" s="46">
        <f>Tabelle58971121[[#This Row],[Durchschnittsauslastung max]]*Tabelle58971121[[#This Row],[installierte Leistung MW max]]</f>
        <v>0</v>
      </c>
      <c r="EI68" s="83">
        <f>Tabelle58971121[[#This Row],[Maximalauslastung durch]]*Tabelle58971121[[#This Row],[installierte Leistung MW min]]</f>
        <v>939.34280000000001</v>
      </c>
      <c r="EJ68" s="46">
        <f>Tabelle58971121[[#This Row],[Maximalauslastung durch]]*Tabelle58971121[[#This Row],[installierte Leistung MW durch]]</f>
        <v>941.29111999999998</v>
      </c>
      <c r="EK68" s="19">
        <f>Tabelle58971121[[#This Row],[Maximalauslastung max]]*Tabelle58971121[[#This Row],[installierte Leistung MW durch]]</f>
        <v>1797.0103200000001</v>
      </c>
      <c r="EL68" s="9">
        <v>2.1999999999999999E-2</v>
      </c>
      <c r="EM68" s="9">
        <v>2.0000000000000022E-3</v>
      </c>
      <c r="EN68" s="9">
        <v>4.2000000000000003E-2</v>
      </c>
      <c r="EO68" s="1">
        <v>42785.96</v>
      </c>
      <c r="EP68" s="1">
        <v>42697.4</v>
      </c>
      <c r="EQ68" s="1">
        <v>42874.52</v>
      </c>
      <c r="ER68" s="19"/>
      <c r="ES68" s="19"/>
      <c r="EX68" s="1">
        <v>2.25</v>
      </c>
      <c r="EY68" s="1">
        <v>1.5</v>
      </c>
      <c r="EZ68" s="1">
        <v>3</v>
      </c>
      <c r="FD68" s="1">
        <v>2.25</v>
      </c>
      <c r="FE68" s="1">
        <v>1.5</v>
      </c>
      <c r="FF68" s="1">
        <v>3</v>
      </c>
      <c r="FG68" s="1">
        <v>18</v>
      </c>
      <c r="FH68" s="1">
        <v>12</v>
      </c>
      <c r="FI68" s="1">
        <v>24</v>
      </c>
      <c r="FJ68" s="1">
        <v>18</v>
      </c>
      <c r="FK68" s="1">
        <v>18</v>
      </c>
      <c r="FL68" s="1">
        <v>18</v>
      </c>
      <c r="FP68" s="1" t="s">
        <v>1084</v>
      </c>
      <c r="FQ68" s="1" t="s">
        <v>1084</v>
      </c>
      <c r="FR68" s="1" t="s">
        <v>1084</v>
      </c>
      <c r="FS68" s="11"/>
      <c r="FT68" s="11"/>
      <c r="FU68" s="11"/>
      <c r="FV68" s="1">
        <v>280</v>
      </c>
      <c r="FW68" s="1">
        <v>252</v>
      </c>
      <c r="FX68" s="1">
        <v>308</v>
      </c>
      <c r="FY68" s="1">
        <v>92.50411764705882</v>
      </c>
      <c r="FZ68" s="19">
        <v>83.243529411764712</v>
      </c>
      <c r="GA68" s="19">
        <v>101.76470588235293</v>
      </c>
      <c r="GB68" s="19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>
        <v>753.05882352941171</v>
      </c>
      <c r="GO68" s="8">
        <v>745.52823529411762</v>
      </c>
      <c r="GP68" s="8">
        <v>760.5894117647058</v>
      </c>
      <c r="GS68" s="1">
        <v>67</v>
      </c>
      <c r="GT68" s="1">
        <v>67</v>
      </c>
      <c r="GU68" s="1">
        <v>67</v>
      </c>
      <c r="GV68" s="13" t="s">
        <v>806</v>
      </c>
      <c r="GW68" s="13" t="s">
        <v>806</v>
      </c>
      <c r="GX68" s="13" t="s">
        <v>806</v>
      </c>
      <c r="GY68" s="13"/>
      <c r="GZ68" s="13" t="s">
        <v>806</v>
      </c>
      <c r="HA68" s="13" t="s">
        <v>806</v>
      </c>
      <c r="HB68" s="13" t="s">
        <v>806</v>
      </c>
      <c r="HC68" s="13" t="s">
        <v>806</v>
      </c>
      <c r="HD68" s="13" t="s">
        <v>806</v>
      </c>
      <c r="HE68" s="13" t="s">
        <v>806</v>
      </c>
      <c r="HF68" s="13" t="s">
        <v>806</v>
      </c>
      <c r="HI68" s="13" t="s">
        <v>806</v>
      </c>
      <c r="HJ68" s="13" t="s">
        <v>806</v>
      </c>
      <c r="HL68" s="13" t="s">
        <v>806</v>
      </c>
    </row>
    <row r="69" spans="1:220" ht="12.75" customHeight="1" x14ac:dyDescent="0.25">
      <c r="A69" s="1" t="s">
        <v>283</v>
      </c>
      <c r="B69" s="1" t="s">
        <v>283</v>
      </c>
      <c r="E69" s="1" t="s">
        <v>139</v>
      </c>
      <c r="F69" s="1">
        <v>2</v>
      </c>
      <c r="G69" s="1">
        <v>2030</v>
      </c>
      <c r="H69" s="1">
        <v>0</v>
      </c>
      <c r="I69" s="1">
        <v>0</v>
      </c>
      <c r="J69" s="1">
        <v>1</v>
      </c>
      <c r="K69" s="19"/>
      <c r="L69" s="19"/>
      <c r="M69" s="19"/>
      <c r="N69" s="19"/>
      <c r="O69" s="19"/>
      <c r="P69" s="19"/>
      <c r="Q69" s="19">
        <v>0</v>
      </c>
      <c r="R69" s="19">
        <v>0</v>
      </c>
      <c r="S69" s="19">
        <v>348.22476000000012</v>
      </c>
      <c r="T69" s="19"/>
      <c r="U69" s="19"/>
      <c r="V69" s="19"/>
      <c r="W69" s="19">
        <v>358.76723166666676</v>
      </c>
      <c r="X69" s="19">
        <v>0</v>
      </c>
      <c r="Y69" s="19">
        <v>1470.28232</v>
      </c>
      <c r="Z69" s="19">
        <v>0</v>
      </c>
      <c r="AA69" s="19">
        <v>0</v>
      </c>
      <c r="AB69" s="19">
        <v>348.22476000000012</v>
      </c>
      <c r="AC69" s="19"/>
      <c r="AD69" s="19"/>
      <c r="AE69" s="19"/>
      <c r="AF69" s="19">
        <v>358.76723166666676</v>
      </c>
      <c r="AG69" s="19">
        <v>0</v>
      </c>
      <c r="AH69" s="19">
        <v>1470.28232</v>
      </c>
      <c r="AI69" s="19">
        <v>0</v>
      </c>
      <c r="AJ69" s="19">
        <v>0</v>
      </c>
      <c r="AK69" s="19">
        <v>348.22476000000012</v>
      </c>
      <c r="AL69" s="19">
        <v>358.76723166666676</v>
      </c>
      <c r="AM69" s="19">
        <v>0</v>
      </c>
      <c r="AN69" s="19">
        <v>1470.28232</v>
      </c>
      <c r="AO69" s="19">
        <v>0</v>
      </c>
      <c r="AP69" s="19">
        <v>0</v>
      </c>
      <c r="AQ69" s="19">
        <v>348.22476000000012</v>
      </c>
      <c r="AR69" s="19"/>
      <c r="AS69" s="19"/>
      <c r="AT69" s="19"/>
      <c r="AU69" s="19">
        <v>358.76723166666676</v>
      </c>
      <c r="AV69" s="19">
        <v>0</v>
      </c>
      <c r="AW69" s="19">
        <v>1470.28232</v>
      </c>
      <c r="AX69" s="19">
        <v>0</v>
      </c>
      <c r="AY69" s="19">
        <v>0</v>
      </c>
      <c r="AZ69" s="19">
        <v>348.22476000000012</v>
      </c>
      <c r="BA69" s="19"/>
      <c r="BB69" s="19"/>
      <c r="BC69" s="19"/>
      <c r="BD69" s="19">
        <v>358.76723166666676</v>
      </c>
      <c r="BE69" s="19">
        <v>0</v>
      </c>
      <c r="BF69" s="19">
        <v>1470.28232</v>
      </c>
      <c r="BG69" s="19">
        <v>0</v>
      </c>
      <c r="BH69" s="19">
        <v>0</v>
      </c>
      <c r="BI69" s="19">
        <v>348.22476000000012</v>
      </c>
      <c r="BJ69" s="19"/>
      <c r="BK69" s="19"/>
      <c r="BL69" s="19"/>
      <c r="BM69" s="19">
        <v>358.76723166666676</v>
      </c>
      <c r="BN69" s="19">
        <v>0</v>
      </c>
      <c r="BO69" s="19">
        <v>1470.28232</v>
      </c>
      <c r="BP69" s="19">
        <v>0</v>
      </c>
      <c r="BQ69" s="19">
        <v>0</v>
      </c>
      <c r="BR69" s="19">
        <v>348.22476000000012</v>
      </c>
      <c r="BS69" s="19"/>
      <c r="BT69" s="19"/>
      <c r="BU69" s="19"/>
      <c r="BV69" s="19">
        <v>358.76723166666676</v>
      </c>
      <c r="BW69" s="19">
        <v>0</v>
      </c>
      <c r="BX69" s="19">
        <v>1470.28232</v>
      </c>
      <c r="BY69" s="19">
        <v>0</v>
      </c>
      <c r="BZ69" s="19">
        <v>0</v>
      </c>
      <c r="CA69" s="19">
        <v>348.22476000000012</v>
      </c>
      <c r="CB69" s="19"/>
      <c r="CC69" s="19"/>
      <c r="CD69" s="19"/>
      <c r="CE69" s="19">
        <v>358.76723166666676</v>
      </c>
      <c r="CF69" s="19">
        <v>0</v>
      </c>
      <c r="CG69" s="19">
        <v>1470.28232</v>
      </c>
      <c r="CH69" s="19">
        <v>0</v>
      </c>
      <c r="CI69" s="19">
        <v>0</v>
      </c>
      <c r="CJ69" s="19">
        <v>348.22476000000012</v>
      </c>
      <c r="CK69" s="19"/>
      <c r="CL69" s="19"/>
      <c r="CM69" s="19"/>
      <c r="CN69" s="19">
        <v>358.76723166666676</v>
      </c>
      <c r="CO69" s="19">
        <v>0</v>
      </c>
      <c r="CP69" s="19">
        <v>1470.28232</v>
      </c>
      <c r="CQ69" s="19"/>
      <c r="CR69" s="19"/>
      <c r="CS69" s="19"/>
      <c r="CT69" s="19"/>
      <c r="CU69" s="11">
        <f>Tabelle58971121[[#This Row],[Mindestauslastung durch]]*Tabelle58971121[[#This Row],[installierte Leistung MW durch]]</f>
        <v>501.95236</v>
      </c>
      <c r="CV69" s="11">
        <f>Tabelle58971121[[#This Row],[Mindestauslastung min]]*Tabelle58971121[[#This Row],[installierte Leistung MW min]]</f>
        <v>500.91340000000002</v>
      </c>
      <c r="CW69" s="11">
        <f>Tabelle58971121[[#This Row],[Mindestauslastung max]]*Tabelle58971121[[#This Row],[installierte Leistung MW max]]</f>
        <v>502.99131999999997</v>
      </c>
      <c r="CX69" s="9">
        <v>1.2999999999999999E-2</v>
      </c>
      <c r="CY69" s="9">
        <v>1.2999999999999999E-2</v>
      </c>
      <c r="CZ69" s="9">
        <v>1.2999999999999999E-2</v>
      </c>
      <c r="DA69" s="9"/>
      <c r="DB69" s="9">
        <v>1.270833333333333E-2</v>
      </c>
      <c r="DC69" s="9">
        <v>4.0000000000000001E-3</v>
      </c>
      <c r="DD69" s="9">
        <v>2.1999999999999999E-2</v>
      </c>
      <c r="DE69" s="9">
        <v>1.270833333333333E-2</v>
      </c>
      <c r="DF69" s="9">
        <v>4.0000000000000001E-3</v>
      </c>
      <c r="DG69" s="9">
        <v>2.1999999999999999E-2</v>
      </c>
      <c r="DH69" s="9">
        <v>1.270833333333333E-2</v>
      </c>
      <c r="DI69" s="9">
        <v>4.0000000000000001E-3</v>
      </c>
      <c r="DJ69" s="9">
        <v>2.1999999999999999E-2</v>
      </c>
      <c r="DK69" s="9">
        <v>1.270833333333333E-2</v>
      </c>
      <c r="DL69" s="9">
        <v>4.0000000000000001E-3</v>
      </c>
      <c r="DM69" s="9">
        <v>2.1999999999999999E-2</v>
      </c>
      <c r="DN69" s="9">
        <v>1.270833333333333E-2</v>
      </c>
      <c r="DO69" s="9">
        <v>4.0000000000000001E-3</v>
      </c>
      <c r="DP69" s="9">
        <v>2.1999999999999999E-2</v>
      </c>
      <c r="DQ69" s="9">
        <v>1.270833333333333E-2</v>
      </c>
      <c r="DR69" s="9">
        <v>4.0000000000000001E-3</v>
      </c>
      <c r="DS69" s="9">
        <v>2.1999999999999999E-2</v>
      </c>
      <c r="DT69" s="9">
        <v>1.270833333333333E-2</v>
      </c>
      <c r="DU69" s="9">
        <v>4.0000000000000001E-3</v>
      </c>
      <c r="DV69" s="9">
        <v>2.1999999999999999E-2</v>
      </c>
      <c r="DW69" s="9">
        <v>1.270833333333333E-2</v>
      </c>
      <c r="DX69" s="9">
        <v>4.0000000000000001E-3</v>
      </c>
      <c r="DY69" s="9">
        <v>2.1999999999999999E-2</v>
      </c>
      <c r="DZ69" s="9">
        <v>1.270833333333333E-2</v>
      </c>
      <c r="EA69" s="9">
        <v>4.0000000000000001E-3</v>
      </c>
      <c r="EB69" s="9">
        <v>2.1999999999999999E-2</v>
      </c>
      <c r="EC69" s="9"/>
      <c r="ED69" s="9"/>
      <c r="EE69" s="9"/>
      <c r="EF69" s="46">
        <f>Tabelle58971121[[#This Row],[Durchschnittsauslastung min]]*Tabelle58971121[[#This Row],[installierte Leistung MW min]]</f>
        <v>0</v>
      </c>
      <c r="EG69" s="46">
        <f>Tabelle58971121[[#This Row],[Durchschnittsauslastung durch]]*Tabelle58971121[[#This Row],[installierte Leistung MW durch]]</f>
        <v>0</v>
      </c>
      <c r="EH69" s="46">
        <f>Tabelle58971121[[#This Row],[Durchschnittsauslastung max]]*Tabelle58971121[[#This Row],[installierte Leistung MW max]]</f>
        <v>0</v>
      </c>
      <c r="EI69" s="83">
        <f>Tabelle58971121[[#This Row],[Maximalauslastung durch]]*Tabelle58971121[[#This Row],[installierte Leistung MW min]]</f>
        <v>847.69960000000003</v>
      </c>
      <c r="EJ69" s="46">
        <f>Tabelle58971121[[#This Row],[Maximalauslastung durch]]*Tabelle58971121[[#This Row],[installierte Leistung MW durch]]</f>
        <v>849.45784000000003</v>
      </c>
      <c r="EK69" s="19">
        <f>Tabelle58971121[[#This Row],[Maximalauslastung max]]*Tabelle58971121[[#This Row],[installierte Leistung MW durch]]</f>
        <v>1621.6922400000001</v>
      </c>
      <c r="EL69" s="9">
        <v>2.1999999999999999E-2</v>
      </c>
      <c r="EM69" s="9">
        <v>2.0000000000000022E-3</v>
      </c>
      <c r="EN69" s="9">
        <v>4.2000000000000003E-2</v>
      </c>
      <c r="EO69" s="1">
        <v>38611.72</v>
      </c>
      <c r="EP69" s="1">
        <v>38531.800000000003</v>
      </c>
      <c r="EQ69" s="1">
        <v>38691.64</v>
      </c>
      <c r="ER69" s="19"/>
      <c r="ES69" s="19"/>
      <c r="EX69" s="1">
        <v>2.25</v>
      </c>
      <c r="EY69" s="1">
        <v>1.5</v>
      </c>
      <c r="EZ69" s="1">
        <v>3</v>
      </c>
      <c r="FD69" s="1">
        <v>2.25</v>
      </c>
      <c r="FE69" s="1">
        <v>1.5</v>
      </c>
      <c r="FF69" s="1">
        <v>3</v>
      </c>
      <c r="FG69" s="1">
        <v>18</v>
      </c>
      <c r="FH69" s="1">
        <v>12</v>
      </c>
      <c r="FI69" s="1">
        <v>24</v>
      </c>
      <c r="FJ69" s="1">
        <v>18</v>
      </c>
      <c r="FK69" s="1">
        <v>18</v>
      </c>
      <c r="FL69" s="1">
        <v>18</v>
      </c>
      <c r="FP69" s="1" t="s">
        <v>1084</v>
      </c>
      <c r="FQ69" s="1" t="s">
        <v>1084</v>
      </c>
      <c r="FR69" s="1" t="s">
        <v>1084</v>
      </c>
      <c r="FS69" s="11"/>
      <c r="FT69" s="11"/>
      <c r="FU69" s="11"/>
      <c r="FV69" s="1">
        <v>280</v>
      </c>
      <c r="FW69" s="1">
        <v>252</v>
      </c>
      <c r="FX69" s="1">
        <v>308</v>
      </c>
      <c r="FY69" s="1">
        <v>92.50411764705882</v>
      </c>
      <c r="FZ69" s="19">
        <v>83.243529411764712</v>
      </c>
      <c r="GA69" s="19">
        <v>101.76470588235293</v>
      </c>
      <c r="GB69" s="19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>
        <v>753.05882352941171</v>
      </c>
      <c r="GO69" s="8">
        <v>745.52823529411762</v>
      </c>
      <c r="GP69" s="8">
        <v>760.5894117647058</v>
      </c>
      <c r="GS69" s="1">
        <v>67</v>
      </c>
      <c r="GT69" s="1">
        <v>67</v>
      </c>
      <c r="GU69" s="1">
        <v>67</v>
      </c>
      <c r="GV69" s="13" t="s">
        <v>806</v>
      </c>
      <c r="GW69" s="13" t="s">
        <v>806</v>
      </c>
      <c r="GX69" s="13" t="s">
        <v>806</v>
      </c>
      <c r="GY69" s="13"/>
      <c r="GZ69" s="13" t="s">
        <v>806</v>
      </c>
      <c r="HA69" s="13" t="s">
        <v>806</v>
      </c>
      <c r="HB69" s="13" t="s">
        <v>806</v>
      </c>
      <c r="HC69" s="13" t="s">
        <v>806</v>
      </c>
      <c r="HD69" s="13" t="s">
        <v>806</v>
      </c>
      <c r="HE69" s="13" t="s">
        <v>806</v>
      </c>
      <c r="HF69" s="13" t="s">
        <v>806</v>
      </c>
      <c r="HI69" s="13" t="s">
        <v>806</v>
      </c>
      <c r="HJ69" s="13" t="s">
        <v>806</v>
      </c>
      <c r="HL69" s="13" t="s">
        <v>806</v>
      </c>
    </row>
    <row r="70" spans="1:220" ht="12.75" customHeight="1" x14ac:dyDescent="0.25">
      <c r="A70" s="1" t="s">
        <v>283</v>
      </c>
      <c r="B70" s="1" t="s">
        <v>283</v>
      </c>
      <c r="E70" s="1" t="s">
        <v>139</v>
      </c>
      <c r="F70" s="1">
        <v>2</v>
      </c>
      <c r="G70" s="1">
        <v>2035</v>
      </c>
      <c r="H70" s="1">
        <v>0</v>
      </c>
      <c r="I70" s="1">
        <v>0</v>
      </c>
      <c r="J70" s="1">
        <v>1</v>
      </c>
      <c r="K70" s="19"/>
      <c r="L70" s="19"/>
      <c r="M70" s="19"/>
      <c r="N70" s="19"/>
      <c r="O70" s="19"/>
      <c r="P70" s="19"/>
      <c r="Q70" s="19">
        <v>0</v>
      </c>
      <c r="R70" s="19">
        <v>0</v>
      </c>
      <c r="S70" s="19">
        <v>334.10754000000009</v>
      </c>
      <c r="T70" s="19"/>
      <c r="U70" s="19"/>
      <c r="V70" s="19"/>
      <c r="W70" s="19">
        <v>344.22261416666674</v>
      </c>
      <c r="X70" s="19">
        <v>0</v>
      </c>
      <c r="Y70" s="19">
        <v>1410.6762799999999</v>
      </c>
      <c r="Z70" s="19">
        <v>0</v>
      </c>
      <c r="AA70" s="19">
        <v>0</v>
      </c>
      <c r="AB70" s="19">
        <v>334.10754000000009</v>
      </c>
      <c r="AC70" s="19"/>
      <c r="AD70" s="19"/>
      <c r="AE70" s="19"/>
      <c r="AF70" s="19">
        <v>344.22261416666674</v>
      </c>
      <c r="AG70" s="19">
        <v>0</v>
      </c>
      <c r="AH70" s="19">
        <v>1410.6762799999999</v>
      </c>
      <c r="AI70" s="19">
        <v>0</v>
      </c>
      <c r="AJ70" s="19">
        <v>0</v>
      </c>
      <c r="AK70" s="19">
        <v>334.10754000000009</v>
      </c>
      <c r="AL70" s="19">
        <v>344.22261416666674</v>
      </c>
      <c r="AM70" s="19">
        <v>0</v>
      </c>
      <c r="AN70" s="19">
        <v>1410.6762799999999</v>
      </c>
      <c r="AO70" s="19">
        <v>0</v>
      </c>
      <c r="AP70" s="19">
        <v>0</v>
      </c>
      <c r="AQ70" s="19">
        <v>334.10754000000009</v>
      </c>
      <c r="AR70" s="19"/>
      <c r="AS70" s="19"/>
      <c r="AT70" s="19"/>
      <c r="AU70" s="19">
        <v>344.22261416666674</v>
      </c>
      <c r="AV70" s="19">
        <v>0</v>
      </c>
      <c r="AW70" s="19">
        <v>1410.6762799999999</v>
      </c>
      <c r="AX70" s="19">
        <v>0</v>
      </c>
      <c r="AY70" s="19">
        <v>0</v>
      </c>
      <c r="AZ70" s="19">
        <v>334.10754000000009</v>
      </c>
      <c r="BA70" s="19"/>
      <c r="BB70" s="19"/>
      <c r="BC70" s="19"/>
      <c r="BD70" s="19">
        <v>344.22261416666674</v>
      </c>
      <c r="BE70" s="19">
        <v>0</v>
      </c>
      <c r="BF70" s="19">
        <v>1410.6762799999999</v>
      </c>
      <c r="BG70" s="19">
        <v>0</v>
      </c>
      <c r="BH70" s="19">
        <v>0</v>
      </c>
      <c r="BI70" s="19">
        <v>334.10754000000009</v>
      </c>
      <c r="BJ70" s="19"/>
      <c r="BK70" s="19"/>
      <c r="BL70" s="19"/>
      <c r="BM70" s="19">
        <v>344.22261416666674</v>
      </c>
      <c r="BN70" s="19">
        <v>0</v>
      </c>
      <c r="BO70" s="19">
        <v>1410.6762799999999</v>
      </c>
      <c r="BP70" s="19">
        <v>0</v>
      </c>
      <c r="BQ70" s="19">
        <v>0</v>
      </c>
      <c r="BR70" s="19">
        <v>334.10754000000009</v>
      </c>
      <c r="BS70" s="19"/>
      <c r="BT70" s="19"/>
      <c r="BU70" s="19"/>
      <c r="BV70" s="19">
        <v>344.22261416666674</v>
      </c>
      <c r="BW70" s="19">
        <v>0</v>
      </c>
      <c r="BX70" s="19">
        <v>1410.6762799999999</v>
      </c>
      <c r="BY70" s="19">
        <v>0</v>
      </c>
      <c r="BZ70" s="19">
        <v>0</v>
      </c>
      <c r="CA70" s="19">
        <v>334.10754000000009</v>
      </c>
      <c r="CB70" s="19"/>
      <c r="CC70" s="19"/>
      <c r="CD70" s="19"/>
      <c r="CE70" s="19">
        <v>344.22261416666674</v>
      </c>
      <c r="CF70" s="19">
        <v>0</v>
      </c>
      <c r="CG70" s="19">
        <v>1410.6762799999999</v>
      </c>
      <c r="CH70" s="19">
        <v>0</v>
      </c>
      <c r="CI70" s="19">
        <v>0</v>
      </c>
      <c r="CJ70" s="19">
        <v>334.10754000000009</v>
      </c>
      <c r="CK70" s="19"/>
      <c r="CL70" s="19"/>
      <c r="CM70" s="19"/>
      <c r="CN70" s="19">
        <v>344.22261416666674</v>
      </c>
      <c r="CO70" s="19">
        <v>0</v>
      </c>
      <c r="CP70" s="19">
        <v>1410.6762799999999</v>
      </c>
      <c r="CQ70" s="19"/>
      <c r="CR70" s="19"/>
      <c r="CS70" s="19"/>
      <c r="CT70" s="19"/>
      <c r="CU70" s="11">
        <f>Tabelle58971121[[#This Row],[Mindestauslastung durch]]*Tabelle58971121[[#This Row],[installierte Leistung MW durch]]</f>
        <v>481.60293999999993</v>
      </c>
      <c r="CV70" s="11">
        <f>Tabelle58971121[[#This Row],[Mindestauslastung min]]*Tabelle58971121[[#This Row],[installierte Leistung MW min]]</f>
        <v>480.60609999999991</v>
      </c>
      <c r="CW70" s="11">
        <f>Tabelle58971121[[#This Row],[Mindestauslastung max]]*Tabelle58971121[[#This Row],[installierte Leistung MW max]]</f>
        <v>482.59977999999995</v>
      </c>
      <c r="CX70" s="9">
        <v>1.2999999999999999E-2</v>
      </c>
      <c r="CY70" s="9">
        <v>1.2999999999999999E-2</v>
      </c>
      <c r="CZ70" s="9">
        <v>1.2999999999999999E-2</v>
      </c>
      <c r="DA70" s="9"/>
      <c r="DB70" s="9">
        <v>1.270833333333333E-2</v>
      </c>
      <c r="DC70" s="9">
        <v>4.0000000000000001E-3</v>
      </c>
      <c r="DD70" s="9">
        <v>2.1999999999999999E-2</v>
      </c>
      <c r="DE70" s="9">
        <v>1.270833333333333E-2</v>
      </c>
      <c r="DF70" s="9">
        <v>4.0000000000000001E-3</v>
      </c>
      <c r="DG70" s="9">
        <v>2.1999999999999999E-2</v>
      </c>
      <c r="DH70" s="9">
        <v>1.270833333333333E-2</v>
      </c>
      <c r="DI70" s="9">
        <v>4.0000000000000001E-3</v>
      </c>
      <c r="DJ70" s="9">
        <v>2.1999999999999999E-2</v>
      </c>
      <c r="DK70" s="9">
        <v>1.270833333333333E-2</v>
      </c>
      <c r="DL70" s="9">
        <v>4.0000000000000001E-3</v>
      </c>
      <c r="DM70" s="9">
        <v>2.1999999999999999E-2</v>
      </c>
      <c r="DN70" s="9">
        <v>1.270833333333333E-2</v>
      </c>
      <c r="DO70" s="9">
        <v>4.0000000000000001E-3</v>
      </c>
      <c r="DP70" s="9">
        <v>2.1999999999999999E-2</v>
      </c>
      <c r="DQ70" s="9">
        <v>1.270833333333333E-2</v>
      </c>
      <c r="DR70" s="9">
        <v>4.0000000000000001E-3</v>
      </c>
      <c r="DS70" s="9">
        <v>2.1999999999999999E-2</v>
      </c>
      <c r="DT70" s="9">
        <v>1.270833333333333E-2</v>
      </c>
      <c r="DU70" s="9">
        <v>4.0000000000000001E-3</v>
      </c>
      <c r="DV70" s="9">
        <v>2.1999999999999999E-2</v>
      </c>
      <c r="DW70" s="9">
        <v>1.270833333333333E-2</v>
      </c>
      <c r="DX70" s="9">
        <v>4.0000000000000001E-3</v>
      </c>
      <c r="DY70" s="9">
        <v>2.1999999999999999E-2</v>
      </c>
      <c r="DZ70" s="9">
        <v>1.270833333333333E-2</v>
      </c>
      <c r="EA70" s="9">
        <v>4.0000000000000001E-3</v>
      </c>
      <c r="EB70" s="9">
        <v>2.1999999999999999E-2</v>
      </c>
      <c r="EC70" s="9"/>
      <c r="ED70" s="9"/>
      <c r="EE70" s="9"/>
      <c r="EF70" s="46">
        <f>Tabelle58971121[[#This Row],[Durchschnittsauslastung min]]*Tabelle58971121[[#This Row],[installierte Leistung MW min]]</f>
        <v>0</v>
      </c>
      <c r="EG70" s="46">
        <f>Tabelle58971121[[#This Row],[Durchschnittsauslastung durch]]*Tabelle58971121[[#This Row],[installierte Leistung MW durch]]</f>
        <v>0</v>
      </c>
      <c r="EH70" s="46">
        <f>Tabelle58971121[[#This Row],[Durchschnittsauslastung max]]*Tabelle58971121[[#This Row],[installierte Leistung MW max]]</f>
        <v>0</v>
      </c>
      <c r="EI70" s="83">
        <f>Tabelle58971121[[#This Row],[Maximalauslastung durch]]*Tabelle58971121[[#This Row],[installierte Leistung MW min]]</f>
        <v>813.33339999999987</v>
      </c>
      <c r="EJ70" s="46">
        <f>Tabelle58971121[[#This Row],[Maximalauslastung durch]]*Tabelle58971121[[#This Row],[installierte Leistung MW durch]]</f>
        <v>815.02035999999987</v>
      </c>
      <c r="EK70" s="19">
        <f>Tabelle58971121[[#This Row],[Maximalauslastung max]]*Tabelle58971121[[#This Row],[installierte Leistung MW durch]]</f>
        <v>1555.94796</v>
      </c>
      <c r="EL70" s="9">
        <v>2.1999999999999999E-2</v>
      </c>
      <c r="EM70" s="9">
        <v>2.0000000000000022E-3</v>
      </c>
      <c r="EN70" s="9">
        <v>4.2000000000000003E-2</v>
      </c>
      <c r="EO70" s="1">
        <v>37046.379999999997</v>
      </c>
      <c r="EP70" s="1">
        <v>36969.699999999997</v>
      </c>
      <c r="EQ70" s="1">
        <v>37123.06</v>
      </c>
      <c r="ER70" s="19"/>
      <c r="ES70" s="19"/>
      <c r="EX70" s="1">
        <v>2.25</v>
      </c>
      <c r="EY70" s="1">
        <v>1.5</v>
      </c>
      <c r="EZ70" s="1">
        <v>3</v>
      </c>
      <c r="FD70" s="1">
        <v>2.25</v>
      </c>
      <c r="FE70" s="1">
        <v>1.5</v>
      </c>
      <c r="FF70" s="1">
        <v>3</v>
      </c>
      <c r="FG70" s="1">
        <v>18</v>
      </c>
      <c r="FH70" s="1">
        <v>12</v>
      </c>
      <c r="FI70" s="1">
        <v>24</v>
      </c>
      <c r="FJ70" s="1">
        <v>18</v>
      </c>
      <c r="FK70" s="1">
        <v>18</v>
      </c>
      <c r="FL70" s="1">
        <v>18</v>
      </c>
      <c r="FP70" s="1" t="s">
        <v>1084</v>
      </c>
      <c r="FQ70" s="1" t="s">
        <v>1084</v>
      </c>
      <c r="FR70" s="1" t="s">
        <v>1084</v>
      </c>
      <c r="FS70" s="11"/>
      <c r="FT70" s="11"/>
      <c r="FU70" s="11"/>
      <c r="FV70" s="1">
        <v>280</v>
      </c>
      <c r="FW70" s="1">
        <v>252</v>
      </c>
      <c r="FX70" s="1">
        <v>308</v>
      </c>
      <c r="FY70" s="1">
        <v>92.50411764705882</v>
      </c>
      <c r="FZ70" s="19">
        <v>83.243529411764712</v>
      </c>
      <c r="GA70" s="19">
        <v>101.76470588235293</v>
      </c>
      <c r="GB70" s="19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>
        <v>753.05882352941171</v>
      </c>
      <c r="GO70" s="8">
        <v>745.52823529411762</v>
      </c>
      <c r="GP70" s="8">
        <v>760.5894117647058</v>
      </c>
      <c r="GS70" s="1">
        <v>67</v>
      </c>
      <c r="GT70" s="1">
        <v>67</v>
      </c>
      <c r="GU70" s="1">
        <v>67</v>
      </c>
      <c r="GV70" s="13" t="s">
        <v>806</v>
      </c>
      <c r="GW70" s="13" t="s">
        <v>806</v>
      </c>
      <c r="GX70" s="13" t="s">
        <v>806</v>
      </c>
      <c r="GY70" s="13"/>
      <c r="GZ70" s="13" t="s">
        <v>806</v>
      </c>
      <c r="HA70" s="13" t="s">
        <v>806</v>
      </c>
      <c r="HB70" s="13" t="s">
        <v>806</v>
      </c>
      <c r="HC70" s="13" t="s">
        <v>806</v>
      </c>
      <c r="HD70" s="13" t="s">
        <v>806</v>
      </c>
      <c r="HE70" s="13" t="s">
        <v>806</v>
      </c>
      <c r="HF70" s="13" t="s">
        <v>806</v>
      </c>
      <c r="HI70" s="13" t="s">
        <v>806</v>
      </c>
      <c r="HJ70" s="13" t="s">
        <v>806</v>
      </c>
      <c r="HL70" s="13" t="s">
        <v>806</v>
      </c>
    </row>
    <row r="71" spans="1:220" ht="12.75" customHeight="1" x14ac:dyDescent="0.25">
      <c r="A71" s="1" t="s">
        <v>283</v>
      </c>
      <c r="B71" s="1" t="s">
        <v>283</v>
      </c>
      <c r="E71" s="1" t="s">
        <v>139</v>
      </c>
      <c r="F71" s="1">
        <v>2</v>
      </c>
      <c r="G71" s="1">
        <v>2040</v>
      </c>
      <c r="H71" s="1">
        <v>0</v>
      </c>
      <c r="I71" s="1">
        <v>0</v>
      </c>
      <c r="J71" s="1">
        <v>1</v>
      </c>
      <c r="K71" s="19"/>
      <c r="L71" s="19"/>
      <c r="M71" s="19"/>
      <c r="N71" s="19"/>
      <c r="O71" s="19"/>
      <c r="P71" s="19"/>
      <c r="Q71" s="19">
        <v>0</v>
      </c>
      <c r="R71" s="19">
        <v>0</v>
      </c>
      <c r="S71" s="19">
        <v>315.28458000000012</v>
      </c>
      <c r="T71" s="19"/>
      <c r="U71" s="19"/>
      <c r="V71" s="19"/>
      <c r="W71" s="19">
        <v>324.82979083333345</v>
      </c>
      <c r="X71" s="19">
        <v>0</v>
      </c>
      <c r="Y71" s="19">
        <v>1331.20156</v>
      </c>
      <c r="Z71" s="19">
        <v>0</v>
      </c>
      <c r="AA71" s="19">
        <v>0</v>
      </c>
      <c r="AB71" s="19">
        <v>315.28458000000012</v>
      </c>
      <c r="AC71" s="19"/>
      <c r="AD71" s="19"/>
      <c r="AE71" s="19"/>
      <c r="AF71" s="19">
        <v>324.82979083333345</v>
      </c>
      <c r="AG71" s="19">
        <v>0</v>
      </c>
      <c r="AH71" s="19">
        <v>1331.20156</v>
      </c>
      <c r="AI71" s="19">
        <v>0</v>
      </c>
      <c r="AJ71" s="19">
        <v>0</v>
      </c>
      <c r="AK71" s="19">
        <v>315.28458000000012</v>
      </c>
      <c r="AL71" s="19">
        <v>324.82979083333345</v>
      </c>
      <c r="AM71" s="19">
        <v>0</v>
      </c>
      <c r="AN71" s="19">
        <v>1331.20156</v>
      </c>
      <c r="AO71" s="19">
        <v>0</v>
      </c>
      <c r="AP71" s="19">
        <v>0</v>
      </c>
      <c r="AQ71" s="19">
        <v>315.28458000000012</v>
      </c>
      <c r="AR71" s="19"/>
      <c r="AS71" s="19"/>
      <c r="AT71" s="19"/>
      <c r="AU71" s="19">
        <v>324.82979083333345</v>
      </c>
      <c r="AV71" s="19">
        <v>0</v>
      </c>
      <c r="AW71" s="19">
        <v>1331.20156</v>
      </c>
      <c r="AX71" s="19">
        <v>0</v>
      </c>
      <c r="AY71" s="19">
        <v>0</v>
      </c>
      <c r="AZ71" s="19">
        <v>315.28458000000012</v>
      </c>
      <c r="BA71" s="19"/>
      <c r="BB71" s="19"/>
      <c r="BC71" s="19"/>
      <c r="BD71" s="19">
        <v>324.82979083333345</v>
      </c>
      <c r="BE71" s="19">
        <v>0</v>
      </c>
      <c r="BF71" s="19">
        <v>1331.20156</v>
      </c>
      <c r="BG71" s="19">
        <v>0</v>
      </c>
      <c r="BH71" s="19">
        <v>0</v>
      </c>
      <c r="BI71" s="19">
        <v>315.28458000000012</v>
      </c>
      <c r="BJ71" s="19"/>
      <c r="BK71" s="19"/>
      <c r="BL71" s="19"/>
      <c r="BM71" s="19">
        <v>324.82979083333345</v>
      </c>
      <c r="BN71" s="19">
        <v>0</v>
      </c>
      <c r="BO71" s="19">
        <v>1331.20156</v>
      </c>
      <c r="BP71" s="19">
        <v>0</v>
      </c>
      <c r="BQ71" s="19">
        <v>0</v>
      </c>
      <c r="BR71" s="19">
        <v>315.28458000000012</v>
      </c>
      <c r="BS71" s="19"/>
      <c r="BT71" s="19"/>
      <c r="BU71" s="19"/>
      <c r="BV71" s="19">
        <v>324.82979083333345</v>
      </c>
      <c r="BW71" s="19">
        <v>0</v>
      </c>
      <c r="BX71" s="19">
        <v>1331.20156</v>
      </c>
      <c r="BY71" s="19">
        <v>0</v>
      </c>
      <c r="BZ71" s="19">
        <v>0</v>
      </c>
      <c r="CA71" s="19">
        <v>315.28458000000012</v>
      </c>
      <c r="CB71" s="19"/>
      <c r="CC71" s="19"/>
      <c r="CD71" s="19"/>
      <c r="CE71" s="19">
        <v>324.82979083333345</v>
      </c>
      <c r="CF71" s="19">
        <v>0</v>
      </c>
      <c r="CG71" s="19">
        <v>1331.20156</v>
      </c>
      <c r="CH71" s="19">
        <v>0</v>
      </c>
      <c r="CI71" s="19">
        <v>0</v>
      </c>
      <c r="CJ71" s="19">
        <v>315.28458000000012</v>
      </c>
      <c r="CK71" s="19"/>
      <c r="CL71" s="19"/>
      <c r="CM71" s="19"/>
      <c r="CN71" s="19">
        <v>324.82979083333345</v>
      </c>
      <c r="CO71" s="19">
        <v>0</v>
      </c>
      <c r="CP71" s="19">
        <v>1331.20156</v>
      </c>
      <c r="CQ71" s="19"/>
      <c r="CR71" s="19"/>
      <c r="CS71" s="19"/>
      <c r="CT71" s="19"/>
      <c r="CU71" s="11">
        <f>Tabelle58971121[[#This Row],[Mindestauslastung durch]]*Tabelle58971121[[#This Row],[installierte Leistung MW durch]]</f>
        <v>454.47037999999998</v>
      </c>
      <c r="CV71" s="11">
        <f>Tabelle58971121[[#This Row],[Mindestauslastung min]]*Tabelle58971121[[#This Row],[installierte Leistung MW min]]</f>
        <v>453.52969999999999</v>
      </c>
      <c r="CW71" s="11">
        <f>Tabelle58971121[[#This Row],[Mindestauslastung max]]*Tabelle58971121[[#This Row],[installierte Leistung MW max]]</f>
        <v>455.41106000000002</v>
      </c>
      <c r="CX71" s="9">
        <v>1.2999999999999999E-2</v>
      </c>
      <c r="CY71" s="9">
        <v>1.2999999999999999E-2</v>
      </c>
      <c r="CZ71" s="9">
        <v>1.2999999999999999E-2</v>
      </c>
      <c r="DA71" s="9"/>
      <c r="DB71" s="9">
        <v>1.270833333333333E-2</v>
      </c>
      <c r="DC71" s="9">
        <v>4.0000000000000001E-3</v>
      </c>
      <c r="DD71" s="9">
        <v>2.1999999999999999E-2</v>
      </c>
      <c r="DE71" s="9">
        <v>1.270833333333333E-2</v>
      </c>
      <c r="DF71" s="9">
        <v>4.0000000000000001E-3</v>
      </c>
      <c r="DG71" s="9">
        <v>2.1999999999999999E-2</v>
      </c>
      <c r="DH71" s="9">
        <v>1.270833333333333E-2</v>
      </c>
      <c r="DI71" s="9">
        <v>4.0000000000000001E-3</v>
      </c>
      <c r="DJ71" s="9">
        <v>2.1999999999999999E-2</v>
      </c>
      <c r="DK71" s="9">
        <v>1.270833333333333E-2</v>
      </c>
      <c r="DL71" s="9">
        <v>4.0000000000000001E-3</v>
      </c>
      <c r="DM71" s="9">
        <v>2.1999999999999999E-2</v>
      </c>
      <c r="DN71" s="9">
        <v>1.270833333333333E-2</v>
      </c>
      <c r="DO71" s="9">
        <v>4.0000000000000001E-3</v>
      </c>
      <c r="DP71" s="9">
        <v>2.1999999999999999E-2</v>
      </c>
      <c r="DQ71" s="9">
        <v>1.270833333333333E-2</v>
      </c>
      <c r="DR71" s="9">
        <v>4.0000000000000001E-3</v>
      </c>
      <c r="DS71" s="9">
        <v>2.1999999999999999E-2</v>
      </c>
      <c r="DT71" s="9">
        <v>1.270833333333333E-2</v>
      </c>
      <c r="DU71" s="9">
        <v>4.0000000000000001E-3</v>
      </c>
      <c r="DV71" s="9">
        <v>2.1999999999999999E-2</v>
      </c>
      <c r="DW71" s="9">
        <v>1.270833333333333E-2</v>
      </c>
      <c r="DX71" s="9">
        <v>4.0000000000000001E-3</v>
      </c>
      <c r="DY71" s="9">
        <v>2.1999999999999999E-2</v>
      </c>
      <c r="DZ71" s="9">
        <v>1.270833333333333E-2</v>
      </c>
      <c r="EA71" s="9">
        <v>4.0000000000000001E-3</v>
      </c>
      <c r="EB71" s="9">
        <v>2.1999999999999999E-2</v>
      </c>
      <c r="EC71" s="9"/>
      <c r="ED71" s="9"/>
      <c r="EE71" s="9"/>
      <c r="EF71" s="46">
        <f>Tabelle58971121[[#This Row],[Durchschnittsauslastung min]]*Tabelle58971121[[#This Row],[installierte Leistung MW min]]</f>
        <v>0</v>
      </c>
      <c r="EG71" s="46">
        <f>Tabelle58971121[[#This Row],[Durchschnittsauslastung durch]]*Tabelle58971121[[#This Row],[installierte Leistung MW durch]]</f>
        <v>0</v>
      </c>
      <c r="EH71" s="46">
        <f>Tabelle58971121[[#This Row],[Durchschnittsauslastung max]]*Tabelle58971121[[#This Row],[installierte Leistung MW max]]</f>
        <v>0</v>
      </c>
      <c r="EI71" s="83">
        <f>Tabelle58971121[[#This Row],[Maximalauslastung durch]]*Tabelle58971121[[#This Row],[installierte Leistung MW min]]</f>
        <v>767.51179999999999</v>
      </c>
      <c r="EJ71" s="46">
        <f>Tabelle58971121[[#This Row],[Maximalauslastung durch]]*Tabelle58971121[[#This Row],[installierte Leistung MW durch]]</f>
        <v>769.10371999999995</v>
      </c>
      <c r="EK71" s="19">
        <f>Tabelle58971121[[#This Row],[Maximalauslastung max]]*Tabelle58971121[[#This Row],[installierte Leistung MW durch]]</f>
        <v>1468.2889200000002</v>
      </c>
      <c r="EL71" s="9">
        <v>2.1999999999999999E-2</v>
      </c>
      <c r="EM71" s="9">
        <v>2.0000000000000022E-3</v>
      </c>
      <c r="EN71" s="9">
        <v>4.2000000000000003E-2</v>
      </c>
      <c r="EO71" s="1">
        <v>34959.26</v>
      </c>
      <c r="EP71" s="1">
        <v>34886.9</v>
      </c>
      <c r="EQ71" s="1">
        <v>35031.620000000003</v>
      </c>
      <c r="ER71" s="19"/>
      <c r="ES71" s="19"/>
      <c r="EX71" s="1">
        <v>2.25</v>
      </c>
      <c r="EY71" s="1">
        <v>1.5</v>
      </c>
      <c r="EZ71" s="1">
        <v>3</v>
      </c>
      <c r="FD71" s="1">
        <v>2.25</v>
      </c>
      <c r="FE71" s="1">
        <v>1.5</v>
      </c>
      <c r="FF71" s="1">
        <v>3</v>
      </c>
      <c r="FG71" s="1">
        <v>18</v>
      </c>
      <c r="FH71" s="1">
        <v>12</v>
      </c>
      <c r="FI71" s="1">
        <v>24</v>
      </c>
      <c r="FJ71" s="1">
        <v>18</v>
      </c>
      <c r="FK71" s="1">
        <v>18</v>
      </c>
      <c r="FL71" s="1">
        <v>18</v>
      </c>
      <c r="FP71" s="1" t="s">
        <v>1084</v>
      </c>
      <c r="FQ71" s="1" t="s">
        <v>1084</v>
      </c>
      <c r="FR71" s="1" t="s">
        <v>1084</v>
      </c>
      <c r="FS71" s="11"/>
      <c r="FT71" s="11"/>
      <c r="FU71" s="11"/>
      <c r="FV71" s="1">
        <v>280</v>
      </c>
      <c r="FW71" s="1">
        <v>252</v>
      </c>
      <c r="FX71" s="1">
        <v>308</v>
      </c>
      <c r="FY71" s="1">
        <v>92.50411764705882</v>
      </c>
      <c r="FZ71" s="19">
        <v>83.243529411764712</v>
      </c>
      <c r="GA71" s="19">
        <v>101.76470588235293</v>
      </c>
      <c r="GB71" s="19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>
        <v>753.05882352941171</v>
      </c>
      <c r="GO71" s="8">
        <v>745.52823529411762</v>
      </c>
      <c r="GP71" s="8">
        <v>760.5894117647058</v>
      </c>
      <c r="GS71" s="1">
        <v>67</v>
      </c>
      <c r="GT71" s="1">
        <v>67</v>
      </c>
      <c r="GU71" s="1">
        <v>67</v>
      </c>
      <c r="GV71" s="13" t="s">
        <v>806</v>
      </c>
      <c r="GW71" s="13" t="s">
        <v>806</v>
      </c>
      <c r="GX71" s="13" t="s">
        <v>806</v>
      </c>
      <c r="GY71" s="13"/>
      <c r="GZ71" s="13" t="s">
        <v>806</v>
      </c>
      <c r="HA71" s="13" t="s">
        <v>806</v>
      </c>
      <c r="HB71" s="13" t="s">
        <v>806</v>
      </c>
      <c r="HC71" s="13" t="s">
        <v>806</v>
      </c>
      <c r="HD71" s="13" t="s">
        <v>806</v>
      </c>
      <c r="HE71" s="13" t="s">
        <v>806</v>
      </c>
      <c r="HF71" s="13" t="s">
        <v>806</v>
      </c>
      <c r="HI71" s="13" t="s">
        <v>806</v>
      </c>
      <c r="HJ71" s="13" t="s">
        <v>806</v>
      </c>
      <c r="HL71" s="13" t="s">
        <v>806</v>
      </c>
    </row>
    <row r="72" spans="1:220" ht="12.75" customHeight="1" x14ac:dyDescent="0.25">
      <c r="A72" s="1" t="s">
        <v>283</v>
      </c>
      <c r="B72" s="1" t="s">
        <v>283</v>
      </c>
      <c r="E72" s="1" t="s">
        <v>139</v>
      </c>
      <c r="F72" s="1">
        <v>2</v>
      </c>
      <c r="G72" s="1">
        <v>2045</v>
      </c>
      <c r="H72" s="1">
        <v>0</v>
      </c>
      <c r="I72" s="1">
        <v>0</v>
      </c>
      <c r="J72" s="1">
        <v>1</v>
      </c>
      <c r="K72" s="19"/>
      <c r="L72" s="19"/>
      <c r="M72" s="19"/>
      <c r="N72" s="19"/>
      <c r="O72" s="19"/>
      <c r="P72" s="19"/>
      <c r="Q72" s="19">
        <v>0</v>
      </c>
      <c r="R72" s="19">
        <v>0</v>
      </c>
      <c r="S72" s="19">
        <v>301.16736000000009</v>
      </c>
      <c r="T72" s="19"/>
      <c r="U72" s="19"/>
      <c r="V72" s="19"/>
      <c r="W72" s="19">
        <v>310.28517333333343</v>
      </c>
      <c r="X72" s="19">
        <v>0</v>
      </c>
      <c r="Y72" s="19">
        <v>1271.5955200000001</v>
      </c>
      <c r="Z72" s="19">
        <v>0</v>
      </c>
      <c r="AA72" s="19">
        <v>0</v>
      </c>
      <c r="AB72" s="19">
        <v>301.16736000000009</v>
      </c>
      <c r="AC72" s="19"/>
      <c r="AD72" s="19"/>
      <c r="AE72" s="19"/>
      <c r="AF72" s="19">
        <v>310.28517333333343</v>
      </c>
      <c r="AG72" s="19">
        <v>0</v>
      </c>
      <c r="AH72" s="19">
        <v>1271.5955200000001</v>
      </c>
      <c r="AI72" s="19">
        <v>0</v>
      </c>
      <c r="AJ72" s="19">
        <v>0</v>
      </c>
      <c r="AK72" s="19">
        <v>301.16736000000009</v>
      </c>
      <c r="AL72" s="19">
        <v>310.28517333333343</v>
      </c>
      <c r="AM72" s="19">
        <v>0</v>
      </c>
      <c r="AN72" s="19">
        <v>1271.5955200000001</v>
      </c>
      <c r="AO72" s="19">
        <v>0</v>
      </c>
      <c r="AP72" s="19">
        <v>0</v>
      </c>
      <c r="AQ72" s="19">
        <v>301.16736000000009</v>
      </c>
      <c r="AR72" s="19"/>
      <c r="AS72" s="19"/>
      <c r="AT72" s="19"/>
      <c r="AU72" s="19">
        <v>310.28517333333343</v>
      </c>
      <c r="AV72" s="19">
        <v>0</v>
      </c>
      <c r="AW72" s="19">
        <v>1271.5955200000001</v>
      </c>
      <c r="AX72" s="19">
        <v>0</v>
      </c>
      <c r="AY72" s="19">
        <v>0</v>
      </c>
      <c r="AZ72" s="19">
        <v>301.16736000000009</v>
      </c>
      <c r="BA72" s="19"/>
      <c r="BB72" s="19"/>
      <c r="BC72" s="19"/>
      <c r="BD72" s="19">
        <v>310.28517333333343</v>
      </c>
      <c r="BE72" s="19">
        <v>0</v>
      </c>
      <c r="BF72" s="19">
        <v>1271.5955200000001</v>
      </c>
      <c r="BG72" s="19">
        <v>0</v>
      </c>
      <c r="BH72" s="19">
        <v>0</v>
      </c>
      <c r="BI72" s="19">
        <v>301.16736000000009</v>
      </c>
      <c r="BJ72" s="19"/>
      <c r="BK72" s="19"/>
      <c r="BL72" s="19"/>
      <c r="BM72" s="19">
        <v>310.28517333333343</v>
      </c>
      <c r="BN72" s="19">
        <v>0</v>
      </c>
      <c r="BO72" s="19">
        <v>1271.5955200000001</v>
      </c>
      <c r="BP72" s="19">
        <v>0</v>
      </c>
      <c r="BQ72" s="19">
        <v>0</v>
      </c>
      <c r="BR72" s="19">
        <v>301.16736000000009</v>
      </c>
      <c r="BS72" s="19"/>
      <c r="BT72" s="19"/>
      <c r="BU72" s="19"/>
      <c r="BV72" s="19">
        <v>310.28517333333343</v>
      </c>
      <c r="BW72" s="19">
        <v>0</v>
      </c>
      <c r="BX72" s="19">
        <v>1271.5955200000001</v>
      </c>
      <c r="BY72" s="19">
        <v>0</v>
      </c>
      <c r="BZ72" s="19">
        <v>0</v>
      </c>
      <c r="CA72" s="19">
        <v>301.16736000000009</v>
      </c>
      <c r="CB72" s="19"/>
      <c r="CC72" s="19"/>
      <c r="CD72" s="19"/>
      <c r="CE72" s="19">
        <v>310.28517333333343</v>
      </c>
      <c r="CF72" s="19">
        <v>0</v>
      </c>
      <c r="CG72" s="19">
        <v>1271.5955200000001</v>
      </c>
      <c r="CH72" s="19">
        <v>0</v>
      </c>
      <c r="CI72" s="19">
        <v>0</v>
      </c>
      <c r="CJ72" s="19">
        <v>301.16736000000009</v>
      </c>
      <c r="CK72" s="19"/>
      <c r="CL72" s="19"/>
      <c r="CM72" s="19"/>
      <c r="CN72" s="19">
        <v>310.28517333333343</v>
      </c>
      <c r="CO72" s="19">
        <v>0</v>
      </c>
      <c r="CP72" s="19">
        <v>1271.5955200000001</v>
      </c>
      <c r="CQ72" s="19"/>
      <c r="CR72" s="19"/>
      <c r="CS72" s="19"/>
      <c r="CT72" s="19"/>
      <c r="CU72" s="11">
        <f>Tabelle58971121[[#This Row],[Mindestauslastung durch]]*Tabelle58971121[[#This Row],[installierte Leistung MW durch]]</f>
        <v>434.12095999999997</v>
      </c>
      <c r="CV72" s="11">
        <f>Tabelle58971121[[#This Row],[Mindestauslastung min]]*Tabelle58971121[[#This Row],[installierte Leistung MW min]]</f>
        <v>433.22239999999999</v>
      </c>
      <c r="CW72" s="11">
        <f>Tabelle58971121[[#This Row],[Mindestauslastung max]]*Tabelle58971121[[#This Row],[installierte Leistung MW max]]</f>
        <v>435.01952</v>
      </c>
      <c r="CX72" s="9">
        <v>1.2999999999999999E-2</v>
      </c>
      <c r="CY72" s="9">
        <v>1.2999999999999999E-2</v>
      </c>
      <c r="CZ72" s="9">
        <v>1.2999999999999999E-2</v>
      </c>
      <c r="DA72" s="9"/>
      <c r="DB72" s="9">
        <v>1.270833333333333E-2</v>
      </c>
      <c r="DC72" s="9">
        <v>4.0000000000000001E-3</v>
      </c>
      <c r="DD72" s="9">
        <v>2.1999999999999999E-2</v>
      </c>
      <c r="DE72" s="9">
        <v>1.270833333333333E-2</v>
      </c>
      <c r="DF72" s="9">
        <v>4.0000000000000001E-3</v>
      </c>
      <c r="DG72" s="9">
        <v>2.1999999999999999E-2</v>
      </c>
      <c r="DH72" s="9">
        <v>1.270833333333333E-2</v>
      </c>
      <c r="DI72" s="9">
        <v>4.0000000000000001E-3</v>
      </c>
      <c r="DJ72" s="9">
        <v>2.1999999999999999E-2</v>
      </c>
      <c r="DK72" s="9">
        <v>1.270833333333333E-2</v>
      </c>
      <c r="DL72" s="9">
        <v>4.0000000000000001E-3</v>
      </c>
      <c r="DM72" s="9">
        <v>2.1999999999999999E-2</v>
      </c>
      <c r="DN72" s="9">
        <v>1.270833333333333E-2</v>
      </c>
      <c r="DO72" s="9">
        <v>4.0000000000000001E-3</v>
      </c>
      <c r="DP72" s="9">
        <v>2.1999999999999999E-2</v>
      </c>
      <c r="DQ72" s="9">
        <v>1.270833333333333E-2</v>
      </c>
      <c r="DR72" s="9">
        <v>4.0000000000000001E-3</v>
      </c>
      <c r="DS72" s="9">
        <v>2.1999999999999999E-2</v>
      </c>
      <c r="DT72" s="9">
        <v>1.270833333333333E-2</v>
      </c>
      <c r="DU72" s="9">
        <v>4.0000000000000001E-3</v>
      </c>
      <c r="DV72" s="9">
        <v>2.1999999999999999E-2</v>
      </c>
      <c r="DW72" s="9">
        <v>1.270833333333333E-2</v>
      </c>
      <c r="DX72" s="9">
        <v>4.0000000000000001E-3</v>
      </c>
      <c r="DY72" s="9">
        <v>2.1999999999999999E-2</v>
      </c>
      <c r="DZ72" s="9">
        <v>1.270833333333333E-2</v>
      </c>
      <c r="EA72" s="9">
        <v>4.0000000000000001E-3</v>
      </c>
      <c r="EB72" s="9">
        <v>2.1999999999999999E-2</v>
      </c>
      <c r="EC72" s="9"/>
      <c r="ED72" s="9"/>
      <c r="EE72" s="9"/>
      <c r="EF72" s="46">
        <f>Tabelle58971121[[#This Row],[Durchschnittsauslastung min]]*Tabelle58971121[[#This Row],[installierte Leistung MW min]]</f>
        <v>0</v>
      </c>
      <c r="EG72" s="46">
        <f>Tabelle58971121[[#This Row],[Durchschnittsauslastung durch]]*Tabelle58971121[[#This Row],[installierte Leistung MW durch]]</f>
        <v>0</v>
      </c>
      <c r="EH72" s="46">
        <f>Tabelle58971121[[#This Row],[Durchschnittsauslastung max]]*Tabelle58971121[[#This Row],[installierte Leistung MW max]]</f>
        <v>0</v>
      </c>
      <c r="EI72" s="83">
        <f>Tabelle58971121[[#This Row],[Maximalauslastung durch]]*Tabelle58971121[[#This Row],[installierte Leistung MW min]]</f>
        <v>733.14560000000006</v>
      </c>
      <c r="EJ72" s="46">
        <f>Tabelle58971121[[#This Row],[Maximalauslastung durch]]*Tabelle58971121[[#This Row],[installierte Leistung MW durch]]</f>
        <v>734.6662399999999</v>
      </c>
      <c r="EK72" s="19">
        <f>Tabelle58971121[[#This Row],[Maximalauslastung max]]*Tabelle58971121[[#This Row],[installierte Leistung MW durch]]</f>
        <v>1402.5446400000001</v>
      </c>
      <c r="EL72" s="9">
        <v>2.1999999999999999E-2</v>
      </c>
      <c r="EM72" s="9">
        <v>2.0000000000000022E-3</v>
      </c>
      <c r="EN72" s="9">
        <v>4.2000000000000003E-2</v>
      </c>
      <c r="EO72" s="1">
        <v>33393.919999999998</v>
      </c>
      <c r="EP72" s="1">
        <v>33324.800000000003</v>
      </c>
      <c r="EQ72" s="1">
        <v>33463.040000000001</v>
      </c>
      <c r="ER72" s="19"/>
      <c r="ES72" s="19"/>
      <c r="EX72" s="1">
        <v>2.25</v>
      </c>
      <c r="EY72" s="1">
        <v>1.5</v>
      </c>
      <c r="EZ72" s="1">
        <v>3</v>
      </c>
      <c r="FD72" s="1">
        <v>2.25</v>
      </c>
      <c r="FE72" s="1">
        <v>1.5</v>
      </c>
      <c r="FF72" s="1">
        <v>3</v>
      </c>
      <c r="FG72" s="1">
        <v>18</v>
      </c>
      <c r="FH72" s="1">
        <v>12</v>
      </c>
      <c r="FI72" s="1">
        <v>24</v>
      </c>
      <c r="FJ72" s="1">
        <v>18</v>
      </c>
      <c r="FK72" s="1">
        <v>18</v>
      </c>
      <c r="FL72" s="1">
        <v>18</v>
      </c>
      <c r="FP72" s="1" t="s">
        <v>1084</v>
      </c>
      <c r="FQ72" s="1" t="s">
        <v>1084</v>
      </c>
      <c r="FR72" s="1" t="s">
        <v>1084</v>
      </c>
      <c r="FS72" s="11"/>
      <c r="FT72" s="11"/>
      <c r="FU72" s="11"/>
      <c r="FV72" s="1">
        <v>280</v>
      </c>
      <c r="FW72" s="1">
        <v>252</v>
      </c>
      <c r="FX72" s="1">
        <v>308</v>
      </c>
      <c r="FY72" s="1">
        <v>92.50411764705882</v>
      </c>
      <c r="FZ72" s="19">
        <v>83.243529411764712</v>
      </c>
      <c r="GA72" s="19">
        <v>101.76470588235293</v>
      </c>
      <c r="GB72" s="19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>
        <v>753.05882352941171</v>
      </c>
      <c r="GO72" s="8">
        <v>745.52823529411762</v>
      </c>
      <c r="GP72" s="8">
        <v>760.5894117647058</v>
      </c>
      <c r="GS72" s="1">
        <v>67</v>
      </c>
      <c r="GT72" s="1">
        <v>67</v>
      </c>
      <c r="GU72" s="1">
        <v>67</v>
      </c>
      <c r="GV72" s="13" t="s">
        <v>806</v>
      </c>
      <c r="GW72" s="13" t="s">
        <v>806</v>
      </c>
      <c r="GX72" s="13" t="s">
        <v>806</v>
      </c>
      <c r="GY72" s="13"/>
      <c r="GZ72" s="13" t="s">
        <v>806</v>
      </c>
      <c r="HA72" s="13" t="s">
        <v>806</v>
      </c>
      <c r="HB72" s="13" t="s">
        <v>806</v>
      </c>
      <c r="HC72" s="13" t="s">
        <v>806</v>
      </c>
      <c r="HD72" s="13" t="s">
        <v>806</v>
      </c>
      <c r="HE72" s="13" t="s">
        <v>806</v>
      </c>
      <c r="HF72" s="13" t="s">
        <v>806</v>
      </c>
      <c r="HI72" s="13" t="s">
        <v>806</v>
      </c>
      <c r="HJ72" s="13" t="s">
        <v>806</v>
      </c>
      <c r="HL72" s="13" t="s">
        <v>806</v>
      </c>
    </row>
    <row r="73" spans="1:220" ht="12.75" customHeight="1" x14ac:dyDescent="0.25">
      <c r="A73" s="1" t="s">
        <v>283</v>
      </c>
      <c r="B73" s="1" t="s">
        <v>283</v>
      </c>
      <c r="E73" s="1" t="s">
        <v>139</v>
      </c>
      <c r="F73" s="1">
        <v>2</v>
      </c>
      <c r="G73" s="1">
        <v>2050</v>
      </c>
      <c r="H73" s="1">
        <v>0</v>
      </c>
      <c r="I73" s="1">
        <v>0</v>
      </c>
      <c r="J73" s="1">
        <v>1</v>
      </c>
      <c r="K73" s="19"/>
      <c r="L73" s="19"/>
      <c r="M73" s="19"/>
      <c r="N73" s="19"/>
      <c r="O73" s="19"/>
      <c r="P73" s="19"/>
      <c r="Q73" s="19">
        <v>0</v>
      </c>
      <c r="R73" s="19">
        <v>0</v>
      </c>
      <c r="S73" s="19">
        <v>277.63866000000007</v>
      </c>
      <c r="T73" s="19"/>
      <c r="U73" s="19"/>
      <c r="V73" s="19"/>
      <c r="W73" s="19">
        <v>286.04414416666674</v>
      </c>
      <c r="X73" s="19">
        <v>0</v>
      </c>
      <c r="Y73" s="19">
        <v>1172.2521199999999</v>
      </c>
      <c r="Z73" s="19">
        <v>0</v>
      </c>
      <c r="AA73" s="19">
        <v>0</v>
      </c>
      <c r="AB73" s="19">
        <v>277.63866000000007</v>
      </c>
      <c r="AC73" s="19"/>
      <c r="AD73" s="19"/>
      <c r="AE73" s="19"/>
      <c r="AF73" s="19">
        <v>286.04414416666674</v>
      </c>
      <c r="AG73" s="19">
        <v>0</v>
      </c>
      <c r="AH73" s="19">
        <v>1172.2521199999999</v>
      </c>
      <c r="AI73" s="19">
        <v>0</v>
      </c>
      <c r="AJ73" s="19">
        <v>0</v>
      </c>
      <c r="AK73" s="19">
        <v>277.63866000000007</v>
      </c>
      <c r="AL73" s="19">
        <v>286.04414416666674</v>
      </c>
      <c r="AM73" s="19">
        <v>0</v>
      </c>
      <c r="AN73" s="19">
        <v>1172.2521199999999</v>
      </c>
      <c r="AO73" s="19">
        <v>0</v>
      </c>
      <c r="AP73" s="19">
        <v>0</v>
      </c>
      <c r="AQ73" s="19">
        <v>277.63866000000007</v>
      </c>
      <c r="AR73" s="19"/>
      <c r="AS73" s="19"/>
      <c r="AT73" s="19"/>
      <c r="AU73" s="19">
        <v>286.04414416666674</v>
      </c>
      <c r="AV73" s="19">
        <v>0</v>
      </c>
      <c r="AW73" s="19">
        <v>1172.2521199999999</v>
      </c>
      <c r="AX73" s="19">
        <v>0</v>
      </c>
      <c r="AY73" s="19">
        <v>0</v>
      </c>
      <c r="AZ73" s="19">
        <v>277.63866000000007</v>
      </c>
      <c r="BA73" s="19"/>
      <c r="BB73" s="19"/>
      <c r="BC73" s="19"/>
      <c r="BD73" s="19">
        <v>286.04414416666674</v>
      </c>
      <c r="BE73" s="19">
        <v>0</v>
      </c>
      <c r="BF73" s="19">
        <v>1172.2521199999999</v>
      </c>
      <c r="BG73" s="19">
        <v>0</v>
      </c>
      <c r="BH73" s="19">
        <v>0</v>
      </c>
      <c r="BI73" s="19">
        <v>277.63866000000007</v>
      </c>
      <c r="BJ73" s="19"/>
      <c r="BK73" s="19"/>
      <c r="BL73" s="19"/>
      <c r="BM73" s="19">
        <v>286.04414416666674</v>
      </c>
      <c r="BN73" s="19">
        <v>0</v>
      </c>
      <c r="BO73" s="19">
        <v>1172.2521199999999</v>
      </c>
      <c r="BP73" s="19">
        <v>0</v>
      </c>
      <c r="BQ73" s="19">
        <v>0</v>
      </c>
      <c r="BR73" s="19">
        <v>277.63866000000007</v>
      </c>
      <c r="BS73" s="19"/>
      <c r="BT73" s="19"/>
      <c r="BU73" s="19"/>
      <c r="BV73" s="19">
        <v>286.04414416666674</v>
      </c>
      <c r="BW73" s="19">
        <v>0</v>
      </c>
      <c r="BX73" s="19">
        <v>1172.2521199999999</v>
      </c>
      <c r="BY73" s="19">
        <v>0</v>
      </c>
      <c r="BZ73" s="19">
        <v>0</v>
      </c>
      <c r="CA73" s="19">
        <v>277.63866000000007</v>
      </c>
      <c r="CB73" s="19"/>
      <c r="CC73" s="19"/>
      <c r="CD73" s="19"/>
      <c r="CE73" s="19">
        <v>286.04414416666674</v>
      </c>
      <c r="CF73" s="19">
        <v>0</v>
      </c>
      <c r="CG73" s="19">
        <v>1172.2521199999999</v>
      </c>
      <c r="CH73" s="19">
        <v>0</v>
      </c>
      <c r="CI73" s="19">
        <v>0</v>
      </c>
      <c r="CJ73" s="19">
        <v>277.63866000000007</v>
      </c>
      <c r="CK73" s="19"/>
      <c r="CL73" s="19"/>
      <c r="CM73" s="19"/>
      <c r="CN73" s="19">
        <v>286.04414416666674</v>
      </c>
      <c r="CO73" s="19">
        <v>0</v>
      </c>
      <c r="CP73" s="19">
        <v>1172.2521199999999</v>
      </c>
      <c r="CQ73" s="19"/>
      <c r="CR73" s="19"/>
      <c r="CS73" s="19"/>
      <c r="CT73" s="19"/>
      <c r="CU73" s="11">
        <f>Tabelle58971121[[#This Row],[Mindestauslastung durch]]*Tabelle58971121[[#This Row],[installierte Leistung MW durch]]</f>
        <v>400.20526000000001</v>
      </c>
      <c r="CV73" s="11">
        <f>Tabelle58971121[[#This Row],[Mindestauslastung min]]*Tabelle58971121[[#This Row],[installierte Leistung MW min]]</f>
        <v>399.37689999999998</v>
      </c>
      <c r="CW73" s="11">
        <f>Tabelle58971121[[#This Row],[Mindestauslastung max]]*Tabelle58971121[[#This Row],[installierte Leistung MW max]]</f>
        <v>401.03361999999998</v>
      </c>
      <c r="CX73" s="9">
        <v>1.2999999999999999E-2</v>
      </c>
      <c r="CY73" s="9">
        <v>1.2999999999999999E-2</v>
      </c>
      <c r="CZ73" s="9">
        <v>1.2999999999999999E-2</v>
      </c>
      <c r="DA73" s="9"/>
      <c r="DB73" s="9">
        <v>1.270833333333333E-2</v>
      </c>
      <c r="DC73" s="9">
        <v>4.0000000000000001E-3</v>
      </c>
      <c r="DD73" s="9">
        <v>2.1999999999999999E-2</v>
      </c>
      <c r="DE73" s="9">
        <v>1.270833333333333E-2</v>
      </c>
      <c r="DF73" s="9">
        <v>4.0000000000000001E-3</v>
      </c>
      <c r="DG73" s="9">
        <v>2.1999999999999999E-2</v>
      </c>
      <c r="DH73" s="9">
        <v>1.270833333333333E-2</v>
      </c>
      <c r="DI73" s="9">
        <v>4.0000000000000001E-3</v>
      </c>
      <c r="DJ73" s="9">
        <v>2.1999999999999999E-2</v>
      </c>
      <c r="DK73" s="9">
        <v>1.270833333333333E-2</v>
      </c>
      <c r="DL73" s="9">
        <v>4.0000000000000001E-3</v>
      </c>
      <c r="DM73" s="9">
        <v>2.1999999999999999E-2</v>
      </c>
      <c r="DN73" s="9">
        <v>1.270833333333333E-2</v>
      </c>
      <c r="DO73" s="9">
        <v>4.0000000000000001E-3</v>
      </c>
      <c r="DP73" s="9">
        <v>2.1999999999999999E-2</v>
      </c>
      <c r="DQ73" s="9">
        <v>1.270833333333333E-2</v>
      </c>
      <c r="DR73" s="9">
        <v>4.0000000000000001E-3</v>
      </c>
      <c r="DS73" s="9">
        <v>2.1999999999999999E-2</v>
      </c>
      <c r="DT73" s="9">
        <v>1.270833333333333E-2</v>
      </c>
      <c r="DU73" s="9">
        <v>4.0000000000000001E-3</v>
      </c>
      <c r="DV73" s="9">
        <v>2.1999999999999999E-2</v>
      </c>
      <c r="DW73" s="9">
        <v>1.270833333333333E-2</v>
      </c>
      <c r="DX73" s="9">
        <v>4.0000000000000001E-3</v>
      </c>
      <c r="DY73" s="9">
        <v>2.1999999999999999E-2</v>
      </c>
      <c r="DZ73" s="9">
        <v>1.270833333333333E-2</v>
      </c>
      <c r="EA73" s="9">
        <v>4.0000000000000001E-3</v>
      </c>
      <c r="EB73" s="9">
        <v>2.1999999999999999E-2</v>
      </c>
      <c r="EC73" s="9"/>
      <c r="ED73" s="9"/>
      <c r="EE73" s="9"/>
      <c r="EF73" s="46">
        <f>Tabelle58971121[[#This Row],[Durchschnittsauslastung min]]*Tabelle58971121[[#This Row],[installierte Leistung MW min]]</f>
        <v>0</v>
      </c>
      <c r="EG73" s="46">
        <f>Tabelle58971121[[#This Row],[Durchschnittsauslastung durch]]*Tabelle58971121[[#This Row],[installierte Leistung MW durch]]</f>
        <v>0</v>
      </c>
      <c r="EH73" s="46">
        <f>Tabelle58971121[[#This Row],[Durchschnittsauslastung max]]*Tabelle58971121[[#This Row],[installierte Leistung MW max]]</f>
        <v>0</v>
      </c>
      <c r="EI73" s="83">
        <f>Tabelle58971121[[#This Row],[Maximalauslastung durch]]*Tabelle58971121[[#This Row],[installierte Leistung MW min]]</f>
        <v>675.8685999999999</v>
      </c>
      <c r="EJ73" s="46">
        <f>Tabelle58971121[[#This Row],[Maximalauslastung durch]]*Tabelle58971121[[#This Row],[installierte Leistung MW durch]]</f>
        <v>677.27044000000001</v>
      </c>
      <c r="EK73" s="19">
        <f>Tabelle58971121[[#This Row],[Maximalauslastung max]]*Tabelle58971121[[#This Row],[installierte Leistung MW durch]]</f>
        <v>1292.9708400000002</v>
      </c>
      <c r="EL73" s="9">
        <v>2.1999999999999999E-2</v>
      </c>
      <c r="EM73" s="9">
        <v>2.0000000000000022E-3</v>
      </c>
      <c r="EN73" s="9">
        <v>4.2000000000000003E-2</v>
      </c>
      <c r="EO73" s="1">
        <v>30785.02</v>
      </c>
      <c r="EP73" s="1">
        <v>30721.3</v>
      </c>
      <c r="EQ73" s="1">
        <v>30848.74</v>
      </c>
      <c r="ER73" s="19"/>
      <c r="ES73" s="19"/>
      <c r="EX73" s="1">
        <v>2.25</v>
      </c>
      <c r="EY73" s="1">
        <v>1.5</v>
      </c>
      <c r="EZ73" s="1">
        <v>3</v>
      </c>
      <c r="FD73" s="1">
        <v>2.25</v>
      </c>
      <c r="FE73" s="1">
        <v>1.5</v>
      </c>
      <c r="FF73" s="1">
        <v>3</v>
      </c>
      <c r="FG73" s="1">
        <v>18</v>
      </c>
      <c r="FH73" s="1">
        <v>12</v>
      </c>
      <c r="FI73" s="1">
        <v>24</v>
      </c>
      <c r="FJ73" s="1">
        <v>18</v>
      </c>
      <c r="FK73" s="1">
        <v>18</v>
      </c>
      <c r="FL73" s="1">
        <v>18</v>
      </c>
      <c r="FP73" s="1" t="s">
        <v>1084</v>
      </c>
      <c r="FQ73" s="1" t="s">
        <v>1084</v>
      </c>
      <c r="FR73" s="1" t="s">
        <v>1084</v>
      </c>
      <c r="FS73" s="11"/>
      <c r="FT73" s="11"/>
      <c r="FU73" s="11"/>
      <c r="FV73" s="1">
        <v>280</v>
      </c>
      <c r="FW73" s="1">
        <v>252</v>
      </c>
      <c r="FX73" s="1">
        <v>308</v>
      </c>
      <c r="FY73" s="1">
        <v>92.50411764705882</v>
      </c>
      <c r="FZ73" s="19">
        <v>83.243529411764712</v>
      </c>
      <c r="GA73" s="19">
        <v>101.76470588235293</v>
      </c>
      <c r="GB73" s="19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>
        <v>753.05882352941171</v>
      </c>
      <c r="GO73" s="8">
        <v>745.52823529411762</v>
      </c>
      <c r="GP73" s="8">
        <v>760.5894117647058</v>
      </c>
      <c r="GS73" s="1">
        <v>67</v>
      </c>
      <c r="GT73" s="1">
        <v>67</v>
      </c>
      <c r="GU73" s="1">
        <v>67</v>
      </c>
      <c r="GV73" s="13" t="s">
        <v>806</v>
      </c>
      <c r="GW73" s="13" t="s">
        <v>806</v>
      </c>
      <c r="GX73" s="13" t="s">
        <v>806</v>
      </c>
      <c r="GY73" s="13"/>
      <c r="GZ73" s="13" t="s">
        <v>806</v>
      </c>
      <c r="HA73" s="13" t="s">
        <v>806</v>
      </c>
      <c r="HB73" s="13" t="s">
        <v>806</v>
      </c>
      <c r="HC73" s="13" t="s">
        <v>806</v>
      </c>
      <c r="HD73" s="13" t="s">
        <v>806</v>
      </c>
      <c r="HE73" s="13" t="s">
        <v>806</v>
      </c>
      <c r="HF73" s="13" t="s">
        <v>806</v>
      </c>
      <c r="HI73" s="13" t="s">
        <v>806</v>
      </c>
      <c r="HJ73" s="13" t="s">
        <v>806</v>
      </c>
      <c r="HL73" s="13" t="s">
        <v>806</v>
      </c>
    </row>
    <row r="74" spans="1:220" ht="12.75" customHeight="1" x14ac:dyDescent="0.25">
      <c r="A74" s="1" t="s">
        <v>362</v>
      </c>
      <c r="B74" s="1" t="s">
        <v>650</v>
      </c>
      <c r="E74" s="1" t="s">
        <v>139</v>
      </c>
      <c r="F74" s="1">
        <v>2</v>
      </c>
      <c r="G74" s="1">
        <v>2015</v>
      </c>
      <c r="H74" s="1">
        <v>1</v>
      </c>
      <c r="I74" s="1">
        <v>0</v>
      </c>
      <c r="J74" s="1">
        <v>0</v>
      </c>
      <c r="K74" s="19"/>
      <c r="L74" s="19"/>
      <c r="M74" s="19"/>
      <c r="N74" s="19"/>
      <c r="O74" s="19"/>
      <c r="P74" s="19"/>
      <c r="Q74" s="19">
        <v>1496</v>
      </c>
      <c r="R74" s="19">
        <v>152.03</v>
      </c>
      <c r="S74" s="19">
        <v>4089.15</v>
      </c>
      <c r="T74" s="19"/>
      <c r="U74" s="19"/>
      <c r="V74" s="19"/>
      <c r="W74" s="19">
        <v>748</v>
      </c>
      <c r="X74" s="19">
        <v>0</v>
      </c>
      <c r="Y74" s="19">
        <v>2355.63</v>
      </c>
      <c r="Z74" s="19">
        <v>1496</v>
      </c>
      <c r="AA74" s="19">
        <v>152.03</v>
      </c>
      <c r="AB74" s="19">
        <v>4089.15</v>
      </c>
      <c r="AC74" s="19"/>
      <c r="AD74" s="19"/>
      <c r="AE74" s="19"/>
      <c r="AF74" s="19">
        <v>748</v>
      </c>
      <c r="AG74" s="19">
        <v>0</v>
      </c>
      <c r="AH74" s="19">
        <v>2355.63</v>
      </c>
      <c r="AI74" s="19">
        <v>1496</v>
      </c>
      <c r="AJ74" s="19">
        <v>152.03</v>
      </c>
      <c r="AK74" s="19">
        <v>4089.15</v>
      </c>
      <c r="AL74" s="19">
        <v>748</v>
      </c>
      <c r="AM74" s="19">
        <v>0</v>
      </c>
      <c r="AN74" s="19">
        <v>2355.63</v>
      </c>
      <c r="AO74" s="19">
        <v>1496</v>
      </c>
      <c r="AP74" s="19">
        <v>152.03</v>
      </c>
      <c r="AQ74" s="19">
        <v>4089.15</v>
      </c>
      <c r="AR74" s="19"/>
      <c r="AS74" s="19"/>
      <c r="AT74" s="19"/>
      <c r="AU74" s="19">
        <v>748</v>
      </c>
      <c r="AV74" s="19">
        <v>0</v>
      </c>
      <c r="AW74" s="19">
        <v>2355.63</v>
      </c>
      <c r="AX74" s="19">
        <v>1496</v>
      </c>
      <c r="AY74" s="19">
        <v>152.03</v>
      </c>
      <c r="AZ74" s="19">
        <v>4089.15</v>
      </c>
      <c r="BA74" s="19"/>
      <c r="BB74" s="19"/>
      <c r="BC74" s="19"/>
      <c r="BD74" s="19">
        <v>748</v>
      </c>
      <c r="BE74" s="19">
        <v>0</v>
      </c>
      <c r="BF74" s="19">
        <v>2355.63</v>
      </c>
      <c r="BG74" s="19">
        <v>1496</v>
      </c>
      <c r="BH74" s="19">
        <v>152.03</v>
      </c>
      <c r="BI74" s="19">
        <v>4089.15</v>
      </c>
      <c r="BJ74" s="19"/>
      <c r="BK74" s="19"/>
      <c r="BL74" s="19"/>
      <c r="BM74" s="19">
        <v>748</v>
      </c>
      <c r="BN74" s="19">
        <v>0</v>
      </c>
      <c r="BO74" s="19">
        <v>2355.63</v>
      </c>
      <c r="BP74" s="19">
        <v>1496</v>
      </c>
      <c r="BQ74" s="19">
        <v>152.03</v>
      </c>
      <c r="BR74" s="19">
        <v>4089.15</v>
      </c>
      <c r="BS74" s="19"/>
      <c r="BT74" s="19"/>
      <c r="BU74" s="19"/>
      <c r="BV74" s="19">
        <v>748</v>
      </c>
      <c r="BW74" s="19">
        <v>0</v>
      </c>
      <c r="BX74" s="19">
        <v>2355.63</v>
      </c>
      <c r="BY74" s="19">
        <v>1496</v>
      </c>
      <c r="BZ74" s="19">
        <v>152.03</v>
      </c>
      <c r="CA74" s="19">
        <v>4089.15</v>
      </c>
      <c r="CB74" s="19"/>
      <c r="CC74" s="19"/>
      <c r="CD74" s="19"/>
      <c r="CE74" s="19">
        <v>748</v>
      </c>
      <c r="CF74" s="19">
        <v>0</v>
      </c>
      <c r="CG74" s="19">
        <v>2355.63</v>
      </c>
      <c r="CH74" s="19">
        <v>1496</v>
      </c>
      <c r="CI74" s="19">
        <v>152.03</v>
      </c>
      <c r="CJ74" s="19">
        <v>4089.15</v>
      </c>
      <c r="CK74" s="19"/>
      <c r="CL74" s="19"/>
      <c r="CM74" s="19"/>
      <c r="CN74" s="19">
        <v>748</v>
      </c>
      <c r="CO74" s="19">
        <v>0</v>
      </c>
      <c r="CP74" s="19">
        <v>2355.63</v>
      </c>
      <c r="CQ74" s="19"/>
      <c r="CR74" s="19"/>
      <c r="CS74" s="19"/>
      <c r="CT74" s="19"/>
      <c r="CU74" s="11">
        <f>Tabelle58971121[[#This Row],[Mindestauslastung durch]]*Tabelle58971121[[#This Row],[installierte Leistung MW durch]]</f>
        <v>1020</v>
      </c>
      <c r="CV74" s="11">
        <f>Tabelle58971121[[#This Row],[Mindestauslastung min]]*Tabelle58971121[[#This Row],[installierte Leistung MW min]]</f>
        <v>991.5</v>
      </c>
      <c r="CW74" s="11">
        <f>Tabelle58971121[[#This Row],[Mindestauslastung max]]*Tabelle58971121[[#This Row],[installierte Leistung MW max]]</f>
        <v>1048.5</v>
      </c>
      <c r="CX74" s="9">
        <v>0.15</v>
      </c>
      <c r="CY74" s="9">
        <v>0.15</v>
      </c>
      <c r="CZ74" s="9">
        <v>0.15</v>
      </c>
      <c r="DA74" s="9"/>
      <c r="DB74" s="9">
        <v>0.22</v>
      </c>
      <c r="DC74" s="9">
        <v>2.3E-2</v>
      </c>
      <c r="DD74" s="9">
        <v>0.58499999999999996</v>
      </c>
      <c r="DE74" s="9">
        <v>0.22</v>
      </c>
      <c r="DF74" s="9">
        <v>2.3E-2</v>
      </c>
      <c r="DG74" s="9">
        <v>0.58499999999999996</v>
      </c>
      <c r="DH74" s="9">
        <v>0.22</v>
      </c>
      <c r="DI74" s="9">
        <v>2.3E-2</v>
      </c>
      <c r="DJ74" s="9">
        <v>0.58499999999999996</v>
      </c>
      <c r="DK74" s="9">
        <v>0.22</v>
      </c>
      <c r="DL74" s="9">
        <v>2.3E-2</v>
      </c>
      <c r="DM74" s="9">
        <v>0.58499999999999996</v>
      </c>
      <c r="DN74" s="9">
        <v>0.22</v>
      </c>
      <c r="DO74" s="9">
        <v>2.3E-2</v>
      </c>
      <c r="DP74" s="9">
        <v>0.58499999999999996</v>
      </c>
      <c r="DQ74" s="9">
        <v>0.22</v>
      </c>
      <c r="DR74" s="9">
        <v>2.3E-2</v>
      </c>
      <c r="DS74" s="9">
        <v>0.58499999999999996</v>
      </c>
      <c r="DT74" s="9">
        <v>0.22</v>
      </c>
      <c r="DU74" s="9">
        <v>2.3E-2</v>
      </c>
      <c r="DV74" s="9">
        <v>0.58499999999999996</v>
      </c>
      <c r="DW74" s="9">
        <v>0.22</v>
      </c>
      <c r="DX74" s="9">
        <v>2.3E-2</v>
      </c>
      <c r="DY74" s="9">
        <v>0.58499999999999996</v>
      </c>
      <c r="DZ74" s="9">
        <v>0.22</v>
      </c>
      <c r="EA74" s="9">
        <v>2.3E-2</v>
      </c>
      <c r="EB74" s="9">
        <v>0.58499999999999996</v>
      </c>
      <c r="EC74" s="9"/>
      <c r="ED74" s="9"/>
      <c r="EE74" s="9"/>
      <c r="EF74" s="46">
        <f>Tabelle58971121[[#This Row],[Durchschnittsauslastung min]]*Tabelle58971121[[#This Row],[installierte Leistung MW min]]</f>
        <v>0</v>
      </c>
      <c r="EG74" s="46">
        <f>Tabelle58971121[[#This Row],[Durchschnittsauslastung durch]]*Tabelle58971121[[#This Row],[installierte Leistung MW durch]]</f>
        <v>0</v>
      </c>
      <c r="EH74" s="46">
        <f>Tabelle58971121[[#This Row],[Durchschnittsauslastung max]]*Tabelle58971121[[#This Row],[installierte Leistung MW max]]</f>
        <v>0</v>
      </c>
      <c r="EI74" s="83">
        <f>Tabelle58971121[[#This Row],[Maximalauslastung durch]]*Tabelle58971121[[#This Row],[installierte Leistung MW min]]</f>
        <v>2181.3000000000002</v>
      </c>
      <c r="EJ74" s="46">
        <f>Tabelle58971121[[#This Row],[Maximalauslastung durch]]*Tabelle58971121[[#This Row],[installierte Leistung MW durch]]</f>
        <v>2244</v>
      </c>
      <c r="EK74" s="19">
        <f>Tabelle58971121[[#This Row],[Maximalauslastung max]]*Tabelle58971121[[#This Row],[installierte Leistung MW durch]]</f>
        <v>2448</v>
      </c>
      <c r="EL74" s="9">
        <v>0.33</v>
      </c>
      <c r="EM74" s="9">
        <v>0.3</v>
      </c>
      <c r="EN74" s="9">
        <v>0.36</v>
      </c>
      <c r="EO74" s="1">
        <v>6800</v>
      </c>
      <c r="EP74" s="1">
        <v>6610</v>
      </c>
      <c r="EQ74" s="1">
        <v>6990</v>
      </c>
      <c r="ER74" s="19"/>
      <c r="ES74" s="19"/>
      <c r="EX74" s="1">
        <v>0.25</v>
      </c>
      <c r="EY74" s="1">
        <v>0.2</v>
      </c>
      <c r="EZ74" s="1">
        <v>0.3</v>
      </c>
      <c r="FD74" s="1">
        <v>0.25</v>
      </c>
      <c r="FE74" s="1">
        <v>0.2</v>
      </c>
      <c r="FF74" s="1">
        <v>0.3</v>
      </c>
      <c r="FG74" s="1">
        <v>0.5</v>
      </c>
      <c r="FH74" s="1">
        <v>0.4</v>
      </c>
      <c r="FI74" s="1">
        <v>0.6</v>
      </c>
      <c r="FJ74" s="1">
        <v>0.5</v>
      </c>
      <c r="FK74" s="1">
        <v>0.5</v>
      </c>
      <c r="FL74" s="1">
        <v>0.5</v>
      </c>
      <c r="FP74" s="1">
        <v>365</v>
      </c>
      <c r="FQ74" s="1">
        <v>328</v>
      </c>
      <c r="FR74" s="1">
        <v>402</v>
      </c>
      <c r="FS74" s="11"/>
      <c r="FT74" s="11"/>
      <c r="FU74" s="11"/>
      <c r="FV74" s="1">
        <v>365</v>
      </c>
      <c r="FW74" s="1">
        <v>328</v>
      </c>
      <c r="FX74" s="1">
        <v>402</v>
      </c>
      <c r="FY74" s="1">
        <v>145.52352941176468</v>
      </c>
      <c r="FZ74" s="19">
        <v>130.9711764705882</v>
      </c>
      <c r="GA74" s="19">
        <v>160.07588235294116</v>
      </c>
      <c r="GB74" s="19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>
        <v>9.972941176470588</v>
      </c>
      <c r="GO74" s="8">
        <v>3.5617647058823536</v>
      </c>
      <c r="GP74" s="8">
        <v>16.384117647058822</v>
      </c>
      <c r="GS74" s="1">
        <v>67</v>
      </c>
      <c r="GT74" s="1">
        <v>67</v>
      </c>
      <c r="GU74" s="1">
        <v>67</v>
      </c>
      <c r="GV74" s="13" t="s">
        <v>806</v>
      </c>
      <c r="GW74" s="13" t="s">
        <v>806</v>
      </c>
      <c r="GX74" s="13" t="s">
        <v>806</v>
      </c>
      <c r="GY74" s="13"/>
      <c r="GZ74" s="13" t="s">
        <v>806</v>
      </c>
      <c r="HA74" s="13" t="s">
        <v>806</v>
      </c>
      <c r="HB74" s="13" t="s">
        <v>806</v>
      </c>
      <c r="HC74" s="13" t="s">
        <v>806</v>
      </c>
      <c r="HD74" s="13" t="s">
        <v>806</v>
      </c>
      <c r="HE74" s="13" t="s">
        <v>806</v>
      </c>
      <c r="HF74" s="13" t="s">
        <v>806</v>
      </c>
      <c r="HI74" s="13" t="s">
        <v>806</v>
      </c>
      <c r="HJ74" s="13" t="s">
        <v>806</v>
      </c>
      <c r="HL74" s="13" t="s">
        <v>806</v>
      </c>
    </row>
    <row r="75" spans="1:220" ht="12.75" customHeight="1" x14ac:dyDescent="0.25">
      <c r="A75" s="1" t="s">
        <v>362</v>
      </c>
      <c r="B75" s="1" t="s">
        <v>650</v>
      </c>
      <c r="E75" s="1" t="s">
        <v>139</v>
      </c>
      <c r="F75" s="1">
        <v>2</v>
      </c>
      <c r="G75" s="1">
        <v>2020</v>
      </c>
      <c r="H75" s="1">
        <v>1</v>
      </c>
      <c r="I75" s="1">
        <v>0</v>
      </c>
      <c r="J75" s="1">
        <v>0</v>
      </c>
      <c r="K75" s="19"/>
      <c r="L75" s="19"/>
      <c r="M75" s="19"/>
      <c r="N75" s="19"/>
      <c r="O75" s="19"/>
      <c r="P75" s="19"/>
      <c r="Q75" s="19">
        <v>2154.2399999999998</v>
      </c>
      <c r="R75" s="19">
        <v>218.92319999999998</v>
      </c>
      <c r="S75" s="19">
        <v>5888.3760000000002</v>
      </c>
      <c r="T75" s="19"/>
      <c r="U75" s="19"/>
      <c r="V75" s="19"/>
      <c r="W75" s="19">
        <v>1077.1199999999999</v>
      </c>
      <c r="X75" s="19">
        <v>0</v>
      </c>
      <c r="Y75" s="19">
        <v>3392.1071999999999</v>
      </c>
      <c r="Z75" s="19">
        <v>2154.2399999999998</v>
      </c>
      <c r="AA75" s="19">
        <v>218.92319999999998</v>
      </c>
      <c r="AB75" s="19">
        <v>5888.3760000000002</v>
      </c>
      <c r="AC75" s="19"/>
      <c r="AD75" s="19"/>
      <c r="AE75" s="19"/>
      <c r="AF75" s="19">
        <v>1077.1199999999999</v>
      </c>
      <c r="AG75" s="19">
        <v>0</v>
      </c>
      <c r="AH75" s="19">
        <v>3392.1071999999999</v>
      </c>
      <c r="AI75" s="19">
        <v>2154.2399999999998</v>
      </c>
      <c r="AJ75" s="19">
        <v>218.92319999999998</v>
      </c>
      <c r="AK75" s="19">
        <v>5888.3760000000002</v>
      </c>
      <c r="AL75" s="19">
        <v>1077.1199999999999</v>
      </c>
      <c r="AM75" s="19">
        <v>0</v>
      </c>
      <c r="AN75" s="19">
        <v>3392.1071999999999</v>
      </c>
      <c r="AO75" s="19">
        <v>2154.2399999999998</v>
      </c>
      <c r="AP75" s="19">
        <v>218.92319999999998</v>
      </c>
      <c r="AQ75" s="19">
        <v>5888.3760000000002</v>
      </c>
      <c r="AR75" s="19"/>
      <c r="AS75" s="19"/>
      <c r="AT75" s="19"/>
      <c r="AU75" s="19">
        <v>1077.1199999999999</v>
      </c>
      <c r="AV75" s="19">
        <v>0</v>
      </c>
      <c r="AW75" s="19">
        <v>3392.1071999999999</v>
      </c>
      <c r="AX75" s="19">
        <v>2154.2399999999998</v>
      </c>
      <c r="AY75" s="19">
        <v>218.92319999999998</v>
      </c>
      <c r="AZ75" s="19">
        <v>5888.3760000000002</v>
      </c>
      <c r="BA75" s="19"/>
      <c r="BB75" s="19"/>
      <c r="BC75" s="19"/>
      <c r="BD75" s="19">
        <v>1077.1199999999999</v>
      </c>
      <c r="BE75" s="19">
        <v>0</v>
      </c>
      <c r="BF75" s="19">
        <v>3392.1071999999999</v>
      </c>
      <c r="BG75" s="19">
        <v>2154.2399999999998</v>
      </c>
      <c r="BH75" s="19">
        <v>218.92319999999998</v>
      </c>
      <c r="BI75" s="19">
        <v>5888.3760000000002</v>
      </c>
      <c r="BJ75" s="19"/>
      <c r="BK75" s="19"/>
      <c r="BL75" s="19"/>
      <c r="BM75" s="19">
        <v>1077.1199999999999</v>
      </c>
      <c r="BN75" s="19">
        <v>0</v>
      </c>
      <c r="BO75" s="19">
        <v>3392.1071999999999</v>
      </c>
      <c r="BP75" s="19">
        <v>2154.2399999999998</v>
      </c>
      <c r="BQ75" s="19">
        <v>218.92319999999998</v>
      </c>
      <c r="BR75" s="19">
        <v>5888.3760000000002</v>
      </c>
      <c r="BS75" s="19"/>
      <c r="BT75" s="19"/>
      <c r="BU75" s="19"/>
      <c r="BV75" s="19">
        <v>1077.1199999999999</v>
      </c>
      <c r="BW75" s="19">
        <v>0</v>
      </c>
      <c r="BX75" s="19">
        <v>3392.1071999999999</v>
      </c>
      <c r="BY75" s="19">
        <v>2154.2399999999998</v>
      </c>
      <c r="BZ75" s="19">
        <v>218.92319999999998</v>
      </c>
      <c r="CA75" s="19">
        <v>5888.3760000000002</v>
      </c>
      <c r="CB75" s="19"/>
      <c r="CC75" s="19"/>
      <c r="CD75" s="19"/>
      <c r="CE75" s="19">
        <v>1077.1199999999999</v>
      </c>
      <c r="CF75" s="19">
        <v>0</v>
      </c>
      <c r="CG75" s="19">
        <v>3392.1071999999999</v>
      </c>
      <c r="CH75" s="19">
        <v>2154.2399999999998</v>
      </c>
      <c r="CI75" s="19">
        <v>218.92319999999998</v>
      </c>
      <c r="CJ75" s="19">
        <v>5888.3760000000002</v>
      </c>
      <c r="CK75" s="19"/>
      <c r="CL75" s="19"/>
      <c r="CM75" s="19"/>
      <c r="CN75" s="19">
        <v>1077.1199999999999</v>
      </c>
      <c r="CO75" s="19">
        <v>0</v>
      </c>
      <c r="CP75" s="19">
        <v>3392.1071999999999</v>
      </c>
      <c r="CQ75" s="19"/>
      <c r="CR75" s="19"/>
      <c r="CS75" s="19"/>
      <c r="CT75" s="19"/>
      <c r="CU75" s="11">
        <f>Tabelle58971121[[#This Row],[Mindestauslastung durch]]*Tabelle58971121[[#This Row],[installierte Leistung MW durch]]</f>
        <v>1468.8</v>
      </c>
      <c r="CV75" s="11">
        <f>Tabelle58971121[[#This Row],[Mindestauslastung min]]*Tabelle58971121[[#This Row],[installierte Leistung MW min]]</f>
        <v>1427.76</v>
      </c>
      <c r="CW75" s="11">
        <f>Tabelle58971121[[#This Row],[Mindestauslastung max]]*Tabelle58971121[[#This Row],[installierte Leistung MW max]]</f>
        <v>1509.84</v>
      </c>
      <c r="CX75" s="9">
        <v>0.15</v>
      </c>
      <c r="CY75" s="9">
        <v>0.15</v>
      </c>
      <c r="CZ75" s="9">
        <v>0.15</v>
      </c>
      <c r="DA75" s="9"/>
      <c r="DB75" s="9">
        <v>0.22</v>
      </c>
      <c r="DC75" s="9">
        <v>2.3E-2</v>
      </c>
      <c r="DD75" s="9">
        <v>0.58499999999999996</v>
      </c>
      <c r="DE75" s="9">
        <v>0.22</v>
      </c>
      <c r="DF75" s="9">
        <v>2.3E-2</v>
      </c>
      <c r="DG75" s="9">
        <v>0.58499999999999996</v>
      </c>
      <c r="DH75" s="9">
        <v>0.22</v>
      </c>
      <c r="DI75" s="9">
        <v>2.3E-2</v>
      </c>
      <c r="DJ75" s="9">
        <v>0.58499999999999996</v>
      </c>
      <c r="DK75" s="9">
        <v>0.22</v>
      </c>
      <c r="DL75" s="9">
        <v>2.3E-2</v>
      </c>
      <c r="DM75" s="9">
        <v>0.58499999999999996</v>
      </c>
      <c r="DN75" s="9">
        <v>0.22</v>
      </c>
      <c r="DO75" s="9">
        <v>2.3E-2</v>
      </c>
      <c r="DP75" s="9">
        <v>0.58499999999999996</v>
      </c>
      <c r="DQ75" s="9">
        <v>0.22</v>
      </c>
      <c r="DR75" s="9">
        <v>2.3E-2</v>
      </c>
      <c r="DS75" s="9">
        <v>0.58499999999999996</v>
      </c>
      <c r="DT75" s="9">
        <v>0.22</v>
      </c>
      <c r="DU75" s="9">
        <v>2.3E-2</v>
      </c>
      <c r="DV75" s="9">
        <v>0.58499999999999996</v>
      </c>
      <c r="DW75" s="9">
        <v>0.22</v>
      </c>
      <c r="DX75" s="9">
        <v>2.3E-2</v>
      </c>
      <c r="DY75" s="9">
        <v>0.58499999999999996</v>
      </c>
      <c r="DZ75" s="9">
        <v>0.22</v>
      </c>
      <c r="EA75" s="9">
        <v>2.3E-2</v>
      </c>
      <c r="EB75" s="9">
        <v>0.58499999999999996</v>
      </c>
      <c r="EC75" s="9"/>
      <c r="ED75" s="9"/>
      <c r="EE75" s="9"/>
      <c r="EF75" s="46">
        <f>Tabelle58971121[[#This Row],[Durchschnittsauslastung min]]*Tabelle58971121[[#This Row],[installierte Leistung MW min]]</f>
        <v>0</v>
      </c>
      <c r="EG75" s="46">
        <f>Tabelle58971121[[#This Row],[Durchschnittsauslastung durch]]*Tabelle58971121[[#This Row],[installierte Leistung MW durch]]</f>
        <v>0</v>
      </c>
      <c r="EH75" s="46">
        <f>Tabelle58971121[[#This Row],[Durchschnittsauslastung max]]*Tabelle58971121[[#This Row],[installierte Leistung MW max]]</f>
        <v>0</v>
      </c>
      <c r="EI75" s="83">
        <f>Tabelle58971121[[#This Row],[Maximalauslastung durch]]*Tabelle58971121[[#This Row],[installierte Leistung MW min]]</f>
        <v>3141.0720000000001</v>
      </c>
      <c r="EJ75" s="46">
        <f>Tabelle58971121[[#This Row],[Maximalauslastung durch]]*Tabelle58971121[[#This Row],[installierte Leistung MW durch]]</f>
        <v>3231.36</v>
      </c>
      <c r="EK75" s="19">
        <f>Tabelle58971121[[#This Row],[Maximalauslastung max]]*Tabelle58971121[[#This Row],[installierte Leistung MW durch]]</f>
        <v>3525.12</v>
      </c>
      <c r="EL75" s="9">
        <v>0.33</v>
      </c>
      <c r="EM75" s="9">
        <v>0.3</v>
      </c>
      <c r="EN75" s="9">
        <v>0.36</v>
      </c>
      <c r="EO75" s="1">
        <v>9792</v>
      </c>
      <c r="EP75" s="1">
        <v>9518.4</v>
      </c>
      <c r="EQ75" s="1">
        <v>10065.6</v>
      </c>
      <c r="ER75" s="19"/>
      <c r="ES75" s="19"/>
      <c r="EX75" s="1">
        <v>0.25</v>
      </c>
      <c r="EY75" s="1">
        <v>0.2</v>
      </c>
      <c r="EZ75" s="1">
        <v>0.3</v>
      </c>
      <c r="FD75" s="1">
        <v>0.25</v>
      </c>
      <c r="FE75" s="1">
        <v>0.2</v>
      </c>
      <c r="FF75" s="1">
        <v>0.3</v>
      </c>
      <c r="FG75" s="1">
        <v>0.5</v>
      </c>
      <c r="FH75" s="1">
        <v>0.4</v>
      </c>
      <c r="FI75" s="1">
        <v>0.6</v>
      </c>
      <c r="FJ75" s="1">
        <v>0.5</v>
      </c>
      <c r="FK75" s="1">
        <v>0.5</v>
      </c>
      <c r="FL75" s="1">
        <v>0.5</v>
      </c>
      <c r="FP75" s="1">
        <v>365</v>
      </c>
      <c r="FQ75" s="1">
        <v>328</v>
      </c>
      <c r="FR75" s="1">
        <v>402</v>
      </c>
      <c r="FS75" s="11"/>
      <c r="FT75" s="11"/>
      <c r="FU75" s="11"/>
      <c r="FV75" s="1">
        <v>365</v>
      </c>
      <c r="FW75" s="1">
        <v>328</v>
      </c>
      <c r="FX75" s="1">
        <v>402</v>
      </c>
      <c r="FY75" s="1">
        <v>145.52352941176468</v>
      </c>
      <c r="FZ75" s="19">
        <v>130.9711764705882</v>
      </c>
      <c r="GA75" s="19">
        <v>160.07588235294116</v>
      </c>
      <c r="GB75" s="19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>
        <v>9.972941176470588</v>
      </c>
      <c r="GO75" s="8">
        <v>3.5617647058823536</v>
      </c>
      <c r="GP75" s="8">
        <v>16.384117647058822</v>
      </c>
      <c r="GS75" s="1">
        <v>67</v>
      </c>
      <c r="GT75" s="1">
        <v>67</v>
      </c>
      <c r="GU75" s="1">
        <v>67</v>
      </c>
      <c r="GV75" s="13" t="s">
        <v>806</v>
      </c>
      <c r="GW75" s="13" t="s">
        <v>806</v>
      </c>
      <c r="GX75" s="13" t="s">
        <v>806</v>
      </c>
      <c r="GY75" s="13"/>
      <c r="GZ75" s="13" t="s">
        <v>806</v>
      </c>
      <c r="HA75" s="13" t="s">
        <v>806</v>
      </c>
      <c r="HB75" s="13" t="s">
        <v>806</v>
      </c>
      <c r="HC75" s="13" t="s">
        <v>806</v>
      </c>
      <c r="HD75" s="13" t="s">
        <v>806</v>
      </c>
      <c r="HE75" s="13" t="s">
        <v>806</v>
      </c>
      <c r="HF75" s="13" t="s">
        <v>806</v>
      </c>
      <c r="HI75" s="13" t="s">
        <v>806</v>
      </c>
      <c r="HJ75" s="13" t="s">
        <v>806</v>
      </c>
      <c r="HL75" s="13" t="s">
        <v>806</v>
      </c>
    </row>
    <row r="76" spans="1:220" ht="12.75" customHeight="1" x14ac:dyDescent="0.25">
      <c r="A76" s="1" t="s">
        <v>362</v>
      </c>
      <c r="B76" s="1" t="s">
        <v>650</v>
      </c>
      <c r="E76" s="1" t="s">
        <v>139</v>
      </c>
      <c r="F76" s="1">
        <v>2</v>
      </c>
      <c r="G76" s="1">
        <v>2025</v>
      </c>
      <c r="H76" s="1">
        <v>1</v>
      </c>
      <c r="I76" s="1">
        <v>0</v>
      </c>
      <c r="J76" s="1">
        <v>0</v>
      </c>
      <c r="K76" s="19"/>
      <c r="L76" s="19"/>
      <c r="M76" s="19"/>
      <c r="N76" s="19"/>
      <c r="O76" s="19"/>
      <c r="P76" s="19"/>
      <c r="Q76" s="19">
        <v>3201.44</v>
      </c>
      <c r="R76" s="19">
        <v>325.3442</v>
      </c>
      <c r="S76" s="19">
        <v>8750.7810000000009</v>
      </c>
      <c r="T76" s="19"/>
      <c r="U76" s="19"/>
      <c r="V76" s="19"/>
      <c r="W76" s="19">
        <v>1600.72</v>
      </c>
      <c r="X76" s="19">
        <v>0</v>
      </c>
      <c r="Y76" s="19">
        <v>5041.0482000000002</v>
      </c>
      <c r="Z76" s="19">
        <v>3201.44</v>
      </c>
      <c r="AA76" s="19">
        <v>325.3442</v>
      </c>
      <c r="AB76" s="19">
        <v>8750.7810000000009</v>
      </c>
      <c r="AC76" s="19"/>
      <c r="AD76" s="19"/>
      <c r="AE76" s="19"/>
      <c r="AF76" s="19">
        <v>1600.72</v>
      </c>
      <c r="AG76" s="19">
        <v>0</v>
      </c>
      <c r="AH76" s="19">
        <v>5041.0482000000002</v>
      </c>
      <c r="AI76" s="19">
        <v>3201.44</v>
      </c>
      <c r="AJ76" s="19">
        <v>325.3442</v>
      </c>
      <c r="AK76" s="19">
        <v>8750.7810000000009</v>
      </c>
      <c r="AL76" s="19">
        <v>1600.72</v>
      </c>
      <c r="AM76" s="19">
        <v>0</v>
      </c>
      <c r="AN76" s="19">
        <v>5041.0482000000002</v>
      </c>
      <c r="AO76" s="19">
        <v>3201.44</v>
      </c>
      <c r="AP76" s="19">
        <v>325.3442</v>
      </c>
      <c r="AQ76" s="19">
        <v>8750.7810000000009</v>
      </c>
      <c r="AR76" s="19"/>
      <c r="AS76" s="19"/>
      <c r="AT76" s="19"/>
      <c r="AU76" s="19">
        <v>1600.72</v>
      </c>
      <c r="AV76" s="19">
        <v>0</v>
      </c>
      <c r="AW76" s="19">
        <v>5041.0482000000002</v>
      </c>
      <c r="AX76" s="19">
        <v>3201.44</v>
      </c>
      <c r="AY76" s="19">
        <v>325.3442</v>
      </c>
      <c r="AZ76" s="19">
        <v>8750.7810000000009</v>
      </c>
      <c r="BA76" s="19"/>
      <c r="BB76" s="19"/>
      <c r="BC76" s="19"/>
      <c r="BD76" s="19">
        <v>1600.72</v>
      </c>
      <c r="BE76" s="19">
        <v>0</v>
      </c>
      <c r="BF76" s="19">
        <v>5041.0482000000002</v>
      </c>
      <c r="BG76" s="19">
        <v>3201.44</v>
      </c>
      <c r="BH76" s="19">
        <v>325.3442</v>
      </c>
      <c r="BI76" s="19">
        <v>8750.7810000000009</v>
      </c>
      <c r="BJ76" s="19"/>
      <c r="BK76" s="19"/>
      <c r="BL76" s="19"/>
      <c r="BM76" s="19">
        <v>1600.72</v>
      </c>
      <c r="BN76" s="19">
        <v>0</v>
      </c>
      <c r="BO76" s="19">
        <v>5041.0482000000002</v>
      </c>
      <c r="BP76" s="19">
        <v>3201.44</v>
      </c>
      <c r="BQ76" s="19">
        <v>325.3442</v>
      </c>
      <c r="BR76" s="19">
        <v>8750.7810000000009</v>
      </c>
      <c r="BS76" s="19"/>
      <c r="BT76" s="19"/>
      <c r="BU76" s="19"/>
      <c r="BV76" s="19">
        <v>1600.72</v>
      </c>
      <c r="BW76" s="19">
        <v>0</v>
      </c>
      <c r="BX76" s="19">
        <v>5041.0482000000002</v>
      </c>
      <c r="BY76" s="19">
        <v>3201.44</v>
      </c>
      <c r="BZ76" s="19">
        <v>325.3442</v>
      </c>
      <c r="CA76" s="19">
        <v>8750.7810000000009</v>
      </c>
      <c r="CB76" s="19"/>
      <c r="CC76" s="19"/>
      <c r="CD76" s="19"/>
      <c r="CE76" s="19">
        <v>1600.72</v>
      </c>
      <c r="CF76" s="19">
        <v>0</v>
      </c>
      <c r="CG76" s="19">
        <v>5041.0482000000002</v>
      </c>
      <c r="CH76" s="19">
        <v>3201.44</v>
      </c>
      <c r="CI76" s="19">
        <v>325.3442</v>
      </c>
      <c r="CJ76" s="19">
        <v>8750.7810000000009</v>
      </c>
      <c r="CK76" s="19"/>
      <c r="CL76" s="19"/>
      <c r="CM76" s="19"/>
      <c r="CN76" s="19">
        <v>1600.72</v>
      </c>
      <c r="CO76" s="19">
        <v>0</v>
      </c>
      <c r="CP76" s="19">
        <v>5041.0482000000002</v>
      </c>
      <c r="CQ76" s="19"/>
      <c r="CR76" s="19"/>
      <c r="CS76" s="19"/>
      <c r="CT76" s="19"/>
      <c r="CU76" s="11">
        <f>Tabelle58971121[[#This Row],[Mindestauslastung durch]]*Tabelle58971121[[#This Row],[installierte Leistung MW durch]]</f>
        <v>2182.7999999999997</v>
      </c>
      <c r="CV76" s="11">
        <f>Tabelle58971121[[#This Row],[Mindestauslastung min]]*Tabelle58971121[[#This Row],[installierte Leistung MW min]]</f>
        <v>2121.81</v>
      </c>
      <c r="CW76" s="11">
        <f>Tabelle58971121[[#This Row],[Mindestauslastung max]]*Tabelle58971121[[#This Row],[installierte Leistung MW max]]</f>
        <v>2243.79</v>
      </c>
      <c r="CX76" s="9">
        <v>0.15</v>
      </c>
      <c r="CY76" s="9">
        <v>0.15</v>
      </c>
      <c r="CZ76" s="9">
        <v>0.15</v>
      </c>
      <c r="DA76" s="9"/>
      <c r="DB76" s="9">
        <v>0.22</v>
      </c>
      <c r="DC76" s="9">
        <v>2.3E-2</v>
      </c>
      <c r="DD76" s="9">
        <v>0.58499999999999996</v>
      </c>
      <c r="DE76" s="9">
        <v>0.22</v>
      </c>
      <c r="DF76" s="9">
        <v>2.3E-2</v>
      </c>
      <c r="DG76" s="9">
        <v>0.58499999999999996</v>
      </c>
      <c r="DH76" s="9">
        <v>0.22</v>
      </c>
      <c r="DI76" s="9">
        <v>2.3E-2</v>
      </c>
      <c r="DJ76" s="9">
        <v>0.58499999999999996</v>
      </c>
      <c r="DK76" s="9">
        <v>0.22</v>
      </c>
      <c r="DL76" s="9">
        <v>2.3E-2</v>
      </c>
      <c r="DM76" s="9">
        <v>0.58499999999999996</v>
      </c>
      <c r="DN76" s="9">
        <v>0.22</v>
      </c>
      <c r="DO76" s="9">
        <v>2.3E-2</v>
      </c>
      <c r="DP76" s="9">
        <v>0.58499999999999996</v>
      </c>
      <c r="DQ76" s="9">
        <v>0.22</v>
      </c>
      <c r="DR76" s="9">
        <v>2.3E-2</v>
      </c>
      <c r="DS76" s="9">
        <v>0.58499999999999996</v>
      </c>
      <c r="DT76" s="9">
        <v>0.22</v>
      </c>
      <c r="DU76" s="9">
        <v>2.3E-2</v>
      </c>
      <c r="DV76" s="9">
        <v>0.58499999999999996</v>
      </c>
      <c r="DW76" s="9">
        <v>0.22</v>
      </c>
      <c r="DX76" s="9">
        <v>2.3E-2</v>
      </c>
      <c r="DY76" s="9">
        <v>0.58499999999999996</v>
      </c>
      <c r="DZ76" s="9">
        <v>0.22</v>
      </c>
      <c r="EA76" s="9">
        <v>2.3E-2</v>
      </c>
      <c r="EB76" s="9">
        <v>0.58499999999999996</v>
      </c>
      <c r="EC76" s="9"/>
      <c r="ED76" s="9"/>
      <c r="EE76" s="9"/>
      <c r="EF76" s="46">
        <f>Tabelle58971121[[#This Row],[Durchschnittsauslastung min]]*Tabelle58971121[[#This Row],[installierte Leistung MW min]]</f>
        <v>0</v>
      </c>
      <c r="EG76" s="46">
        <f>Tabelle58971121[[#This Row],[Durchschnittsauslastung durch]]*Tabelle58971121[[#This Row],[installierte Leistung MW durch]]</f>
        <v>0</v>
      </c>
      <c r="EH76" s="46">
        <f>Tabelle58971121[[#This Row],[Durchschnittsauslastung max]]*Tabelle58971121[[#This Row],[installierte Leistung MW max]]</f>
        <v>0</v>
      </c>
      <c r="EI76" s="83">
        <f>Tabelle58971121[[#This Row],[Maximalauslastung durch]]*Tabelle58971121[[#This Row],[installierte Leistung MW min]]</f>
        <v>4667.982</v>
      </c>
      <c r="EJ76" s="46">
        <f>Tabelle58971121[[#This Row],[Maximalauslastung durch]]*Tabelle58971121[[#This Row],[installierte Leistung MW durch]]</f>
        <v>4802.16</v>
      </c>
      <c r="EK76" s="19">
        <f>Tabelle58971121[[#This Row],[Maximalauslastung max]]*Tabelle58971121[[#This Row],[installierte Leistung MW durch]]</f>
        <v>5238.72</v>
      </c>
      <c r="EL76" s="9">
        <v>0.33</v>
      </c>
      <c r="EM76" s="9">
        <v>0.3</v>
      </c>
      <c r="EN76" s="9">
        <v>0.36</v>
      </c>
      <c r="EO76" s="1">
        <v>14552</v>
      </c>
      <c r="EP76" s="1">
        <v>14145.4</v>
      </c>
      <c r="EQ76" s="1">
        <v>14958.6</v>
      </c>
      <c r="ER76" s="19"/>
      <c r="ES76" s="19"/>
      <c r="EX76" s="1">
        <v>0.25</v>
      </c>
      <c r="EY76" s="1">
        <v>0.2</v>
      </c>
      <c r="EZ76" s="1">
        <v>0.3</v>
      </c>
      <c r="FD76" s="1">
        <v>0.25</v>
      </c>
      <c r="FE76" s="1">
        <v>0.2</v>
      </c>
      <c r="FF76" s="1">
        <v>0.3</v>
      </c>
      <c r="FG76" s="1">
        <v>0.5</v>
      </c>
      <c r="FH76" s="1">
        <v>0.4</v>
      </c>
      <c r="FI76" s="1">
        <v>0.6</v>
      </c>
      <c r="FJ76" s="1">
        <v>0.5</v>
      </c>
      <c r="FK76" s="1">
        <v>0.5</v>
      </c>
      <c r="FL76" s="1">
        <v>0.5</v>
      </c>
      <c r="FP76" s="1">
        <v>365</v>
      </c>
      <c r="FQ76" s="1">
        <v>328</v>
      </c>
      <c r="FR76" s="1">
        <v>402</v>
      </c>
      <c r="FS76" s="11"/>
      <c r="FT76" s="11"/>
      <c r="FU76" s="11"/>
      <c r="FV76" s="1">
        <v>365</v>
      </c>
      <c r="FW76" s="1">
        <v>328</v>
      </c>
      <c r="FX76" s="1">
        <v>402</v>
      </c>
      <c r="FY76" s="1">
        <v>145.52352941176468</v>
      </c>
      <c r="FZ76" s="19">
        <v>130.9711764705882</v>
      </c>
      <c r="GA76" s="19">
        <v>160.07588235294116</v>
      </c>
      <c r="GB76" s="19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>
        <v>9.972941176470588</v>
      </c>
      <c r="GO76" s="8">
        <v>3.5617647058823536</v>
      </c>
      <c r="GP76" s="8">
        <v>16.384117647058822</v>
      </c>
      <c r="GS76" s="1">
        <v>67</v>
      </c>
      <c r="GT76" s="1">
        <v>67</v>
      </c>
      <c r="GU76" s="1">
        <v>67</v>
      </c>
      <c r="GV76" s="13" t="s">
        <v>806</v>
      </c>
      <c r="GW76" s="13" t="s">
        <v>806</v>
      </c>
      <c r="GX76" s="13" t="s">
        <v>806</v>
      </c>
      <c r="GY76" s="13"/>
      <c r="GZ76" s="13" t="s">
        <v>806</v>
      </c>
      <c r="HA76" s="13" t="s">
        <v>806</v>
      </c>
      <c r="HB76" s="13" t="s">
        <v>806</v>
      </c>
      <c r="HC76" s="13" t="s">
        <v>806</v>
      </c>
      <c r="HD76" s="13" t="s">
        <v>806</v>
      </c>
      <c r="HE76" s="13" t="s">
        <v>806</v>
      </c>
      <c r="HF76" s="13" t="s">
        <v>806</v>
      </c>
      <c r="HI76" s="13" t="s">
        <v>806</v>
      </c>
      <c r="HJ76" s="13" t="s">
        <v>806</v>
      </c>
      <c r="HL76" s="13" t="s">
        <v>806</v>
      </c>
    </row>
    <row r="77" spans="1:220" ht="12.75" customHeight="1" x14ac:dyDescent="0.25">
      <c r="A77" s="1" t="s">
        <v>362</v>
      </c>
      <c r="B77" s="1" t="s">
        <v>650</v>
      </c>
      <c r="E77" s="1" t="s">
        <v>139</v>
      </c>
      <c r="F77" s="1">
        <v>2</v>
      </c>
      <c r="G77" s="1">
        <v>2030</v>
      </c>
      <c r="H77" s="1">
        <v>1</v>
      </c>
      <c r="I77" s="1">
        <v>0</v>
      </c>
      <c r="J77" s="1">
        <v>0</v>
      </c>
      <c r="K77" s="19"/>
      <c r="L77" s="19"/>
      <c r="M77" s="19"/>
      <c r="N77" s="19"/>
      <c r="O77" s="19"/>
      <c r="P77" s="19"/>
      <c r="Q77" s="19">
        <v>4906.88</v>
      </c>
      <c r="R77" s="19">
        <v>498.65839999999997</v>
      </c>
      <c r="S77" s="19">
        <v>13412.412</v>
      </c>
      <c r="T77" s="19"/>
      <c r="U77" s="19"/>
      <c r="V77" s="19"/>
      <c r="W77" s="19">
        <v>2453.44</v>
      </c>
      <c r="X77" s="19">
        <v>0</v>
      </c>
      <c r="Y77" s="19">
        <v>7726.4664000000002</v>
      </c>
      <c r="Z77" s="19">
        <v>4906.88</v>
      </c>
      <c r="AA77" s="19">
        <v>498.65839999999997</v>
      </c>
      <c r="AB77" s="19">
        <v>13412.412</v>
      </c>
      <c r="AC77" s="19"/>
      <c r="AD77" s="19"/>
      <c r="AE77" s="19"/>
      <c r="AF77" s="19">
        <v>2453.44</v>
      </c>
      <c r="AG77" s="19">
        <v>0</v>
      </c>
      <c r="AH77" s="19">
        <v>7726.4664000000002</v>
      </c>
      <c r="AI77" s="19">
        <v>4906.88</v>
      </c>
      <c r="AJ77" s="19">
        <v>498.65839999999997</v>
      </c>
      <c r="AK77" s="19">
        <v>13412.412</v>
      </c>
      <c r="AL77" s="19">
        <v>2453.44</v>
      </c>
      <c r="AM77" s="19">
        <v>0</v>
      </c>
      <c r="AN77" s="19">
        <v>7726.4664000000002</v>
      </c>
      <c r="AO77" s="19">
        <v>4906.88</v>
      </c>
      <c r="AP77" s="19">
        <v>498.65839999999997</v>
      </c>
      <c r="AQ77" s="19">
        <v>13412.412</v>
      </c>
      <c r="AR77" s="19"/>
      <c r="AS77" s="19"/>
      <c r="AT77" s="19"/>
      <c r="AU77" s="19">
        <v>2453.44</v>
      </c>
      <c r="AV77" s="19">
        <v>0</v>
      </c>
      <c r="AW77" s="19">
        <v>7726.4664000000002</v>
      </c>
      <c r="AX77" s="19">
        <v>4906.88</v>
      </c>
      <c r="AY77" s="19">
        <v>498.65839999999997</v>
      </c>
      <c r="AZ77" s="19">
        <v>13412.412</v>
      </c>
      <c r="BA77" s="19"/>
      <c r="BB77" s="19"/>
      <c r="BC77" s="19"/>
      <c r="BD77" s="19">
        <v>2453.44</v>
      </c>
      <c r="BE77" s="19">
        <v>0</v>
      </c>
      <c r="BF77" s="19">
        <v>7726.4664000000002</v>
      </c>
      <c r="BG77" s="19">
        <v>4906.88</v>
      </c>
      <c r="BH77" s="19">
        <v>498.65839999999997</v>
      </c>
      <c r="BI77" s="19">
        <v>13412.412</v>
      </c>
      <c r="BJ77" s="19"/>
      <c r="BK77" s="19"/>
      <c r="BL77" s="19"/>
      <c r="BM77" s="19">
        <v>2453.44</v>
      </c>
      <c r="BN77" s="19">
        <v>0</v>
      </c>
      <c r="BO77" s="19">
        <v>7726.4664000000002</v>
      </c>
      <c r="BP77" s="19">
        <v>4906.88</v>
      </c>
      <c r="BQ77" s="19">
        <v>498.65839999999997</v>
      </c>
      <c r="BR77" s="19">
        <v>13412.412</v>
      </c>
      <c r="BS77" s="19"/>
      <c r="BT77" s="19"/>
      <c r="BU77" s="19"/>
      <c r="BV77" s="19">
        <v>2453.44</v>
      </c>
      <c r="BW77" s="19">
        <v>0</v>
      </c>
      <c r="BX77" s="19">
        <v>7726.4664000000002</v>
      </c>
      <c r="BY77" s="19">
        <v>4906.88</v>
      </c>
      <c r="BZ77" s="19">
        <v>498.65839999999997</v>
      </c>
      <c r="CA77" s="19">
        <v>13412.412</v>
      </c>
      <c r="CB77" s="19"/>
      <c r="CC77" s="19"/>
      <c r="CD77" s="19"/>
      <c r="CE77" s="19">
        <v>2453.44</v>
      </c>
      <c r="CF77" s="19">
        <v>0</v>
      </c>
      <c r="CG77" s="19">
        <v>7726.4664000000002</v>
      </c>
      <c r="CH77" s="19">
        <v>4906.88</v>
      </c>
      <c r="CI77" s="19">
        <v>498.65839999999997</v>
      </c>
      <c r="CJ77" s="19">
        <v>13412.412</v>
      </c>
      <c r="CK77" s="19"/>
      <c r="CL77" s="19"/>
      <c r="CM77" s="19"/>
      <c r="CN77" s="19">
        <v>2453.44</v>
      </c>
      <c r="CO77" s="19">
        <v>0</v>
      </c>
      <c r="CP77" s="19">
        <v>7726.4664000000002</v>
      </c>
      <c r="CQ77" s="19"/>
      <c r="CR77" s="19"/>
      <c r="CS77" s="19"/>
      <c r="CT77" s="19"/>
      <c r="CU77" s="11">
        <f>Tabelle58971121[[#This Row],[Mindestauslastung durch]]*Tabelle58971121[[#This Row],[installierte Leistung MW durch]]</f>
        <v>3345.6</v>
      </c>
      <c r="CV77" s="11">
        <f>Tabelle58971121[[#This Row],[Mindestauslastung min]]*Tabelle58971121[[#This Row],[installierte Leistung MW min]]</f>
        <v>3252.12</v>
      </c>
      <c r="CW77" s="11">
        <f>Tabelle58971121[[#This Row],[Mindestauslastung max]]*Tabelle58971121[[#This Row],[installierte Leistung MW max]]</f>
        <v>3439.08</v>
      </c>
      <c r="CX77" s="9">
        <v>0.15</v>
      </c>
      <c r="CY77" s="9">
        <v>0.15</v>
      </c>
      <c r="CZ77" s="9">
        <v>0.15</v>
      </c>
      <c r="DA77" s="9"/>
      <c r="DB77" s="9">
        <v>0.22</v>
      </c>
      <c r="DC77" s="9">
        <v>2.3E-2</v>
      </c>
      <c r="DD77" s="9">
        <v>0.58499999999999996</v>
      </c>
      <c r="DE77" s="9">
        <v>0.22</v>
      </c>
      <c r="DF77" s="9">
        <v>2.3E-2</v>
      </c>
      <c r="DG77" s="9">
        <v>0.58499999999999996</v>
      </c>
      <c r="DH77" s="9">
        <v>0.22</v>
      </c>
      <c r="DI77" s="9">
        <v>2.3E-2</v>
      </c>
      <c r="DJ77" s="9">
        <v>0.58499999999999996</v>
      </c>
      <c r="DK77" s="9">
        <v>0.22</v>
      </c>
      <c r="DL77" s="9">
        <v>2.3E-2</v>
      </c>
      <c r="DM77" s="9">
        <v>0.58499999999999996</v>
      </c>
      <c r="DN77" s="9">
        <v>0.22</v>
      </c>
      <c r="DO77" s="9">
        <v>2.3E-2</v>
      </c>
      <c r="DP77" s="9">
        <v>0.58499999999999996</v>
      </c>
      <c r="DQ77" s="9">
        <v>0.22</v>
      </c>
      <c r="DR77" s="9">
        <v>2.3E-2</v>
      </c>
      <c r="DS77" s="9">
        <v>0.58499999999999996</v>
      </c>
      <c r="DT77" s="9">
        <v>0.22</v>
      </c>
      <c r="DU77" s="9">
        <v>2.3E-2</v>
      </c>
      <c r="DV77" s="9">
        <v>0.58499999999999996</v>
      </c>
      <c r="DW77" s="9">
        <v>0.22</v>
      </c>
      <c r="DX77" s="9">
        <v>2.3E-2</v>
      </c>
      <c r="DY77" s="9">
        <v>0.58499999999999996</v>
      </c>
      <c r="DZ77" s="9">
        <v>0.22</v>
      </c>
      <c r="EA77" s="9">
        <v>2.3E-2</v>
      </c>
      <c r="EB77" s="9">
        <v>0.58499999999999996</v>
      </c>
      <c r="EC77" s="9"/>
      <c r="ED77" s="9"/>
      <c r="EE77" s="9"/>
      <c r="EF77" s="46">
        <f>Tabelle58971121[[#This Row],[Durchschnittsauslastung min]]*Tabelle58971121[[#This Row],[installierte Leistung MW min]]</f>
        <v>0</v>
      </c>
      <c r="EG77" s="46">
        <f>Tabelle58971121[[#This Row],[Durchschnittsauslastung durch]]*Tabelle58971121[[#This Row],[installierte Leistung MW durch]]</f>
        <v>0</v>
      </c>
      <c r="EH77" s="46">
        <f>Tabelle58971121[[#This Row],[Durchschnittsauslastung max]]*Tabelle58971121[[#This Row],[installierte Leistung MW max]]</f>
        <v>0</v>
      </c>
      <c r="EI77" s="83">
        <f>Tabelle58971121[[#This Row],[Maximalauslastung durch]]*Tabelle58971121[[#This Row],[installierte Leistung MW min]]</f>
        <v>7154.6639999999998</v>
      </c>
      <c r="EJ77" s="46">
        <f>Tabelle58971121[[#This Row],[Maximalauslastung durch]]*Tabelle58971121[[#This Row],[installierte Leistung MW durch]]</f>
        <v>7360.3200000000006</v>
      </c>
      <c r="EK77" s="19">
        <f>Tabelle58971121[[#This Row],[Maximalauslastung max]]*Tabelle58971121[[#This Row],[installierte Leistung MW durch]]</f>
        <v>8029.44</v>
      </c>
      <c r="EL77" s="9">
        <v>0.33</v>
      </c>
      <c r="EM77" s="9">
        <v>0.3</v>
      </c>
      <c r="EN77" s="9">
        <v>0.36</v>
      </c>
      <c r="EO77" s="1">
        <v>22304</v>
      </c>
      <c r="EP77" s="1">
        <v>21680.799999999999</v>
      </c>
      <c r="EQ77" s="1">
        <v>22927.200000000001</v>
      </c>
      <c r="ER77" s="19"/>
      <c r="ES77" s="19"/>
      <c r="EX77" s="1">
        <v>0.25</v>
      </c>
      <c r="EY77" s="1">
        <v>0.2</v>
      </c>
      <c r="EZ77" s="1">
        <v>0.3</v>
      </c>
      <c r="FD77" s="1">
        <v>0.25</v>
      </c>
      <c r="FE77" s="1">
        <v>0.2</v>
      </c>
      <c r="FF77" s="1">
        <v>0.3</v>
      </c>
      <c r="FG77" s="1">
        <v>0.5</v>
      </c>
      <c r="FH77" s="1">
        <v>0.4</v>
      </c>
      <c r="FI77" s="1">
        <v>0.6</v>
      </c>
      <c r="FJ77" s="1">
        <v>0.5</v>
      </c>
      <c r="FK77" s="1">
        <v>0.5</v>
      </c>
      <c r="FL77" s="1">
        <v>0.5</v>
      </c>
      <c r="FP77" s="1">
        <v>365</v>
      </c>
      <c r="FQ77" s="1">
        <v>328</v>
      </c>
      <c r="FR77" s="1">
        <v>402</v>
      </c>
      <c r="FS77" s="11"/>
      <c r="FT77" s="11"/>
      <c r="FU77" s="11"/>
      <c r="FV77" s="1">
        <v>365</v>
      </c>
      <c r="FW77" s="1">
        <v>328</v>
      </c>
      <c r="FX77" s="1">
        <v>402</v>
      </c>
      <c r="FY77" s="1">
        <v>145.52352941176468</v>
      </c>
      <c r="FZ77" s="19">
        <v>130.9711764705882</v>
      </c>
      <c r="GA77" s="19">
        <v>160.07588235294116</v>
      </c>
      <c r="GB77" s="19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>
        <v>9.972941176470588</v>
      </c>
      <c r="GO77" s="8">
        <v>3.5617647058823536</v>
      </c>
      <c r="GP77" s="8">
        <v>16.384117647058822</v>
      </c>
      <c r="GS77" s="1">
        <v>67</v>
      </c>
      <c r="GT77" s="1">
        <v>67</v>
      </c>
      <c r="GU77" s="1">
        <v>67</v>
      </c>
      <c r="GV77" s="13" t="s">
        <v>806</v>
      </c>
      <c r="GW77" s="13" t="s">
        <v>806</v>
      </c>
      <c r="GX77" s="13" t="s">
        <v>806</v>
      </c>
      <c r="GY77" s="13"/>
      <c r="GZ77" s="13" t="s">
        <v>806</v>
      </c>
      <c r="HA77" s="13" t="s">
        <v>806</v>
      </c>
      <c r="HB77" s="13" t="s">
        <v>806</v>
      </c>
      <c r="HC77" s="13" t="s">
        <v>806</v>
      </c>
      <c r="HD77" s="13" t="s">
        <v>806</v>
      </c>
      <c r="HE77" s="13" t="s">
        <v>806</v>
      </c>
      <c r="HF77" s="13" t="s">
        <v>806</v>
      </c>
      <c r="HI77" s="13" t="s">
        <v>806</v>
      </c>
      <c r="HJ77" s="13" t="s">
        <v>806</v>
      </c>
      <c r="HL77" s="13" t="s">
        <v>806</v>
      </c>
    </row>
    <row r="78" spans="1:220" ht="12.75" customHeight="1" x14ac:dyDescent="0.25">
      <c r="A78" s="1" t="s">
        <v>362</v>
      </c>
      <c r="B78" s="1" t="s">
        <v>650</v>
      </c>
      <c r="E78" s="1" t="s">
        <v>139</v>
      </c>
      <c r="F78" s="1">
        <v>2</v>
      </c>
      <c r="G78" s="1">
        <v>2035</v>
      </c>
      <c r="H78" s="1">
        <v>1</v>
      </c>
      <c r="I78" s="1">
        <v>0</v>
      </c>
      <c r="J78" s="1">
        <v>0</v>
      </c>
      <c r="K78" s="19"/>
      <c r="L78" s="19"/>
      <c r="M78" s="19"/>
      <c r="N78" s="19"/>
      <c r="O78" s="19"/>
      <c r="P78" s="19"/>
      <c r="Q78" s="19">
        <v>5789.52</v>
      </c>
      <c r="R78" s="19">
        <v>588.35609999999997</v>
      </c>
      <c r="S78" s="19">
        <v>15825.0105</v>
      </c>
      <c r="T78" s="19"/>
      <c r="U78" s="19"/>
      <c r="V78" s="19"/>
      <c r="W78" s="19">
        <v>2894.76</v>
      </c>
      <c r="X78" s="19">
        <v>0</v>
      </c>
      <c r="Y78" s="19">
        <v>9116.2881000000016</v>
      </c>
      <c r="Z78" s="19">
        <v>5789.52</v>
      </c>
      <c r="AA78" s="19">
        <v>588.35609999999997</v>
      </c>
      <c r="AB78" s="19">
        <v>15825.0105</v>
      </c>
      <c r="AC78" s="19"/>
      <c r="AD78" s="19"/>
      <c r="AE78" s="19"/>
      <c r="AF78" s="19">
        <v>2894.76</v>
      </c>
      <c r="AG78" s="19">
        <v>0</v>
      </c>
      <c r="AH78" s="19">
        <v>9116.2881000000016</v>
      </c>
      <c r="AI78" s="19">
        <v>5789.52</v>
      </c>
      <c r="AJ78" s="19">
        <v>588.35609999999997</v>
      </c>
      <c r="AK78" s="19">
        <v>15825.0105</v>
      </c>
      <c r="AL78" s="19">
        <v>2894.76</v>
      </c>
      <c r="AM78" s="19">
        <v>0</v>
      </c>
      <c r="AN78" s="19">
        <v>9116.2881000000016</v>
      </c>
      <c r="AO78" s="19">
        <v>5789.52</v>
      </c>
      <c r="AP78" s="19">
        <v>588.35609999999997</v>
      </c>
      <c r="AQ78" s="19">
        <v>15825.0105</v>
      </c>
      <c r="AR78" s="19"/>
      <c r="AS78" s="19"/>
      <c r="AT78" s="19"/>
      <c r="AU78" s="19">
        <v>2894.76</v>
      </c>
      <c r="AV78" s="19">
        <v>0</v>
      </c>
      <c r="AW78" s="19">
        <v>9116.2881000000016</v>
      </c>
      <c r="AX78" s="19">
        <v>5789.52</v>
      </c>
      <c r="AY78" s="19">
        <v>588.35609999999997</v>
      </c>
      <c r="AZ78" s="19">
        <v>15825.0105</v>
      </c>
      <c r="BA78" s="19"/>
      <c r="BB78" s="19"/>
      <c r="BC78" s="19"/>
      <c r="BD78" s="19">
        <v>2894.76</v>
      </c>
      <c r="BE78" s="19">
        <v>0</v>
      </c>
      <c r="BF78" s="19">
        <v>9116.2881000000016</v>
      </c>
      <c r="BG78" s="19">
        <v>5789.52</v>
      </c>
      <c r="BH78" s="19">
        <v>588.35609999999997</v>
      </c>
      <c r="BI78" s="19">
        <v>15825.0105</v>
      </c>
      <c r="BJ78" s="19"/>
      <c r="BK78" s="19"/>
      <c r="BL78" s="19"/>
      <c r="BM78" s="19">
        <v>2894.76</v>
      </c>
      <c r="BN78" s="19">
        <v>0</v>
      </c>
      <c r="BO78" s="19">
        <v>9116.2881000000016</v>
      </c>
      <c r="BP78" s="19">
        <v>5789.52</v>
      </c>
      <c r="BQ78" s="19">
        <v>588.35609999999997</v>
      </c>
      <c r="BR78" s="19">
        <v>15825.0105</v>
      </c>
      <c r="BS78" s="19"/>
      <c r="BT78" s="19"/>
      <c r="BU78" s="19"/>
      <c r="BV78" s="19">
        <v>2894.76</v>
      </c>
      <c r="BW78" s="19">
        <v>0</v>
      </c>
      <c r="BX78" s="19">
        <v>9116.2881000000016</v>
      </c>
      <c r="BY78" s="19">
        <v>5789.52</v>
      </c>
      <c r="BZ78" s="19">
        <v>588.35609999999997</v>
      </c>
      <c r="CA78" s="19">
        <v>15825.0105</v>
      </c>
      <c r="CB78" s="19"/>
      <c r="CC78" s="19"/>
      <c r="CD78" s="19"/>
      <c r="CE78" s="19">
        <v>2894.76</v>
      </c>
      <c r="CF78" s="19">
        <v>0</v>
      </c>
      <c r="CG78" s="19">
        <v>9116.2881000000016</v>
      </c>
      <c r="CH78" s="19">
        <v>5789.52</v>
      </c>
      <c r="CI78" s="19">
        <v>588.35609999999997</v>
      </c>
      <c r="CJ78" s="19">
        <v>15825.0105</v>
      </c>
      <c r="CK78" s="19"/>
      <c r="CL78" s="19"/>
      <c r="CM78" s="19"/>
      <c r="CN78" s="19">
        <v>2894.76</v>
      </c>
      <c r="CO78" s="19">
        <v>0</v>
      </c>
      <c r="CP78" s="19">
        <v>9116.2881000000016</v>
      </c>
      <c r="CQ78" s="19"/>
      <c r="CR78" s="19"/>
      <c r="CS78" s="19"/>
      <c r="CT78" s="19"/>
      <c r="CU78" s="11">
        <f>Tabelle58971121[[#This Row],[Mindestauslastung durch]]*Tabelle58971121[[#This Row],[installierte Leistung MW durch]]</f>
        <v>3947.3999999999996</v>
      </c>
      <c r="CV78" s="11">
        <f>Tabelle58971121[[#This Row],[Mindestauslastung min]]*Tabelle58971121[[#This Row],[installierte Leistung MW min]]</f>
        <v>3837.105</v>
      </c>
      <c r="CW78" s="11">
        <f>Tabelle58971121[[#This Row],[Mindestauslastung max]]*Tabelle58971121[[#This Row],[installierte Leistung MW max]]</f>
        <v>4057.6949999999997</v>
      </c>
      <c r="CX78" s="9">
        <v>0.15</v>
      </c>
      <c r="CY78" s="9">
        <v>0.15</v>
      </c>
      <c r="CZ78" s="9">
        <v>0.15</v>
      </c>
      <c r="DA78" s="9"/>
      <c r="DB78" s="9">
        <v>0.22</v>
      </c>
      <c r="DC78" s="9">
        <v>2.3E-2</v>
      </c>
      <c r="DD78" s="9">
        <v>0.58499999999999996</v>
      </c>
      <c r="DE78" s="9">
        <v>0.22</v>
      </c>
      <c r="DF78" s="9">
        <v>2.3E-2</v>
      </c>
      <c r="DG78" s="9">
        <v>0.58499999999999996</v>
      </c>
      <c r="DH78" s="9">
        <v>0.22</v>
      </c>
      <c r="DI78" s="9">
        <v>2.3E-2</v>
      </c>
      <c r="DJ78" s="9">
        <v>0.58499999999999996</v>
      </c>
      <c r="DK78" s="9">
        <v>0.22</v>
      </c>
      <c r="DL78" s="9">
        <v>2.3E-2</v>
      </c>
      <c r="DM78" s="9">
        <v>0.58499999999999996</v>
      </c>
      <c r="DN78" s="9">
        <v>0.22</v>
      </c>
      <c r="DO78" s="9">
        <v>2.3E-2</v>
      </c>
      <c r="DP78" s="9">
        <v>0.58499999999999996</v>
      </c>
      <c r="DQ78" s="9">
        <v>0.22</v>
      </c>
      <c r="DR78" s="9">
        <v>2.3E-2</v>
      </c>
      <c r="DS78" s="9">
        <v>0.58499999999999996</v>
      </c>
      <c r="DT78" s="9">
        <v>0.22</v>
      </c>
      <c r="DU78" s="9">
        <v>2.3E-2</v>
      </c>
      <c r="DV78" s="9">
        <v>0.58499999999999996</v>
      </c>
      <c r="DW78" s="9">
        <v>0.22</v>
      </c>
      <c r="DX78" s="9">
        <v>2.3E-2</v>
      </c>
      <c r="DY78" s="9">
        <v>0.58499999999999996</v>
      </c>
      <c r="DZ78" s="9">
        <v>0.22</v>
      </c>
      <c r="EA78" s="9">
        <v>2.3E-2</v>
      </c>
      <c r="EB78" s="9">
        <v>0.58499999999999996</v>
      </c>
      <c r="EC78" s="9"/>
      <c r="ED78" s="9"/>
      <c r="EE78" s="9"/>
      <c r="EF78" s="46">
        <f>Tabelle58971121[[#This Row],[Durchschnittsauslastung min]]*Tabelle58971121[[#This Row],[installierte Leistung MW min]]</f>
        <v>0</v>
      </c>
      <c r="EG78" s="46">
        <f>Tabelle58971121[[#This Row],[Durchschnittsauslastung durch]]*Tabelle58971121[[#This Row],[installierte Leistung MW durch]]</f>
        <v>0</v>
      </c>
      <c r="EH78" s="46">
        <f>Tabelle58971121[[#This Row],[Durchschnittsauslastung max]]*Tabelle58971121[[#This Row],[installierte Leistung MW max]]</f>
        <v>0</v>
      </c>
      <c r="EI78" s="83">
        <f>Tabelle58971121[[#This Row],[Maximalauslastung durch]]*Tabelle58971121[[#This Row],[installierte Leistung MW min]]</f>
        <v>8441.6310000000012</v>
      </c>
      <c r="EJ78" s="46">
        <f>Tabelle58971121[[#This Row],[Maximalauslastung durch]]*Tabelle58971121[[#This Row],[installierte Leistung MW durch]]</f>
        <v>8684.2800000000007</v>
      </c>
      <c r="EK78" s="19">
        <f>Tabelle58971121[[#This Row],[Maximalauslastung max]]*Tabelle58971121[[#This Row],[installierte Leistung MW durch]]</f>
        <v>9473.76</v>
      </c>
      <c r="EL78" s="9">
        <v>0.33</v>
      </c>
      <c r="EM78" s="9">
        <v>0.3</v>
      </c>
      <c r="EN78" s="9">
        <v>0.36</v>
      </c>
      <c r="EO78" s="1">
        <v>26316</v>
      </c>
      <c r="EP78" s="1">
        <v>25580.7</v>
      </c>
      <c r="EQ78" s="1">
        <v>27051.3</v>
      </c>
      <c r="ER78" s="19"/>
      <c r="ES78" s="19"/>
      <c r="EX78" s="1">
        <v>0.25</v>
      </c>
      <c r="EY78" s="1">
        <v>0.2</v>
      </c>
      <c r="EZ78" s="1">
        <v>0.3</v>
      </c>
      <c r="FD78" s="1">
        <v>0.25</v>
      </c>
      <c r="FE78" s="1">
        <v>0.2</v>
      </c>
      <c r="FF78" s="1">
        <v>0.3</v>
      </c>
      <c r="FG78" s="1">
        <v>0.5</v>
      </c>
      <c r="FH78" s="1">
        <v>0.4</v>
      </c>
      <c r="FI78" s="1">
        <v>0.6</v>
      </c>
      <c r="FJ78" s="1">
        <v>0.5</v>
      </c>
      <c r="FK78" s="1">
        <v>0.5</v>
      </c>
      <c r="FL78" s="1">
        <v>0.5</v>
      </c>
      <c r="FP78" s="1">
        <v>365</v>
      </c>
      <c r="FQ78" s="1">
        <v>328</v>
      </c>
      <c r="FR78" s="1">
        <v>402</v>
      </c>
      <c r="FS78" s="11"/>
      <c r="FT78" s="11"/>
      <c r="FU78" s="11"/>
      <c r="FV78" s="1">
        <v>365</v>
      </c>
      <c r="FW78" s="1">
        <v>328</v>
      </c>
      <c r="FX78" s="1">
        <v>402</v>
      </c>
      <c r="FY78" s="1">
        <v>145.52352941176468</v>
      </c>
      <c r="FZ78" s="19">
        <v>130.9711764705882</v>
      </c>
      <c r="GA78" s="19">
        <v>160.07588235294116</v>
      </c>
      <c r="GB78" s="19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>
        <v>9.972941176470588</v>
      </c>
      <c r="GO78" s="8">
        <v>3.5617647058823536</v>
      </c>
      <c r="GP78" s="8">
        <v>16.384117647058822</v>
      </c>
      <c r="GS78" s="1">
        <v>67</v>
      </c>
      <c r="GT78" s="1">
        <v>67</v>
      </c>
      <c r="GU78" s="1">
        <v>67</v>
      </c>
      <c r="GV78" s="13" t="s">
        <v>806</v>
      </c>
      <c r="GW78" s="13" t="s">
        <v>806</v>
      </c>
      <c r="GX78" s="13" t="s">
        <v>806</v>
      </c>
      <c r="GY78" s="13"/>
      <c r="GZ78" s="13" t="s">
        <v>806</v>
      </c>
      <c r="HA78" s="13" t="s">
        <v>806</v>
      </c>
      <c r="HB78" s="13" t="s">
        <v>806</v>
      </c>
      <c r="HC78" s="13" t="s">
        <v>806</v>
      </c>
      <c r="HD78" s="13" t="s">
        <v>806</v>
      </c>
      <c r="HE78" s="13" t="s">
        <v>806</v>
      </c>
      <c r="HF78" s="13" t="s">
        <v>806</v>
      </c>
      <c r="HI78" s="13" t="s">
        <v>806</v>
      </c>
      <c r="HJ78" s="13" t="s">
        <v>806</v>
      </c>
      <c r="HL78" s="13" t="s">
        <v>806</v>
      </c>
    </row>
    <row r="79" spans="1:220" ht="12.75" customHeight="1" x14ac:dyDescent="0.25">
      <c r="A79" s="1" t="s">
        <v>362</v>
      </c>
      <c r="B79" s="1" t="s">
        <v>650</v>
      </c>
      <c r="E79" s="1" t="s">
        <v>139</v>
      </c>
      <c r="F79" s="1">
        <v>2</v>
      </c>
      <c r="G79" s="1">
        <v>2040</v>
      </c>
      <c r="H79" s="1">
        <v>1</v>
      </c>
      <c r="I79" s="1">
        <v>0</v>
      </c>
      <c r="J79" s="1">
        <v>0</v>
      </c>
      <c r="K79" s="19"/>
      <c r="L79" s="19"/>
      <c r="M79" s="19"/>
      <c r="N79" s="19"/>
      <c r="O79" s="19"/>
      <c r="P79" s="19"/>
      <c r="Q79" s="19">
        <v>6821.7599999999993</v>
      </c>
      <c r="R79" s="19">
        <v>693.2568</v>
      </c>
      <c r="S79" s="19">
        <v>18646.523999999998</v>
      </c>
      <c r="T79" s="19"/>
      <c r="U79" s="19"/>
      <c r="V79" s="19"/>
      <c r="W79" s="19">
        <v>3410.8799999999997</v>
      </c>
      <c r="X79" s="19">
        <v>0</v>
      </c>
      <c r="Y79" s="19">
        <v>10741.6728</v>
      </c>
      <c r="Z79" s="19">
        <v>6821.7599999999993</v>
      </c>
      <c r="AA79" s="19">
        <v>693.2568</v>
      </c>
      <c r="AB79" s="19">
        <v>18646.523999999998</v>
      </c>
      <c r="AC79" s="19"/>
      <c r="AD79" s="19"/>
      <c r="AE79" s="19"/>
      <c r="AF79" s="19">
        <v>3410.8799999999997</v>
      </c>
      <c r="AG79" s="19">
        <v>0</v>
      </c>
      <c r="AH79" s="19">
        <v>10741.6728</v>
      </c>
      <c r="AI79" s="19">
        <v>6821.7599999999993</v>
      </c>
      <c r="AJ79" s="19">
        <v>693.2568</v>
      </c>
      <c r="AK79" s="19">
        <v>18646.523999999998</v>
      </c>
      <c r="AL79" s="19">
        <v>3410.8799999999997</v>
      </c>
      <c r="AM79" s="19">
        <v>0</v>
      </c>
      <c r="AN79" s="19">
        <v>10741.6728</v>
      </c>
      <c r="AO79" s="19">
        <v>6821.7599999999993</v>
      </c>
      <c r="AP79" s="19">
        <v>693.2568</v>
      </c>
      <c r="AQ79" s="19">
        <v>18646.523999999998</v>
      </c>
      <c r="AR79" s="19"/>
      <c r="AS79" s="19"/>
      <c r="AT79" s="19"/>
      <c r="AU79" s="19">
        <v>3410.8799999999997</v>
      </c>
      <c r="AV79" s="19">
        <v>0</v>
      </c>
      <c r="AW79" s="19">
        <v>10741.6728</v>
      </c>
      <c r="AX79" s="19">
        <v>6821.7599999999993</v>
      </c>
      <c r="AY79" s="19">
        <v>693.2568</v>
      </c>
      <c r="AZ79" s="19">
        <v>18646.523999999998</v>
      </c>
      <c r="BA79" s="19"/>
      <c r="BB79" s="19"/>
      <c r="BC79" s="19"/>
      <c r="BD79" s="19">
        <v>3410.8799999999997</v>
      </c>
      <c r="BE79" s="19">
        <v>0</v>
      </c>
      <c r="BF79" s="19">
        <v>10741.6728</v>
      </c>
      <c r="BG79" s="19">
        <v>6821.7599999999993</v>
      </c>
      <c r="BH79" s="19">
        <v>693.2568</v>
      </c>
      <c r="BI79" s="19">
        <v>18646.523999999998</v>
      </c>
      <c r="BJ79" s="19"/>
      <c r="BK79" s="19"/>
      <c r="BL79" s="19"/>
      <c r="BM79" s="19">
        <v>3410.8799999999997</v>
      </c>
      <c r="BN79" s="19">
        <v>0</v>
      </c>
      <c r="BO79" s="19">
        <v>10741.6728</v>
      </c>
      <c r="BP79" s="19">
        <v>6821.7599999999993</v>
      </c>
      <c r="BQ79" s="19">
        <v>693.2568</v>
      </c>
      <c r="BR79" s="19">
        <v>18646.523999999998</v>
      </c>
      <c r="BS79" s="19"/>
      <c r="BT79" s="19"/>
      <c r="BU79" s="19"/>
      <c r="BV79" s="19">
        <v>3410.8799999999997</v>
      </c>
      <c r="BW79" s="19">
        <v>0</v>
      </c>
      <c r="BX79" s="19">
        <v>10741.6728</v>
      </c>
      <c r="BY79" s="19">
        <v>6821.7599999999993</v>
      </c>
      <c r="BZ79" s="19">
        <v>693.2568</v>
      </c>
      <c r="CA79" s="19">
        <v>18646.523999999998</v>
      </c>
      <c r="CB79" s="19"/>
      <c r="CC79" s="19"/>
      <c r="CD79" s="19"/>
      <c r="CE79" s="19">
        <v>3410.8799999999997</v>
      </c>
      <c r="CF79" s="19">
        <v>0</v>
      </c>
      <c r="CG79" s="19">
        <v>10741.6728</v>
      </c>
      <c r="CH79" s="19">
        <v>6821.7599999999993</v>
      </c>
      <c r="CI79" s="19">
        <v>693.2568</v>
      </c>
      <c r="CJ79" s="19">
        <v>18646.523999999998</v>
      </c>
      <c r="CK79" s="19"/>
      <c r="CL79" s="19"/>
      <c r="CM79" s="19"/>
      <c r="CN79" s="19">
        <v>3410.8799999999997</v>
      </c>
      <c r="CO79" s="19">
        <v>0</v>
      </c>
      <c r="CP79" s="19">
        <v>10741.6728</v>
      </c>
      <c r="CQ79" s="19"/>
      <c r="CR79" s="19"/>
      <c r="CS79" s="19"/>
      <c r="CT79" s="19"/>
      <c r="CU79" s="11">
        <f>Tabelle58971121[[#This Row],[Mindestauslastung durch]]*Tabelle58971121[[#This Row],[installierte Leistung MW durch]]</f>
        <v>4651.2</v>
      </c>
      <c r="CV79" s="11">
        <f>Tabelle58971121[[#This Row],[Mindestauslastung min]]*Tabelle58971121[[#This Row],[installierte Leistung MW min]]</f>
        <v>4521.24</v>
      </c>
      <c r="CW79" s="11">
        <f>Tabelle58971121[[#This Row],[Mindestauslastung max]]*Tabelle58971121[[#This Row],[installierte Leistung MW max]]</f>
        <v>4781.16</v>
      </c>
      <c r="CX79" s="9">
        <v>0.15</v>
      </c>
      <c r="CY79" s="9">
        <v>0.15</v>
      </c>
      <c r="CZ79" s="9">
        <v>0.15</v>
      </c>
      <c r="DA79" s="9"/>
      <c r="DB79" s="9">
        <v>0.22</v>
      </c>
      <c r="DC79" s="9">
        <v>2.3E-2</v>
      </c>
      <c r="DD79" s="9">
        <v>0.58499999999999996</v>
      </c>
      <c r="DE79" s="9">
        <v>0.22</v>
      </c>
      <c r="DF79" s="9">
        <v>2.3E-2</v>
      </c>
      <c r="DG79" s="9">
        <v>0.58499999999999996</v>
      </c>
      <c r="DH79" s="9">
        <v>0.22</v>
      </c>
      <c r="DI79" s="9">
        <v>2.3E-2</v>
      </c>
      <c r="DJ79" s="9">
        <v>0.58499999999999996</v>
      </c>
      <c r="DK79" s="9">
        <v>0.22</v>
      </c>
      <c r="DL79" s="9">
        <v>2.3E-2</v>
      </c>
      <c r="DM79" s="9">
        <v>0.58499999999999996</v>
      </c>
      <c r="DN79" s="9">
        <v>0.22</v>
      </c>
      <c r="DO79" s="9">
        <v>2.3E-2</v>
      </c>
      <c r="DP79" s="9">
        <v>0.58499999999999996</v>
      </c>
      <c r="DQ79" s="9">
        <v>0.22</v>
      </c>
      <c r="DR79" s="9">
        <v>2.3E-2</v>
      </c>
      <c r="DS79" s="9">
        <v>0.58499999999999996</v>
      </c>
      <c r="DT79" s="9">
        <v>0.22</v>
      </c>
      <c r="DU79" s="9">
        <v>2.3E-2</v>
      </c>
      <c r="DV79" s="9">
        <v>0.58499999999999996</v>
      </c>
      <c r="DW79" s="9">
        <v>0.22</v>
      </c>
      <c r="DX79" s="9">
        <v>2.3E-2</v>
      </c>
      <c r="DY79" s="9">
        <v>0.58499999999999996</v>
      </c>
      <c r="DZ79" s="9">
        <v>0.22</v>
      </c>
      <c r="EA79" s="9">
        <v>2.3E-2</v>
      </c>
      <c r="EB79" s="9">
        <v>0.58499999999999996</v>
      </c>
      <c r="EC79" s="9"/>
      <c r="ED79" s="9"/>
      <c r="EE79" s="9"/>
      <c r="EF79" s="46">
        <f>Tabelle58971121[[#This Row],[Durchschnittsauslastung min]]*Tabelle58971121[[#This Row],[installierte Leistung MW min]]</f>
        <v>0</v>
      </c>
      <c r="EG79" s="46">
        <f>Tabelle58971121[[#This Row],[Durchschnittsauslastung durch]]*Tabelle58971121[[#This Row],[installierte Leistung MW durch]]</f>
        <v>0</v>
      </c>
      <c r="EH79" s="46">
        <f>Tabelle58971121[[#This Row],[Durchschnittsauslastung max]]*Tabelle58971121[[#This Row],[installierte Leistung MW max]]</f>
        <v>0</v>
      </c>
      <c r="EI79" s="83">
        <f>Tabelle58971121[[#This Row],[Maximalauslastung durch]]*Tabelle58971121[[#This Row],[installierte Leistung MW min]]</f>
        <v>9946.7279999999992</v>
      </c>
      <c r="EJ79" s="46">
        <f>Tabelle58971121[[#This Row],[Maximalauslastung durch]]*Tabelle58971121[[#This Row],[installierte Leistung MW durch]]</f>
        <v>10232.640000000001</v>
      </c>
      <c r="EK79" s="19">
        <f>Tabelle58971121[[#This Row],[Maximalauslastung max]]*Tabelle58971121[[#This Row],[installierte Leistung MW durch]]</f>
        <v>11162.88</v>
      </c>
      <c r="EL79" s="9">
        <v>0.33</v>
      </c>
      <c r="EM79" s="9">
        <v>0.3</v>
      </c>
      <c r="EN79" s="9">
        <v>0.36</v>
      </c>
      <c r="EO79" s="1">
        <v>31008</v>
      </c>
      <c r="EP79" s="1">
        <v>30141.599999999999</v>
      </c>
      <c r="EQ79" s="1">
        <v>31874.400000000001</v>
      </c>
      <c r="ER79" s="19"/>
      <c r="ES79" s="19"/>
      <c r="EX79" s="1">
        <v>0.25</v>
      </c>
      <c r="EY79" s="1">
        <v>0.2</v>
      </c>
      <c r="EZ79" s="1">
        <v>0.3</v>
      </c>
      <c r="FD79" s="1">
        <v>0.25</v>
      </c>
      <c r="FE79" s="1">
        <v>0.2</v>
      </c>
      <c r="FF79" s="1">
        <v>0.3</v>
      </c>
      <c r="FG79" s="1">
        <v>0.5</v>
      </c>
      <c r="FH79" s="1">
        <v>0.4</v>
      </c>
      <c r="FI79" s="1">
        <v>0.6</v>
      </c>
      <c r="FJ79" s="1">
        <v>0.5</v>
      </c>
      <c r="FK79" s="1">
        <v>0.5</v>
      </c>
      <c r="FL79" s="1">
        <v>0.5</v>
      </c>
      <c r="FP79" s="1">
        <v>365</v>
      </c>
      <c r="FQ79" s="1">
        <v>328</v>
      </c>
      <c r="FR79" s="1">
        <v>402</v>
      </c>
      <c r="FS79" s="11"/>
      <c r="FT79" s="11"/>
      <c r="FU79" s="11"/>
      <c r="FV79" s="1">
        <v>365</v>
      </c>
      <c r="FW79" s="1">
        <v>328</v>
      </c>
      <c r="FX79" s="1">
        <v>402</v>
      </c>
      <c r="FY79" s="1">
        <v>145.52352941176468</v>
      </c>
      <c r="FZ79" s="19">
        <v>130.9711764705882</v>
      </c>
      <c r="GA79" s="19">
        <v>160.07588235294116</v>
      </c>
      <c r="GB79" s="19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>
        <v>9.972941176470588</v>
      </c>
      <c r="GO79" s="8">
        <v>3.5617647058823536</v>
      </c>
      <c r="GP79" s="8">
        <v>16.384117647058822</v>
      </c>
      <c r="GS79" s="1">
        <v>67</v>
      </c>
      <c r="GT79" s="1">
        <v>67</v>
      </c>
      <c r="GU79" s="1">
        <v>67</v>
      </c>
      <c r="GV79" s="13" t="s">
        <v>806</v>
      </c>
      <c r="GW79" s="13" t="s">
        <v>806</v>
      </c>
      <c r="GX79" s="13" t="s">
        <v>806</v>
      </c>
      <c r="GY79" s="13"/>
      <c r="GZ79" s="13" t="s">
        <v>806</v>
      </c>
      <c r="HA79" s="13" t="s">
        <v>806</v>
      </c>
      <c r="HB79" s="13" t="s">
        <v>806</v>
      </c>
      <c r="HC79" s="13" t="s">
        <v>806</v>
      </c>
      <c r="HD79" s="13" t="s">
        <v>806</v>
      </c>
      <c r="HE79" s="13" t="s">
        <v>806</v>
      </c>
      <c r="HF79" s="13" t="s">
        <v>806</v>
      </c>
      <c r="HI79" s="13" t="s">
        <v>806</v>
      </c>
      <c r="HJ79" s="13" t="s">
        <v>806</v>
      </c>
      <c r="HL79" s="13" t="s">
        <v>806</v>
      </c>
    </row>
    <row r="80" spans="1:220" ht="12.75" customHeight="1" x14ac:dyDescent="0.25">
      <c r="A80" s="1" t="s">
        <v>362</v>
      </c>
      <c r="B80" s="1" t="s">
        <v>650</v>
      </c>
      <c r="E80" s="1" t="s">
        <v>139</v>
      </c>
      <c r="F80" s="1">
        <v>2</v>
      </c>
      <c r="G80" s="1">
        <v>2045</v>
      </c>
      <c r="H80" s="1">
        <v>1</v>
      </c>
      <c r="I80" s="1">
        <v>0</v>
      </c>
      <c r="J80" s="1">
        <v>0</v>
      </c>
      <c r="K80" s="19"/>
      <c r="L80" s="19"/>
      <c r="M80" s="19"/>
      <c r="N80" s="19"/>
      <c r="O80" s="19"/>
      <c r="P80" s="19"/>
      <c r="Q80" s="19">
        <v>8063.44</v>
      </c>
      <c r="R80" s="19">
        <v>819.44169999999997</v>
      </c>
      <c r="S80" s="19">
        <v>22040.518499999998</v>
      </c>
      <c r="T80" s="19"/>
      <c r="U80" s="19"/>
      <c r="V80" s="19"/>
      <c r="W80" s="19">
        <v>4031.72</v>
      </c>
      <c r="X80" s="19">
        <v>0</v>
      </c>
      <c r="Y80" s="19">
        <v>12696.8457</v>
      </c>
      <c r="Z80" s="19">
        <v>8063.44</v>
      </c>
      <c r="AA80" s="19">
        <v>819.44169999999997</v>
      </c>
      <c r="AB80" s="19">
        <v>22040.518499999998</v>
      </c>
      <c r="AC80" s="19"/>
      <c r="AD80" s="19"/>
      <c r="AE80" s="19"/>
      <c r="AF80" s="19">
        <v>4031.72</v>
      </c>
      <c r="AG80" s="19">
        <v>0</v>
      </c>
      <c r="AH80" s="19">
        <v>12696.8457</v>
      </c>
      <c r="AI80" s="19">
        <v>8063.44</v>
      </c>
      <c r="AJ80" s="19">
        <v>819.44169999999997</v>
      </c>
      <c r="AK80" s="19">
        <v>22040.518499999998</v>
      </c>
      <c r="AL80" s="19">
        <v>4031.72</v>
      </c>
      <c r="AM80" s="19">
        <v>0</v>
      </c>
      <c r="AN80" s="19">
        <v>12696.8457</v>
      </c>
      <c r="AO80" s="19">
        <v>8063.44</v>
      </c>
      <c r="AP80" s="19">
        <v>819.44169999999997</v>
      </c>
      <c r="AQ80" s="19">
        <v>22040.518499999998</v>
      </c>
      <c r="AR80" s="19"/>
      <c r="AS80" s="19"/>
      <c r="AT80" s="19"/>
      <c r="AU80" s="19">
        <v>4031.72</v>
      </c>
      <c r="AV80" s="19">
        <v>0</v>
      </c>
      <c r="AW80" s="19">
        <v>12696.8457</v>
      </c>
      <c r="AX80" s="19">
        <v>8063.44</v>
      </c>
      <c r="AY80" s="19">
        <v>819.44169999999997</v>
      </c>
      <c r="AZ80" s="19">
        <v>22040.518499999998</v>
      </c>
      <c r="BA80" s="19"/>
      <c r="BB80" s="19"/>
      <c r="BC80" s="19"/>
      <c r="BD80" s="19">
        <v>4031.72</v>
      </c>
      <c r="BE80" s="19">
        <v>0</v>
      </c>
      <c r="BF80" s="19">
        <v>12696.8457</v>
      </c>
      <c r="BG80" s="19">
        <v>8063.44</v>
      </c>
      <c r="BH80" s="19">
        <v>819.44169999999997</v>
      </c>
      <c r="BI80" s="19">
        <v>22040.518499999998</v>
      </c>
      <c r="BJ80" s="19"/>
      <c r="BK80" s="19"/>
      <c r="BL80" s="19"/>
      <c r="BM80" s="19">
        <v>4031.72</v>
      </c>
      <c r="BN80" s="19">
        <v>0</v>
      </c>
      <c r="BO80" s="19">
        <v>12696.8457</v>
      </c>
      <c r="BP80" s="19">
        <v>8063.44</v>
      </c>
      <c r="BQ80" s="19">
        <v>819.44169999999997</v>
      </c>
      <c r="BR80" s="19">
        <v>22040.518499999998</v>
      </c>
      <c r="BS80" s="19"/>
      <c r="BT80" s="19"/>
      <c r="BU80" s="19"/>
      <c r="BV80" s="19">
        <v>4031.72</v>
      </c>
      <c r="BW80" s="19">
        <v>0</v>
      </c>
      <c r="BX80" s="19">
        <v>12696.8457</v>
      </c>
      <c r="BY80" s="19">
        <v>8063.44</v>
      </c>
      <c r="BZ80" s="19">
        <v>819.44169999999997</v>
      </c>
      <c r="CA80" s="19">
        <v>22040.518499999998</v>
      </c>
      <c r="CB80" s="19"/>
      <c r="CC80" s="19"/>
      <c r="CD80" s="19"/>
      <c r="CE80" s="19">
        <v>4031.72</v>
      </c>
      <c r="CF80" s="19">
        <v>0</v>
      </c>
      <c r="CG80" s="19">
        <v>12696.8457</v>
      </c>
      <c r="CH80" s="19">
        <v>8063.44</v>
      </c>
      <c r="CI80" s="19">
        <v>819.44169999999997</v>
      </c>
      <c r="CJ80" s="19">
        <v>22040.518499999998</v>
      </c>
      <c r="CK80" s="19"/>
      <c r="CL80" s="19"/>
      <c r="CM80" s="19"/>
      <c r="CN80" s="19">
        <v>4031.72</v>
      </c>
      <c r="CO80" s="19">
        <v>0</v>
      </c>
      <c r="CP80" s="19">
        <v>12696.8457</v>
      </c>
      <c r="CQ80" s="19"/>
      <c r="CR80" s="19"/>
      <c r="CS80" s="19"/>
      <c r="CT80" s="19"/>
      <c r="CU80" s="11">
        <f>Tabelle58971121[[#This Row],[Mindestauslastung durch]]*Tabelle58971121[[#This Row],[installierte Leistung MW durch]]</f>
        <v>5497.8</v>
      </c>
      <c r="CV80" s="11">
        <f>Tabelle58971121[[#This Row],[Mindestauslastung min]]*Tabelle58971121[[#This Row],[installierte Leistung MW min]]</f>
        <v>5344.1850000000004</v>
      </c>
      <c r="CW80" s="11">
        <f>Tabelle58971121[[#This Row],[Mindestauslastung max]]*Tabelle58971121[[#This Row],[installierte Leistung MW max]]</f>
        <v>5651.415</v>
      </c>
      <c r="CX80" s="9">
        <v>0.15</v>
      </c>
      <c r="CY80" s="9">
        <v>0.15</v>
      </c>
      <c r="CZ80" s="9">
        <v>0.15</v>
      </c>
      <c r="DA80" s="9"/>
      <c r="DB80" s="9">
        <v>0.22</v>
      </c>
      <c r="DC80" s="9">
        <v>2.3E-2</v>
      </c>
      <c r="DD80" s="9">
        <v>0.58499999999999996</v>
      </c>
      <c r="DE80" s="9">
        <v>0.22</v>
      </c>
      <c r="DF80" s="9">
        <v>2.3E-2</v>
      </c>
      <c r="DG80" s="9">
        <v>0.58499999999999996</v>
      </c>
      <c r="DH80" s="9">
        <v>0.22</v>
      </c>
      <c r="DI80" s="9">
        <v>2.3E-2</v>
      </c>
      <c r="DJ80" s="9">
        <v>0.58499999999999996</v>
      </c>
      <c r="DK80" s="9">
        <v>0.22</v>
      </c>
      <c r="DL80" s="9">
        <v>2.3E-2</v>
      </c>
      <c r="DM80" s="9">
        <v>0.58499999999999996</v>
      </c>
      <c r="DN80" s="9">
        <v>0.22</v>
      </c>
      <c r="DO80" s="9">
        <v>2.3E-2</v>
      </c>
      <c r="DP80" s="9">
        <v>0.58499999999999996</v>
      </c>
      <c r="DQ80" s="9">
        <v>0.22</v>
      </c>
      <c r="DR80" s="9">
        <v>2.3E-2</v>
      </c>
      <c r="DS80" s="9">
        <v>0.58499999999999996</v>
      </c>
      <c r="DT80" s="9">
        <v>0.22</v>
      </c>
      <c r="DU80" s="9">
        <v>2.3E-2</v>
      </c>
      <c r="DV80" s="9">
        <v>0.58499999999999996</v>
      </c>
      <c r="DW80" s="9">
        <v>0.22</v>
      </c>
      <c r="DX80" s="9">
        <v>2.3E-2</v>
      </c>
      <c r="DY80" s="9">
        <v>0.58499999999999996</v>
      </c>
      <c r="DZ80" s="9">
        <v>0.22</v>
      </c>
      <c r="EA80" s="9">
        <v>2.3E-2</v>
      </c>
      <c r="EB80" s="9">
        <v>0.58499999999999996</v>
      </c>
      <c r="EC80" s="9"/>
      <c r="ED80" s="9"/>
      <c r="EE80" s="9"/>
      <c r="EF80" s="46">
        <f>Tabelle58971121[[#This Row],[Durchschnittsauslastung min]]*Tabelle58971121[[#This Row],[installierte Leistung MW min]]</f>
        <v>0</v>
      </c>
      <c r="EG80" s="46">
        <f>Tabelle58971121[[#This Row],[Durchschnittsauslastung durch]]*Tabelle58971121[[#This Row],[installierte Leistung MW durch]]</f>
        <v>0</v>
      </c>
      <c r="EH80" s="46">
        <f>Tabelle58971121[[#This Row],[Durchschnittsauslastung max]]*Tabelle58971121[[#This Row],[installierte Leistung MW max]]</f>
        <v>0</v>
      </c>
      <c r="EI80" s="83">
        <f>Tabelle58971121[[#This Row],[Maximalauslastung durch]]*Tabelle58971121[[#This Row],[installierte Leistung MW min]]</f>
        <v>11757.207</v>
      </c>
      <c r="EJ80" s="46">
        <f>Tabelle58971121[[#This Row],[Maximalauslastung durch]]*Tabelle58971121[[#This Row],[installierte Leistung MW durch]]</f>
        <v>12095.16</v>
      </c>
      <c r="EK80" s="19">
        <f>Tabelle58971121[[#This Row],[Maximalauslastung max]]*Tabelle58971121[[#This Row],[installierte Leistung MW durch]]</f>
        <v>13194.72</v>
      </c>
      <c r="EL80" s="9">
        <v>0.33</v>
      </c>
      <c r="EM80" s="9">
        <v>0.3</v>
      </c>
      <c r="EN80" s="9">
        <v>0.36</v>
      </c>
      <c r="EO80" s="1">
        <v>36652</v>
      </c>
      <c r="EP80" s="1">
        <v>35627.9</v>
      </c>
      <c r="EQ80" s="1">
        <v>37676.1</v>
      </c>
      <c r="ER80" s="19"/>
      <c r="ES80" s="19"/>
      <c r="EX80" s="1">
        <v>0.25</v>
      </c>
      <c r="EY80" s="1">
        <v>0.2</v>
      </c>
      <c r="EZ80" s="1">
        <v>0.3</v>
      </c>
      <c r="FD80" s="1">
        <v>0.25</v>
      </c>
      <c r="FE80" s="1">
        <v>0.2</v>
      </c>
      <c r="FF80" s="1">
        <v>0.3</v>
      </c>
      <c r="FG80" s="1">
        <v>0.5</v>
      </c>
      <c r="FH80" s="1">
        <v>0.4</v>
      </c>
      <c r="FI80" s="1">
        <v>0.6</v>
      </c>
      <c r="FJ80" s="1">
        <v>0.5</v>
      </c>
      <c r="FK80" s="1">
        <v>0.5</v>
      </c>
      <c r="FL80" s="1">
        <v>0.5</v>
      </c>
      <c r="FP80" s="1">
        <v>365</v>
      </c>
      <c r="FQ80" s="1">
        <v>328</v>
      </c>
      <c r="FR80" s="1">
        <v>402</v>
      </c>
      <c r="FS80" s="11"/>
      <c r="FT80" s="11"/>
      <c r="FU80" s="11"/>
      <c r="FV80" s="1">
        <v>365</v>
      </c>
      <c r="FW80" s="1">
        <v>328</v>
      </c>
      <c r="FX80" s="1">
        <v>402</v>
      </c>
      <c r="FY80" s="1">
        <v>145.52352941176468</v>
      </c>
      <c r="FZ80" s="19">
        <v>130.9711764705882</v>
      </c>
      <c r="GA80" s="19">
        <v>160.07588235294116</v>
      </c>
      <c r="GB80" s="19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>
        <v>9.972941176470588</v>
      </c>
      <c r="GO80" s="8">
        <v>3.5617647058823536</v>
      </c>
      <c r="GP80" s="8">
        <v>16.384117647058822</v>
      </c>
      <c r="GS80" s="1">
        <v>67</v>
      </c>
      <c r="GT80" s="1">
        <v>67</v>
      </c>
      <c r="GU80" s="1">
        <v>67</v>
      </c>
      <c r="GV80" s="13" t="s">
        <v>806</v>
      </c>
      <c r="GW80" s="13" t="s">
        <v>806</v>
      </c>
      <c r="GX80" s="13" t="s">
        <v>806</v>
      </c>
      <c r="GY80" s="13"/>
      <c r="GZ80" s="13" t="s">
        <v>806</v>
      </c>
      <c r="HA80" s="13" t="s">
        <v>806</v>
      </c>
      <c r="HB80" s="13" t="s">
        <v>806</v>
      </c>
      <c r="HC80" s="13" t="s">
        <v>806</v>
      </c>
      <c r="HD80" s="13" t="s">
        <v>806</v>
      </c>
      <c r="HE80" s="13" t="s">
        <v>806</v>
      </c>
      <c r="HF80" s="13" t="s">
        <v>806</v>
      </c>
      <c r="HI80" s="13" t="s">
        <v>806</v>
      </c>
      <c r="HJ80" s="13" t="s">
        <v>806</v>
      </c>
      <c r="HL80" s="13" t="s">
        <v>806</v>
      </c>
    </row>
    <row r="81" spans="1:220" ht="12.75" customHeight="1" x14ac:dyDescent="0.25">
      <c r="A81" s="1" t="s">
        <v>362</v>
      </c>
      <c r="B81" s="1" t="s">
        <v>650</v>
      </c>
      <c r="E81" s="1" t="s">
        <v>139</v>
      </c>
      <c r="F81" s="1">
        <v>2</v>
      </c>
      <c r="G81" s="1">
        <v>2050</v>
      </c>
      <c r="H81" s="1">
        <v>1</v>
      </c>
      <c r="I81" s="1">
        <v>0</v>
      </c>
      <c r="J81" s="1">
        <v>0</v>
      </c>
      <c r="K81" s="19"/>
      <c r="L81" s="19"/>
      <c r="M81" s="19"/>
      <c r="N81" s="19"/>
      <c r="O81" s="19"/>
      <c r="P81" s="19"/>
      <c r="Q81" s="19">
        <v>9110.64</v>
      </c>
      <c r="R81" s="19">
        <v>925.86270000000002</v>
      </c>
      <c r="S81" s="19">
        <v>24902.923500000001</v>
      </c>
      <c r="T81" s="19"/>
      <c r="U81" s="19"/>
      <c r="V81" s="19"/>
      <c r="W81" s="19">
        <v>4555.32</v>
      </c>
      <c r="X81" s="19">
        <v>0</v>
      </c>
      <c r="Y81" s="19">
        <v>14345.786700000001</v>
      </c>
      <c r="Z81" s="19">
        <v>9110.64</v>
      </c>
      <c r="AA81" s="19">
        <v>925.86270000000002</v>
      </c>
      <c r="AB81" s="19">
        <v>24902.923500000001</v>
      </c>
      <c r="AC81" s="19"/>
      <c r="AD81" s="19"/>
      <c r="AE81" s="19"/>
      <c r="AF81" s="19">
        <v>4555.32</v>
      </c>
      <c r="AG81" s="19">
        <v>0</v>
      </c>
      <c r="AH81" s="19">
        <v>14345.786700000001</v>
      </c>
      <c r="AI81" s="19">
        <v>9110.64</v>
      </c>
      <c r="AJ81" s="19">
        <v>925.86270000000002</v>
      </c>
      <c r="AK81" s="19">
        <v>24902.923500000001</v>
      </c>
      <c r="AL81" s="19">
        <v>4555.32</v>
      </c>
      <c r="AM81" s="19">
        <v>0</v>
      </c>
      <c r="AN81" s="19">
        <v>14345.786700000001</v>
      </c>
      <c r="AO81" s="19">
        <v>9110.64</v>
      </c>
      <c r="AP81" s="19">
        <v>925.86270000000002</v>
      </c>
      <c r="AQ81" s="19">
        <v>24902.923500000001</v>
      </c>
      <c r="AR81" s="19"/>
      <c r="AS81" s="19"/>
      <c r="AT81" s="19"/>
      <c r="AU81" s="19">
        <v>4555.32</v>
      </c>
      <c r="AV81" s="19">
        <v>0</v>
      </c>
      <c r="AW81" s="19">
        <v>14345.786700000001</v>
      </c>
      <c r="AX81" s="19">
        <v>9110.64</v>
      </c>
      <c r="AY81" s="19">
        <v>925.86270000000002</v>
      </c>
      <c r="AZ81" s="19">
        <v>24902.923500000001</v>
      </c>
      <c r="BA81" s="19"/>
      <c r="BB81" s="19"/>
      <c r="BC81" s="19"/>
      <c r="BD81" s="19">
        <v>4555.32</v>
      </c>
      <c r="BE81" s="19">
        <v>0</v>
      </c>
      <c r="BF81" s="19">
        <v>14345.786700000001</v>
      </c>
      <c r="BG81" s="19">
        <v>9110.64</v>
      </c>
      <c r="BH81" s="19">
        <v>925.86270000000002</v>
      </c>
      <c r="BI81" s="19">
        <v>24902.923500000001</v>
      </c>
      <c r="BJ81" s="19"/>
      <c r="BK81" s="19"/>
      <c r="BL81" s="19"/>
      <c r="BM81" s="19">
        <v>4555.32</v>
      </c>
      <c r="BN81" s="19">
        <v>0</v>
      </c>
      <c r="BO81" s="19">
        <v>14345.786700000001</v>
      </c>
      <c r="BP81" s="19">
        <v>9110.64</v>
      </c>
      <c r="BQ81" s="19">
        <v>925.86270000000002</v>
      </c>
      <c r="BR81" s="19">
        <v>24902.923500000001</v>
      </c>
      <c r="BS81" s="19"/>
      <c r="BT81" s="19"/>
      <c r="BU81" s="19"/>
      <c r="BV81" s="19">
        <v>4555.32</v>
      </c>
      <c r="BW81" s="19">
        <v>0</v>
      </c>
      <c r="BX81" s="19">
        <v>14345.786700000001</v>
      </c>
      <c r="BY81" s="19">
        <v>9110.64</v>
      </c>
      <c r="BZ81" s="19">
        <v>925.86270000000002</v>
      </c>
      <c r="CA81" s="19">
        <v>24902.923500000001</v>
      </c>
      <c r="CB81" s="19"/>
      <c r="CC81" s="19"/>
      <c r="CD81" s="19"/>
      <c r="CE81" s="19">
        <v>4555.32</v>
      </c>
      <c r="CF81" s="19">
        <v>0</v>
      </c>
      <c r="CG81" s="19">
        <v>14345.786700000001</v>
      </c>
      <c r="CH81" s="19">
        <v>9110.64</v>
      </c>
      <c r="CI81" s="19">
        <v>925.86270000000002</v>
      </c>
      <c r="CJ81" s="19">
        <v>24902.923500000001</v>
      </c>
      <c r="CK81" s="19"/>
      <c r="CL81" s="19"/>
      <c r="CM81" s="19"/>
      <c r="CN81" s="19">
        <v>4555.32</v>
      </c>
      <c r="CO81" s="19">
        <v>0</v>
      </c>
      <c r="CP81" s="19">
        <v>14345.786700000001</v>
      </c>
      <c r="CQ81" s="19"/>
      <c r="CR81" s="19"/>
      <c r="CS81" s="19"/>
      <c r="CT81" s="19"/>
      <c r="CU81" s="11">
        <f>Tabelle58971121[[#This Row],[Mindestauslastung durch]]*Tabelle58971121[[#This Row],[installierte Leistung MW durch]]</f>
        <v>6211.8</v>
      </c>
      <c r="CV81" s="11">
        <f>Tabelle58971121[[#This Row],[Mindestauslastung min]]*Tabelle58971121[[#This Row],[installierte Leistung MW min]]</f>
        <v>6038.2349999999997</v>
      </c>
      <c r="CW81" s="11">
        <f>Tabelle58971121[[#This Row],[Mindestauslastung max]]*Tabelle58971121[[#This Row],[installierte Leistung MW max]]</f>
        <v>6385.3649999999998</v>
      </c>
      <c r="CX81" s="9">
        <v>0.15</v>
      </c>
      <c r="CY81" s="9">
        <v>0.15</v>
      </c>
      <c r="CZ81" s="9">
        <v>0.15</v>
      </c>
      <c r="DA81" s="9"/>
      <c r="DB81" s="9">
        <v>0.22</v>
      </c>
      <c r="DC81" s="9">
        <v>2.3E-2</v>
      </c>
      <c r="DD81" s="9">
        <v>0.58499999999999996</v>
      </c>
      <c r="DE81" s="9">
        <v>0.22</v>
      </c>
      <c r="DF81" s="9">
        <v>2.3E-2</v>
      </c>
      <c r="DG81" s="9">
        <v>0.58499999999999996</v>
      </c>
      <c r="DH81" s="9">
        <v>0.22</v>
      </c>
      <c r="DI81" s="9">
        <v>2.3E-2</v>
      </c>
      <c r="DJ81" s="9">
        <v>0.58499999999999996</v>
      </c>
      <c r="DK81" s="9">
        <v>0.22</v>
      </c>
      <c r="DL81" s="9">
        <v>2.3E-2</v>
      </c>
      <c r="DM81" s="9">
        <v>0.58499999999999996</v>
      </c>
      <c r="DN81" s="9">
        <v>0.22</v>
      </c>
      <c r="DO81" s="9">
        <v>2.3E-2</v>
      </c>
      <c r="DP81" s="9">
        <v>0.58499999999999996</v>
      </c>
      <c r="DQ81" s="9">
        <v>0.22</v>
      </c>
      <c r="DR81" s="9">
        <v>2.3E-2</v>
      </c>
      <c r="DS81" s="9">
        <v>0.58499999999999996</v>
      </c>
      <c r="DT81" s="9">
        <v>0.22</v>
      </c>
      <c r="DU81" s="9">
        <v>2.3E-2</v>
      </c>
      <c r="DV81" s="9">
        <v>0.58499999999999996</v>
      </c>
      <c r="DW81" s="9">
        <v>0.22</v>
      </c>
      <c r="DX81" s="9">
        <v>2.3E-2</v>
      </c>
      <c r="DY81" s="9">
        <v>0.58499999999999996</v>
      </c>
      <c r="DZ81" s="9">
        <v>0.22</v>
      </c>
      <c r="EA81" s="9">
        <v>2.3E-2</v>
      </c>
      <c r="EB81" s="9">
        <v>0.58499999999999996</v>
      </c>
      <c r="EC81" s="9"/>
      <c r="ED81" s="9"/>
      <c r="EE81" s="9"/>
      <c r="EF81" s="46">
        <f>Tabelle58971121[[#This Row],[Durchschnittsauslastung min]]*Tabelle58971121[[#This Row],[installierte Leistung MW min]]</f>
        <v>0</v>
      </c>
      <c r="EG81" s="46">
        <f>Tabelle58971121[[#This Row],[Durchschnittsauslastung durch]]*Tabelle58971121[[#This Row],[installierte Leistung MW durch]]</f>
        <v>0</v>
      </c>
      <c r="EH81" s="46">
        <f>Tabelle58971121[[#This Row],[Durchschnittsauslastung max]]*Tabelle58971121[[#This Row],[installierte Leistung MW max]]</f>
        <v>0</v>
      </c>
      <c r="EI81" s="83">
        <f>Tabelle58971121[[#This Row],[Maximalauslastung durch]]*Tabelle58971121[[#This Row],[installierte Leistung MW min]]</f>
        <v>13284.117000000002</v>
      </c>
      <c r="EJ81" s="46">
        <f>Tabelle58971121[[#This Row],[Maximalauslastung durch]]*Tabelle58971121[[#This Row],[installierte Leistung MW durch]]</f>
        <v>13665.960000000001</v>
      </c>
      <c r="EK81" s="19">
        <f>Tabelle58971121[[#This Row],[Maximalauslastung max]]*Tabelle58971121[[#This Row],[installierte Leistung MW durch]]</f>
        <v>14908.32</v>
      </c>
      <c r="EL81" s="9">
        <v>0.33</v>
      </c>
      <c r="EM81" s="9">
        <v>0.3</v>
      </c>
      <c r="EN81" s="9">
        <v>0.36</v>
      </c>
      <c r="EO81" s="1">
        <v>41412</v>
      </c>
      <c r="EP81" s="1">
        <v>40254.9</v>
      </c>
      <c r="EQ81" s="1">
        <v>42569.1</v>
      </c>
      <c r="ER81" s="19"/>
      <c r="ES81" s="19"/>
      <c r="EX81" s="1">
        <v>0.25</v>
      </c>
      <c r="EY81" s="1">
        <v>0.2</v>
      </c>
      <c r="EZ81" s="1">
        <v>0.3</v>
      </c>
      <c r="FD81" s="1">
        <v>0.25</v>
      </c>
      <c r="FE81" s="1">
        <v>0.2</v>
      </c>
      <c r="FF81" s="1">
        <v>0.3</v>
      </c>
      <c r="FG81" s="1">
        <v>0.5</v>
      </c>
      <c r="FH81" s="1">
        <v>0.4</v>
      </c>
      <c r="FI81" s="1">
        <v>0.6</v>
      </c>
      <c r="FJ81" s="1">
        <v>0.5</v>
      </c>
      <c r="FK81" s="1">
        <v>0.5</v>
      </c>
      <c r="FL81" s="1">
        <v>0.5</v>
      </c>
      <c r="FP81" s="1">
        <v>365</v>
      </c>
      <c r="FQ81" s="1">
        <v>328</v>
      </c>
      <c r="FR81" s="1">
        <v>402</v>
      </c>
      <c r="FS81" s="11"/>
      <c r="FT81" s="11"/>
      <c r="FU81" s="11"/>
      <c r="FV81" s="1">
        <v>365</v>
      </c>
      <c r="FW81" s="1">
        <v>328</v>
      </c>
      <c r="FX81" s="1">
        <v>402</v>
      </c>
      <c r="FY81" s="1">
        <v>145.52352941176468</v>
      </c>
      <c r="FZ81" s="19">
        <v>130.9711764705882</v>
      </c>
      <c r="GA81" s="19">
        <v>160.07588235294116</v>
      </c>
      <c r="GB81" s="19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>
        <v>9.972941176470588</v>
      </c>
      <c r="GO81" s="8">
        <v>3.5617647058823536</v>
      </c>
      <c r="GP81" s="8">
        <v>16.384117647058822</v>
      </c>
      <c r="GS81" s="1">
        <v>67</v>
      </c>
      <c r="GT81" s="1">
        <v>67</v>
      </c>
      <c r="GU81" s="1">
        <v>67</v>
      </c>
      <c r="GV81" s="13" t="s">
        <v>806</v>
      </c>
      <c r="GW81" s="13" t="s">
        <v>806</v>
      </c>
      <c r="GX81" s="13" t="s">
        <v>806</v>
      </c>
      <c r="GY81" s="13"/>
      <c r="GZ81" s="13" t="s">
        <v>806</v>
      </c>
      <c r="HA81" s="13" t="s">
        <v>806</v>
      </c>
      <c r="HB81" s="13" t="s">
        <v>806</v>
      </c>
      <c r="HC81" s="13" t="s">
        <v>806</v>
      </c>
      <c r="HD81" s="13" t="s">
        <v>806</v>
      </c>
      <c r="HE81" s="13" t="s">
        <v>806</v>
      </c>
      <c r="HF81" s="13" t="s">
        <v>806</v>
      </c>
      <c r="HI81" s="13" t="s">
        <v>806</v>
      </c>
      <c r="HJ81" s="13" t="s">
        <v>806</v>
      </c>
      <c r="HL81" s="13" t="s">
        <v>806</v>
      </c>
    </row>
    <row r="82" spans="1:220" ht="12.75" customHeight="1" x14ac:dyDescent="0.25">
      <c r="A82" s="1" t="s">
        <v>132</v>
      </c>
      <c r="B82" s="1" t="s">
        <v>653</v>
      </c>
      <c r="E82" s="1" t="s">
        <v>139</v>
      </c>
      <c r="F82" s="1">
        <v>2</v>
      </c>
      <c r="G82" s="1">
        <v>2015</v>
      </c>
      <c r="H82" s="1">
        <v>1</v>
      </c>
      <c r="I82" s="1">
        <v>0</v>
      </c>
      <c r="J82" s="1">
        <v>0</v>
      </c>
      <c r="K82" s="19"/>
      <c r="L82" s="19"/>
      <c r="M82" s="19"/>
      <c r="N82" s="19"/>
      <c r="O82" s="19"/>
      <c r="P82" s="19"/>
      <c r="Q82" s="19">
        <v>1317.1560416666671</v>
      </c>
      <c r="R82" s="19">
        <v>924.81399999999996</v>
      </c>
      <c r="S82" s="19">
        <v>1809.2249999999999</v>
      </c>
      <c r="T82" s="19"/>
      <c r="U82" s="19"/>
      <c r="V82" s="19"/>
      <c r="W82" s="19">
        <v>0</v>
      </c>
      <c r="X82" s="19">
        <v>0</v>
      </c>
      <c r="Y82" s="19">
        <v>0</v>
      </c>
      <c r="Z82" s="19">
        <v>1317.1560416666671</v>
      </c>
      <c r="AA82" s="19">
        <v>924.81399999999996</v>
      </c>
      <c r="AB82" s="19">
        <v>1809.2249999999999</v>
      </c>
      <c r="AC82" s="19"/>
      <c r="AD82" s="19"/>
      <c r="AE82" s="19"/>
      <c r="AF82" s="19">
        <v>0</v>
      </c>
      <c r="AG82" s="19">
        <v>0</v>
      </c>
      <c r="AH82" s="19">
        <v>0</v>
      </c>
      <c r="AI82" s="19">
        <v>1317.1560416666671</v>
      </c>
      <c r="AJ82" s="19">
        <v>924.81399999999996</v>
      </c>
      <c r="AK82" s="19">
        <v>1809.2249999999999</v>
      </c>
      <c r="AL82" s="19">
        <v>0</v>
      </c>
      <c r="AM82" s="19">
        <v>0</v>
      </c>
      <c r="AN82" s="19">
        <v>0</v>
      </c>
      <c r="AO82" s="19">
        <v>1317.1560416666671</v>
      </c>
      <c r="AP82" s="19">
        <v>924.81399999999996</v>
      </c>
      <c r="AQ82" s="19">
        <v>1809.2249999999999</v>
      </c>
      <c r="AR82" s="19"/>
      <c r="AS82" s="19"/>
      <c r="AT82" s="19"/>
      <c r="AU82" s="19">
        <v>0</v>
      </c>
      <c r="AV82" s="19">
        <v>0</v>
      </c>
      <c r="AW82" s="19">
        <v>0</v>
      </c>
      <c r="AX82" s="19">
        <v>1317.1560416666671</v>
      </c>
      <c r="AY82" s="19">
        <v>924.81399999999996</v>
      </c>
      <c r="AZ82" s="19">
        <v>1809.2249999999999</v>
      </c>
      <c r="BA82" s="19"/>
      <c r="BB82" s="19"/>
      <c r="BC82" s="19"/>
      <c r="BD82" s="19">
        <v>0</v>
      </c>
      <c r="BE82" s="19">
        <v>0</v>
      </c>
      <c r="BF82" s="19">
        <v>0</v>
      </c>
      <c r="BG82" s="19">
        <v>1317.1560416666671</v>
      </c>
      <c r="BH82" s="19">
        <v>924.81399999999996</v>
      </c>
      <c r="BI82" s="19">
        <v>1809.2249999999999</v>
      </c>
      <c r="BJ82" s="19"/>
      <c r="BK82" s="19"/>
      <c r="BL82" s="19"/>
      <c r="BM82" s="19">
        <v>0</v>
      </c>
      <c r="BN82" s="19">
        <v>0</v>
      </c>
      <c r="BO82" s="19">
        <v>0</v>
      </c>
      <c r="BP82" s="19">
        <v>1317.1560416666671</v>
      </c>
      <c r="BQ82" s="19">
        <v>924.81399999999996</v>
      </c>
      <c r="BR82" s="19">
        <v>1809.2249999999999</v>
      </c>
      <c r="BS82" s="19"/>
      <c r="BT82" s="19"/>
      <c r="BU82" s="19"/>
      <c r="BV82" s="19">
        <v>0</v>
      </c>
      <c r="BW82" s="19">
        <v>0</v>
      </c>
      <c r="BX82" s="19">
        <v>0</v>
      </c>
      <c r="BY82" s="19">
        <v>1317.1560416666671</v>
      </c>
      <c r="BZ82" s="19">
        <v>924.81399999999996</v>
      </c>
      <c r="CA82" s="19">
        <v>1809.2249999999999</v>
      </c>
      <c r="CB82" s="19"/>
      <c r="CC82" s="19"/>
      <c r="CD82" s="19"/>
      <c r="CE82" s="19">
        <v>0</v>
      </c>
      <c r="CF82" s="19">
        <v>0</v>
      </c>
      <c r="CG82" s="19">
        <v>0</v>
      </c>
      <c r="CH82" s="19">
        <v>1317.1560416666671</v>
      </c>
      <c r="CI82" s="19">
        <v>924.81399999999996</v>
      </c>
      <c r="CJ82" s="19">
        <v>1809.2249999999999</v>
      </c>
      <c r="CK82" s="19"/>
      <c r="CL82" s="19"/>
      <c r="CM82" s="19"/>
      <c r="CN82" s="19">
        <v>0</v>
      </c>
      <c r="CO82" s="19">
        <v>0</v>
      </c>
      <c r="CP82" s="19">
        <v>0</v>
      </c>
      <c r="CQ82" s="19"/>
      <c r="CR82" s="19"/>
      <c r="CS82" s="19"/>
      <c r="CT82" s="19"/>
      <c r="CU82" s="11">
        <f>Tabelle58971121[[#This Row],[Mindestauslastung durch]]*Tabelle58971121[[#This Row],[installierte Leistung MW durch]]</f>
        <v>592.35</v>
      </c>
      <c r="CV82" s="11">
        <f>Tabelle58971121[[#This Row],[Mindestauslastung min]]*Tabelle58971121[[#This Row],[installierte Leistung MW min]]</f>
        <v>546.15</v>
      </c>
      <c r="CW82" s="11">
        <f>Tabelle58971121[[#This Row],[Mindestauslastung max]]*Tabelle58971121[[#This Row],[installierte Leistung MW max]]</f>
        <v>638.54999999999995</v>
      </c>
      <c r="CX82" s="9">
        <v>0.15</v>
      </c>
      <c r="CY82" s="9">
        <v>0.15</v>
      </c>
      <c r="CZ82" s="9">
        <v>0.15</v>
      </c>
      <c r="DA82" s="9"/>
      <c r="DB82" s="9">
        <v>0.33354166666666663</v>
      </c>
      <c r="DC82" s="9">
        <v>0.254</v>
      </c>
      <c r="DD82" s="9">
        <v>0.42499999999999999</v>
      </c>
      <c r="DE82" s="9">
        <v>0.33354166666666663</v>
      </c>
      <c r="DF82" s="9">
        <v>0.254</v>
      </c>
      <c r="DG82" s="9">
        <v>0.42499999999999999</v>
      </c>
      <c r="DH82" s="9">
        <v>0.33354166666666663</v>
      </c>
      <c r="DI82" s="9">
        <v>0.254</v>
      </c>
      <c r="DJ82" s="9">
        <v>0.42499999999999999</v>
      </c>
      <c r="DK82" s="9">
        <v>0.33354166666666663</v>
      </c>
      <c r="DL82" s="9">
        <v>0.254</v>
      </c>
      <c r="DM82" s="9">
        <v>0.42499999999999999</v>
      </c>
      <c r="DN82" s="9">
        <v>0.33354166666666663</v>
      </c>
      <c r="DO82" s="9">
        <v>0.254</v>
      </c>
      <c r="DP82" s="9">
        <v>0.42499999999999999</v>
      </c>
      <c r="DQ82" s="9">
        <v>0.33354166666666663</v>
      </c>
      <c r="DR82" s="9">
        <v>0.254</v>
      </c>
      <c r="DS82" s="9">
        <v>0.42499999999999999</v>
      </c>
      <c r="DT82" s="9">
        <v>0.33354166666666663</v>
      </c>
      <c r="DU82" s="9">
        <v>0.254</v>
      </c>
      <c r="DV82" s="9">
        <v>0.42499999999999999</v>
      </c>
      <c r="DW82" s="9">
        <v>0.33354166666666663</v>
      </c>
      <c r="DX82" s="9">
        <v>0.254</v>
      </c>
      <c r="DY82" s="9">
        <v>0.42499999999999999</v>
      </c>
      <c r="DZ82" s="9">
        <v>0.33354166666666663</v>
      </c>
      <c r="EA82" s="9">
        <v>0.254</v>
      </c>
      <c r="EB82" s="9">
        <v>0.42499999999999999</v>
      </c>
      <c r="EC82" s="9"/>
      <c r="ED82" s="9"/>
      <c r="EE82" s="9"/>
      <c r="EF82" s="46">
        <f>Tabelle58971121[[#This Row],[Durchschnittsauslastung min]]*Tabelle58971121[[#This Row],[installierte Leistung MW min]]</f>
        <v>0</v>
      </c>
      <c r="EG82" s="46">
        <f>Tabelle58971121[[#This Row],[Durchschnittsauslastung durch]]*Tabelle58971121[[#This Row],[installierte Leistung MW durch]]</f>
        <v>0</v>
      </c>
      <c r="EH82" s="46">
        <f>Tabelle58971121[[#This Row],[Durchschnittsauslastung max]]*Tabelle58971121[[#This Row],[installierte Leistung MW max]]</f>
        <v>0</v>
      </c>
      <c r="EI82" s="83">
        <f>Tabelle58971121[[#This Row],[Maximalauslastung durch]]*Tabelle58971121[[#This Row],[installierte Leistung MW min]]</f>
        <v>3641</v>
      </c>
      <c r="EJ82" s="46">
        <f>Tabelle58971121[[#This Row],[Maximalauslastung durch]]*Tabelle58971121[[#This Row],[installierte Leistung MW durch]]</f>
        <v>3949</v>
      </c>
      <c r="EK82" s="19">
        <f>Tabelle58971121[[#This Row],[Maximalauslastung max]]*Tabelle58971121[[#This Row],[installierte Leistung MW durch]]</f>
        <v>3949</v>
      </c>
      <c r="EL82" s="9">
        <v>1</v>
      </c>
      <c r="EM82" s="9">
        <v>1</v>
      </c>
      <c r="EN82" s="9">
        <v>1</v>
      </c>
      <c r="EO82" s="1">
        <v>3949</v>
      </c>
      <c r="EP82" s="1">
        <v>3641</v>
      </c>
      <c r="EQ82" s="1">
        <v>4257</v>
      </c>
      <c r="ER82" s="19"/>
      <c r="ES82" s="19"/>
      <c r="EX82" s="1">
        <v>0.25</v>
      </c>
      <c r="EY82" s="1">
        <v>0.2</v>
      </c>
      <c r="EZ82" s="1">
        <v>0.3</v>
      </c>
      <c r="FD82" s="1">
        <v>0.25</v>
      </c>
      <c r="FE82" s="1">
        <v>0.2</v>
      </c>
      <c r="FF82" s="1">
        <v>0.3</v>
      </c>
      <c r="FG82" s="1">
        <v>4.5</v>
      </c>
      <c r="FH82" s="1">
        <v>3</v>
      </c>
      <c r="FI82" s="1">
        <v>6</v>
      </c>
      <c r="FJ82" s="1">
        <v>0.4</v>
      </c>
      <c r="FK82" s="1">
        <v>0.3</v>
      </c>
      <c r="FL82" s="1">
        <v>0.5</v>
      </c>
      <c r="FP82" s="1">
        <v>6570</v>
      </c>
      <c r="FQ82" s="1">
        <v>4380</v>
      </c>
      <c r="FR82" s="1">
        <v>8760</v>
      </c>
      <c r="FS82" s="11"/>
      <c r="FT82" s="11"/>
      <c r="FU82" s="11"/>
      <c r="FV82" s="1">
        <v>6570</v>
      </c>
      <c r="FW82" s="1">
        <v>4380</v>
      </c>
      <c r="FX82" s="1">
        <v>8760</v>
      </c>
      <c r="FY82" s="1">
        <v>64.315294117647056</v>
      </c>
      <c r="FZ82" s="19">
        <v>57.904117647058833</v>
      </c>
      <c r="GA82" s="19">
        <v>70.726470588235287</v>
      </c>
      <c r="GB82" s="19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>
        <v>1211</v>
      </c>
      <c r="GO82" s="8">
        <v>1089.8999999999999</v>
      </c>
      <c r="GP82" s="8">
        <v>1332.1</v>
      </c>
      <c r="GS82" s="1">
        <v>67</v>
      </c>
      <c r="GT82" s="1">
        <v>67</v>
      </c>
      <c r="GU82" s="1">
        <v>67</v>
      </c>
      <c r="GV82" s="13" t="s">
        <v>806</v>
      </c>
      <c r="GW82" s="13" t="s">
        <v>806</v>
      </c>
      <c r="GX82" s="13" t="s">
        <v>806</v>
      </c>
      <c r="GY82" s="13"/>
      <c r="GZ82" s="13" t="s">
        <v>806</v>
      </c>
      <c r="HA82" s="13" t="s">
        <v>806</v>
      </c>
      <c r="HB82" s="13" t="s">
        <v>806</v>
      </c>
      <c r="HC82" s="13" t="s">
        <v>806</v>
      </c>
      <c r="HD82" s="13" t="s">
        <v>806</v>
      </c>
      <c r="HE82" s="13" t="s">
        <v>806</v>
      </c>
      <c r="HF82" s="13" t="s">
        <v>806</v>
      </c>
      <c r="HI82" s="13" t="s">
        <v>806</v>
      </c>
      <c r="HJ82" s="13" t="s">
        <v>806</v>
      </c>
      <c r="HL82" s="13" t="s">
        <v>806</v>
      </c>
    </row>
    <row r="83" spans="1:220" ht="12.75" customHeight="1" x14ac:dyDescent="0.25">
      <c r="A83" s="1" t="s">
        <v>132</v>
      </c>
      <c r="B83" s="1" t="s">
        <v>653</v>
      </c>
      <c r="E83" s="1" t="s">
        <v>139</v>
      </c>
      <c r="F83" s="1">
        <v>2</v>
      </c>
      <c r="G83" s="1">
        <v>2020</v>
      </c>
      <c r="H83" s="1">
        <v>1</v>
      </c>
      <c r="I83" s="1">
        <v>0</v>
      </c>
      <c r="J83" s="1">
        <v>0</v>
      </c>
      <c r="K83" s="19"/>
      <c r="L83" s="19"/>
      <c r="M83" s="19"/>
      <c r="N83" s="19"/>
      <c r="O83" s="19"/>
      <c r="P83" s="19"/>
      <c r="Q83" s="19">
        <v>1080.0679541666671</v>
      </c>
      <c r="R83" s="19">
        <v>758.3474799999999</v>
      </c>
      <c r="S83" s="19">
        <v>1483.5644999999997</v>
      </c>
      <c r="T83" s="19"/>
      <c r="U83" s="19"/>
      <c r="V83" s="19"/>
      <c r="W83" s="19">
        <v>0</v>
      </c>
      <c r="X83" s="19">
        <v>0</v>
      </c>
      <c r="Y83" s="19">
        <v>0</v>
      </c>
      <c r="Z83" s="19">
        <v>1080.0679541666671</v>
      </c>
      <c r="AA83" s="19">
        <v>758.3474799999999</v>
      </c>
      <c r="AB83" s="19">
        <v>1483.5644999999997</v>
      </c>
      <c r="AC83" s="19"/>
      <c r="AD83" s="19"/>
      <c r="AE83" s="19"/>
      <c r="AF83" s="19">
        <v>0</v>
      </c>
      <c r="AG83" s="19">
        <v>0</v>
      </c>
      <c r="AH83" s="19">
        <v>0</v>
      </c>
      <c r="AI83" s="19">
        <v>1080.0679541666671</v>
      </c>
      <c r="AJ83" s="19">
        <v>758.3474799999999</v>
      </c>
      <c r="AK83" s="19">
        <v>1483.5644999999997</v>
      </c>
      <c r="AL83" s="19">
        <v>0</v>
      </c>
      <c r="AM83" s="19">
        <v>0</v>
      </c>
      <c r="AN83" s="19">
        <v>0</v>
      </c>
      <c r="AO83" s="19">
        <v>1080.0679541666671</v>
      </c>
      <c r="AP83" s="19">
        <v>758.3474799999999</v>
      </c>
      <c r="AQ83" s="19">
        <v>1483.5644999999997</v>
      </c>
      <c r="AR83" s="19"/>
      <c r="AS83" s="19"/>
      <c r="AT83" s="19"/>
      <c r="AU83" s="19">
        <v>0</v>
      </c>
      <c r="AV83" s="19">
        <v>0</v>
      </c>
      <c r="AW83" s="19">
        <v>0</v>
      </c>
      <c r="AX83" s="19">
        <v>1080.0679541666671</v>
      </c>
      <c r="AY83" s="19">
        <v>758.3474799999999</v>
      </c>
      <c r="AZ83" s="19">
        <v>1483.5644999999997</v>
      </c>
      <c r="BA83" s="19"/>
      <c r="BB83" s="19"/>
      <c r="BC83" s="19"/>
      <c r="BD83" s="19">
        <v>0</v>
      </c>
      <c r="BE83" s="19">
        <v>0</v>
      </c>
      <c r="BF83" s="19">
        <v>0</v>
      </c>
      <c r="BG83" s="19">
        <v>1080.0679541666671</v>
      </c>
      <c r="BH83" s="19">
        <v>758.3474799999999</v>
      </c>
      <c r="BI83" s="19">
        <v>1483.5644999999997</v>
      </c>
      <c r="BJ83" s="19"/>
      <c r="BK83" s="19"/>
      <c r="BL83" s="19"/>
      <c r="BM83" s="19">
        <v>0</v>
      </c>
      <c r="BN83" s="19">
        <v>0</v>
      </c>
      <c r="BO83" s="19">
        <v>0</v>
      </c>
      <c r="BP83" s="19">
        <v>1080.0679541666671</v>
      </c>
      <c r="BQ83" s="19">
        <v>758.3474799999999</v>
      </c>
      <c r="BR83" s="19">
        <v>1483.5644999999997</v>
      </c>
      <c r="BS83" s="19"/>
      <c r="BT83" s="19"/>
      <c r="BU83" s="19"/>
      <c r="BV83" s="19">
        <v>0</v>
      </c>
      <c r="BW83" s="19">
        <v>0</v>
      </c>
      <c r="BX83" s="19">
        <v>0</v>
      </c>
      <c r="BY83" s="19">
        <v>1080.0679541666671</v>
      </c>
      <c r="BZ83" s="19">
        <v>758.3474799999999</v>
      </c>
      <c r="CA83" s="19">
        <v>1483.5644999999997</v>
      </c>
      <c r="CB83" s="19"/>
      <c r="CC83" s="19"/>
      <c r="CD83" s="19"/>
      <c r="CE83" s="19">
        <v>0</v>
      </c>
      <c r="CF83" s="19">
        <v>0</v>
      </c>
      <c r="CG83" s="19">
        <v>0</v>
      </c>
      <c r="CH83" s="19">
        <v>1080.0679541666671</v>
      </c>
      <c r="CI83" s="19">
        <v>758.3474799999999</v>
      </c>
      <c r="CJ83" s="19">
        <v>1483.5644999999997</v>
      </c>
      <c r="CK83" s="19"/>
      <c r="CL83" s="19"/>
      <c r="CM83" s="19"/>
      <c r="CN83" s="19">
        <v>0</v>
      </c>
      <c r="CO83" s="19">
        <v>0</v>
      </c>
      <c r="CP83" s="19">
        <v>0</v>
      </c>
      <c r="CQ83" s="19"/>
      <c r="CR83" s="19"/>
      <c r="CS83" s="19"/>
      <c r="CT83" s="19"/>
      <c r="CU83" s="11">
        <f>Tabelle58971121[[#This Row],[Mindestauslastung durch]]*Tabelle58971121[[#This Row],[installierte Leistung MW durch]]</f>
        <v>485.72699999999998</v>
      </c>
      <c r="CV83" s="11">
        <f>Tabelle58971121[[#This Row],[Mindestauslastung min]]*Tabelle58971121[[#This Row],[installierte Leistung MW min]]</f>
        <v>447.84299999999996</v>
      </c>
      <c r="CW83" s="11">
        <f>Tabelle58971121[[#This Row],[Mindestauslastung max]]*Tabelle58971121[[#This Row],[installierte Leistung MW max]]</f>
        <v>523.61099999999999</v>
      </c>
      <c r="CX83" s="9">
        <v>0.15</v>
      </c>
      <c r="CY83" s="9">
        <v>0.15</v>
      </c>
      <c r="CZ83" s="9">
        <v>0.15</v>
      </c>
      <c r="DA83" s="9"/>
      <c r="DB83" s="9">
        <v>0.33354166666666663</v>
      </c>
      <c r="DC83" s="9">
        <v>0.254</v>
      </c>
      <c r="DD83" s="9">
        <v>0.42499999999999999</v>
      </c>
      <c r="DE83" s="9">
        <v>0.33354166666666663</v>
      </c>
      <c r="DF83" s="9">
        <v>0.254</v>
      </c>
      <c r="DG83" s="9">
        <v>0.42499999999999999</v>
      </c>
      <c r="DH83" s="9">
        <v>0.33354166666666663</v>
      </c>
      <c r="DI83" s="9">
        <v>0.254</v>
      </c>
      <c r="DJ83" s="9">
        <v>0.42499999999999999</v>
      </c>
      <c r="DK83" s="9">
        <v>0.33354166666666663</v>
      </c>
      <c r="DL83" s="9">
        <v>0.254</v>
      </c>
      <c r="DM83" s="9">
        <v>0.42499999999999999</v>
      </c>
      <c r="DN83" s="9">
        <v>0.33354166666666663</v>
      </c>
      <c r="DO83" s="9">
        <v>0.254</v>
      </c>
      <c r="DP83" s="9">
        <v>0.42499999999999999</v>
      </c>
      <c r="DQ83" s="9">
        <v>0.33354166666666663</v>
      </c>
      <c r="DR83" s="9">
        <v>0.254</v>
      </c>
      <c r="DS83" s="9">
        <v>0.42499999999999999</v>
      </c>
      <c r="DT83" s="9">
        <v>0.33354166666666663</v>
      </c>
      <c r="DU83" s="9">
        <v>0.254</v>
      </c>
      <c r="DV83" s="9">
        <v>0.42499999999999999</v>
      </c>
      <c r="DW83" s="9">
        <v>0.33354166666666663</v>
      </c>
      <c r="DX83" s="9">
        <v>0.254</v>
      </c>
      <c r="DY83" s="9">
        <v>0.42499999999999999</v>
      </c>
      <c r="DZ83" s="9">
        <v>0.33354166666666663</v>
      </c>
      <c r="EA83" s="9">
        <v>0.254</v>
      </c>
      <c r="EB83" s="9">
        <v>0.42499999999999999</v>
      </c>
      <c r="EC83" s="9"/>
      <c r="ED83" s="9"/>
      <c r="EE83" s="9"/>
      <c r="EF83" s="46">
        <f>Tabelle58971121[[#This Row],[Durchschnittsauslastung min]]*Tabelle58971121[[#This Row],[installierte Leistung MW min]]</f>
        <v>0</v>
      </c>
      <c r="EG83" s="46">
        <f>Tabelle58971121[[#This Row],[Durchschnittsauslastung durch]]*Tabelle58971121[[#This Row],[installierte Leistung MW durch]]</f>
        <v>0</v>
      </c>
      <c r="EH83" s="46">
        <f>Tabelle58971121[[#This Row],[Durchschnittsauslastung max]]*Tabelle58971121[[#This Row],[installierte Leistung MW max]]</f>
        <v>0</v>
      </c>
      <c r="EI83" s="83">
        <f>Tabelle58971121[[#This Row],[Maximalauslastung durch]]*Tabelle58971121[[#This Row],[installierte Leistung MW min]]</f>
        <v>2985.62</v>
      </c>
      <c r="EJ83" s="46">
        <f>Tabelle58971121[[#This Row],[Maximalauslastung durch]]*Tabelle58971121[[#This Row],[installierte Leistung MW durch]]</f>
        <v>3238.18</v>
      </c>
      <c r="EK83" s="19">
        <f>Tabelle58971121[[#This Row],[Maximalauslastung max]]*Tabelle58971121[[#This Row],[installierte Leistung MW durch]]</f>
        <v>3238.18</v>
      </c>
      <c r="EL83" s="9">
        <v>1</v>
      </c>
      <c r="EM83" s="9">
        <v>1</v>
      </c>
      <c r="EN83" s="9">
        <v>1</v>
      </c>
      <c r="EO83" s="1">
        <v>3238.18</v>
      </c>
      <c r="EP83" s="1">
        <v>2985.62</v>
      </c>
      <c r="EQ83" s="1">
        <v>3490.74</v>
      </c>
      <c r="ER83" s="19"/>
      <c r="ES83" s="19"/>
      <c r="EX83" s="1">
        <v>0.25</v>
      </c>
      <c r="EY83" s="1">
        <v>0.2</v>
      </c>
      <c r="EZ83" s="1">
        <v>0.3</v>
      </c>
      <c r="FD83" s="1">
        <v>0.25</v>
      </c>
      <c r="FE83" s="1">
        <v>0.2</v>
      </c>
      <c r="FF83" s="1">
        <v>0.3</v>
      </c>
      <c r="FG83" s="1">
        <v>4.5</v>
      </c>
      <c r="FH83" s="1">
        <v>3</v>
      </c>
      <c r="FI83" s="1">
        <v>6</v>
      </c>
      <c r="FJ83" s="1">
        <v>0.4</v>
      </c>
      <c r="FK83" s="1">
        <v>0.3</v>
      </c>
      <c r="FL83" s="1">
        <v>0.5</v>
      </c>
      <c r="FP83" s="1">
        <v>6570</v>
      </c>
      <c r="FQ83" s="1">
        <v>4380</v>
      </c>
      <c r="FR83" s="1">
        <v>8760</v>
      </c>
      <c r="FS83" s="11"/>
      <c r="FT83" s="11"/>
      <c r="FU83" s="11"/>
      <c r="FV83" s="1">
        <v>6570</v>
      </c>
      <c r="FW83" s="1">
        <v>4380</v>
      </c>
      <c r="FX83" s="1">
        <v>8760</v>
      </c>
      <c r="FY83" s="1">
        <v>64.315294117647056</v>
      </c>
      <c r="FZ83" s="19">
        <v>57.904117647058833</v>
      </c>
      <c r="GA83" s="19">
        <v>70.726470588235287</v>
      </c>
      <c r="GB83" s="19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>
        <v>1211</v>
      </c>
      <c r="GO83" s="8">
        <v>1089.8999999999999</v>
      </c>
      <c r="GP83" s="8">
        <v>1332.1</v>
      </c>
      <c r="GS83" s="1">
        <v>67</v>
      </c>
      <c r="GT83" s="1">
        <v>67</v>
      </c>
      <c r="GU83" s="1">
        <v>67</v>
      </c>
      <c r="GV83" s="13" t="s">
        <v>806</v>
      </c>
      <c r="GW83" s="13" t="s">
        <v>806</v>
      </c>
      <c r="GX83" s="13" t="s">
        <v>806</v>
      </c>
      <c r="GY83" s="13"/>
      <c r="GZ83" s="13" t="s">
        <v>806</v>
      </c>
      <c r="HA83" s="13" t="s">
        <v>806</v>
      </c>
      <c r="HB83" s="13" t="s">
        <v>806</v>
      </c>
      <c r="HC83" s="13" t="s">
        <v>806</v>
      </c>
      <c r="HD83" s="13" t="s">
        <v>806</v>
      </c>
      <c r="HE83" s="13" t="s">
        <v>806</v>
      </c>
      <c r="HF83" s="13" t="s">
        <v>806</v>
      </c>
      <c r="HI83" s="13" t="s">
        <v>806</v>
      </c>
      <c r="HJ83" s="13" t="s">
        <v>806</v>
      </c>
      <c r="HL83" s="13" t="s">
        <v>806</v>
      </c>
    </row>
    <row r="84" spans="1:220" ht="12.75" customHeight="1" x14ac:dyDescent="0.25">
      <c r="A84" s="1" t="s">
        <v>132</v>
      </c>
      <c r="B84" s="1" t="s">
        <v>653</v>
      </c>
      <c r="E84" s="1" t="s">
        <v>139</v>
      </c>
      <c r="F84" s="1">
        <v>2</v>
      </c>
      <c r="G84" s="1">
        <v>2025</v>
      </c>
      <c r="H84" s="1">
        <v>1</v>
      </c>
      <c r="I84" s="1">
        <v>0</v>
      </c>
      <c r="J84" s="1">
        <v>0</v>
      </c>
      <c r="K84" s="19"/>
      <c r="L84" s="19"/>
      <c r="M84" s="19"/>
      <c r="N84" s="19"/>
      <c r="O84" s="19"/>
      <c r="P84" s="19"/>
      <c r="Q84" s="19">
        <v>935.18078958333354</v>
      </c>
      <c r="R84" s="19">
        <v>656.61793999999998</v>
      </c>
      <c r="S84" s="19">
        <v>1284.5497499999999</v>
      </c>
      <c r="T84" s="19"/>
      <c r="U84" s="19"/>
      <c r="V84" s="19"/>
      <c r="W84" s="19">
        <v>0</v>
      </c>
      <c r="X84" s="19">
        <v>0</v>
      </c>
      <c r="Y84" s="19">
        <v>0</v>
      </c>
      <c r="Z84" s="19">
        <v>935.18078958333354</v>
      </c>
      <c r="AA84" s="19">
        <v>656.61793999999998</v>
      </c>
      <c r="AB84" s="19">
        <v>1284.5497499999999</v>
      </c>
      <c r="AC84" s="19"/>
      <c r="AD84" s="19"/>
      <c r="AE84" s="19"/>
      <c r="AF84" s="19">
        <v>0</v>
      </c>
      <c r="AG84" s="19">
        <v>0</v>
      </c>
      <c r="AH84" s="19">
        <v>0</v>
      </c>
      <c r="AI84" s="19">
        <v>935.18078958333354</v>
      </c>
      <c r="AJ84" s="19">
        <v>656.61793999999998</v>
      </c>
      <c r="AK84" s="19">
        <v>1284.5497499999999</v>
      </c>
      <c r="AL84" s="19">
        <v>0</v>
      </c>
      <c r="AM84" s="19">
        <v>0</v>
      </c>
      <c r="AN84" s="19">
        <v>0</v>
      </c>
      <c r="AO84" s="19">
        <v>935.18078958333354</v>
      </c>
      <c r="AP84" s="19">
        <v>656.61793999999998</v>
      </c>
      <c r="AQ84" s="19">
        <v>1284.5497499999999</v>
      </c>
      <c r="AR84" s="19"/>
      <c r="AS84" s="19"/>
      <c r="AT84" s="19"/>
      <c r="AU84" s="19">
        <v>0</v>
      </c>
      <c r="AV84" s="19">
        <v>0</v>
      </c>
      <c r="AW84" s="19">
        <v>0</v>
      </c>
      <c r="AX84" s="19">
        <v>935.18078958333354</v>
      </c>
      <c r="AY84" s="19">
        <v>656.61793999999998</v>
      </c>
      <c r="AZ84" s="19">
        <v>1284.5497499999999</v>
      </c>
      <c r="BA84" s="19"/>
      <c r="BB84" s="19"/>
      <c r="BC84" s="19"/>
      <c r="BD84" s="19">
        <v>0</v>
      </c>
      <c r="BE84" s="19">
        <v>0</v>
      </c>
      <c r="BF84" s="19">
        <v>0</v>
      </c>
      <c r="BG84" s="19">
        <v>935.18078958333354</v>
      </c>
      <c r="BH84" s="19">
        <v>656.61793999999998</v>
      </c>
      <c r="BI84" s="19">
        <v>1284.5497499999999</v>
      </c>
      <c r="BJ84" s="19"/>
      <c r="BK84" s="19"/>
      <c r="BL84" s="19"/>
      <c r="BM84" s="19">
        <v>0</v>
      </c>
      <c r="BN84" s="19">
        <v>0</v>
      </c>
      <c r="BO84" s="19">
        <v>0</v>
      </c>
      <c r="BP84" s="19">
        <v>935.18078958333354</v>
      </c>
      <c r="BQ84" s="19">
        <v>656.61793999999998</v>
      </c>
      <c r="BR84" s="19">
        <v>1284.5497499999999</v>
      </c>
      <c r="BS84" s="19"/>
      <c r="BT84" s="19"/>
      <c r="BU84" s="19"/>
      <c r="BV84" s="19">
        <v>0</v>
      </c>
      <c r="BW84" s="19">
        <v>0</v>
      </c>
      <c r="BX84" s="19">
        <v>0</v>
      </c>
      <c r="BY84" s="19">
        <v>935.18078958333354</v>
      </c>
      <c r="BZ84" s="19">
        <v>656.61793999999998</v>
      </c>
      <c r="CA84" s="19">
        <v>1284.5497499999999</v>
      </c>
      <c r="CB84" s="19"/>
      <c r="CC84" s="19"/>
      <c r="CD84" s="19"/>
      <c r="CE84" s="19">
        <v>0</v>
      </c>
      <c r="CF84" s="19">
        <v>0</v>
      </c>
      <c r="CG84" s="19">
        <v>0</v>
      </c>
      <c r="CH84" s="19">
        <v>935.18078958333354</v>
      </c>
      <c r="CI84" s="19">
        <v>656.61793999999998</v>
      </c>
      <c r="CJ84" s="19">
        <v>1284.5497499999999</v>
      </c>
      <c r="CK84" s="19"/>
      <c r="CL84" s="19"/>
      <c r="CM84" s="19"/>
      <c r="CN84" s="19">
        <v>0</v>
      </c>
      <c r="CO84" s="19">
        <v>0</v>
      </c>
      <c r="CP84" s="19">
        <v>0</v>
      </c>
      <c r="CQ84" s="19"/>
      <c r="CR84" s="19"/>
      <c r="CS84" s="19"/>
      <c r="CT84" s="19"/>
      <c r="CU84" s="11">
        <f>Tabelle58971121[[#This Row],[Mindestauslastung durch]]*Tabelle58971121[[#This Row],[installierte Leistung MW durch]]</f>
        <v>420.56849999999997</v>
      </c>
      <c r="CV84" s="11">
        <f>Tabelle58971121[[#This Row],[Mindestauslastung min]]*Tabelle58971121[[#This Row],[installierte Leistung MW min]]</f>
        <v>387.76650000000001</v>
      </c>
      <c r="CW84" s="11">
        <f>Tabelle58971121[[#This Row],[Mindestauslastung max]]*Tabelle58971121[[#This Row],[installierte Leistung MW max]]</f>
        <v>453.37049999999994</v>
      </c>
      <c r="CX84" s="9">
        <v>0.15</v>
      </c>
      <c r="CY84" s="9">
        <v>0.15</v>
      </c>
      <c r="CZ84" s="9">
        <v>0.15</v>
      </c>
      <c r="DA84" s="9"/>
      <c r="DB84" s="9">
        <v>0.33354166666666663</v>
      </c>
      <c r="DC84" s="9">
        <v>0.254</v>
      </c>
      <c r="DD84" s="9">
        <v>0.42499999999999999</v>
      </c>
      <c r="DE84" s="9">
        <v>0.33354166666666663</v>
      </c>
      <c r="DF84" s="9">
        <v>0.254</v>
      </c>
      <c r="DG84" s="9">
        <v>0.42499999999999999</v>
      </c>
      <c r="DH84" s="9">
        <v>0.33354166666666663</v>
      </c>
      <c r="DI84" s="9">
        <v>0.254</v>
      </c>
      <c r="DJ84" s="9">
        <v>0.42499999999999999</v>
      </c>
      <c r="DK84" s="9">
        <v>0.33354166666666663</v>
      </c>
      <c r="DL84" s="9">
        <v>0.254</v>
      </c>
      <c r="DM84" s="9">
        <v>0.42499999999999999</v>
      </c>
      <c r="DN84" s="9">
        <v>0.33354166666666663</v>
      </c>
      <c r="DO84" s="9">
        <v>0.254</v>
      </c>
      <c r="DP84" s="9">
        <v>0.42499999999999999</v>
      </c>
      <c r="DQ84" s="9">
        <v>0.33354166666666663</v>
      </c>
      <c r="DR84" s="9">
        <v>0.254</v>
      </c>
      <c r="DS84" s="9">
        <v>0.42499999999999999</v>
      </c>
      <c r="DT84" s="9">
        <v>0.33354166666666663</v>
      </c>
      <c r="DU84" s="9">
        <v>0.254</v>
      </c>
      <c r="DV84" s="9">
        <v>0.42499999999999999</v>
      </c>
      <c r="DW84" s="9">
        <v>0.33354166666666663</v>
      </c>
      <c r="DX84" s="9">
        <v>0.254</v>
      </c>
      <c r="DY84" s="9">
        <v>0.42499999999999999</v>
      </c>
      <c r="DZ84" s="9">
        <v>0.33354166666666663</v>
      </c>
      <c r="EA84" s="9">
        <v>0.254</v>
      </c>
      <c r="EB84" s="9">
        <v>0.42499999999999999</v>
      </c>
      <c r="EC84" s="9"/>
      <c r="ED84" s="9"/>
      <c r="EE84" s="9"/>
      <c r="EF84" s="46">
        <f>Tabelle58971121[[#This Row],[Durchschnittsauslastung min]]*Tabelle58971121[[#This Row],[installierte Leistung MW min]]</f>
        <v>0</v>
      </c>
      <c r="EG84" s="46">
        <f>Tabelle58971121[[#This Row],[Durchschnittsauslastung durch]]*Tabelle58971121[[#This Row],[installierte Leistung MW durch]]</f>
        <v>0</v>
      </c>
      <c r="EH84" s="46">
        <f>Tabelle58971121[[#This Row],[Durchschnittsauslastung max]]*Tabelle58971121[[#This Row],[installierte Leistung MW max]]</f>
        <v>0</v>
      </c>
      <c r="EI84" s="83">
        <f>Tabelle58971121[[#This Row],[Maximalauslastung durch]]*Tabelle58971121[[#This Row],[installierte Leistung MW min]]</f>
        <v>2585.11</v>
      </c>
      <c r="EJ84" s="46">
        <f>Tabelle58971121[[#This Row],[Maximalauslastung durch]]*Tabelle58971121[[#This Row],[installierte Leistung MW durch]]</f>
        <v>2803.79</v>
      </c>
      <c r="EK84" s="19">
        <f>Tabelle58971121[[#This Row],[Maximalauslastung max]]*Tabelle58971121[[#This Row],[installierte Leistung MW durch]]</f>
        <v>2803.79</v>
      </c>
      <c r="EL84" s="9">
        <v>1</v>
      </c>
      <c r="EM84" s="9">
        <v>1</v>
      </c>
      <c r="EN84" s="9">
        <v>1</v>
      </c>
      <c r="EO84" s="1">
        <v>2803.79</v>
      </c>
      <c r="EP84" s="1">
        <v>2585.11</v>
      </c>
      <c r="EQ84" s="1">
        <v>3022.47</v>
      </c>
      <c r="ER84" s="19"/>
      <c r="ES84" s="19"/>
      <c r="EX84" s="1">
        <v>0.25</v>
      </c>
      <c r="EY84" s="1">
        <v>0.2</v>
      </c>
      <c r="EZ84" s="1">
        <v>0.3</v>
      </c>
      <c r="FD84" s="1">
        <v>0.25</v>
      </c>
      <c r="FE84" s="1">
        <v>0.2</v>
      </c>
      <c r="FF84" s="1">
        <v>0.3</v>
      </c>
      <c r="FG84" s="1">
        <v>4.5</v>
      </c>
      <c r="FH84" s="1">
        <v>3</v>
      </c>
      <c r="FI84" s="1">
        <v>6</v>
      </c>
      <c r="FJ84" s="1">
        <v>0.4</v>
      </c>
      <c r="FK84" s="1">
        <v>0.3</v>
      </c>
      <c r="FL84" s="1">
        <v>0.5</v>
      </c>
      <c r="FP84" s="1">
        <v>6570</v>
      </c>
      <c r="FQ84" s="1">
        <v>4380</v>
      </c>
      <c r="FR84" s="1">
        <v>8760</v>
      </c>
      <c r="FS84" s="11"/>
      <c r="FT84" s="11"/>
      <c r="FU84" s="11"/>
      <c r="FV84" s="1">
        <v>6570</v>
      </c>
      <c r="FW84" s="1">
        <v>4380</v>
      </c>
      <c r="FX84" s="1">
        <v>8760</v>
      </c>
      <c r="FY84" s="1">
        <v>64.315294117647056</v>
      </c>
      <c r="FZ84" s="19">
        <v>57.904117647058833</v>
      </c>
      <c r="GA84" s="19">
        <v>70.726470588235287</v>
      </c>
      <c r="GB84" s="19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>
        <v>1211</v>
      </c>
      <c r="GO84" s="8">
        <v>1089.8999999999999</v>
      </c>
      <c r="GP84" s="8">
        <v>1332.1</v>
      </c>
      <c r="GS84" s="1">
        <v>67</v>
      </c>
      <c r="GT84" s="1">
        <v>67</v>
      </c>
      <c r="GU84" s="1">
        <v>67</v>
      </c>
      <c r="GV84" s="13" t="s">
        <v>806</v>
      </c>
      <c r="GW84" s="13" t="s">
        <v>806</v>
      </c>
      <c r="GX84" s="13" t="s">
        <v>806</v>
      </c>
      <c r="GY84" s="13"/>
      <c r="GZ84" s="13" t="s">
        <v>806</v>
      </c>
      <c r="HA84" s="13" t="s">
        <v>806</v>
      </c>
      <c r="HB84" s="13" t="s">
        <v>806</v>
      </c>
      <c r="HC84" s="13" t="s">
        <v>806</v>
      </c>
      <c r="HD84" s="13" t="s">
        <v>806</v>
      </c>
      <c r="HE84" s="13" t="s">
        <v>806</v>
      </c>
      <c r="HF84" s="13" t="s">
        <v>806</v>
      </c>
      <c r="HI84" s="13" t="s">
        <v>806</v>
      </c>
      <c r="HJ84" s="13" t="s">
        <v>806</v>
      </c>
      <c r="HL84" s="13" t="s">
        <v>806</v>
      </c>
    </row>
    <row r="85" spans="1:220" ht="12.75" customHeight="1" x14ac:dyDescent="0.25">
      <c r="A85" s="1" t="s">
        <v>132</v>
      </c>
      <c r="B85" s="1" t="s">
        <v>653</v>
      </c>
      <c r="E85" s="1" t="s">
        <v>139</v>
      </c>
      <c r="F85" s="1">
        <v>2</v>
      </c>
      <c r="G85" s="1">
        <v>2030</v>
      </c>
      <c r="H85" s="1">
        <v>1</v>
      </c>
      <c r="I85" s="1">
        <v>0</v>
      </c>
      <c r="J85" s="1">
        <v>0</v>
      </c>
      <c r="K85" s="19"/>
      <c r="L85" s="19"/>
      <c r="M85" s="19"/>
      <c r="N85" s="19"/>
      <c r="O85" s="19"/>
      <c r="P85" s="19"/>
      <c r="Q85" s="19">
        <v>803.46518541666694</v>
      </c>
      <c r="R85" s="19">
        <v>564.13653999999997</v>
      </c>
      <c r="S85" s="19">
        <v>1103.62725</v>
      </c>
      <c r="T85" s="19"/>
      <c r="U85" s="19"/>
      <c r="V85" s="19"/>
      <c r="W85" s="19">
        <v>0</v>
      </c>
      <c r="X85" s="19">
        <v>0</v>
      </c>
      <c r="Y85" s="19">
        <v>0</v>
      </c>
      <c r="Z85" s="19">
        <v>803.46518541666694</v>
      </c>
      <c r="AA85" s="19">
        <v>564.13653999999997</v>
      </c>
      <c r="AB85" s="19">
        <v>1103.62725</v>
      </c>
      <c r="AC85" s="19"/>
      <c r="AD85" s="19"/>
      <c r="AE85" s="19"/>
      <c r="AF85" s="19">
        <v>0</v>
      </c>
      <c r="AG85" s="19">
        <v>0</v>
      </c>
      <c r="AH85" s="19">
        <v>0</v>
      </c>
      <c r="AI85" s="19">
        <v>803.46518541666694</v>
      </c>
      <c r="AJ85" s="19">
        <v>564.13653999999997</v>
      </c>
      <c r="AK85" s="19">
        <v>1103.62725</v>
      </c>
      <c r="AL85" s="19">
        <v>0</v>
      </c>
      <c r="AM85" s="19">
        <v>0</v>
      </c>
      <c r="AN85" s="19">
        <v>0</v>
      </c>
      <c r="AO85" s="19">
        <v>803.46518541666694</v>
      </c>
      <c r="AP85" s="19">
        <v>564.13653999999997</v>
      </c>
      <c r="AQ85" s="19">
        <v>1103.62725</v>
      </c>
      <c r="AR85" s="19"/>
      <c r="AS85" s="19"/>
      <c r="AT85" s="19"/>
      <c r="AU85" s="19">
        <v>0</v>
      </c>
      <c r="AV85" s="19">
        <v>0</v>
      </c>
      <c r="AW85" s="19">
        <v>0</v>
      </c>
      <c r="AX85" s="19">
        <v>803.46518541666694</v>
      </c>
      <c r="AY85" s="19">
        <v>564.13653999999997</v>
      </c>
      <c r="AZ85" s="19">
        <v>1103.62725</v>
      </c>
      <c r="BA85" s="19"/>
      <c r="BB85" s="19"/>
      <c r="BC85" s="19"/>
      <c r="BD85" s="19">
        <v>0</v>
      </c>
      <c r="BE85" s="19">
        <v>0</v>
      </c>
      <c r="BF85" s="19">
        <v>0</v>
      </c>
      <c r="BG85" s="19">
        <v>803.46518541666694</v>
      </c>
      <c r="BH85" s="19">
        <v>564.13653999999997</v>
      </c>
      <c r="BI85" s="19">
        <v>1103.62725</v>
      </c>
      <c r="BJ85" s="19"/>
      <c r="BK85" s="19"/>
      <c r="BL85" s="19"/>
      <c r="BM85" s="19">
        <v>0</v>
      </c>
      <c r="BN85" s="19">
        <v>0</v>
      </c>
      <c r="BO85" s="19">
        <v>0</v>
      </c>
      <c r="BP85" s="19">
        <v>803.46518541666694</v>
      </c>
      <c r="BQ85" s="19">
        <v>564.13653999999997</v>
      </c>
      <c r="BR85" s="19">
        <v>1103.62725</v>
      </c>
      <c r="BS85" s="19"/>
      <c r="BT85" s="19"/>
      <c r="BU85" s="19"/>
      <c r="BV85" s="19">
        <v>0</v>
      </c>
      <c r="BW85" s="19">
        <v>0</v>
      </c>
      <c r="BX85" s="19">
        <v>0</v>
      </c>
      <c r="BY85" s="19">
        <v>803.46518541666694</v>
      </c>
      <c r="BZ85" s="19">
        <v>564.13653999999997</v>
      </c>
      <c r="CA85" s="19">
        <v>1103.62725</v>
      </c>
      <c r="CB85" s="19"/>
      <c r="CC85" s="19"/>
      <c r="CD85" s="19"/>
      <c r="CE85" s="19">
        <v>0</v>
      </c>
      <c r="CF85" s="19">
        <v>0</v>
      </c>
      <c r="CG85" s="19">
        <v>0</v>
      </c>
      <c r="CH85" s="19">
        <v>803.46518541666694</v>
      </c>
      <c r="CI85" s="19">
        <v>564.13653999999997</v>
      </c>
      <c r="CJ85" s="19">
        <v>1103.62725</v>
      </c>
      <c r="CK85" s="19"/>
      <c r="CL85" s="19"/>
      <c r="CM85" s="19"/>
      <c r="CN85" s="19">
        <v>0</v>
      </c>
      <c r="CO85" s="19">
        <v>0</v>
      </c>
      <c r="CP85" s="19">
        <v>0</v>
      </c>
      <c r="CQ85" s="19"/>
      <c r="CR85" s="19"/>
      <c r="CS85" s="19"/>
      <c r="CT85" s="19"/>
      <c r="CU85" s="11">
        <f>Tabelle58971121[[#This Row],[Mindestauslastung durch]]*Tabelle58971121[[#This Row],[installierte Leistung MW durch]]</f>
        <v>361.33349999999996</v>
      </c>
      <c r="CV85" s="11">
        <f>Tabelle58971121[[#This Row],[Mindestauslastung min]]*Tabelle58971121[[#This Row],[installierte Leistung MW min]]</f>
        <v>333.1515</v>
      </c>
      <c r="CW85" s="11">
        <f>Tabelle58971121[[#This Row],[Mindestauslastung max]]*Tabelle58971121[[#This Row],[installierte Leistung MW max]]</f>
        <v>389.51549999999997</v>
      </c>
      <c r="CX85" s="9">
        <v>0.15</v>
      </c>
      <c r="CY85" s="9">
        <v>0.15</v>
      </c>
      <c r="CZ85" s="9">
        <v>0.15</v>
      </c>
      <c r="DA85" s="9"/>
      <c r="DB85" s="9">
        <v>0.33354166666666663</v>
      </c>
      <c r="DC85" s="9">
        <v>0.254</v>
      </c>
      <c r="DD85" s="9">
        <v>0.42499999999999999</v>
      </c>
      <c r="DE85" s="9">
        <v>0.33354166666666663</v>
      </c>
      <c r="DF85" s="9">
        <v>0.254</v>
      </c>
      <c r="DG85" s="9">
        <v>0.42499999999999999</v>
      </c>
      <c r="DH85" s="9">
        <v>0.33354166666666663</v>
      </c>
      <c r="DI85" s="9">
        <v>0.254</v>
      </c>
      <c r="DJ85" s="9">
        <v>0.42499999999999999</v>
      </c>
      <c r="DK85" s="9">
        <v>0.33354166666666663</v>
      </c>
      <c r="DL85" s="9">
        <v>0.254</v>
      </c>
      <c r="DM85" s="9">
        <v>0.42499999999999999</v>
      </c>
      <c r="DN85" s="9">
        <v>0.33354166666666663</v>
      </c>
      <c r="DO85" s="9">
        <v>0.254</v>
      </c>
      <c r="DP85" s="9">
        <v>0.42499999999999999</v>
      </c>
      <c r="DQ85" s="9">
        <v>0.33354166666666663</v>
      </c>
      <c r="DR85" s="9">
        <v>0.254</v>
      </c>
      <c r="DS85" s="9">
        <v>0.42499999999999999</v>
      </c>
      <c r="DT85" s="9">
        <v>0.33354166666666663</v>
      </c>
      <c r="DU85" s="9">
        <v>0.254</v>
      </c>
      <c r="DV85" s="9">
        <v>0.42499999999999999</v>
      </c>
      <c r="DW85" s="9">
        <v>0.33354166666666663</v>
      </c>
      <c r="DX85" s="9">
        <v>0.254</v>
      </c>
      <c r="DY85" s="9">
        <v>0.42499999999999999</v>
      </c>
      <c r="DZ85" s="9">
        <v>0.33354166666666663</v>
      </c>
      <c r="EA85" s="9">
        <v>0.254</v>
      </c>
      <c r="EB85" s="9">
        <v>0.42499999999999999</v>
      </c>
      <c r="EC85" s="9"/>
      <c r="ED85" s="9"/>
      <c r="EE85" s="9"/>
      <c r="EF85" s="46">
        <f>Tabelle58971121[[#This Row],[Durchschnittsauslastung min]]*Tabelle58971121[[#This Row],[installierte Leistung MW min]]</f>
        <v>0</v>
      </c>
      <c r="EG85" s="46">
        <f>Tabelle58971121[[#This Row],[Durchschnittsauslastung durch]]*Tabelle58971121[[#This Row],[installierte Leistung MW durch]]</f>
        <v>0</v>
      </c>
      <c r="EH85" s="46">
        <f>Tabelle58971121[[#This Row],[Durchschnittsauslastung max]]*Tabelle58971121[[#This Row],[installierte Leistung MW max]]</f>
        <v>0</v>
      </c>
      <c r="EI85" s="83">
        <f>Tabelle58971121[[#This Row],[Maximalauslastung durch]]*Tabelle58971121[[#This Row],[installierte Leistung MW min]]</f>
        <v>2221.0100000000002</v>
      </c>
      <c r="EJ85" s="46">
        <f>Tabelle58971121[[#This Row],[Maximalauslastung durch]]*Tabelle58971121[[#This Row],[installierte Leistung MW durch]]</f>
        <v>2408.89</v>
      </c>
      <c r="EK85" s="19">
        <f>Tabelle58971121[[#This Row],[Maximalauslastung max]]*Tabelle58971121[[#This Row],[installierte Leistung MW durch]]</f>
        <v>2408.89</v>
      </c>
      <c r="EL85" s="9">
        <v>1</v>
      </c>
      <c r="EM85" s="9">
        <v>1</v>
      </c>
      <c r="EN85" s="9">
        <v>1</v>
      </c>
      <c r="EO85" s="1">
        <v>2408.89</v>
      </c>
      <c r="EP85" s="1">
        <v>2221.0100000000002</v>
      </c>
      <c r="EQ85" s="1">
        <v>2596.77</v>
      </c>
      <c r="ER85" s="19"/>
      <c r="ES85" s="19"/>
      <c r="EX85" s="1">
        <v>0.25</v>
      </c>
      <c r="EY85" s="1">
        <v>0.2</v>
      </c>
      <c r="EZ85" s="1">
        <v>0.3</v>
      </c>
      <c r="FD85" s="1">
        <v>0.25</v>
      </c>
      <c r="FE85" s="1">
        <v>0.2</v>
      </c>
      <c r="FF85" s="1">
        <v>0.3</v>
      </c>
      <c r="FG85" s="1">
        <v>4.5</v>
      </c>
      <c r="FH85" s="1">
        <v>3</v>
      </c>
      <c r="FI85" s="1">
        <v>6</v>
      </c>
      <c r="FJ85" s="1">
        <v>0.4</v>
      </c>
      <c r="FK85" s="1">
        <v>0.3</v>
      </c>
      <c r="FL85" s="1">
        <v>0.5</v>
      </c>
      <c r="FP85" s="1">
        <v>6570</v>
      </c>
      <c r="FQ85" s="1">
        <v>4380</v>
      </c>
      <c r="FR85" s="1">
        <v>8760</v>
      </c>
      <c r="FS85" s="11"/>
      <c r="FT85" s="11"/>
      <c r="FU85" s="11"/>
      <c r="FV85" s="1">
        <v>6570</v>
      </c>
      <c r="FW85" s="1">
        <v>4380</v>
      </c>
      <c r="FX85" s="1">
        <v>8760</v>
      </c>
      <c r="FY85" s="1">
        <v>64.315294117647056</v>
      </c>
      <c r="FZ85" s="19">
        <v>57.904117647058833</v>
      </c>
      <c r="GA85" s="19">
        <v>70.726470588235287</v>
      </c>
      <c r="GB85" s="19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>
        <v>1211</v>
      </c>
      <c r="GO85" s="8">
        <v>1089.8999999999999</v>
      </c>
      <c r="GP85" s="8">
        <v>1332.1</v>
      </c>
      <c r="GS85" s="1">
        <v>67</v>
      </c>
      <c r="GT85" s="1">
        <v>67</v>
      </c>
      <c r="GU85" s="1">
        <v>67</v>
      </c>
      <c r="GV85" s="13" t="s">
        <v>806</v>
      </c>
      <c r="GW85" s="13" t="s">
        <v>806</v>
      </c>
      <c r="GX85" s="13" t="s">
        <v>806</v>
      </c>
      <c r="GY85" s="13"/>
      <c r="GZ85" s="13" t="s">
        <v>806</v>
      </c>
      <c r="HA85" s="13" t="s">
        <v>806</v>
      </c>
      <c r="HB85" s="13" t="s">
        <v>806</v>
      </c>
      <c r="HC85" s="13" t="s">
        <v>806</v>
      </c>
      <c r="HD85" s="13" t="s">
        <v>806</v>
      </c>
      <c r="HE85" s="13" t="s">
        <v>806</v>
      </c>
      <c r="HF85" s="13" t="s">
        <v>806</v>
      </c>
      <c r="HI85" s="13" t="s">
        <v>806</v>
      </c>
      <c r="HJ85" s="13" t="s">
        <v>806</v>
      </c>
      <c r="HL85" s="13" t="s">
        <v>806</v>
      </c>
    </row>
    <row r="86" spans="1:220" ht="12.75" customHeight="1" x14ac:dyDescent="0.25">
      <c r="A86" s="1" t="s">
        <v>132</v>
      </c>
      <c r="B86" s="1" t="s">
        <v>653</v>
      </c>
      <c r="E86" s="1" t="s">
        <v>139</v>
      </c>
      <c r="F86" s="1">
        <v>2</v>
      </c>
      <c r="G86" s="1">
        <v>2035</v>
      </c>
      <c r="H86" s="1">
        <v>1</v>
      </c>
      <c r="I86" s="1">
        <v>0</v>
      </c>
      <c r="J86" s="1">
        <v>0</v>
      </c>
      <c r="K86" s="19"/>
      <c r="L86" s="19"/>
      <c r="M86" s="19"/>
      <c r="N86" s="19"/>
      <c r="O86" s="19"/>
      <c r="P86" s="19"/>
      <c r="Q86" s="19">
        <v>763.95050416666686</v>
      </c>
      <c r="R86" s="19">
        <v>536.39211999999998</v>
      </c>
      <c r="S86" s="19">
        <v>1049.3504999999998</v>
      </c>
      <c r="T86" s="19"/>
      <c r="U86" s="19"/>
      <c r="V86" s="19"/>
      <c r="W86" s="19">
        <v>0</v>
      </c>
      <c r="X86" s="19">
        <v>0</v>
      </c>
      <c r="Y86" s="19">
        <v>0</v>
      </c>
      <c r="Z86" s="19">
        <v>763.95050416666686</v>
      </c>
      <c r="AA86" s="19">
        <v>536.39211999999998</v>
      </c>
      <c r="AB86" s="19">
        <v>1049.3504999999998</v>
      </c>
      <c r="AC86" s="19"/>
      <c r="AD86" s="19"/>
      <c r="AE86" s="19"/>
      <c r="AF86" s="19">
        <v>0</v>
      </c>
      <c r="AG86" s="19">
        <v>0</v>
      </c>
      <c r="AH86" s="19">
        <v>0</v>
      </c>
      <c r="AI86" s="19">
        <v>763.95050416666686</v>
      </c>
      <c r="AJ86" s="19">
        <v>536.39211999999998</v>
      </c>
      <c r="AK86" s="19">
        <v>1049.3504999999998</v>
      </c>
      <c r="AL86" s="19">
        <v>0</v>
      </c>
      <c r="AM86" s="19">
        <v>0</v>
      </c>
      <c r="AN86" s="19">
        <v>0</v>
      </c>
      <c r="AO86" s="19">
        <v>763.95050416666686</v>
      </c>
      <c r="AP86" s="19">
        <v>536.39211999999998</v>
      </c>
      <c r="AQ86" s="19">
        <v>1049.3504999999998</v>
      </c>
      <c r="AR86" s="19"/>
      <c r="AS86" s="19"/>
      <c r="AT86" s="19"/>
      <c r="AU86" s="19">
        <v>0</v>
      </c>
      <c r="AV86" s="19">
        <v>0</v>
      </c>
      <c r="AW86" s="19">
        <v>0</v>
      </c>
      <c r="AX86" s="19">
        <v>763.95050416666686</v>
      </c>
      <c r="AY86" s="19">
        <v>536.39211999999998</v>
      </c>
      <c r="AZ86" s="19">
        <v>1049.3504999999998</v>
      </c>
      <c r="BA86" s="19"/>
      <c r="BB86" s="19"/>
      <c r="BC86" s="19"/>
      <c r="BD86" s="19">
        <v>0</v>
      </c>
      <c r="BE86" s="19">
        <v>0</v>
      </c>
      <c r="BF86" s="19">
        <v>0</v>
      </c>
      <c r="BG86" s="19">
        <v>763.95050416666686</v>
      </c>
      <c r="BH86" s="19">
        <v>536.39211999999998</v>
      </c>
      <c r="BI86" s="19">
        <v>1049.3504999999998</v>
      </c>
      <c r="BJ86" s="19"/>
      <c r="BK86" s="19"/>
      <c r="BL86" s="19"/>
      <c r="BM86" s="19">
        <v>0</v>
      </c>
      <c r="BN86" s="19">
        <v>0</v>
      </c>
      <c r="BO86" s="19">
        <v>0</v>
      </c>
      <c r="BP86" s="19">
        <v>763.95050416666686</v>
      </c>
      <c r="BQ86" s="19">
        <v>536.39211999999998</v>
      </c>
      <c r="BR86" s="19">
        <v>1049.3504999999998</v>
      </c>
      <c r="BS86" s="19"/>
      <c r="BT86" s="19"/>
      <c r="BU86" s="19"/>
      <c r="BV86" s="19">
        <v>0</v>
      </c>
      <c r="BW86" s="19">
        <v>0</v>
      </c>
      <c r="BX86" s="19">
        <v>0</v>
      </c>
      <c r="BY86" s="19">
        <v>763.95050416666686</v>
      </c>
      <c r="BZ86" s="19">
        <v>536.39211999999998</v>
      </c>
      <c r="CA86" s="19">
        <v>1049.3504999999998</v>
      </c>
      <c r="CB86" s="19"/>
      <c r="CC86" s="19"/>
      <c r="CD86" s="19"/>
      <c r="CE86" s="19">
        <v>0</v>
      </c>
      <c r="CF86" s="19">
        <v>0</v>
      </c>
      <c r="CG86" s="19">
        <v>0</v>
      </c>
      <c r="CH86" s="19">
        <v>763.95050416666686</v>
      </c>
      <c r="CI86" s="19">
        <v>536.39211999999998</v>
      </c>
      <c r="CJ86" s="19">
        <v>1049.3504999999998</v>
      </c>
      <c r="CK86" s="19"/>
      <c r="CL86" s="19"/>
      <c r="CM86" s="19"/>
      <c r="CN86" s="19">
        <v>0</v>
      </c>
      <c r="CO86" s="19">
        <v>0</v>
      </c>
      <c r="CP86" s="19">
        <v>0</v>
      </c>
      <c r="CQ86" s="19"/>
      <c r="CR86" s="19"/>
      <c r="CS86" s="19"/>
      <c r="CT86" s="19"/>
      <c r="CU86" s="11">
        <f>Tabelle58971121[[#This Row],[Mindestauslastung durch]]*Tabelle58971121[[#This Row],[installierte Leistung MW durch]]</f>
        <v>343.56299999999999</v>
      </c>
      <c r="CV86" s="11">
        <f>Tabelle58971121[[#This Row],[Mindestauslastung min]]*Tabelle58971121[[#This Row],[installierte Leistung MW min]]</f>
        <v>316.767</v>
      </c>
      <c r="CW86" s="11">
        <f>Tabelle58971121[[#This Row],[Mindestauslastung max]]*Tabelle58971121[[#This Row],[installierte Leistung MW max]]</f>
        <v>370.35899999999998</v>
      </c>
      <c r="CX86" s="9">
        <v>0.15</v>
      </c>
      <c r="CY86" s="9">
        <v>0.15</v>
      </c>
      <c r="CZ86" s="9">
        <v>0.15</v>
      </c>
      <c r="DA86" s="9"/>
      <c r="DB86" s="9">
        <v>0.33354166666666663</v>
      </c>
      <c r="DC86" s="9">
        <v>0.254</v>
      </c>
      <c r="DD86" s="9">
        <v>0.42499999999999999</v>
      </c>
      <c r="DE86" s="9">
        <v>0.33354166666666663</v>
      </c>
      <c r="DF86" s="9">
        <v>0.254</v>
      </c>
      <c r="DG86" s="9">
        <v>0.42499999999999999</v>
      </c>
      <c r="DH86" s="9">
        <v>0.33354166666666663</v>
      </c>
      <c r="DI86" s="9">
        <v>0.254</v>
      </c>
      <c r="DJ86" s="9">
        <v>0.42499999999999999</v>
      </c>
      <c r="DK86" s="9">
        <v>0.33354166666666663</v>
      </c>
      <c r="DL86" s="9">
        <v>0.254</v>
      </c>
      <c r="DM86" s="9">
        <v>0.42499999999999999</v>
      </c>
      <c r="DN86" s="9">
        <v>0.33354166666666663</v>
      </c>
      <c r="DO86" s="9">
        <v>0.254</v>
      </c>
      <c r="DP86" s="9">
        <v>0.42499999999999999</v>
      </c>
      <c r="DQ86" s="9">
        <v>0.33354166666666663</v>
      </c>
      <c r="DR86" s="9">
        <v>0.254</v>
      </c>
      <c r="DS86" s="9">
        <v>0.42499999999999999</v>
      </c>
      <c r="DT86" s="9">
        <v>0.33354166666666663</v>
      </c>
      <c r="DU86" s="9">
        <v>0.254</v>
      </c>
      <c r="DV86" s="9">
        <v>0.42499999999999999</v>
      </c>
      <c r="DW86" s="9">
        <v>0.33354166666666663</v>
      </c>
      <c r="DX86" s="9">
        <v>0.254</v>
      </c>
      <c r="DY86" s="9">
        <v>0.42499999999999999</v>
      </c>
      <c r="DZ86" s="9">
        <v>0.33354166666666663</v>
      </c>
      <c r="EA86" s="9">
        <v>0.254</v>
      </c>
      <c r="EB86" s="9">
        <v>0.42499999999999999</v>
      </c>
      <c r="EC86" s="9"/>
      <c r="ED86" s="9"/>
      <c r="EE86" s="9"/>
      <c r="EF86" s="46">
        <f>Tabelle58971121[[#This Row],[Durchschnittsauslastung min]]*Tabelle58971121[[#This Row],[installierte Leistung MW min]]</f>
        <v>0</v>
      </c>
      <c r="EG86" s="46">
        <f>Tabelle58971121[[#This Row],[Durchschnittsauslastung durch]]*Tabelle58971121[[#This Row],[installierte Leistung MW durch]]</f>
        <v>0</v>
      </c>
      <c r="EH86" s="46">
        <f>Tabelle58971121[[#This Row],[Durchschnittsauslastung max]]*Tabelle58971121[[#This Row],[installierte Leistung MW max]]</f>
        <v>0</v>
      </c>
      <c r="EI86" s="83">
        <f>Tabelle58971121[[#This Row],[Maximalauslastung durch]]*Tabelle58971121[[#This Row],[installierte Leistung MW min]]</f>
        <v>2111.7800000000002</v>
      </c>
      <c r="EJ86" s="46">
        <f>Tabelle58971121[[#This Row],[Maximalauslastung durch]]*Tabelle58971121[[#This Row],[installierte Leistung MW durch]]</f>
        <v>2290.42</v>
      </c>
      <c r="EK86" s="19">
        <f>Tabelle58971121[[#This Row],[Maximalauslastung max]]*Tabelle58971121[[#This Row],[installierte Leistung MW durch]]</f>
        <v>2290.42</v>
      </c>
      <c r="EL86" s="9">
        <v>1</v>
      </c>
      <c r="EM86" s="9">
        <v>1</v>
      </c>
      <c r="EN86" s="9">
        <v>1</v>
      </c>
      <c r="EO86" s="1">
        <v>2290.42</v>
      </c>
      <c r="EP86" s="1">
        <v>2111.7800000000002</v>
      </c>
      <c r="EQ86" s="1">
        <v>2469.06</v>
      </c>
      <c r="ER86" s="19"/>
      <c r="ES86" s="19"/>
      <c r="EX86" s="1">
        <v>0.25</v>
      </c>
      <c r="EY86" s="1">
        <v>0.2</v>
      </c>
      <c r="EZ86" s="1">
        <v>0.3</v>
      </c>
      <c r="FD86" s="1">
        <v>0.25</v>
      </c>
      <c r="FE86" s="1">
        <v>0.2</v>
      </c>
      <c r="FF86" s="1">
        <v>0.3</v>
      </c>
      <c r="FG86" s="1">
        <v>4.5</v>
      </c>
      <c r="FH86" s="1">
        <v>3</v>
      </c>
      <c r="FI86" s="1">
        <v>6</v>
      </c>
      <c r="FJ86" s="1">
        <v>0.4</v>
      </c>
      <c r="FK86" s="1">
        <v>0.3</v>
      </c>
      <c r="FL86" s="1">
        <v>0.5</v>
      </c>
      <c r="FP86" s="1">
        <v>6570</v>
      </c>
      <c r="FQ86" s="1">
        <v>4380</v>
      </c>
      <c r="FR86" s="1">
        <v>8760</v>
      </c>
      <c r="FS86" s="11"/>
      <c r="FT86" s="11"/>
      <c r="FU86" s="11"/>
      <c r="FV86" s="1">
        <v>6570</v>
      </c>
      <c r="FW86" s="1">
        <v>4380</v>
      </c>
      <c r="FX86" s="1">
        <v>8760</v>
      </c>
      <c r="FY86" s="1">
        <v>64.315294117647056</v>
      </c>
      <c r="FZ86" s="19">
        <v>57.904117647058833</v>
      </c>
      <c r="GA86" s="19">
        <v>70.726470588235287</v>
      </c>
      <c r="GB86" s="19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>
        <v>1211</v>
      </c>
      <c r="GO86" s="8">
        <v>1089.8999999999999</v>
      </c>
      <c r="GP86" s="8">
        <v>1332.1</v>
      </c>
      <c r="GS86" s="1">
        <v>67</v>
      </c>
      <c r="GT86" s="1">
        <v>67</v>
      </c>
      <c r="GU86" s="1">
        <v>67</v>
      </c>
      <c r="GV86" s="13" t="s">
        <v>806</v>
      </c>
      <c r="GW86" s="13" t="s">
        <v>806</v>
      </c>
      <c r="GX86" s="13" t="s">
        <v>806</v>
      </c>
      <c r="GY86" s="13"/>
      <c r="GZ86" s="13" t="s">
        <v>806</v>
      </c>
      <c r="HA86" s="13" t="s">
        <v>806</v>
      </c>
      <c r="HB86" s="13" t="s">
        <v>806</v>
      </c>
      <c r="HC86" s="13" t="s">
        <v>806</v>
      </c>
      <c r="HD86" s="13" t="s">
        <v>806</v>
      </c>
      <c r="HE86" s="13" t="s">
        <v>806</v>
      </c>
      <c r="HF86" s="13" t="s">
        <v>806</v>
      </c>
      <c r="HI86" s="13" t="s">
        <v>806</v>
      </c>
      <c r="HJ86" s="13" t="s">
        <v>806</v>
      </c>
      <c r="HL86" s="13" t="s">
        <v>806</v>
      </c>
    </row>
    <row r="87" spans="1:220" ht="12.75" customHeight="1" x14ac:dyDescent="0.25">
      <c r="A87" s="1" t="s">
        <v>132</v>
      </c>
      <c r="B87" s="1" t="s">
        <v>653</v>
      </c>
      <c r="E87" s="1" t="s">
        <v>139</v>
      </c>
      <c r="F87" s="1">
        <v>2</v>
      </c>
      <c r="G87" s="1">
        <v>2040</v>
      </c>
      <c r="H87" s="1">
        <v>1</v>
      </c>
      <c r="I87" s="1">
        <v>0</v>
      </c>
      <c r="J87" s="1">
        <v>0</v>
      </c>
      <c r="K87" s="19"/>
      <c r="L87" s="19"/>
      <c r="M87" s="19"/>
      <c r="N87" s="19"/>
      <c r="O87" s="19"/>
      <c r="P87" s="19"/>
      <c r="Q87" s="19">
        <v>724.43582291666701</v>
      </c>
      <c r="R87" s="19">
        <v>508.64770000000004</v>
      </c>
      <c r="S87" s="19">
        <v>995.07375000000002</v>
      </c>
      <c r="T87" s="19"/>
      <c r="U87" s="19"/>
      <c r="V87" s="19"/>
      <c r="W87" s="19">
        <v>0</v>
      </c>
      <c r="X87" s="19">
        <v>0</v>
      </c>
      <c r="Y87" s="19">
        <v>0</v>
      </c>
      <c r="Z87" s="19">
        <v>724.43582291666701</v>
      </c>
      <c r="AA87" s="19">
        <v>508.64770000000004</v>
      </c>
      <c r="AB87" s="19">
        <v>995.07375000000002</v>
      </c>
      <c r="AC87" s="19"/>
      <c r="AD87" s="19"/>
      <c r="AE87" s="19"/>
      <c r="AF87" s="19">
        <v>0</v>
      </c>
      <c r="AG87" s="19">
        <v>0</v>
      </c>
      <c r="AH87" s="19">
        <v>0</v>
      </c>
      <c r="AI87" s="19">
        <v>724.43582291666701</v>
      </c>
      <c r="AJ87" s="19">
        <v>508.64770000000004</v>
      </c>
      <c r="AK87" s="19">
        <v>995.07375000000002</v>
      </c>
      <c r="AL87" s="19">
        <v>0</v>
      </c>
      <c r="AM87" s="19">
        <v>0</v>
      </c>
      <c r="AN87" s="19">
        <v>0</v>
      </c>
      <c r="AO87" s="19">
        <v>724.43582291666701</v>
      </c>
      <c r="AP87" s="19">
        <v>508.64770000000004</v>
      </c>
      <c r="AQ87" s="19">
        <v>995.07375000000002</v>
      </c>
      <c r="AR87" s="19"/>
      <c r="AS87" s="19"/>
      <c r="AT87" s="19"/>
      <c r="AU87" s="19">
        <v>0</v>
      </c>
      <c r="AV87" s="19">
        <v>0</v>
      </c>
      <c r="AW87" s="19">
        <v>0</v>
      </c>
      <c r="AX87" s="19">
        <v>724.43582291666701</v>
      </c>
      <c r="AY87" s="19">
        <v>508.64770000000004</v>
      </c>
      <c r="AZ87" s="19">
        <v>995.07375000000002</v>
      </c>
      <c r="BA87" s="19"/>
      <c r="BB87" s="19"/>
      <c r="BC87" s="19"/>
      <c r="BD87" s="19">
        <v>0</v>
      </c>
      <c r="BE87" s="19">
        <v>0</v>
      </c>
      <c r="BF87" s="19">
        <v>0</v>
      </c>
      <c r="BG87" s="19">
        <v>724.43582291666701</v>
      </c>
      <c r="BH87" s="19">
        <v>508.64770000000004</v>
      </c>
      <c r="BI87" s="19">
        <v>995.07375000000002</v>
      </c>
      <c r="BJ87" s="19"/>
      <c r="BK87" s="19"/>
      <c r="BL87" s="19"/>
      <c r="BM87" s="19">
        <v>0</v>
      </c>
      <c r="BN87" s="19">
        <v>0</v>
      </c>
      <c r="BO87" s="19">
        <v>0</v>
      </c>
      <c r="BP87" s="19">
        <v>724.43582291666701</v>
      </c>
      <c r="BQ87" s="19">
        <v>508.64770000000004</v>
      </c>
      <c r="BR87" s="19">
        <v>995.07375000000002</v>
      </c>
      <c r="BS87" s="19"/>
      <c r="BT87" s="19"/>
      <c r="BU87" s="19"/>
      <c r="BV87" s="19">
        <v>0</v>
      </c>
      <c r="BW87" s="19">
        <v>0</v>
      </c>
      <c r="BX87" s="19">
        <v>0</v>
      </c>
      <c r="BY87" s="19">
        <v>724.43582291666701</v>
      </c>
      <c r="BZ87" s="19">
        <v>508.64770000000004</v>
      </c>
      <c r="CA87" s="19">
        <v>995.07375000000002</v>
      </c>
      <c r="CB87" s="19"/>
      <c r="CC87" s="19"/>
      <c r="CD87" s="19"/>
      <c r="CE87" s="19">
        <v>0</v>
      </c>
      <c r="CF87" s="19">
        <v>0</v>
      </c>
      <c r="CG87" s="19">
        <v>0</v>
      </c>
      <c r="CH87" s="19">
        <v>724.43582291666701</v>
      </c>
      <c r="CI87" s="19">
        <v>508.64770000000004</v>
      </c>
      <c r="CJ87" s="19">
        <v>995.07375000000002</v>
      </c>
      <c r="CK87" s="19"/>
      <c r="CL87" s="19"/>
      <c r="CM87" s="19"/>
      <c r="CN87" s="19">
        <v>0</v>
      </c>
      <c r="CO87" s="19">
        <v>0</v>
      </c>
      <c r="CP87" s="19">
        <v>0</v>
      </c>
      <c r="CQ87" s="19"/>
      <c r="CR87" s="19"/>
      <c r="CS87" s="19"/>
      <c r="CT87" s="19"/>
      <c r="CU87" s="11">
        <f>Tabelle58971121[[#This Row],[Mindestauslastung durch]]*Tabelle58971121[[#This Row],[installierte Leistung MW durch]]</f>
        <v>325.79249999999996</v>
      </c>
      <c r="CV87" s="11">
        <f>Tabelle58971121[[#This Row],[Mindestauslastung min]]*Tabelle58971121[[#This Row],[installierte Leistung MW min]]</f>
        <v>300.38249999999999</v>
      </c>
      <c r="CW87" s="11">
        <f>Tabelle58971121[[#This Row],[Mindestauslastung max]]*Tabelle58971121[[#This Row],[installierte Leistung MW max]]</f>
        <v>351.20249999999999</v>
      </c>
      <c r="CX87" s="9">
        <v>0.15</v>
      </c>
      <c r="CY87" s="9">
        <v>0.15</v>
      </c>
      <c r="CZ87" s="9">
        <v>0.15</v>
      </c>
      <c r="DA87" s="9"/>
      <c r="DB87" s="9">
        <v>0.33354166666666663</v>
      </c>
      <c r="DC87" s="9">
        <v>0.254</v>
      </c>
      <c r="DD87" s="9">
        <v>0.42499999999999999</v>
      </c>
      <c r="DE87" s="9">
        <v>0.33354166666666663</v>
      </c>
      <c r="DF87" s="9">
        <v>0.254</v>
      </c>
      <c r="DG87" s="9">
        <v>0.42499999999999999</v>
      </c>
      <c r="DH87" s="9">
        <v>0.33354166666666663</v>
      </c>
      <c r="DI87" s="9">
        <v>0.254</v>
      </c>
      <c r="DJ87" s="9">
        <v>0.42499999999999999</v>
      </c>
      <c r="DK87" s="9">
        <v>0.33354166666666663</v>
      </c>
      <c r="DL87" s="9">
        <v>0.254</v>
      </c>
      <c r="DM87" s="9">
        <v>0.42499999999999999</v>
      </c>
      <c r="DN87" s="9">
        <v>0.33354166666666663</v>
      </c>
      <c r="DO87" s="9">
        <v>0.254</v>
      </c>
      <c r="DP87" s="9">
        <v>0.42499999999999999</v>
      </c>
      <c r="DQ87" s="9">
        <v>0.33354166666666663</v>
      </c>
      <c r="DR87" s="9">
        <v>0.254</v>
      </c>
      <c r="DS87" s="9">
        <v>0.42499999999999999</v>
      </c>
      <c r="DT87" s="9">
        <v>0.33354166666666663</v>
      </c>
      <c r="DU87" s="9">
        <v>0.254</v>
      </c>
      <c r="DV87" s="9">
        <v>0.42499999999999999</v>
      </c>
      <c r="DW87" s="9">
        <v>0.33354166666666663</v>
      </c>
      <c r="DX87" s="9">
        <v>0.254</v>
      </c>
      <c r="DY87" s="9">
        <v>0.42499999999999999</v>
      </c>
      <c r="DZ87" s="9">
        <v>0.33354166666666663</v>
      </c>
      <c r="EA87" s="9">
        <v>0.254</v>
      </c>
      <c r="EB87" s="9">
        <v>0.42499999999999999</v>
      </c>
      <c r="EC87" s="9"/>
      <c r="ED87" s="9"/>
      <c r="EE87" s="9"/>
      <c r="EF87" s="46">
        <f>Tabelle58971121[[#This Row],[Durchschnittsauslastung min]]*Tabelle58971121[[#This Row],[installierte Leistung MW min]]</f>
        <v>0</v>
      </c>
      <c r="EG87" s="46">
        <f>Tabelle58971121[[#This Row],[Durchschnittsauslastung durch]]*Tabelle58971121[[#This Row],[installierte Leistung MW durch]]</f>
        <v>0</v>
      </c>
      <c r="EH87" s="46">
        <f>Tabelle58971121[[#This Row],[Durchschnittsauslastung max]]*Tabelle58971121[[#This Row],[installierte Leistung MW max]]</f>
        <v>0</v>
      </c>
      <c r="EI87" s="83">
        <f>Tabelle58971121[[#This Row],[Maximalauslastung durch]]*Tabelle58971121[[#This Row],[installierte Leistung MW min]]</f>
        <v>2002.55</v>
      </c>
      <c r="EJ87" s="46">
        <f>Tabelle58971121[[#This Row],[Maximalauslastung durch]]*Tabelle58971121[[#This Row],[installierte Leistung MW durch]]</f>
        <v>2171.9499999999998</v>
      </c>
      <c r="EK87" s="19">
        <f>Tabelle58971121[[#This Row],[Maximalauslastung max]]*Tabelle58971121[[#This Row],[installierte Leistung MW durch]]</f>
        <v>2171.9499999999998</v>
      </c>
      <c r="EL87" s="9">
        <v>1</v>
      </c>
      <c r="EM87" s="9">
        <v>1</v>
      </c>
      <c r="EN87" s="9">
        <v>1</v>
      </c>
      <c r="EO87" s="1">
        <v>2171.9499999999998</v>
      </c>
      <c r="EP87" s="1">
        <v>2002.55</v>
      </c>
      <c r="EQ87" s="1">
        <v>2341.35</v>
      </c>
      <c r="ER87" s="19"/>
      <c r="ES87" s="19"/>
      <c r="EX87" s="1">
        <v>0.25</v>
      </c>
      <c r="EY87" s="1">
        <v>0.2</v>
      </c>
      <c r="EZ87" s="1">
        <v>0.3</v>
      </c>
      <c r="FD87" s="1">
        <v>0.25</v>
      </c>
      <c r="FE87" s="1">
        <v>0.2</v>
      </c>
      <c r="FF87" s="1">
        <v>0.3</v>
      </c>
      <c r="FG87" s="1">
        <v>4.5</v>
      </c>
      <c r="FH87" s="1">
        <v>3</v>
      </c>
      <c r="FI87" s="1">
        <v>6</v>
      </c>
      <c r="FJ87" s="1">
        <v>0.4</v>
      </c>
      <c r="FK87" s="1">
        <v>0.3</v>
      </c>
      <c r="FL87" s="1">
        <v>0.5</v>
      </c>
      <c r="FP87" s="1">
        <v>6570</v>
      </c>
      <c r="FQ87" s="1">
        <v>4380</v>
      </c>
      <c r="FR87" s="1">
        <v>8760</v>
      </c>
      <c r="FS87" s="11"/>
      <c r="FT87" s="11"/>
      <c r="FU87" s="11"/>
      <c r="FV87" s="1">
        <v>6570</v>
      </c>
      <c r="FW87" s="1">
        <v>4380</v>
      </c>
      <c r="FX87" s="1">
        <v>8760</v>
      </c>
      <c r="FY87" s="1">
        <v>64.315294117647056</v>
      </c>
      <c r="FZ87" s="19">
        <v>57.904117647058833</v>
      </c>
      <c r="GA87" s="19">
        <v>70.726470588235287</v>
      </c>
      <c r="GB87" s="19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>
        <v>1211</v>
      </c>
      <c r="GO87" s="8">
        <v>1089.8999999999999</v>
      </c>
      <c r="GP87" s="8">
        <v>1332.1</v>
      </c>
      <c r="GS87" s="1">
        <v>67</v>
      </c>
      <c r="GT87" s="1">
        <v>67</v>
      </c>
      <c r="GU87" s="1">
        <v>67</v>
      </c>
      <c r="GV87" s="13" t="s">
        <v>806</v>
      </c>
      <c r="GW87" s="13" t="s">
        <v>806</v>
      </c>
      <c r="GX87" s="13" t="s">
        <v>806</v>
      </c>
      <c r="GY87" s="13"/>
      <c r="GZ87" s="13" t="s">
        <v>806</v>
      </c>
      <c r="HA87" s="13" t="s">
        <v>806</v>
      </c>
      <c r="HB87" s="13" t="s">
        <v>806</v>
      </c>
      <c r="HC87" s="13" t="s">
        <v>806</v>
      </c>
      <c r="HD87" s="13" t="s">
        <v>806</v>
      </c>
      <c r="HE87" s="13" t="s">
        <v>806</v>
      </c>
      <c r="HF87" s="13" t="s">
        <v>806</v>
      </c>
      <c r="HI87" s="13" t="s">
        <v>806</v>
      </c>
      <c r="HJ87" s="13" t="s">
        <v>806</v>
      </c>
      <c r="HL87" s="13" t="s">
        <v>806</v>
      </c>
    </row>
    <row r="88" spans="1:220" ht="12.75" customHeight="1" x14ac:dyDescent="0.25">
      <c r="A88" s="1" t="s">
        <v>132</v>
      </c>
      <c r="B88" s="1" t="s">
        <v>653</v>
      </c>
      <c r="E88" s="1" t="s">
        <v>139</v>
      </c>
      <c r="F88" s="1">
        <v>2</v>
      </c>
      <c r="G88" s="1">
        <v>2045</v>
      </c>
      <c r="H88" s="1">
        <v>1</v>
      </c>
      <c r="I88" s="1">
        <v>0</v>
      </c>
      <c r="J88" s="1">
        <v>0</v>
      </c>
      <c r="K88" s="19"/>
      <c r="L88" s="19"/>
      <c r="M88" s="19"/>
      <c r="N88" s="19"/>
      <c r="O88" s="19"/>
      <c r="P88" s="19"/>
      <c r="Q88" s="19">
        <v>698.09270208333362</v>
      </c>
      <c r="R88" s="19">
        <v>490.15142000000003</v>
      </c>
      <c r="S88" s="19">
        <v>958.88924999999995</v>
      </c>
      <c r="T88" s="19"/>
      <c r="U88" s="19"/>
      <c r="V88" s="19"/>
      <c r="W88" s="19">
        <v>0</v>
      </c>
      <c r="X88" s="19">
        <v>0</v>
      </c>
      <c r="Y88" s="19">
        <v>0</v>
      </c>
      <c r="Z88" s="19">
        <v>698.09270208333362</v>
      </c>
      <c r="AA88" s="19">
        <v>490.15142000000003</v>
      </c>
      <c r="AB88" s="19">
        <v>958.88924999999995</v>
      </c>
      <c r="AC88" s="19"/>
      <c r="AD88" s="19"/>
      <c r="AE88" s="19"/>
      <c r="AF88" s="19">
        <v>0</v>
      </c>
      <c r="AG88" s="19">
        <v>0</v>
      </c>
      <c r="AH88" s="19">
        <v>0</v>
      </c>
      <c r="AI88" s="19">
        <v>698.09270208333362</v>
      </c>
      <c r="AJ88" s="19">
        <v>490.15142000000003</v>
      </c>
      <c r="AK88" s="19">
        <v>958.88924999999995</v>
      </c>
      <c r="AL88" s="19">
        <v>0</v>
      </c>
      <c r="AM88" s="19">
        <v>0</v>
      </c>
      <c r="AN88" s="19">
        <v>0</v>
      </c>
      <c r="AO88" s="19">
        <v>698.09270208333362</v>
      </c>
      <c r="AP88" s="19">
        <v>490.15142000000003</v>
      </c>
      <c r="AQ88" s="19">
        <v>958.88924999999995</v>
      </c>
      <c r="AR88" s="19"/>
      <c r="AS88" s="19"/>
      <c r="AT88" s="19"/>
      <c r="AU88" s="19">
        <v>0</v>
      </c>
      <c r="AV88" s="19">
        <v>0</v>
      </c>
      <c r="AW88" s="19">
        <v>0</v>
      </c>
      <c r="AX88" s="19">
        <v>698.09270208333362</v>
      </c>
      <c r="AY88" s="19">
        <v>490.15142000000003</v>
      </c>
      <c r="AZ88" s="19">
        <v>958.88924999999995</v>
      </c>
      <c r="BA88" s="19"/>
      <c r="BB88" s="19"/>
      <c r="BC88" s="19"/>
      <c r="BD88" s="19">
        <v>0</v>
      </c>
      <c r="BE88" s="19">
        <v>0</v>
      </c>
      <c r="BF88" s="19">
        <v>0</v>
      </c>
      <c r="BG88" s="19">
        <v>698.09270208333362</v>
      </c>
      <c r="BH88" s="19">
        <v>490.15142000000003</v>
      </c>
      <c r="BI88" s="19">
        <v>958.88924999999995</v>
      </c>
      <c r="BJ88" s="19"/>
      <c r="BK88" s="19"/>
      <c r="BL88" s="19"/>
      <c r="BM88" s="19">
        <v>0</v>
      </c>
      <c r="BN88" s="19">
        <v>0</v>
      </c>
      <c r="BO88" s="19">
        <v>0</v>
      </c>
      <c r="BP88" s="19">
        <v>698.09270208333362</v>
      </c>
      <c r="BQ88" s="19">
        <v>490.15142000000003</v>
      </c>
      <c r="BR88" s="19">
        <v>958.88924999999995</v>
      </c>
      <c r="BS88" s="19"/>
      <c r="BT88" s="19"/>
      <c r="BU88" s="19"/>
      <c r="BV88" s="19">
        <v>0</v>
      </c>
      <c r="BW88" s="19">
        <v>0</v>
      </c>
      <c r="BX88" s="19">
        <v>0</v>
      </c>
      <c r="BY88" s="19">
        <v>698.09270208333362</v>
      </c>
      <c r="BZ88" s="19">
        <v>490.15142000000003</v>
      </c>
      <c r="CA88" s="19">
        <v>958.88924999999995</v>
      </c>
      <c r="CB88" s="19"/>
      <c r="CC88" s="19"/>
      <c r="CD88" s="19"/>
      <c r="CE88" s="19">
        <v>0</v>
      </c>
      <c r="CF88" s="19">
        <v>0</v>
      </c>
      <c r="CG88" s="19">
        <v>0</v>
      </c>
      <c r="CH88" s="19">
        <v>698.09270208333362</v>
      </c>
      <c r="CI88" s="19">
        <v>490.15142000000003</v>
      </c>
      <c r="CJ88" s="19">
        <v>958.88924999999995</v>
      </c>
      <c r="CK88" s="19"/>
      <c r="CL88" s="19"/>
      <c r="CM88" s="19"/>
      <c r="CN88" s="19">
        <v>0</v>
      </c>
      <c r="CO88" s="19">
        <v>0</v>
      </c>
      <c r="CP88" s="19">
        <v>0</v>
      </c>
      <c r="CQ88" s="19"/>
      <c r="CR88" s="19"/>
      <c r="CS88" s="19"/>
      <c r="CT88" s="19"/>
      <c r="CU88" s="11">
        <f>Tabelle58971121[[#This Row],[Mindestauslastung durch]]*Tabelle58971121[[#This Row],[installierte Leistung MW durch]]</f>
        <v>313.94549999999998</v>
      </c>
      <c r="CV88" s="11">
        <f>Tabelle58971121[[#This Row],[Mindestauslastung min]]*Tabelle58971121[[#This Row],[installierte Leistung MW min]]</f>
        <v>289.45949999999999</v>
      </c>
      <c r="CW88" s="11">
        <f>Tabelle58971121[[#This Row],[Mindestauslastung max]]*Tabelle58971121[[#This Row],[installierte Leistung MW max]]</f>
        <v>338.43149999999997</v>
      </c>
      <c r="CX88" s="9">
        <v>0.15</v>
      </c>
      <c r="CY88" s="9">
        <v>0.15</v>
      </c>
      <c r="CZ88" s="9">
        <v>0.15</v>
      </c>
      <c r="DA88" s="9"/>
      <c r="DB88" s="9">
        <v>0.33354166666666663</v>
      </c>
      <c r="DC88" s="9">
        <v>0.254</v>
      </c>
      <c r="DD88" s="9">
        <v>0.42499999999999999</v>
      </c>
      <c r="DE88" s="9">
        <v>0.33354166666666663</v>
      </c>
      <c r="DF88" s="9">
        <v>0.254</v>
      </c>
      <c r="DG88" s="9">
        <v>0.42499999999999999</v>
      </c>
      <c r="DH88" s="9">
        <v>0.33354166666666663</v>
      </c>
      <c r="DI88" s="9">
        <v>0.254</v>
      </c>
      <c r="DJ88" s="9">
        <v>0.42499999999999999</v>
      </c>
      <c r="DK88" s="9">
        <v>0.33354166666666663</v>
      </c>
      <c r="DL88" s="9">
        <v>0.254</v>
      </c>
      <c r="DM88" s="9">
        <v>0.42499999999999999</v>
      </c>
      <c r="DN88" s="9">
        <v>0.33354166666666663</v>
      </c>
      <c r="DO88" s="9">
        <v>0.254</v>
      </c>
      <c r="DP88" s="9">
        <v>0.42499999999999999</v>
      </c>
      <c r="DQ88" s="9">
        <v>0.33354166666666663</v>
      </c>
      <c r="DR88" s="9">
        <v>0.254</v>
      </c>
      <c r="DS88" s="9">
        <v>0.42499999999999999</v>
      </c>
      <c r="DT88" s="9">
        <v>0.33354166666666663</v>
      </c>
      <c r="DU88" s="9">
        <v>0.254</v>
      </c>
      <c r="DV88" s="9">
        <v>0.42499999999999999</v>
      </c>
      <c r="DW88" s="9">
        <v>0.33354166666666663</v>
      </c>
      <c r="DX88" s="9">
        <v>0.254</v>
      </c>
      <c r="DY88" s="9">
        <v>0.42499999999999999</v>
      </c>
      <c r="DZ88" s="9">
        <v>0.33354166666666663</v>
      </c>
      <c r="EA88" s="9">
        <v>0.254</v>
      </c>
      <c r="EB88" s="9">
        <v>0.42499999999999999</v>
      </c>
      <c r="EC88" s="9"/>
      <c r="ED88" s="9"/>
      <c r="EE88" s="9"/>
      <c r="EF88" s="46">
        <f>Tabelle58971121[[#This Row],[Durchschnittsauslastung min]]*Tabelle58971121[[#This Row],[installierte Leistung MW min]]</f>
        <v>0</v>
      </c>
      <c r="EG88" s="46">
        <f>Tabelle58971121[[#This Row],[Durchschnittsauslastung durch]]*Tabelle58971121[[#This Row],[installierte Leistung MW durch]]</f>
        <v>0</v>
      </c>
      <c r="EH88" s="46">
        <f>Tabelle58971121[[#This Row],[Durchschnittsauslastung max]]*Tabelle58971121[[#This Row],[installierte Leistung MW max]]</f>
        <v>0</v>
      </c>
      <c r="EI88" s="83">
        <f>Tabelle58971121[[#This Row],[Maximalauslastung durch]]*Tabelle58971121[[#This Row],[installierte Leistung MW min]]</f>
        <v>1929.73</v>
      </c>
      <c r="EJ88" s="46">
        <f>Tabelle58971121[[#This Row],[Maximalauslastung durch]]*Tabelle58971121[[#This Row],[installierte Leistung MW durch]]</f>
        <v>2092.9699999999998</v>
      </c>
      <c r="EK88" s="19">
        <f>Tabelle58971121[[#This Row],[Maximalauslastung max]]*Tabelle58971121[[#This Row],[installierte Leistung MW durch]]</f>
        <v>2092.9699999999998</v>
      </c>
      <c r="EL88" s="9">
        <v>1</v>
      </c>
      <c r="EM88" s="9">
        <v>1</v>
      </c>
      <c r="EN88" s="9">
        <v>1</v>
      </c>
      <c r="EO88" s="1">
        <v>2092.9699999999998</v>
      </c>
      <c r="EP88" s="1">
        <v>1929.73</v>
      </c>
      <c r="EQ88" s="1">
        <v>2256.21</v>
      </c>
      <c r="ER88" s="19"/>
      <c r="ES88" s="19"/>
      <c r="EX88" s="1">
        <v>0.25</v>
      </c>
      <c r="EY88" s="1">
        <v>0.2</v>
      </c>
      <c r="EZ88" s="1">
        <v>0.3</v>
      </c>
      <c r="FD88" s="1">
        <v>0.25</v>
      </c>
      <c r="FE88" s="1">
        <v>0.2</v>
      </c>
      <c r="FF88" s="1">
        <v>0.3</v>
      </c>
      <c r="FG88" s="1">
        <v>4.5</v>
      </c>
      <c r="FH88" s="1">
        <v>3</v>
      </c>
      <c r="FI88" s="1">
        <v>6</v>
      </c>
      <c r="FJ88" s="1">
        <v>0.4</v>
      </c>
      <c r="FK88" s="1">
        <v>0.3</v>
      </c>
      <c r="FL88" s="1">
        <v>0.5</v>
      </c>
      <c r="FP88" s="1">
        <v>6570</v>
      </c>
      <c r="FQ88" s="1">
        <v>4380</v>
      </c>
      <c r="FR88" s="1">
        <v>8760</v>
      </c>
      <c r="FS88" s="11"/>
      <c r="FT88" s="11"/>
      <c r="FU88" s="11"/>
      <c r="FV88" s="1">
        <v>6570</v>
      </c>
      <c r="FW88" s="1">
        <v>4380</v>
      </c>
      <c r="FX88" s="1">
        <v>8760</v>
      </c>
      <c r="FY88" s="1">
        <v>64.315294117647056</v>
      </c>
      <c r="FZ88" s="19">
        <v>57.904117647058833</v>
      </c>
      <c r="GA88" s="19">
        <v>70.726470588235287</v>
      </c>
      <c r="GB88" s="19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>
        <v>1211</v>
      </c>
      <c r="GO88" s="8">
        <v>1089.8999999999999</v>
      </c>
      <c r="GP88" s="8">
        <v>1332.1</v>
      </c>
      <c r="GS88" s="1">
        <v>67</v>
      </c>
      <c r="GT88" s="1">
        <v>67</v>
      </c>
      <c r="GU88" s="1">
        <v>67</v>
      </c>
      <c r="GV88" s="13" t="s">
        <v>806</v>
      </c>
      <c r="GW88" s="13" t="s">
        <v>806</v>
      </c>
      <c r="GX88" s="13" t="s">
        <v>806</v>
      </c>
      <c r="GY88" s="13"/>
      <c r="GZ88" s="13" t="s">
        <v>806</v>
      </c>
      <c r="HA88" s="13" t="s">
        <v>806</v>
      </c>
      <c r="HB88" s="13" t="s">
        <v>806</v>
      </c>
      <c r="HC88" s="13" t="s">
        <v>806</v>
      </c>
      <c r="HD88" s="13" t="s">
        <v>806</v>
      </c>
      <c r="HE88" s="13" t="s">
        <v>806</v>
      </c>
      <c r="HF88" s="13" t="s">
        <v>806</v>
      </c>
      <c r="HI88" s="13" t="s">
        <v>806</v>
      </c>
      <c r="HJ88" s="13" t="s">
        <v>806</v>
      </c>
      <c r="HL88" s="13" t="s">
        <v>806</v>
      </c>
    </row>
    <row r="89" spans="1:220" ht="12.75" customHeight="1" x14ac:dyDescent="0.25">
      <c r="A89" s="1" t="s">
        <v>132</v>
      </c>
      <c r="B89" s="1" t="s">
        <v>653</v>
      </c>
      <c r="E89" s="1" t="s">
        <v>139</v>
      </c>
      <c r="F89" s="1">
        <v>2</v>
      </c>
      <c r="G89" s="1">
        <v>2050</v>
      </c>
      <c r="H89" s="1">
        <v>1</v>
      </c>
      <c r="I89" s="1">
        <v>0</v>
      </c>
      <c r="J89" s="1">
        <v>0</v>
      </c>
      <c r="K89" s="19"/>
      <c r="L89" s="19"/>
      <c r="M89" s="19"/>
      <c r="N89" s="19"/>
      <c r="O89" s="19"/>
      <c r="P89" s="19"/>
      <c r="Q89" s="19">
        <v>671.74958125000023</v>
      </c>
      <c r="R89" s="19">
        <v>471.65514000000002</v>
      </c>
      <c r="S89" s="19">
        <v>922.70474999999999</v>
      </c>
      <c r="T89" s="19"/>
      <c r="U89" s="19"/>
      <c r="V89" s="19"/>
      <c r="W89" s="19">
        <v>0</v>
      </c>
      <c r="X89" s="19">
        <v>0</v>
      </c>
      <c r="Y89" s="19">
        <v>0</v>
      </c>
      <c r="Z89" s="19">
        <v>671.74958125000023</v>
      </c>
      <c r="AA89" s="19">
        <v>471.65514000000002</v>
      </c>
      <c r="AB89" s="19">
        <v>922.70474999999999</v>
      </c>
      <c r="AC89" s="19"/>
      <c r="AD89" s="19"/>
      <c r="AE89" s="19"/>
      <c r="AF89" s="19">
        <v>0</v>
      </c>
      <c r="AG89" s="19">
        <v>0</v>
      </c>
      <c r="AH89" s="19">
        <v>0</v>
      </c>
      <c r="AI89" s="19">
        <v>671.74958125000023</v>
      </c>
      <c r="AJ89" s="19">
        <v>471.65514000000002</v>
      </c>
      <c r="AK89" s="19">
        <v>922.70474999999999</v>
      </c>
      <c r="AL89" s="19">
        <v>0</v>
      </c>
      <c r="AM89" s="19">
        <v>0</v>
      </c>
      <c r="AN89" s="19">
        <v>0</v>
      </c>
      <c r="AO89" s="19">
        <v>671.74958125000023</v>
      </c>
      <c r="AP89" s="19">
        <v>471.65514000000002</v>
      </c>
      <c r="AQ89" s="19">
        <v>922.70474999999999</v>
      </c>
      <c r="AR89" s="19"/>
      <c r="AS89" s="19"/>
      <c r="AT89" s="19"/>
      <c r="AU89" s="19">
        <v>0</v>
      </c>
      <c r="AV89" s="19">
        <v>0</v>
      </c>
      <c r="AW89" s="19">
        <v>0</v>
      </c>
      <c r="AX89" s="19">
        <v>671.74958125000023</v>
      </c>
      <c r="AY89" s="19">
        <v>471.65514000000002</v>
      </c>
      <c r="AZ89" s="19">
        <v>922.70474999999999</v>
      </c>
      <c r="BA89" s="19"/>
      <c r="BB89" s="19"/>
      <c r="BC89" s="19"/>
      <c r="BD89" s="19">
        <v>0</v>
      </c>
      <c r="BE89" s="19">
        <v>0</v>
      </c>
      <c r="BF89" s="19">
        <v>0</v>
      </c>
      <c r="BG89" s="19">
        <v>671.74958125000023</v>
      </c>
      <c r="BH89" s="19">
        <v>471.65514000000002</v>
      </c>
      <c r="BI89" s="19">
        <v>922.70474999999999</v>
      </c>
      <c r="BJ89" s="19"/>
      <c r="BK89" s="19"/>
      <c r="BL89" s="19"/>
      <c r="BM89" s="19">
        <v>0</v>
      </c>
      <c r="BN89" s="19">
        <v>0</v>
      </c>
      <c r="BO89" s="19">
        <v>0</v>
      </c>
      <c r="BP89" s="19">
        <v>671.74958125000023</v>
      </c>
      <c r="BQ89" s="19">
        <v>471.65514000000002</v>
      </c>
      <c r="BR89" s="19">
        <v>922.70474999999999</v>
      </c>
      <c r="BS89" s="19"/>
      <c r="BT89" s="19"/>
      <c r="BU89" s="19"/>
      <c r="BV89" s="19">
        <v>0</v>
      </c>
      <c r="BW89" s="19">
        <v>0</v>
      </c>
      <c r="BX89" s="19">
        <v>0</v>
      </c>
      <c r="BY89" s="19">
        <v>671.74958125000023</v>
      </c>
      <c r="BZ89" s="19">
        <v>471.65514000000002</v>
      </c>
      <c r="CA89" s="19">
        <v>922.70474999999999</v>
      </c>
      <c r="CB89" s="19"/>
      <c r="CC89" s="19"/>
      <c r="CD89" s="19"/>
      <c r="CE89" s="19">
        <v>0</v>
      </c>
      <c r="CF89" s="19">
        <v>0</v>
      </c>
      <c r="CG89" s="19">
        <v>0</v>
      </c>
      <c r="CH89" s="19">
        <v>671.74958125000023</v>
      </c>
      <c r="CI89" s="19">
        <v>471.65514000000002</v>
      </c>
      <c r="CJ89" s="19">
        <v>922.70474999999999</v>
      </c>
      <c r="CK89" s="19"/>
      <c r="CL89" s="19"/>
      <c r="CM89" s="19"/>
      <c r="CN89" s="19">
        <v>0</v>
      </c>
      <c r="CO89" s="19">
        <v>0</v>
      </c>
      <c r="CP89" s="19">
        <v>0</v>
      </c>
      <c r="CQ89" s="19"/>
      <c r="CR89" s="19"/>
      <c r="CS89" s="19"/>
      <c r="CT89" s="19"/>
      <c r="CU89" s="11">
        <f>Tabelle58971121[[#This Row],[Mindestauslastung durch]]*Tabelle58971121[[#This Row],[installierte Leistung MW durch]]</f>
        <v>302.0985</v>
      </c>
      <c r="CV89" s="11">
        <f>Tabelle58971121[[#This Row],[Mindestauslastung min]]*Tabelle58971121[[#This Row],[installierte Leistung MW min]]</f>
        <v>278.53649999999999</v>
      </c>
      <c r="CW89" s="11">
        <f>Tabelle58971121[[#This Row],[Mindestauslastung max]]*Tabelle58971121[[#This Row],[installierte Leistung MW max]]</f>
        <v>325.66050000000001</v>
      </c>
      <c r="CX89" s="9">
        <v>0.15</v>
      </c>
      <c r="CY89" s="9">
        <v>0.15</v>
      </c>
      <c r="CZ89" s="9">
        <v>0.15</v>
      </c>
      <c r="DA89" s="9"/>
      <c r="DB89" s="9">
        <v>0.33354166666666663</v>
      </c>
      <c r="DC89" s="9">
        <v>0.254</v>
      </c>
      <c r="DD89" s="9">
        <v>0.42499999999999999</v>
      </c>
      <c r="DE89" s="9">
        <v>0.33354166666666663</v>
      </c>
      <c r="DF89" s="9">
        <v>0.254</v>
      </c>
      <c r="DG89" s="9">
        <v>0.42499999999999999</v>
      </c>
      <c r="DH89" s="9">
        <v>0.33354166666666663</v>
      </c>
      <c r="DI89" s="9">
        <v>0.254</v>
      </c>
      <c r="DJ89" s="9">
        <v>0.42499999999999999</v>
      </c>
      <c r="DK89" s="9">
        <v>0.33354166666666663</v>
      </c>
      <c r="DL89" s="9">
        <v>0.254</v>
      </c>
      <c r="DM89" s="9">
        <v>0.42499999999999999</v>
      </c>
      <c r="DN89" s="9">
        <v>0.33354166666666663</v>
      </c>
      <c r="DO89" s="9">
        <v>0.254</v>
      </c>
      <c r="DP89" s="9">
        <v>0.42499999999999999</v>
      </c>
      <c r="DQ89" s="9">
        <v>0.33354166666666663</v>
      </c>
      <c r="DR89" s="9">
        <v>0.254</v>
      </c>
      <c r="DS89" s="9">
        <v>0.42499999999999999</v>
      </c>
      <c r="DT89" s="9">
        <v>0.33354166666666663</v>
      </c>
      <c r="DU89" s="9">
        <v>0.254</v>
      </c>
      <c r="DV89" s="9">
        <v>0.42499999999999999</v>
      </c>
      <c r="DW89" s="9">
        <v>0.33354166666666663</v>
      </c>
      <c r="DX89" s="9">
        <v>0.254</v>
      </c>
      <c r="DY89" s="9">
        <v>0.42499999999999999</v>
      </c>
      <c r="DZ89" s="9">
        <v>0.33354166666666663</v>
      </c>
      <c r="EA89" s="9">
        <v>0.254</v>
      </c>
      <c r="EB89" s="9">
        <v>0.42499999999999999</v>
      </c>
      <c r="EC89" s="9"/>
      <c r="ED89" s="9"/>
      <c r="EE89" s="9"/>
      <c r="EF89" s="46">
        <f>Tabelle58971121[[#This Row],[Durchschnittsauslastung min]]*Tabelle58971121[[#This Row],[installierte Leistung MW min]]</f>
        <v>0</v>
      </c>
      <c r="EG89" s="46">
        <f>Tabelle58971121[[#This Row],[Durchschnittsauslastung durch]]*Tabelle58971121[[#This Row],[installierte Leistung MW durch]]</f>
        <v>0</v>
      </c>
      <c r="EH89" s="46">
        <f>Tabelle58971121[[#This Row],[Durchschnittsauslastung max]]*Tabelle58971121[[#This Row],[installierte Leistung MW max]]</f>
        <v>0</v>
      </c>
      <c r="EI89" s="83">
        <f>Tabelle58971121[[#This Row],[Maximalauslastung durch]]*Tabelle58971121[[#This Row],[installierte Leistung MW min]]</f>
        <v>1856.91</v>
      </c>
      <c r="EJ89" s="46">
        <f>Tabelle58971121[[#This Row],[Maximalauslastung durch]]*Tabelle58971121[[#This Row],[installierte Leistung MW durch]]</f>
        <v>2013.99</v>
      </c>
      <c r="EK89" s="19">
        <f>Tabelle58971121[[#This Row],[Maximalauslastung max]]*Tabelle58971121[[#This Row],[installierte Leistung MW durch]]</f>
        <v>2013.99</v>
      </c>
      <c r="EL89" s="9">
        <v>1</v>
      </c>
      <c r="EM89" s="9">
        <v>1</v>
      </c>
      <c r="EN89" s="9">
        <v>1</v>
      </c>
      <c r="EO89" s="1">
        <v>2013.99</v>
      </c>
      <c r="EP89" s="1">
        <v>1856.91</v>
      </c>
      <c r="EQ89" s="1">
        <v>2171.0700000000002</v>
      </c>
      <c r="ER89" s="19"/>
      <c r="ES89" s="19"/>
      <c r="EX89" s="1">
        <v>0.25</v>
      </c>
      <c r="EY89" s="1">
        <v>0.2</v>
      </c>
      <c r="EZ89" s="1">
        <v>0.3</v>
      </c>
      <c r="FD89" s="1">
        <v>0.25</v>
      </c>
      <c r="FE89" s="1">
        <v>0.2</v>
      </c>
      <c r="FF89" s="1">
        <v>0.3</v>
      </c>
      <c r="FG89" s="1">
        <v>4.5</v>
      </c>
      <c r="FH89" s="1">
        <v>3</v>
      </c>
      <c r="FI89" s="1">
        <v>6</v>
      </c>
      <c r="FJ89" s="1">
        <v>0.4</v>
      </c>
      <c r="FK89" s="1">
        <v>0.3</v>
      </c>
      <c r="FL89" s="1">
        <v>0.5</v>
      </c>
      <c r="FP89" s="1">
        <v>6570</v>
      </c>
      <c r="FQ89" s="1">
        <v>4380</v>
      </c>
      <c r="FR89" s="1">
        <v>8760</v>
      </c>
      <c r="FS89" s="11"/>
      <c r="FT89" s="11"/>
      <c r="FU89" s="11"/>
      <c r="FV89" s="1">
        <v>6570</v>
      </c>
      <c r="FW89" s="1">
        <v>4380</v>
      </c>
      <c r="FX89" s="1">
        <v>8760</v>
      </c>
      <c r="FY89" s="1">
        <v>64.315294117647056</v>
      </c>
      <c r="FZ89" s="19">
        <v>57.904117647058833</v>
      </c>
      <c r="GA89" s="19">
        <v>70.726470588235287</v>
      </c>
      <c r="GB89" s="19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>
        <v>1211</v>
      </c>
      <c r="GO89" s="8">
        <v>1089.8999999999999</v>
      </c>
      <c r="GP89" s="8">
        <v>1332.1</v>
      </c>
      <c r="GS89" s="1">
        <v>67</v>
      </c>
      <c r="GT89" s="1">
        <v>67</v>
      </c>
      <c r="GU89" s="1">
        <v>67</v>
      </c>
      <c r="GV89" s="13" t="s">
        <v>806</v>
      </c>
      <c r="GW89" s="13" t="s">
        <v>806</v>
      </c>
      <c r="GX89" s="13" t="s">
        <v>806</v>
      </c>
      <c r="GY89" s="13"/>
      <c r="GZ89" s="13" t="s">
        <v>806</v>
      </c>
      <c r="HA89" s="13" t="s">
        <v>806</v>
      </c>
      <c r="HB89" s="13" t="s">
        <v>806</v>
      </c>
      <c r="HC89" s="13" t="s">
        <v>806</v>
      </c>
      <c r="HD89" s="13" t="s">
        <v>806</v>
      </c>
      <c r="HE89" s="13" t="s">
        <v>806</v>
      </c>
      <c r="HF89" s="13" t="s">
        <v>806</v>
      </c>
      <c r="HI89" s="13" t="s">
        <v>806</v>
      </c>
      <c r="HJ89" s="13" t="s">
        <v>806</v>
      </c>
      <c r="HL89" s="13" t="s">
        <v>806</v>
      </c>
    </row>
    <row r="90" spans="1:220" ht="12.75" customHeight="1" x14ac:dyDescent="0.25">
      <c r="A90" s="1" t="s">
        <v>150</v>
      </c>
      <c r="B90" s="1" t="s">
        <v>744</v>
      </c>
      <c r="E90" s="1" t="s">
        <v>139</v>
      </c>
      <c r="F90" s="1">
        <v>2</v>
      </c>
      <c r="G90" s="1">
        <v>2015</v>
      </c>
      <c r="H90" s="1">
        <v>0</v>
      </c>
      <c r="I90" s="1">
        <v>1</v>
      </c>
      <c r="J90" s="1">
        <v>0</v>
      </c>
      <c r="K90" s="19"/>
      <c r="L90" s="19"/>
      <c r="M90" s="19"/>
      <c r="N90" s="19"/>
      <c r="O90" s="19"/>
      <c r="P90" s="19"/>
      <c r="Q90" s="19"/>
      <c r="R90" s="19"/>
      <c r="S90" s="19"/>
      <c r="T90" s="19">
        <v>1894.6874999999991</v>
      </c>
      <c r="U90" s="19">
        <v>615.6</v>
      </c>
      <c r="V90" s="19">
        <v>2716.1750000000002</v>
      </c>
      <c r="W90" s="19"/>
      <c r="X90" s="19"/>
      <c r="Y90" s="19"/>
      <c r="Z90" s="19"/>
      <c r="AA90" s="19"/>
      <c r="AB90" s="19"/>
      <c r="AC90" s="19">
        <v>1894.6874999999991</v>
      </c>
      <c r="AD90" s="19">
        <v>615.6</v>
      </c>
      <c r="AE90" s="19">
        <v>2716.1750000000002</v>
      </c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>
        <v>1894.6874999999991</v>
      </c>
      <c r="AS90" s="19">
        <v>615.6</v>
      </c>
      <c r="AT90" s="19">
        <v>2716.1750000000002</v>
      </c>
      <c r="AU90" s="19"/>
      <c r="AV90" s="19"/>
      <c r="AW90" s="19"/>
      <c r="AX90" s="19"/>
      <c r="AY90" s="19"/>
      <c r="AZ90" s="19"/>
      <c r="BA90" s="19">
        <v>1894.6874999999991</v>
      </c>
      <c r="BB90" s="19">
        <v>615.6</v>
      </c>
      <c r="BC90" s="19">
        <v>2716.1750000000002</v>
      </c>
      <c r="BD90" s="19"/>
      <c r="BE90" s="19"/>
      <c r="BF90" s="19"/>
      <c r="BG90" s="19"/>
      <c r="BH90" s="19"/>
      <c r="BI90" s="19"/>
      <c r="BJ90" s="19">
        <v>1894.6874999999991</v>
      </c>
      <c r="BK90" s="19">
        <v>615.6</v>
      </c>
      <c r="BL90" s="19">
        <v>2716.1750000000002</v>
      </c>
      <c r="BM90" s="19"/>
      <c r="BN90" s="19"/>
      <c r="BO90" s="19"/>
      <c r="BP90" s="19"/>
      <c r="BQ90" s="19"/>
      <c r="BR90" s="19"/>
      <c r="BS90" s="19">
        <v>1894.6874999999991</v>
      </c>
      <c r="BT90" s="19">
        <v>615.6</v>
      </c>
      <c r="BU90" s="19">
        <v>2716.1750000000002</v>
      </c>
      <c r="BV90" s="19"/>
      <c r="BW90" s="19"/>
      <c r="BX90" s="19"/>
      <c r="BY90" s="19"/>
      <c r="BZ90" s="19"/>
      <c r="CA90" s="19"/>
      <c r="CB90" s="19">
        <v>1894.6874999999991</v>
      </c>
      <c r="CC90" s="19">
        <v>615.6</v>
      </c>
      <c r="CD90" s="19">
        <v>2716.1750000000002</v>
      </c>
      <c r="CE90" s="19"/>
      <c r="CF90" s="19"/>
      <c r="CG90" s="19"/>
      <c r="CH90" s="19"/>
      <c r="CI90" s="19"/>
      <c r="CJ90" s="19"/>
      <c r="CK90" s="19">
        <v>1894.6874999999991</v>
      </c>
      <c r="CL90" s="19">
        <v>615.6</v>
      </c>
      <c r="CM90" s="19">
        <v>2716.1750000000002</v>
      </c>
      <c r="CN90" s="19"/>
      <c r="CO90" s="19"/>
      <c r="CP90" s="19"/>
      <c r="CQ90" s="19"/>
      <c r="CR90" s="19"/>
      <c r="CS90" s="19"/>
      <c r="CT90" s="19"/>
      <c r="CU90" s="11">
        <f>Tabelle58971121[[#This Row],[Mindestauslastung durch]]*Tabelle58971121[[#This Row],[installierte Leistung MW durch]]</f>
        <v>375</v>
      </c>
      <c r="CV90" s="11">
        <f>Tabelle58971121[[#This Row],[Mindestauslastung min]]*Tabelle58971121[[#This Row],[installierte Leistung MW min]]</f>
        <v>303.75</v>
      </c>
      <c r="CW90" s="11">
        <f>Tabelle58971121[[#This Row],[Mindestauslastung max]]*Tabelle58971121[[#This Row],[installierte Leistung MW max]]</f>
        <v>446.25</v>
      </c>
      <c r="CX90" s="9">
        <v>0.15</v>
      </c>
      <c r="CY90" s="9">
        <v>0.15</v>
      </c>
      <c r="CZ90" s="9">
        <v>0.15</v>
      </c>
      <c r="DA90" s="9"/>
      <c r="DB90" s="9">
        <v>0.75787499999999985</v>
      </c>
      <c r="DC90" s="9">
        <v>0.30399999999999999</v>
      </c>
      <c r="DD90" s="9">
        <v>0.91299999999999992</v>
      </c>
      <c r="DE90" s="9">
        <v>0.75787499999999985</v>
      </c>
      <c r="DF90" s="9">
        <v>0.30399999999999999</v>
      </c>
      <c r="DG90" s="9">
        <v>0.91299999999999992</v>
      </c>
      <c r="DH90" s="9">
        <v>0.75787499999999985</v>
      </c>
      <c r="DI90" s="9">
        <v>0.30399999999999999</v>
      </c>
      <c r="DJ90" s="9">
        <v>0.91299999999999992</v>
      </c>
      <c r="DK90" s="9">
        <v>0.75787499999999985</v>
      </c>
      <c r="DL90" s="9">
        <v>0.30399999999999999</v>
      </c>
      <c r="DM90" s="9">
        <v>0.91299999999999992</v>
      </c>
      <c r="DN90" s="9">
        <v>0.75787499999999985</v>
      </c>
      <c r="DO90" s="9">
        <v>0.30399999999999999</v>
      </c>
      <c r="DP90" s="9">
        <v>0.91299999999999992</v>
      </c>
      <c r="DQ90" s="9">
        <v>0.75787499999999985</v>
      </c>
      <c r="DR90" s="9">
        <v>0.30399999999999999</v>
      </c>
      <c r="DS90" s="9">
        <v>0.91299999999999992</v>
      </c>
      <c r="DT90" s="9">
        <v>0.75787499999999985</v>
      </c>
      <c r="DU90" s="9">
        <v>0.30399999999999999</v>
      </c>
      <c r="DV90" s="9">
        <v>0.91299999999999992</v>
      </c>
      <c r="DW90" s="9">
        <v>0.75787499999999985</v>
      </c>
      <c r="DX90" s="9">
        <v>0.30399999999999999</v>
      </c>
      <c r="DY90" s="9">
        <v>0.91299999999999992</v>
      </c>
      <c r="DZ90" s="9">
        <v>0.75787499999999985</v>
      </c>
      <c r="EA90" s="9">
        <v>0.30399999999999999</v>
      </c>
      <c r="EB90" s="9">
        <v>0.91299999999999992</v>
      </c>
      <c r="EC90" s="9"/>
      <c r="ED90" s="9"/>
      <c r="EE90" s="9"/>
      <c r="EF90" s="46">
        <f>Tabelle58971121[[#This Row],[Durchschnittsauslastung min]]*Tabelle58971121[[#This Row],[installierte Leistung MW min]]</f>
        <v>0</v>
      </c>
      <c r="EG90" s="46">
        <f>Tabelle58971121[[#This Row],[Durchschnittsauslastung durch]]*Tabelle58971121[[#This Row],[installierte Leistung MW durch]]</f>
        <v>0</v>
      </c>
      <c r="EH90" s="46">
        <f>Tabelle58971121[[#This Row],[Durchschnittsauslastung max]]*Tabelle58971121[[#This Row],[installierte Leistung MW max]]</f>
        <v>0</v>
      </c>
      <c r="EI90" s="83">
        <f>Tabelle58971121[[#This Row],[Maximalauslastung durch]]*Tabelle58971121[[#This Row],[installierte Leistung MW min]]</f>
        <v>951.75</v>
      </c>
      <c r="EJ90" s="46">
        <f>Tabelle58971121[[#This Row],[Maximalauslastung durch]]*Tabelle58971121[[#This Row],[installierte Leistung MW durch]]</f>
        <v>1175</v>
      </c>
      <c r="EK90" s="19">
        <f>Tabelle58971121[[#This Row],[Maximalauslastung max]]*Tabelle58971121[[#This Row],[installierte Leistung MW durch]]</f>
        <v>1300</v>
      </c>
      <c r="EL90" s="9">
        <v>0.47</v>
      </c>
      <c r="EM90" s="9">
        <v>0.42</v>
      </c>
      <c r="EN90" s="9">
        <v>0.52</v>
      </c>
      <c r="EO90" s="1">
        <v>2500</v>
      </c>
      <c r="EP90" s="1">
        <v>2025</v>
      </c>
      <c r="EQ90" s="1">
        <v>2975</v>
      </c>
      <c r="ER90" s="19"/>
      <c r="ES90" s="19"/>
      <c r="EY90" s="65"/>
      <c r="EZ90" s="65"/>
      <c r="FA90" s="1">
        <v>0.25</v>
      </c>
      <c r="FB90" s="1">
        <v>0.2</v>
      </c>
      <c r="FC90" s="1">
        <v>0.3</v>
      </c>
      <c r="FD90" s="1">
        <v>0.25</v>
      </c>
      <c r="FE90" s="1">
        <v>0.2</v>
      </c>
      <c r="FF90" s="1">
        <v>0.3</v>
      </c>
      <c r="FG90" s="1">
        <v>0.5</v>
      </c>
      <c r="FH90" s="1">
        <v>0.4</v>
      </c>
      <c r="FI90" s="1">
        <v>0.6</v>
      </c>
      <c r="FJ90" s="1">
        <v>0.3</v>
      </c>
      <c r="FK90" s="1">
        <v>0.2</v>
      </c>
      <c r="FL90" s="1">
        <v>0.4</v>
      </c>
      <c r="FS90" s="1">
        <v>365</v>
      </c>
      <c r="FT90" s="1">
        <v>328</v>
      </c>
      <c r="FU90" s="1">
        <v>402</v>
      </c>
      <c r="FV90" s="1" t="s">
        <v>1084</v>
      </c>
      <c r="FW90" s="1" t="s">
        <v>1084</v>
      </c>
      <c r="FX90" s="1" t="s">
        <v>1084</v>
      </c>
      <c r="FY90" s="1">
        <v>145.52352941176468</v>
      </c>
      <c r="FZ90" s="19">
        <v>130.9711764705882</v>
      </c>
      <c r="GA90" s="19">
        <v>160.07588235294116</v>
      </c>
      <c r="GB90" s="19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>
        <v>9.972941176470588</v>
      </c>
      <c r="GO90" s="8">
        <v>3.5617647058823536</v>
      </c>
      <c r="GP90" s="8">
        <v>16.384117647058822</v>
      </c>
      <c r="GS90" s="1">
        <v>67</v>
      </c>
      <c r="GT90" s="1">
        <v>67</v>
      </c>
      <c r="GU90" s="1">
        <v>67</v>
      </c>
      <c r="GV90" s="13" t="s">
        <v>806</v>
      </c>
      <c r="GW90" s="13" t="s">
        <v>806</v>
      </c>
      <c r="GX90" s="13" t="s">
        <v>806</v>
      </c>
      <c r="GY90" s="13"/>
      <c r="GZ90" s="13" t="s">
        <v>806</v>
      </c>
      <c r="HA90" s="13" t="s">
        <v>806</v>
      </c>
      <c r="HB90" s="13" t="s">
        <v>806</v>
      </c>
      <c r="HC90" s="13" t="s">
        <v>806</v>
      </c>
      <c r="HD90" s="13" t="s">
        <v>806</v>
      </c>
      <c r="HE90" s="13" t="s">
        <v>806</v>
      </c>
      <c r="HF90" s="13" t="s">
        <v>806</v>
      </c>
      <c r="HI90" s="13" t="s">
        <v>806</v>
      </c>
      <c r="HJ90" s="13" t="s">
        <v>806</v>
      </c>
      <c r="HL90" s="13" t="s">
        <v>806</v>
      </c>
    </row>
    <row r="91" spans="1:220" ht="12.75" customHeight="1" x14ac:dyDescent="0.25">
      <c r="A91" s="1" t="s">
        <v>150</v>
      </c>
      <c r="B91" s="1" t="s">
        <v>744</v>
      </c>
      <c r="E91" s="1" t="s">
        <v>139</v>
      </c>
      <c r="F91" s="1">
        <v>2</v>
      </c>
      <c r="G91" s="1">
        <v>2020</v>
      </c>
      <c r="H91" s="1">
        <v>0</v>
      </c>
      <c r="I91" s="1">
        <v>1</v>
      </c>
      <c r="J91" s="1">
        <v>0</v>
      </c>
      <c r="K91" s="19"/>
      <c r="L91" s="19"/>
      <c r="M91" s="19"/>
      <c r="N91" s="19"/>
      <c r="O91" s="19"/>
      <c r="P91" s="19"/>
      <c r="Q91" s="19"/>
      <c r="R91" s="19"/>
      <c r="S91" s="19"/>
      <c r="T91" s="19">
        <v>1610.4843749999991</v>
      </c>
      <c r="U91" s="19">
        <v>523.26</v>
      </c>
      <c r="V91" s="19">
        <v>2308.7487500000002</v>
      </c>
      <c r="W91" s="19"/>
      <c r="X91" s="19"/>
      <c r="Y91" s="19"/>
      <c r="Z91" s="19"/>
      <c r="AA91" s="19"/>
      <c r="AB91" s="19"/>
      <c r="AC91" s="19">
        <v>1610.4843749999991</v>
      </c>
      <c r="AD91" s="19">
        <v>523.26</v>
      </c>
      <c r="AE91" s="19">
        <v>2308.7487500000002</v>
      </c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>
        <v>1610.4843749999991</v>
      </c>
      <c r="AS91" s="19">
        <v>523.26</v>
      </c>
      <c r="AT91" s="19">
        <v>2308.7487500000002</v>
      </c>
      <c r="AU91" s="19"/>
      <c r="AV91" s="19"/>
      <c r="AW91" s="19"/>
      <c r="AX91" s="19"/>
      <c r="AY91" s="19"/>
      <c r="AZ91" s="19"/>
      <c r="BA91" s="19">
        <v>1610.4843749999991</v>
      </c>
      <c r="BB91" s="19">
        <v>523.26</v>
      </c>
      <c r="BC91" s="19">
        <v>2308.7487500000002</v>
      </c>
      <c r="BD91" s="19"/>
      <c r="BE91" s="19"/>
      <c r="BF91" s="19"/>
      <c r="BG91" s="19"/>
      <c r="BH91" s="19"/>
      <c r="BI91" s="19"/>
      <c r="BJ91" s="19">
        <v>1610.4843749999991</v>
      </c>
      <c r="BK91" s="19">
        <v>523.26</v>
      </c>
      <c r="BL91" s="19">
        <v>2308.7487500000002</v>
      </c>
      <c r="BM91" s="19"/>
      <c r="BN91" s="19"/>
      <c r="BO91" s="19"/>
      <c r="BP91" s="19"/>
      <c r="BQ91" s="19"/>
      <c r="BR91" s="19"/>
      <c r="BS91" s="19">
        <v>1610.4843749999991</v>
      </c>
      <c r="BT91" s="19">
        <v>523.26</v>
      </c>
      <c r="BU91" s="19">
        <v>2308.7487500000002</v>
      </c>
      <c r="BV91" s="19"/>
      <c r="BW91" s="19"/>
      <c r="BX91" s="19"/>
      <c r="BY91" s="19"/>
      <c r="BZ91" s="19"/>
      <c r="CA91" s="19"/>
      <c r="CB91" s="19">
        <v>1610.4843749999991</v>
      </c>
      <c r="CC91" s="19">
        <v>523.26</v>
      </c>
      <c r="CD91" s="19">
        <v>2308.7487500000002</v>
      </c>
      <c r="CE91" s="19"/>
      <c r="CF91" s="19"/>
      <c r="CG91" s="19"/>
      <c r="CH91" s="19"/>
      <c r="CI91" s="19"/>
      <c r="CJ91" s="19"/>
      <c r="CK91" s="19">
        <v>1610.4843749999991</v>
      </c>
      <c r="CL91" s="19">
        <v>523.26</v>
      </c>
      <c r="CM91" s="19">
        <v>2308.7487500000002</v>
      </c>
      <c r="CN91" s="19"/>
      <c r="CO91" s="19"/>
      <c r="CP91" s="19"/>
      <c r="CQ91" s="19"/>
      <c r="CR91" s="19"/>
      <c r="CS91" s="19"/>
      <c r="CT91" s="19"/>
      <c r="CU91" s="11">
        <f>Tabelle58971121[[#This Row],[Mindestauslastung durch]]*Tabelle58971121[[#This Row],[installierte Leistung MW durch]]</f>
        <v>318.75</v>
      </c>
      <c r="CV91" s="11">
        <f>Tabelle58971121[[#This Row],[Mindestauslastung min]]*Tabelle58971121[[#This Row],[installierte Leistung MW min]]</f>
        <v>258.1875</v>
      </c>
      <c r="CW91" s="11">
        <f>Tabelle58971121[[#This Row],[Mindestauslastung max]]*Tabelle58971121[[#This Row],[installierte Leistung MW max]]</f>
        <v>379.3125</v>
      </c>
      <c r="CX91" s="9">
        <v>0.15</v>
      </c>
      <c r="CY91" s="9">
        <v>0.15</v>
      </c>
      <c r="CZ91" s="9">
        <v>0.15</v>
      </c>
      <c r="DA91" s="9"/>
      <c r="DB91" s="9">
        <v>0.75787499999999985</v>
      </c>
      <c r="DC91" s="9">
        <v>0.30399999999999999</v>
      </c>
      <c r="DD91" s="9">
        <v>0.91299999999999992</v>
      </c>
      <c r="DE91" s="9">
        <v>0.75787499999999985</v>
      </c>
      <c r="DF91" s="9">
        <v>0.30399999999999999</v>
      </c>
      <c r="DG91" s="9">
        <v>0.91299999999999992</v>
      </c>
      <c r="DH91" s="9">
        <v>0.75787499999999985</v>
      </c>
      <c r="DI91" s="9">
        <v>0.30399999999999999</v>
      </c>
      <c r="DJ91" s="9">
        <v>0.91299999999999992</v>
      </c>
      <c r="DK91" s="9">
        <v>0.75787499999999985</v>
      </c>
      <c r="DL91" s="9">
        <v>0.30399999999999999</v>
      </c>
      <c r="DM91" s="9">
        <v>0.91299999999999992</v>
      </c>
      <c r="DN91" s="9">
        <v>0.75787499999999985</v>
      </c>
      <c r="DO91" s="9">
        <v>0.30399999999999999</v>
      </c>
      <c r="DP91" s="9">
        <v>0.91299999999999992</v>
      </c>
      <c r="DQ91" s="9">
        <v>0.75787499999999985</v>
      </c>
      <c r="DR91" s="9">
        <v>0.30399999999999999</v>
      </c>
      <c r="DS91" s="9">
        <v>0.91299999999999992</v>
      </c>
      <c r="DT91" s="9">
        <v>0.75787499999999985</v>
      </c>
      <c r="DU91" s="9">
        <v>0.30399999999999999</v>
      </c>
      <c r="DV91" s="9">
        <v>0.91299999999999992</v>
      </c>
      <c r="DW91" s="9">
        <v>0.75787499999999985</v>
      </c>
      <c r="DX91" s="9">
        <v>0.30399999999999999</v>
      </c>
      <c r="DY91" s="9">
        <v>0.91299999999999992</v>
      </c>
      <c r="DZ91" s="9">
        <v>0.75787499999999985</v>
      </c>
      <c r="EA91" s="9">
        <v>0.30399999999999999</v>
      </c>
      <c r="EB91" s="9">
        <v>0.91299999999999992</v>
      </c>
      <c r="EC91" s="9"/>
      <c r="ED91" s="9"/>
      <c r="EE91" s="9"/>
      <c r="EF91" s="46">
        <f>Tabelle58971121[[#This Row],[Durchschnittsauslastung min]]*Tabelle58971121[[#This Row],[installierte Leistung MW min]]</f>
        <v>0</v>
      </c>
      <c r="EG91" s="46">
        <f>Tabelle58971121[[#This Row],[Durchschnittsauslastung durch]]*Tabelle58971121[[#This Row],[installierte Leistung MW durch]]</f>
        <v>0</v>
      </c>
      <c r="EH91" s="46">
        <f>Tabelle58971121[[#This Row],[Durchschnittsauslastung max]]*Tabelle58971121[[#This Row],[installierte Leistung MW max]]</f>
        <v>0</v>
      </c>
      <c r="EI91" s="83">
        <f>Tabelle58971121[[#This Row],[Maximalauslastung durch]]*Tabelle58971121[[#This Row],[installierte Leistung MW min]]</f>
        <v>808.98749999999995</v>
      </c>
      <c r="EJ91" s="46">
        <f>Tabelle58971121[[#This Row],[Maximalauslastung durch]]*Tabelle58971121[[#This Row],[installierte Leistung MW durch]]</f>
        <v>998.75</v>
      </c>
      <c r="EK91" s="19">
        <f>Tabelle58971121[[#This Row],[Maximalauslastung max]]*Tabelle58971121[[#This Row],[installierte Leistung MW durch]]</f>
        <v>1105</v>
      </c>
      <c r="EL91" s="9">
        <v>0.47</v>
      </c>
      <c r="EM91" s="9">
        <v>0.42</v>
      </c>
      <c r="EN91" s="9">
        <v>0.52</v>
      </c>
      <c r="EO91" s="1">
        <v>2125</v>
      </c>
      <c r="EP91" s="1">
        <v>1721.25</v>
      </c>
      <c r="EQ91" s="1">
        <v>2528.75</v>
      </c>
      <c r="ER91" s="19"/>
      <c r="ES91" s="19"/>
      <c r="EY91" s="65"/>
      <c r="EZ91" s="65"/>
      <c r="FA91" s="1">
        <v>0.25</v>
      </c>
      <c r="FB91" s="1">
        <v>0.2</v>
      </c>
      <c r="FC91" s="1">
        <v>0.3</v>
      </c>
      <c r="FD91" s="1">
        <v>0.25</v>
      </c>
      <c r="FE91" s="1">
        <v>0.2</v>
      </c>
      <c r="FF91" s="1">
        <v>0.3</v>
      </c>
      <c r="FG91" s="1">
        <v>0.5</v>
      </c>
      <c r="FH91" s="1">
        <v>0.4</v>
      </c>
      <c r="FI91" s="1">
        <v>0.6</v>
      </c>
      <c r="FJ91" s="1">
        <v>0.3</v>
      </c>
      <c r="FK91" s="1">
        <v>0.2</v>
      </c>
      <c r="FL91" s="1">
        <v>0.4</v>
      </c>
      <c r="FS91" s="1">
        <v>365</v>
      </c>
      <c r="FT91" s="1">
        <v>328</v>
      </c>
      <c r="FU91" s="1">
        <v>402</v>
      </c>
      <c r="FV91" s="1" t="s">
        <v>1084</v>
      </c>
      <c r="FW91" s="1" t="s">
        <v>1084</v>
      </c>
      <c r="FX91" s="1" t="s">
        <v>1084</v>
      </c>
      <c r="FY91" s="1">
        <v>145.52352941176468</v>
      </c>
      <c r="FZ91" s="19">
        <v>130.9711764705882</v>
      </c>
      <c r="GA91" s="19">
        <v>160.07588235294116</v>
      </c>
      <c r="GB91" s="19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>
        <v>9.972941176470588</v>
      </c>
      <c r="GO91" s="8">
        <v>3.5617647058823536</v>
      </c>
      <c r="GP91" s="8">
        <v>16.384117647058822</v>
      </c>
      <c r="GS91" s="1">
        <v>67</v>
      </c>
      <c r="GT91" s="1">
        <v>67</v>
      </c>
      <c r="GU91" s="1">
        <v>67</v>
      </c>
      <c r="GV91" s="13" t="s">
        <v>806</v>
      </c>
      <c r="GW91" s="13" t="s">
        <v>806</v>
      </c>
      <c r="GX91" s="13" t="s">
        <v>806</v>
      </c>
      <c r="GY91" s="13"/>
      <c r="GZ91" s="13" t="s">
        <v>806</v>
      </c>
      <c r="HA91" s="13" t="s">
        <v>806</v>
      </c>
      <c r="HB91" s="13" t="s">
        <v>806</v>
      </c>
      <c r="HC91" s="13" t="s">
        <v>806</v>
      </c>
      <c r="HD91" s="13" t="s">
        <v>806</v>
      </c>
      <c r="HE91" s="13" t="s">
        <v>806</v>
      </c>
      <c r="HF91" s="13" t="s">
        <v>806</v>
      </c>
      <c r="HI91" s="13" t="s">
        <v>806</v>
      </c>
      <c r="HJ91" s="13" t="s">
        <v>806</v>
      </c>
      <c r="HL91" s="13" t="s">
        <v>806</v>
      </c>
    </row>
    <row r="92" spans="1:220" ht="12.75" customHeight="1" x14ac:dyDescent="0.25">
      <c r="A92" s="1" t="s">
        <v>150</v>
      </c>
      <c r="B92" s="1" t="s">
        <v>744</v>
      </c>
      <c r="E92" s="1" t="s">
        <v>139</v>
      </c>
      <c r="F92" s="1">
        <v>2</v>
      </c>
      <c r="G92" s="1">
        <v>2025</v>
      </c>
      <c r="H92" s="1">
        <v>0</v>
      </c>
      <c r="I92" s="1">
        <v>1</v>
      </c>
      <c r="J92" s="1">
        <v>0</v>
      </c>
      <c r="K92" s="19"/>
      <c r="L92" s="19"/>
      <c r="M92" s="19"/>
      <c r="N92" s="19"/>
      <c r="O92" s="19"/>
      <c r="P92" s="19"/>
      <c r="Q92" s="19"/>
      <c r="R92" s="19"/>
      <c r="S92" s="19"/>
      <c r="T92" s="19">
        <v>1383.1218749999994</v>
      </c>
      <c r="U92" s="19">
        <v>449.38800000000003</v>
      </c>
      <c r="V92" s="19">
        <v>1982.8077500000002</v>
      </c>
      <c r="W92" s="19"/>
      <c r="X92" s="19"/>
      <c r="Y92" s="19"/>
      <c r="Z92" s="19"/>
      <c r="AA92" s="19"/>
      <c r="AB92" s="19"/>
      <c r="AC92" s="19">
        <v>1383.1218749999994</v>
      </c>
      <c r="AD92" s="19">
        <v>449.38800000000003</v>
      </c>
      <c r="AE92" s="19">
        <v>1982.8077500000002</v>
      </c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>
        <v>1383.1218749999994</v>
      </c>
      <c r="AS92" s="19">
        <v>449.38800000000003</v>
      </c>
      <c r="AT92" s="19">
        <v>1982.8077500000002</v>
      </c>
      <c r="AU92" s="19"/>
      <c r="AV92" s="19"/>
      <c r="AW92" s="19"/>
      <c r="AX92" s="19"/>
      <c r="AY92" s="19"/>
      <c r="AZ92" s="19"/>
      <c r="BA92" s="19">
        <v>1383.1218749999994</v>
      </c>
      <c r="BB92" s="19">
        <v>449.38800000000003</v>
      </c>
      <c r="BC92" s="19">
        <v>1982.8077500000002</v>
      </c>
      <c r="BD92" s="19"/>
      <c r="BE92" s="19"/>
      <c r="BF92" s="19"/>
      <c r="BG92" s="19"/>
      <c r="BH92" s="19"/>
      <c r="BI92" s="19"/>
      <c r="BJ92" s="19">
        <v>1383.1218749999994</v>
      </c>
      <c r="BK92" s="19">
        <v>449.38800000000003</v>
      </c>
      <c r="BL92" s="19">
        <v>1982.8077500000002</v>
      </c>
      <c r="BM92" s="19"/>
      <c r="BN92" s="19"/>
      <c r="BO92" s="19"/>
      <c r="BP92" s="19"/>
      <c r="BQ92" s="19"/>
      <c r="BR92" s="19"/>
      <c r="BS92" s="19">
        <v>1383.1218749999994</v>
      </c>
      <c r="BT92" s="19">
        <v>449.38800000000003</v>
      </c>
      <c r="BU92" s="19">
        <v>1982.8077500000002</v>
      </c>
      <c r="BV92" s="19"/>
      <c r="BW92" s="19"/>
      <c r="BX92" s="19"/>
      <c r="BY92" s="19"/>
      <c r="BZ92" s="19"/>
      <c r="CA92" s="19"/>
      <c r="CB92" s="19">
        <v>1383.1218749999994</v>
      </c>
      <c r="CC92" s="19">
        <v>449.38800000000003</v>
      </c>
      <c r="CD92" s="19">
        <v>1982.8077500000002</v>
      </c>
      <c r="CE92" s="19"/>
      <c r="CF92" s="19"/>
      <c r="CG92" s="19"/>
      <c r="CH92" s="19"/>
      <c r="CI92" s="19"/>
      <c r="CJ92" s="19"/>
      <c r="CK92" s="19">
        <v>1383.1218749999994</v>
      </c>
      <c r="CL92" s="19">
        <v>449.38800000000003</v>
      </c>
      <c r="CM92" s="19">
        <v>1982.8077500000002</v>
      </c>
      <c r="CN92" s="19"/>
      <c r="CO92" s="19"/>
      <c r="CP92" s="19"/>
      <c r="CQ92" s="19"/>
      <c r="CR92" s="19"/>
      <c r="CS92" s="19"/>
      <c r="CT92" s="19"/>
      <c r="CU92" s="11">
        <f>Tabelle58971121[[#This Row],[Mindestauslastung durch]]*Tabelle58971121[[#This Row],[installierte Leistung MW durch]]</f>
        <v>273.75</v>
      </c>
      <c r="CV92" s="11">
        <f>Tabelle58971121[[#This Row],[Mindestauslastung min]]*Tabelle58971121[[#This Row],[installierte Leistung MW min]]</f>
        <v>221.73749999999998</v>
      </c>
      <c r="CW92" s="11">
        <f>Tabelle58971121[[#This Row],[Mindestauslastung max]]*Tabelle58971121[[#This Row],[installierte Leistung MW max]]</f>
        <v>325.76249999999999</v>
      </c>
      <c r="CX92" s="9">
        <v>0.15</v>
      </c>
      <c r="CY92" s="9">
        <v>0.15</v>
      </c>
      <c r="CZ92" s="9">
        <v>0.15</v>
      </c>
      <c r="DA92" s="9"/>
      <c r="DB92" s="9">
        <v>0.75787499999999985</v>
      </c>
      <c r="DC92" s="9">
        <v>0.30399999999999999</v>
      </c>
      <c r="DD92" s="9">
        <v>0.91299999999999992</v>
      </c>
      <c r="DE92" s="9">
        <v>0.75787499999999985</v>
      </c>
      <c r="DF92" s="9">
        <v>0.30399999999999999</v>
      </c>
      <c r="DG92" s="9">
        <v>0.91299999999999992</v>
      </c>
      <c r="DH92" s="9">
        <v>0.75787499999999985</v>
      </c>
      <c r="DI92" s="9">
        <v>0.30399999999999999</v>
      </c>
      <c r="DJ92" s="9">
        <v>0.91299999999999992</v>
      </c>
      <c r="DK92" s="9">
        <v>0.75787499999999985</v>
      </c>
      <c r="DL92" s="9">
        <v>0.30399999999999999</v>
      </c>
      <c r="DM92" s="9">
        <v>0.91299999999999992</v>
      </c>
      <c r="DN92" s="9">
        <v>0.75787499999999985</v>
      </c>
      <c r="DO92" s="9">
        <v>0.30399999999999999</v>
      </c>
      <c r="DP92" s="9">
        <v>0.91299999999999992</v>
      </c>
      <c r="DQ92" s="9">
        <v>0.75787499999999985</v>
      </c>
      <c r="DR92" s="9">
        <v>0.30399999999999999</v>
      </c>
      <c r="DS92" s="9">
        <v>0.91299999999999992</v>
      </c>
      <c r="DT92" s="9">
        <v>0.75787499999999985</v>
      </c>
      <c r="DU92" s="9">
        <v>0.30399999999999999</v>
      </c>
      <c r="DV92" s="9">
        <v>0.91299999999999992</v>
      </c>
      <c r="DW92" s="9">
        <v>0.75787499999999985</v>
      </c>
      <c r="DX92" s="9">
        <v>0.30399999999999999</v>
      </c>
      <c r="DY92" s="9">
        <v>0.91299999999999992</v>
      </c>
      <c r="DZ92" s="9">
        <v>0.75787499999999985</v>
      </c>
      <c r="EA92" s="9">
        <v>0.30399999999999999</v>
      </c>
      <c r="EB92" s="9">
        <v>0.91299999999999992</v>
      </c>
      <c r="EC92" s="9"/>
      <c r="ED92" s="9"/>
      <c r="EE92" s="9"/>
      <c r="EF92" s="46">
        <f>Tabelle58971121[[#This Row],[Durchschnittsauslastung min]]*Tabelle58971121[[#This Row],[installierte Leistung MW min]]</f>
        <v>0</v>
      </c>
      <c r="EG92" s="46">
        <f>Tabelle58971121[[#This Row],[Durchschnittsauslastung durch]]*Tabelle58971121[[#This Row],[installierte Leistung MW durch]]</f>
        <v>0</v>
      </c>
      <c r="EH92" s="46">
        <f>Tabelle58971121[[#This Row],[Durchschnittsauslastung max]]*Tabelle58971121[[#This Row],[installierte Leistung MW max]]</f>
        <v>0</v>
      </c>
      <c r="EI92" s="83">
        <f>Tabelle58971121[[#This Row],[Maximalauslastung durch]]*Tabelle58971121[[#This Row],[installierte Leistung MW min]]</f>
        <v>694.77749999999992</v>
      </c>
      <c r="EJ92" s="46">
        <f>Tabelle58971121[[#This Row],[Maximalauslastung durch]]*Tabelle58971121[[#This Row],[installierte Leistung MW durch]]</f>
        <v>857.75</v>
      </c>
      <c r="EK92" s="19">
        <f>Tabelle58971121[[#This Row],[Maximalauslastung max]]*Tabelle58971121[[#This Row],[installierte Leistung MW durch]]</f>
        <v>949</v>
      </c>
      <c r="EL92" s="9">
        <v>0.47</v>
      </c>
      <c r="EM92" s="9">
        <v>0.42</v>
      </c>
      <c r="EN92" s="9">
        <v>0.52</v>
      </c>
      <c r="EO92" s="1">
        <v>1825</v>
      </c>
      <c r="EP92" s="1">
        <v>1478.25</v>
      </c>
      <c r="EQ92" s="1">
        <v>2171.75</v>
      </c>
      <c r="ER92" s="19"/>
      <c r="ES92" s="19"/>
      <c r="EY92" s="65"/>
      <c r="EZ92" s="65"/>
      <c r="FA92" s="1">
        <v>0.25</v>
      </c>
      <c r="FB92" s="1">
        <v>0.2</v>
      </c>
      <c r="FC92" s="1">
        <v>0.3</v>
      </c>
      <c r="FD92" s="1">
        <v>0.25</v>
      </c>
      <c r="FE92" s="1">
        <v>0.2</v>
      </c>
      <c r="FF92" s="1">
        <v>0.3</v>
      </c>
      <c r="FG92" s="1">
        <v>0.5</v>
      </c>
      <c r="FH92" s="1">
        <v>0.4</v>
      </c>
      <c r="FI92" s="1">
        <v>0.6</v>
      </c>
      <c r="FJ92" s="1">
        <v>0.3</v>
      </c>
      <c r="FK92" s="1">
        <v>0.2</v>
      </c>
      <c r="FL92" s="1">
        <v>0.4</v>
      </c>
      <c r="FS92" s="1">
        <v>365</v>
      </c>
      <c r="FT92" s="1">
        <v>328</v>
      </c>
      <c r="FU92" s="1">
        <v>402</v>
      </c>
      <c r="FV92" s="1" t="s">
        <v>1084</v>
      </c>
      <c r="FW92" s="1" t="s">
        <v>1084</v>
      </c>
      <c r="FX92" s="1" t="s">
        <v>1084</v>
      </c>
      <c r="FY92" s="1">
        <v>145.52352941176468</v>
      </c>
      <c r="FZ92" s="19">
        <v>130.9711764705882</v>
      </c>
      <c r="GA92" s="19">
        <v>160.07588235294116</v>
      </c>
      <c r="GB92" s="19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>
        <v>9.972941176470588</v>
      </c>
      <c r="GO92" s="8">
        <v>3.5617647058823536</v>
      </c>
      <c r="GP92" s="8">
        <v>16.384117647058822</v>
      </c>
      <c r="GS92" s="1">
        <v>67</v>
      </c>
      <c r="GT92" s="1">
        <v>67</v>
      </c>
      <c r="GU92" s="1">
        <v>67</v>
      </c>
      <c r="GV92" s="13" t="s">
        <v>806</v>
      </c>
      <c r="GW92" s="13" t="s">
        <v>806</v>
      </c>
      <c r="GX92" s="13" t="s">
        <v>806</v>
      </c>
      <c r="GY92" s="13"/>
      <c r="GZ92" s="13" t="s">
        <v>806</v>
      </c>
      <c r="HA92" s="13" t="s">
        <v>806</v>
      </c>
      <c r="HB92" s="13" t="s">
        <v>806</v>
      </c>
      <c r="HC92" s="13" t="s">
        <v>806</v>
      </c>
      <c r="HD92" s="13" t="s">
        <v>806</v>
      </c>
      <c r="HE92" s="13" t="s">
        <v>806</v>
      </c>
      <c r="HF92" s="13" t="s">
        <v>806</v>
      </c>
      <c r="HI92" s="13" t="s">
        <v>806</v>
      </c>
      <c r="HJ92" s="13" t="s">
        <v>806</v>
      </c>
      <c r="HL92" s="13" t="s">
        <v>806</v>
      </c>
    </row>
    <row r="93" spans="1:220" ht="12.75" customHeight="1" x14ac:dyDescent="0.25">
      <c r="A93" s="1" t="s">
        <v>150</v>
      </c>
      <c r="B93" s="1" t="s">
        <v>744</v>
      </c>
      <c r="E93" s="1" t="s">
        <v>139</v>
      </c>
      <c r="F93" s="1">
        <v>2</v>
      </c>
      <c r="G93" s="1">
        <v>2030</v>
      </c>
      <c r="H93" s="1">
        <v>0</v>
      </c>
      <c r="I93" s="1">
        <v>1</v>
      </c>
      <c r="J93" s="1">
        <v>0</v>
      </c>
      <c r="K93" s="19"/>
      <c r="L93" s="19"/>
      <c r="M93" s="19"/>
      <c r="N93" s="19"/>
      <c r="O93" s="19"/>
      <c r="P93" s="19"/>
      <c r="Q93" s="19"/>
      <c r="R93" s="19"/>
      <c r="S93" s="19"/>
      <c r="T93" s="19">
        <v>1174.7062499999995</v>
      </c>
      <c r="U93" s="19">
        <v>381.67200000000003</v>
      </c>
      <c r="V93" s="19">
        <v>1684.0285000000001</v>
      </c>
      <c r="W93" s="19"/>
      <c r="X93" s="19"/>
      <c r="Y93" s="19"/>
      <c r="Z93" s="19"/>
      <c r="AA93" s="19"/>
      <c r="AB93" s="19"/>
      <c r="AC93" s="19">
        <v>1174.7062499999995</v>
      </c>
      <c r="AD93" s="19">
        <v>381.67200000000003</v>
      </c>
      <c r="AE93" s="19">
        <v>1684.0285000000001</v>
      </c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>
        <v>1174.7062499999995</v>
      </c>
      <c r="AS93" s="19">
        <v>381.67200000000003</v>
      </c>
      <c r="AT93" s="19">
        <v>1684.0285000000001</v>
      </c>
      <c r="AU93" s="19"/>
      <c r="AV93" s="19"/>
      <c r="AW93" s="19"/>
      <c r="AX93" s="19"/>
      <c r="AY93" s="19"/>
      <c r="AZ93" s="19"/>
      <c r="BA93" s="19">
        <v>1174.7062499999995</v>
      </c>
      <c r="BB93" s="19">
        <v>381.67200000000003</v>
      </c>
      <c r="BC93" s="19">
        <v>1684.0285000000001</v>
      </c>
      <c r="BD93" s="19"/>
      <c r="BE93" s="19"/>
      <c r="BF93" s="19"/>
      <c r="BG93" s="19"/>
      <c r="BH93" s="19"/>
      <c r="BI93" s="19"/>
      <c r="BJ93" s="19">
        <v>1174.7062499999995</v>
      </c>
      <c r="BK93" s="19">
        <v>381.67200000000003</v>
      </c>
      <c r="BL93" s="19">
        <v>1684.0285000000001</v>
      </c>
      <c r="BM93" s="19"/>
      <c r="BN93" s="19"/>
      <c r="BO93" s="19"/>
      <c r="BP93" s="19"/>
      <c r="BQ93" s="19"/>
      <c r="BR93" s="19"/>
      <c r="BS93" s="19">
        <v>1174.7062499999995</v>
      </c>
      <c r="BT93" s="19">
        <v>381.67200000000003</v>
      </c>
      <c r="BU93" s="19">
        <v>1684.0285000000001</v>
      </c>
      <c r="BV93" s="19"/>
      <c r="BW93" s="19"/>
      <c r="BX93" s="19"/>
      <c r="BY93" s="19"/>
      <c r="BZ93" s="19"/>
      <c r="CA93" s="19"/>
      <c r="CB93" s="19">
        <v>1174.7062499999995</v>
      </c>
      <c r="CC93" s="19">
        <v>381.67200000000003</v>
      </c>
      <c r="CD93" s="19">
        <v>1684.0285000000001</v>
      </c>
      <c r="CE93" s="19"/>
      <c r="CF93" s="19"/>
      <c r="CG93" s="19"/>
      <c r="CH93" s="19"/>
      <c r="CI93" s="19"/>
      <c r="CJ93" s="19"/>
      <c r="CK93" s="19">
        <v>1174.7062499999995</v>
      </c>
      <c r="CL93" s="19">
        <v>381.67200000000003</v>
      </c>
      <c r="CM93" s="19">
        <v>1684.0285000000001</v>
      </c>
      <c r="CN93" s="19"/>
      <c r="CO93" s="19"/>
      <c r="CP93" s="19"/>
      <c r="CQ93" s="19"/>
      <c r="CR93" s="19"/>
      <c r="CS93" s="19"/>
      <c r="CT93" s="19"/>
      <c r="CU93" s="11">
        <f>Tabelle58971121[[#This Row],[Mindestauslastung durch]]*Tabelle58971121[[#This Row],[installierte Leistung MW durch]]</f>
        <v>232.5</v>
      </c>
      <c r="CV93" s="11">
        <f>Tabelle58971121[[#This Row],[Mindestauslastung min]]*Tabelle58971121[[#This Row],[installierte Leistung MW min]]</f>
        <v>188.32499999999999</v>
      </c>
      <c r="CW93" s="11">
        <f>Tabelle58971121[[#This Row],[Mindestauslastung max]]*Tabelle58971121[[#This Row],[installierte Leistung MW max]]</f>
        <v>276.67500000000001</v>
      </c>
      <c r="CX93" s="9">
        <v>0.15</v>
      </c>
      <c r="CY93" s="9">
        <v>0.15</v>
      </c>
      <c r="CZ93" s="9">
        <v>0.15</v>
      </c>
      <c r="DA93" s="9"/>
      <c r="DB93" s="9">
        <v>0.75787499999999985</v>
      </c>
      <c r="DC93" s="9">
        <v>0.30399999999999999</v>
      </c>
      <c r="DD93" s="9">
        <v>0.91299999999999992</v>
      </c>
      <c r="DE93" s="9">
        <v>0.75787499999999985</v>
      </c>
      <c r="DF93" s="9">
        <v>0.30399999999999999</v>
      </c>
      <c r="DG93" s="9">
        <v>0.91299999999999992</v>
      </c>
      <c r="DH93" s="9">
        <v>0.75787499999999985</v>
      </c>
      <c r="DI93" s="9">
        <v>0.30399999999999999</v>
      </c>
      <c r="DJ93" s="9">
        <v>0.91299999999999992</v>
      </c>
      <c r="DK93" s="9">
        <v>0.75787499999999985</v>
      </c>
      <c r="DL93" s="9">
        <v>0.30399999999999999</v>
      </c>
      <c r="DM93" s="9">
        <v>0.91299999999999992</v>
      </c>
      <c r="DN93" s="9">
        <v>0.75787499999999985</v>
      </c>
      <c r="DO93" s="9">
        <v>0.30399999999999999</v>
      </c>
      <c r="DP93" s="9">
        <v>0.91299999999999992</v>
      </c>
      <c r="DQ93" s="9">
        <v>0.75787499999999985</v>
      </c>
      <c r="DR93" s="9">
        <v>0.30399999999999999</v>
      </c>
      <c r="DS93" s="9">
        <v>0.91299999999999992</v>
      </c>
      <c r="DT93" s="9">
        <v>0.75787499999999985</v>
      </c>
      <c r="DU93" s="9">
        <v>0.30399999999999999</v>
      </c>
      <c r="DV93" s="9">
        <v>0.91299999999999992</v>
      </c>
      <c r="DW93" s="9">
        <v>0.75787499999999985</v>
      </c>
      <c r="DX93" s="9">
        <v>0.30399999999999999</v>
      </c>
      <c r="DY93" s="9">
        <v>0.91299999999999992</v>
      </c>
      <c r="DZ93" s="9">
        <v>0.75787499999999985</v>
      </c>
      <c r="EA93" s="9">
        <v>0.30399999999999999</v>
      </c>
      <c r="EB93" s="9">
        <v>0.91299999999999992</v>
      </c>
      <c r="EC93" s="9"/>
      <c r="ED93" s="9"/>
      <c r="EE93" s="9"/>
      <c r="EF93" s="46">
        <f>Tabelle58971121[[#This Row],[Durchschnittsauslastung min]]*Tabelle58971121[[#This Row],[installierte Leistung MW min]]</f>
        <v>0</v>
      </c>
      <c r="EG93" s="46">
        <f>Tabelle58971121[[#This Row],[Durchschnittsauslastung durch]]*Tabelle58971121[[#This Row],[installierte Leistung MW durch]]</f>
        <v>0</v>
      </c>
      <c r="EH93" s="46">
        <f>Tabelle58971121[[#This Row],[Durchschnittsauslastung max]]*Tabelle58971121[[#This Row],[installierte Leistung MW max]]</f>
        <v>0</v>
      </c>
      <c r="EI93" s="83">
        <f>Tabelle58971121[[#This Row],[Maximalauslastung durch]]*Tabelle58971121[[#This Row],[installierte Leistung MW min]]</f>
        <v>590.08499999999992</v>
      </c>
      <c r="EJ93" s="46">
        <f>Tabelle58971121[[#This Row],[Maximalauslastung durch]]*Tabelle58971121[[#This Row],[installierte Leistung MW durch]]</f>
        <v>728.5</v>
      </c>
      <c r="EK93" s="19">
        <f>Tabelle58971121[[#This Row],[Maximalauslastung max]]*Tabelle58971121[[#This Row],[installierte Leistung MW durch]]</f>
        <v>806</v>
      </c>
      <c r="EL93" s="9">
        <v>0.47</v>
      </c>
      <c r="EM93" s="9">
        <v>0.42</v>
      </c>
      <c r="EN93" s="9">
        <v>0.52</v>
      </c>
      <c r="EO93" s="1">
        <v>1550</v>
      </c>
      <c r="EP93" s="1">
        <v>1255.5</v>
      </c>
      <c r="EQ93" s="1">
        <v>1844.5</v>
      </c>
      <c r="ER93" s="19"/>
      <c r="ES93" s="19"/>
      <c r="EY93" s="65"/>
      <c r="EZ93" s="65"/>
      <c r="FA93" s="1">
        <v>0.25</v>
      </c>
      <c r="FB93" s="1">
        <v>0.2</v>
      </c>
      <c r="FC93" s="1">
        <v>0.3</v>
      </c>
      <c r="FD93" s="1">
        <v>0.25</v>
      </c>
      <c r="FE93" s="1">
        <v>0.2</v>
      </c>
      <c r="FF93" s="1">
        <v>0.3</v>
      </c>
      <c r="FG93" s="1">
        <v>0.5</v>
      </c>
      <c r="FH93" s="1">
        <v>0.4</v>
      </c>
      <c r="FI93" s="1">
        <v>0.6</v>
      </c>
      <c r="FJ93" s="1">
        <v>0.3</v>
      </c>
      <c r="FK93" s="1">
        <v>0.2</v>
      </c>
      <c r="FL93" s="1">
        <v>0.4</v>
      </c>
      <c r="FS93" s="1">
        <v>365</v>
      </c>
      <c r="FT93" s="1">
        <v>328</v>
      </c>
      <c r="FU93" s="1">
        <v>402</v>
      </c>
      <c r="FV93" s="1" t="s">
        <v>1084</v>
      </c>
      <c r="FW93" s="1" t="s">
        <v>1084</v>
      </c>
      <c r="FX93" s="1" t="s">
        <v>1084</v>
      </c>
      <c r="FY93" s="1">
        <v>145.52352941176468</v>
      </c>
      <c r="FZ93" s="19">
        <v>130.9711764705882</v>
      </c>
      <c r="GA93" s="19">
        <v>160.07588235294116</v>
      </c>
      <c r="GB93" s="19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>
        <v>9.972941176470588</v>
      </c>
      <c r="GO93" s="8">
        <v>3.5617647058823536</v>
      </c>
      <c r="GP93" s="8">
        <v>16.384117647058822</v>
      </c>
      <c r="GS93" s="1">
        <v>67</v>
      </c>
      <c r="GT93" s="1">
        <v>67</v>
      </c>
      <c r="GU93" s="1">
        <v>67</v>
      </c>
      <c r="GV93" s="13" t="s">
        <v>806</v>
      </c>
      <c r="GW93" s="13" t="s">
        <v>806</v>
      </c>
      <c r="GX93" s="13" t="s">
        <v>806</v>
      </c>
      <c r="GY93" s="13"/>
      <c r="GZ93" s="13" t="s">
        <v>806</v>
      </c>
      <c r="HA93" s="13" t="s">
        <v>806</v>
      </c>
      <c r="HB93" s="13" t="s">
        <v>806</v>
      </c>
      <c r="HC93" s="13" t="s">
        <v>806</v>
      </c>
      <c r="HD93" s="13" t="s">
        <v>806</v>
      </c>
      <c r="HE93" s="13" t="s">
        <v>806</v>
      </c>
      <c r="HF93" s="13" t="s">
        <v>806</v>
      </c>
      <c r="HI93" s="13" t="s">
        <v>806</v>
      </c>
      <c r="HJ93" s="13" t="s">
        <v>806</v>
      </c>
      <c r="HL93" s="13" t="s">
        <v>806</v>
      </c>
    </row>
    <row r="94" spans="1:220" ht="12.75" customHeight="1" x14ac:dyDescent="0.25">
      <c r="A94" s="1" t="s">
        <v>150</v>
      </c>
      <c r="B94" s="1" t="s">
        <v>744</v>
      </c>
      <c r="E94" s="1" t="s">
        <v>139</v>
      </c>
      <c r="F94" s="1">
        <v>2</v>
      </c>
      <c r="G94" s="1">
        <v>2035</v>
      </c>
      <c r="H94" s="1">
        <v>0</v>
      </c>
      <c r="I94" s="1">
        <v>1</v>
      </c>
      <c r="J94" s="1">
        <v>0</v>
      </c>
      <c r="K94" s="19"/>
      <c r="L94" s="19"/>
      <c r="M94" s="19"/>
      <c r="N94" s="19"/>
      <c r="O94" s="19"/>
      <c r="P94" s="19"/>
      <c r="Q94" s="19"/>
      <c r="R94" s="19"/>
      <c r="S94" s="19"/>
      <c r="T94" s="19">
        <v>1174.7062499999995</v>
      </c>
      <c r="U94" s="19">
        <v>381.67200000000003</v>
      </c>
      <c r="V94" s="19">
        <v>1684.0285000000001</v>
      </c>
      <c r="W94" s="19"/>
      <c r="X94" s="19"/>
      <c r="Y94" s="19"/>
      <c r="Z94" s="19"/>
      <c r="AA94" s="19"/>
      <c r="AB94" s="19"/>
      <c r="AC94" s="19">
        <v>1174.7062499999995</v>
      </c>
      <c r="AD94" s="19">
        <v>381.67200000000003</v>
      </c>
      <c r="AE94" s="19">
        <v>1684.0285000000001</v>
      </c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>
        <v>1174.7062499999995</v>
      </c>
      <c r="AS94" s="19">
        <v>381.67200000000003</v>
      </c>
      <c r="AT94" s="19">
        <v>1684.0285000000001</v>
      </c>
      <c r="AU94" s="19"/>
      <c r="AV94" s="19"/>
      <c r="AW94" s="19"/>
      <c r="AX94" s="19"/>
      <c r="AY94" s="19"/>
      <c r="AZ94" s="19"/>
      <c r="BA94" s="19">
        <v>1174.7062499999995</v>
      </c>
      <c r="BB94" s="19">
        <v>381.67200000000003</v>
      </c>
      <c r="BC94" s="19">
        <v>1684.0285000000001</v>
      </c>
      <c r="BD94" s="19"/>
      <c r="BE94" s="19"/>
      <c r="BF94" s="19"/>
      <c r="BG94" s="19"/>
      <c r="BH94" s="19"/>
      <c r="BI94" s="19"/>
      <c r="BJ94" s="19">
        <v>1174.7062499999995</v>
      </c>
      <c r="BK94" s="19">
        <v>381.67200000000003</v>
      </c>
      <c r="BL94" s="19">
        <v>1684.0285000000001</v>
      </c>
      <c r="BM94" s="19"/>
      <c r="BN94" s="19"/>
      <c r="BO94" s="19"/>
      <c r="BP94" s="19"/>
      <c r="BQ94" s="19"/>
      <c r="BR94" s="19"/>
      <c r="BS94" s="19">
        <v>1174.7062499999995</v>
      </c>
      <c r="BT94" s="19">
        <v>381.67200000000003</v>
      </c>
      <c r="BU94" s="19">
        <v>1684.0285000000001</v>
      </c>
      <c r="BV94" s="19"/>
      <c r="BW94" s="19"/>
      <c r="BX94" s="19"/>
      <c r="BY94" s="19"/>
      <c r="BZ94" s="19"/>
      <c r="CA94" s="19"/>
      <c r="CB94" s="19">
        <v>1174.7062499999995</v>
      </c>
      <c r="CC94" s="19">
        <v>381.67200000000003</v>
      </c>
      <c r="CD94" s="19">
        <v>1684.0285000000001</v>
      </c>
      <c r="CE94" s="19"/>
      <c r="CF94" s="19"/>
      <c r="CG94" s="19"/>
      <c r="CH94" s="19"/>
      <c r="CI94" s="19"/>
      <c r="CJ94" s="19"/>
      <c r="CK94" s="19">
        <v>1174.7062499999995</v>
      </c>
      <c r="CL94" s="19">
        <v>381.67200000000003</v>
      </c>
      <c r="CM94" s="19">
        <v>1684.0285000000001</v>
      </c>
      <c r="CN94" s="19"/>
      <c r="CO94" s="19"/>
      <c r="CP94" s="19"/>
      <c r="CQ94" s="19"/>
      <c r="CR94" s="19"/>
      <c r="CS94" s="19"/>
      <c r="CT94" s="19"/>
      <c r="CU94" s="11">
        <f>Tabelle58971121[[#This Row],[Mindestauslastung durch]]*Tabelle58971121[[#This Row],[installierte Leistung MW durch]]</f>
        <v>232.5</v>
      </c>
      <c r="CV94" s="11">
        <f>Tabelle58971121[[#This Row],[Mindestauslastung min]]*Tabelle58971121[[#This Row],[installierte Leistung MW min]]</f>
        <v>188.32499999999999</v>
      </c>
      <c r="CW94" s="11">
        <f>Tabelle58971121[[#This Row],[Mindestauslastung max]]*Tabelle58971121[[#This Row],[installierte Leistung MW max]]</f>
        <v>276.67500000000001</v>
      </c>
      <c r="CX94" s="9">
        <v>0.15</v>
      </c>
      <c r="CY94" s="9">
        <v>0.15</v>
      </c>
      <c r="CZ94" s="9">
        <v>0.15</v>
      </c>
      <c r="DA94" s="9"/>
      <c r="DB94" s="9">
        <v>0.75787499999999985</v>
      </c>
      <c r="DC94" s="9">
        <v>0.30399999999999999</v>
      </c>
      <c r="DD94" s="9">
        <v>0.91299999999999992</v>
      </c>
      <c r="DE94" s="9">
        <v>0.75787499999999985</v>
      </c>
      <c r="DF94" s="9">
        <v>0.30399999999999999</v>
      </c>
      <c r="DG94" s="9">
        <v>0.91299999999999992</v>
      </c>
      <c r="DH94" s="9">
        <v>0.75787499999999985</v>
      </c>
      <c r="DI94" s="9">
        <v>0.30399999999999999</v>
      </c>
      <c r="DJ94" s="9">
        <v>0.91299999999999992</v>
      </c>
      <c r="DK94" s="9">
        <v>0.75787499999999985</v>
      </c>
      <c r="DL94" s="9">
        <v>0.30399999999999999</v>
      </c>
      <c r="DM94" s="9">
        <v>0.91299999999999992</v>
      </c>
      <c r="DN94" s="9">
        <v>0.75787499999999985</v>
      </c>
      <c r="DO94" s="9">
        <v>0.30399999999999999</v>
      </c>
      <c r="DP94" s="9">
        <v>0.91299999999999992</v>
      </c>
      <c r="DQ94" s="9">
        <v>0.75787499999999985</v>
      </c>
      <c r="DR94" s="9">
        <v>0.30399999999999999</v>
      </c>
      <c r="DS94" s="9">
        <v>0.91299999999999992</v>
      </c>
      <c r="DT94" s="9">
        <v>0.75787499999999985</v>
      </c>
      <c r="DU94" s="9">
        <v>0.30399999999999999</v>
      </c>
      <c r="DV94" s="9">
        <v>0.91299999999999992</v>
      </c>
      <c r="DW94" s="9">
        <v>0.75787499999999985</v>
      </c>
      <c r="DX94" s="9">
        <v>0.30399999999999999</v>
      </c>
      <c r="DY94" s="9">
        <v>0.91299999999999992</v>
      </c>
      <c r="DZ94" s="9">
        <v>0.75787499999999985</v>
      </c>
      <c r="EA94" s="9">
        <v>0.30399999999999999</v>
      </c>
      <c r="EB94" s="9">
        <v>0.91299999999999992</v>
      </c>
      <c r="EC94" s="9"/>
      <c r="ED94" s="9"/>
      <c r="EE94" s="9"/>
      <c r="EF94" s="46">
        <f>Tabelle58971121[[#This Row],[Durchschnittsauslastung min]]*Tabelle58971121[[#This Row],[installierte Leistung MW min]]</f>
        <v>0</v>
      </c>
      <c r="EG94" s="46">
        <f>Tabelle58971121[[#This Row],[Durchschnittsauslastung durch]]*Tabelle58971121[[#This Row],[installierte Leistung MW durch]]</f>
        <v>0</v>
      </c>
      <c r="EH94" s="46">
        <f>Tabelle58971121[[#This Row],[Durchschnittsauslastung max]]*Tabelle58971121[[#This Row],[installierte Leistung MW max]]</f>
        <v>0</v>
      </c>
      <c r="EI94" s="83">
        <f>Tabelle58971121[[#This Row],[Maximalauslastung durch]]*Tabelle58971121[[#This Row],[installierte Leistung MW min]]</f>
        <v>590.08499999999992</v>
      </c>
      <c r="EJ94" s="46">
        <f>Tabelle58971121[[#This Row],[Maximalauslastung durch]]*Tabelle58971121[[#This Row],[installierte Leistung MW durch]]</f>
        <v>728.5</v>
      </c>
      <c r="EK94" s="19">
        <f>Tabelle58971121[[#This Row],[Maximalauslastung max]]*Tabelle58971121[[#This Row],[installierte Leistung MW durch]]</f>
        <v>806</v>
      </c>
      <c r="EL94" s="9">
        <v>0.47</v>
      </c>
      <c r="EM94" s="9">
        <v>0.42</v>
      </c>
      <c r="EN94" s="9">
        <v>0.52</v>
      </c>
      <c r="EO94" s="1">
        <v>1550</v>
      </c>
      <c r="EP94" s="1">
        <v>1255.5</v>
      </c>
      <c r="EQ94" s="1">
        <v>1844.5</v>
      </c>
      <c r="ER94" s="19"/>
      <c r="ES94" s="19"/>
      <c r="EY94" s="65"/>
      <c r="EZ94" s="65"/>
      <c r="FA94" s="1">
        <v>0.25</v>
      </c>
      <c r="FB94" s="1">
        <v>0.2</v>
      </c>
      <c r="FC94" s="1">
        <v>0.3</v>
      </c>
      <c r="FD94" s="1">
        <v>0.25</v>
      </c>
      <c r="FE94" s="1">
        <v>0.2</v>
      </c>
      <c r="FF94" s="1">
        <v>0.3</v>
      </c>
      <c r="FG94" s="1">
        <v>0.5</v>
      </c>
      <c r="FH94" s="1">
        <v>0.4</v>
      </c>
      <c r="FI94" s="1">
        <v>0.6</v>
      </c>
      <c r="FJ94" s="1">
        <v>0.3</v>
      </c>
      <c r="FK94" s="1">
        <v>0.2</v>
      </c>
      <c r="FL94" s="1">
        <v>0.4</v>
      </c>
      <c r="FS94" s="1">
        <v>365</v>
      </c>
      <c r="FT94" s="1">
        <v>328</v>
      </c>
      <c r="FU94" s="1">
        <v>402</v>
      </c>
      <c r="FV94" s="1" t="s">
        <v>1084</v>
      </c>
      <c r="FW94" s="1" t="s">
        <v>1084</v>
      </c>
      <c r="FX94" s="1" t="s">
        <v>1084</v>
      </c>
      <c r="FY94" s="1">
        <v>145.52352941176468</v>
      </c>
      <c r="FZ94" s="19">
        <v>130.9711764705882</v>
      </c>
      <c r="GA94" s="19">
        <v>160.07588235294116</v>
      </c>
      <c r="GB94" s="19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>
        <v>9.972941176470588</v>
      </c>
      <c r="GO94" s="8">
        <v>3.5617647058823536</v>
      </c>
      <c r="GP94" s="8">
        <v>16.384117647058822</v>
      </c>
      <c r="GS94" s="1">
        <v>67</v>
      </c>
      <c r="GT94" s="1">
        <v>67</v>
      </c>
      <c r="GU94" s="1">
        <v>67</v>
      </c>
      <c r="GV94" s="13" t="s">
        <v>806</v>
      </c>
      <c r="GW94" s="13" t="s">
        <v>806</v>
      </c>
      <c r="GX94" s="13" t="s">
        <v>806</v>
      </c>
      <c r="GY94" s="13"/>
      <c r="GZ94" s="13" t="s">
        <v>806</v>
      </c>
      <c r="HA94" s="13" t="s">
        <v>806</v>
      </c>
      <c r="HB94" s="13" t="s">
        <v>806</v>
      </c>
      <c r="HC94" s="13" t="s">
        <v>806</v>
      </c>
      <c r="HD94" s="13" t="s">
        <v>806</v>
      </c>
      <c r="HE94" s="13" t="s">
        <v>806</v>
      </c>
      <c r="HF94" s="13" t="s">
        <v>806</v>
      </c>
      <c r="HI94" s="13" t="s">
        <v>806</v>
      </c>
      <c r="HJ94" s="13" t="s">
        <v>806</v>
      </c>
      <c r="HL94" s="13" t="s">
        <v>806</v>
      </c>
    </row>
    <row r="95" spans="1:220" ht="12.75" customHeight="1" x14ac:dyDescent="0.25">
      <c r="A95" s="1" t="s">
        <v>150</v>
      </c>
      <c r="B95" s="1" t="s">
        <v>744</v>
      </c>
      <c r="E95" s="1" t="s">
        <v>139</v>
      </c>
      <c r="F95" s="1">
        <v>2</v>
      </c>
      <c r="G95" s="1">
        <v>2040</v>
      </c>
      <c r="H95" s="1">
        <v>0</v>
      </c>
      <c r="I95" s="1">
        <v>1</v>
      </c>
      <c r="J95" s="1">
        <v>0</v>
      </c>
      <c r="K95" s="19"/>
      <c r="L95" s="19"/>
      <c r="M95" s="19"/>
      <c r="N95" s="19"/>
      <c r="O95" s="19"/>
      <c r="P95" s="19"/>
      <c r="Q95" s="19"/>
      <c r="R95" s="19"/>
      <c r="S95" s="19"/>
      <c r="T95" s="19">
        <v>1174.7062499999995</v>
      </c>
      <c r="U95" s="19">
        <v>381.67200000000003</v>
      </c>
      <c r="V95" s="19">
        <v>1684.0285000000001</v>
      </c>
      <c r="W95" s="19"/>
      <c r="X95" s="19"/>
      <c r="Y95" s="19"/>
      <c r="Z95" s="19"/>
      <c r="AA95" s="19"/>
      <c r="AB95" s="19"/>
      <c r="AC95" s="19">
        <v>1174.7062499999995</v>
      </c>
      <c r="AD95" s="19">
        <v>381.67200000000003</v>
      </c>
      <c r="AE95" s="19">
        <v>1684.0285000000001</v>
      </c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>
        <v>1174.7062499999995</v>
      </c>
      <c r="AS95" s="19">
        <v>381.67200000000003</v>
      </c>
      <c r="AT95" s="19">
        <v>1684.0285000000001</v>
      </c>
      <c r="AU95" s="19"/>
      <c r="AV95" s="19"/>
      <c r="AW95" s="19"/>
      <c r="AX95" s="19"/>
      <c r="AY95" s="19"/>
      <c r="AZ95" s="19"/>
      <c r="BA95" s="19">
        <v>1174.7062499999995</v>
      </c>
      <c r="BB95" s="19">
        <v>381.67200000000003</v>
      </c>
      <c r="BC95" s="19">
        <v>1684.0285000000001</v>
      </c>
      <c r="BD95" s="19"/>
      <c r="BE95" s="19"/>
      <c r="BF95" s="19"/>
      <c r="BG95" s="19"/>
      <c r="BH95" s="19"/>
      <c r="BI95" s="19"/>
      <c r="BJ95" s="19">
        <v>1174.7062499999995</v>
      </c>
      <c r="BK95" s="19">
        <v>381.67200000000003</v>
      </c>
      <c r="BL95" s="19">
        <v>1684.0285000000001</v>
      </c>
      <c r="BM95" s="19"/>
      <c r="BN95" s="19"/>
      <c r="BO95" s="19"/>
      <c r="BP95" s="19"/>
      <c r="BQ95" s="19"/>
      <c r="BR95" s="19"/>
      <c r="BS95" s="19">
        <v>1174.7062499999995</v>
      </c>
      <c r="BT95" s="19">
        <v>381.67200000000003</v>
      </c>
      <c r="BU95" s="19">
        <v>1684.0285000000001</v>
      </c>
      <c r="BV95" s="19"/>
      <c r="BW95" s="19"/>
      <c r="BX95" s="19"/>
      <c r="BY95" s="19"/>
      <c r="BZ95" s="19"/>
      <c r="CA95" s="19"/>
      <c r="CB95" s="19">
        <v>1174.7062499999995</v>
      </c>
      <c r="CC95" s="19">
        <v>381.67200000000003</v>
      </c>
      <c r="CD95" s="19">
        <v>1684.0285000000001</v>
      </c>
      <c r="CE95" s="19"/>
      <c r="CF95" s="19"/>
      <c r="CG95" s="19"/>
      <c r="CH95" s="19"/>
      <c r="CI95" s="19"/>
      <c r="CJ95" s="19"/>
      <c r="CK95" s="19">
        <v>1174.7062499999995</v>
      </c>
      <c r="CL95" s="19">
        <v>381.67200000000003</v>
      </c>
      <c r="CM95" s="19">
        <v>1684.0285000000001</v>
      </c>
      <c r="CN95" s="19"/>
      <c r="CO95" s="19"/>
      <c r="CP95" s="19"/>
      <c r="CQ95" s="19"/>
      <c r="CR95" s="19"/>
      <c r="CS95" s="19"/>
      <c r="CT95" s="19"/>
      <c r="CU95" s="11">
        <f>Tabelle58971121[[#This Row],[Mindestauslastung durch]]*Tabelle58971121[[#This Row],[installierte Leistung MW durch]]</f>
        <v>232.5</v>
      </c>
      <c r="CV95" s="11">
        <f>Tabelle58971121[[#This Row],[Mindestauslastung min]]*Tabelle58971121[[#This Row],[installierte Leistung MW min]]</f>
        <v>188.32499999999999</v>
      </c>
      <c r="CW95" s="11">
        <f>Tabelle58971121[[#This Row],[Mindestauslastung max]]*Tabelle58971121[[#This Row],[installierte Leistung MW max]]</f>
        <v>276.67500000000001</v>
      </c>
      <c r="CX95" s="9">
        <v>0.15</v>
      </c>
      <c r="CY95" s="9">
        <v>0.15</v>
      </c>
      <c r="CZ95" s="9">
        <v>0.15</v>
      </c>
      <c r="DA95" s="9"/>
      <c r="DB95" s="9">
        <v>0.75787499999999985</v>
      </c>
      <c r="DC95" s="9">
        <v>0.30399999999999999</v>
      </c>
      <c r="DD95" s="9">
        <v>0.91299999999999992</v>
      </c>
      <c r="DE95" s="9">
        <v>0.75787499999999985</v>
      </c>
      <c r="DF95" s="9">
        <v>0.30399999999999999</v>
      </c>
      <c r="DG95" s="9">
        <v>0.91299999999999992</v>
      </c>
      <c r="DH95" s="9">
        <v>0.75787499999999985</v>
      </c>
      <c r="DI95" s="9">
        <v>0.30399999999999999</v>
      </c>
      <c r="DJ95" s="9">
        <v>0.91299999999999992</v>
      </c>
      <c r="DK95" s="9">
        <v>0.75787499999999985</v>
      </c>
      <c r="DL95" s="9">
        <v>0.30399999999999999</v>
      </c>
      <c r="DM95" s="9">
        <v>0.91299999999999992</v>
      </c>
      <c r="DN95" s="9">
        <v>0.75787499999999985</v>
      </c>
      <c r="DO95" s="9">
        <v>0.30399999999999999</v>
      </c>
      <c r="DP95" s="9">
        <v>0.91299999999999992</v>
      </c>
      <c r="DQ95" s="9">
        <v>0.75787499999999985</v>
      </c>
      <c r="DR95" s="9">
        <v>0.30399999999999999</v>
      </c>
      <c r="DS95" s="9">
        <v>0.91299999999999992</v>
      </c>
      <c r="DT95" s="9">
        <v>0.75787499999999985</v>
      </c>
      <c r="DU95" s="9">
        <v>0.30399999999999999</v>
      </c>
      <c r="DV95" s="9">
        <v>0.91299999999999992</v>
      </c>
      <c r="DW95" s="9">
        <v>0.75787499999999985</v>
      </c>
      <c r="DX95" s="9">
        <v>0.30399999999999999</v>
      </c>
      <c r="DY95" s="9">
        <v>0.91299999999999992</v>
      </c>
      <c r="DZ95" s="9">
        <v>0.75787499999999985</v>
      </c>
      <c r="EA95" s="9">
        <v>0.30399999999999999</v>
      </c>
      <c r="EB95" s="9">
        <v>0.91299999999999992</v>
      </c>
      <c r="EC95" s="9"/>
      <c r="ED95" s="9"/>
      <c r="EE95" s="9"/>
      <c r="EF95" s="46">
        <f>Tabelle58971121[[#This Row],[Durchschnittsauslastung min]]*Tabelle58971121[[#This Row],[installierte Leistung MW min]]</f>
        <v>0</v>
      </c>
      <c r="EG95" s="46">
        <f>Tabelle58971121[[#This Row],[Durchschnittsauslastung durch]]*Tabelle58971121[[#This Row],[installierte Leistung MW durch]]</f>
        <v>0</v>
      </c>
      <c r="EH95" s="46">
        <f>Tabelle58971121[[#This Row],[Durchschnittsauslastung max]]*Tabelle58971121[[#This Row],[installierte Leistung MW max]]</f>
        <v>0</v>
      </c>
      <c r="EI95" s="83">
        <f>Tabelle58971121[[#This Row],[Maximalauslastung durch]]*Tabelle58971121[[#This Row],[installierte Leistung MW min]]</f>
        <v>590.08499999999992</v>
      </c>
      <c r="EJ95" s="46">
        <f>Tabelle58971121[[#This Row],[Maximalauslastung durch]]*Tabelle58971121[[#This Row],[installierte Leistung MW durch]]</f>
        <v>728.5</v>
      </c>
      <c r="EK95" s="19">
        <f>Tabelle58971121[[#This Row],[Maximalauslastung max]]*Tabelle58971121[[#This Row],[installierte Leistung MW durch]]</f>
        <v>806</v>
      </c>
      <c r="EL95" s="9">
        <v>0.47</v>
      </c>
      <c r="EM95" s="9">
        <v>0.42</v>
      </c>
      <c r="EN95" s="9">
        <v>0.52</v>
      </c>
      <c r="EO95" s="1">
        <v>1550</v>
      </c>
      <c r="EP95" s="1">
        <v>1255.5</v>
      </c>
      <c r="EQ95" s="1">
        <v>1844.5</v>
      </c>
      <c r="ER95" s="19"/>
      <c r="ES95" s="19"/>
      <c r="EY95" s="65"/>
      <c r="EZ95" s="65"/>
      <c r="FA95" s="1">
        <v>0.25</v>
      </c>
      <c r="FB95" s="1">
        <v>0.2</v>
      </c>
      <c r="FC95" s="1">
        <v>0.3</v>
      </c>
      <c r="FD95" s="1">
        <v>0.25</v>
      </c>
      <c r="FE95" s="1">
        <v>0.2</v>
      </c>
      <c r="FF95" s="1">
        <v>0.3</v>
      </c>
      <c r="FG95" s="1">
        <v>0.5</v>
      </c>
      <c r="FH95" s="1">
        <v>0.4</v>
      </c>
      <c r="FI95" s="1">
        <v>0.6</v>
      </c>
      <c r="FJ95" s="1">
        <v>0.3</v>
      </c>
      <c r="FK95" s="1">
        <v>0.2</v>
      </c>
      <c r="FL95" s="1">
        <v>0.4</v>
      </c>
      <c r="FS95" s="1">
        <v>365</v>
      </c>
      <c r="FT95" s="1">
        <v>328</v>
      </c>
      <c r="FU95" s="1">
        <v>402</v>
      </c>
      <c r="FV95" s="1" t="s">
        <v>1084</v>
      </c>
      <c r="FW95" s="1" t="s">
        <v>1084</v>
      </c>
      <c r="FX95" s="1" t="s">
        <v>1084</v>
      </c>
      <c r="FY95" s="1">
        <v>145.52352941176468</v>
      </c>
      <c r="FZ95" s="19">
        <v>130.9711764705882</v>
      </c>
      <c r="GA95" s="19">
        <v>160.07588235294116</v>
      </c>
      <c r="GB95" s="19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>
        <v>9.972941176470588</v>
      </c>
      <c r="GO95" s="8">
        <v>3.5617647058823536</v>
      </c>
      <c r="GP95" s="8">
        <v>16.384117647058822</v>
      </c>
      <c r="GS95" s="1">
        <v>67</v>
      </c>
      <c r="GT95" s="1">
        <v>67</v>
      </c>
      <c r="GU95" s="1">
        <v>67</v>
      </c>
      <c r="GV95" s="13" t="s">
        <v>806</v>
      </c>
      <c r="GW95" s="13" t="s">
        <v>806</v>
      </c>
      <c r="GX95" s="13" t="s">
        <v>806</v>
      </c>
      <c r="GY95" s="13"/>
      <c r="GZ95" s="13" t="s">
        <v>806</v>
      </c>
      <c r="HA95" s="13" t="s">
        <v>806</v>
      </c>
      <c r="HB95" s="13" t="s">
        <v>806</v>
      </c>
      <c r="HC95" s="13" t="s">
        <v>806</v>
      </c>
      <c r="HD95" s="13" t="s">
        <v>806</v>
      </c>
      <c r="HE95" s="13" t="s">
        <v>806</v>
      </c>
      <c r="HF95" s="13" t="s">
        <v>806</v>
      </c>
      <c r="HI95" s="13" t="s">
        <v>806</v>
      </c>
      <c r="HJ95" s="13" t="s">
        <v>806</v>
      </c>
      <c r="HL95" s="13" t="s">
        <v>806</v>
      </c>
    </row>
    <row r="96" spans="1:220" ht="12.75" customHeight="1" x14ac:dyDescent="0.25">
      <c r="A96" s="1" t="s">
        <v>150</v>
      </c>
      <c r="B96" s="1" t="s">
        <v>744</v>
      </c>
      <c r="E96" s="1" t="s">
        <v>139</v>
      </c>
      <c r="F96" s="1">
        <v>2</v>
      </c>
      <c r="G96" s="1">
        <v>2045</v>
      </c>
      <c r="H96" s="1">
        <v>0</v>
      </c>
      <c r="I96" s="1">
        <v>1</v>
      </c>
      <c r="J96" s="1">
        <v>0</v>
      </c>
      <c r="K96" s="19"/>
      <c r="L96" s="19"/>
      <c r="M96" s="19"/>
      <c r="N96" s="19"/>
      <c r="O96" s="19"/>
      <c r="P96" s="19"/>
      <c r="Q96" s="19"/>
      <c r="R96" s="19"/>
      <c r="S96" s="19"/>
      <c r="T96" s="19">
        <v>1193.6531249999994</v>
      </c>
      <c r="U96" s="19">
        <v>387.82800000000003</v>
      </c>
      <c r="V96" s="19">
        <v>1711.1902500000001</v>
      </c>
      <c r="W96" s="19"/>
      <c r="X96" s="19"/>
      <c r="Y96" s="19"/>
      <c r="Z96" s="19"/>
      <c r="AA96" s="19"/>
      <c r="AB96" s="19"/>
      <c r="AC96" s="19">
        <v>1193.6531249999994</v>
      </c>
      <c r="AD96" s="19">
        <v>387.82800000000003</v>
      </c>
      <c r="AE96" s="19">
        <v>1711.1902500000001</v>
      </c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>
        <v>1193.6531249999994</v>
      </c>
      <c r="AS96" s="19">
        <v>387.82800000000003</v>
      </c>
      <c r="AT96" s="19">
        <v>1711.1902500000001</v>
      </c>
      <c r="AU96" s="19"/>
      <c r="AV96" s="19"/>
      <c r="AW96" s="19"/>
      <c r="AX96" s="19"/>
      <c r="AY96" s="19"/>
      <c r="AZ96" s="19"/>
      <c r="BA96" s="19">
        <v>1193.6531249999994</v>
      </c>
      <c r="BB96" s="19">
        <v>387.82800000000003</v>
      </c>
      <c r="BC96" s="19">
        <v>1711.1902500000001</v>
      </c>
      <c r="BD96" s="19"/>
      <c r="BE96" s="19"/>
      <c r="BF96" s="19"/>
      <c r="BG96" s="19"/>
      <c r="BH96" s="19"/>
      <c r="BI96" s="19"/>
      <c r="BJ96" s="19">
        <v>1193.6531249999994</v>
      </c>
      <c r="BK96" s="19">
        <v>387.82800000000003</v>
      </c>
      <c r="BL96" s="19">
        <v>1711.1902500000001</v>
      </c>
      <c r="BM96" s="19"/>
      <c r="BN96" s="19"/>
      <c r="BO96" s="19"/>
      <c r="BP96" s="19"/>
      <c r="BQ96" s="19"/>
      <c r="BR96" s="19"/>
      <c r="BS96" s="19">
        <v>1193.6531249999994</v>
      </c>
      <c r="BT96" s="19">
        <v>387.82800000000003</v>
      </c>
      <c r="BU96" s="19">
        <v>1711.1902500000001</v>
      </c>
      <c r="BV96" s="19"/>
      <c r="BW96" s="19"/>
      <c r="BX96" s="19"/>
      <c r="BY96" s="19"/>
      <c r="BZ96" s="19"/>
      <c r="CA96" s="19"/>
      <c r="CB96" s="19">
        <v>1193.6531249999994</v>
      </c>
      <c r="CC96" s="19">
        <v>387.82800000000003</v>
      </c>
      <c r="CD96" s="19">
        <v>1711.1902500000001</v>
      </c>
      <c r="CE96" s="19"/>
      <c r="CF96" s="19"/>
      <c r="CG96" s="19"/>
      <c r="CH96" s="19"/>
      <c r="CI96" s="19"/>
      <c r="CJ96" s="19"/>
      <c r="CK96" s="19">
        <v>1193.6531249999994</v>
      </c>
      <c r="CL96" s="19">
        <v>387.82800000000003</v>
      </c>
      <c r="CM96" s="19">
        <v>1711.1902500000001</v>
      </c>
      <c r="CN96" s="19"/>
      <c r="CO96" s="19"/>
      <c r="CP96" s="19"/>
      <c r="CQ96" s="19"/>
      <c r="CR96" s="19"/>
      <c r="CS96" s="19"/>
      <c r="CT96" s="19"/>
      <c r="CU96" s="11">
        <f>Tabelle58971121[[#This Row],[Mindestauslastung durch]]*Tabelle58971121[[#This Row],[installierte Leistung MW durch]]</f>
        <v>236.25</v>
      </c>
      <c r="CV96" s="11">
        <f>Tabelle58971121[[#This Row],[Mindestauslastung min]]*Tabelle58971121[[#This Row],[installierte Leistung MW min]]</f>
        <v>191.36249999999998</v>
      </c>
      <c r="CW96" s="11">
        <f>Tabelle58971121[[#This Row],[Mindestauslastung max]]*Tabelle58971121[[#This Row],[installierte Leistung MW max]]</f>
        <v>281.13749999999999</v>
      </c>
      <c r="CX96" s="9">
        <v>0.15</v>
      </c>
      <c r="CY96" s="9">
        <v>0.15</v>
      </c>
      <c r="CZ96" s="9">
        <v>0.15</v>
      </c>
      <c r="DA96" s="9"/>
      <c r="DB96" s="9">
        <v>0.75787499999999985</v>
      </c>
      <c r="DC96" s="9">
        <v>0.30399999999999999</v>
      </c>
      <c r="DD96" s="9">
        <v>0.91299999999999992</v>
      </c>
      <c r="DE96" s="9">
        <v>0.75787499999999985</v>
      </c>
      <c r="DF96" s="9">
        <v>0.30399999999999999</v>
      </c>
      <c r="DG96" s="9">
        <v>0.91299999999999992</v>
      </c>
      <c r="DH96" s="9">
        <v>0.75787499999999985</v>
      </c>
      <c r="DI96" s="9">
        <v>0.30399999999999999</v>
      </c>
      <c r="DJ96" s="9">
        <v>0.91299999999999992</v>
      </c>
      <c r="DK96" s="9">
        <v>0.75787499999999985</v>
      </c>
      <c r="DL96" s="9">
        <v>0.30399999999999999</v>
      </c>
      <c r="DM96" s="9">
        <v>0.91299999999999992</v>
      </c>
      <c r="DN96" s="9">
        <v>0.75787499999999985</v>
      </c>
      <c r="DO96" s="9">
        <v>0.30399999999999999</v>
      </c>
      <c r="DP96" s="9">
        <v>0.91299999999999992</v>
      </c>
      <c r="DQ96" s="9">
        <v>0.75787499999999985</v>
      </c>
      <c r="DR96" s="9">
        <v>0.30399999999999999</v>
      </c>
      <c r="DS96" s="9">
        <v>0.91299999999999992</v>
      </c>
      <c r="DT96" s="9">
        <v>0.75787499999999985</v>
      </c>
      <c r="DU96" s="9">
        <v>0.30399999999999999</v>
      </c>
      <c r="DV96" s="9">
        <v>0.91299999999999992</v>
      </c>
      <c r="DW96" s="9">
        <v>0.75787499999999985</v>
      </c>
      <c r="DX96" s="9">
        <v>0.30399999999999999</v>
      </c>
      <c r="DY96" s="9">
        <v>0.91299999999999992</v>
      </c>
      <c r="DZ96" s="9">
        <v>0.75787499999999985</v>
      </c>
      <c r="EA96" s="9">
        <v>0.30399999999999999</v>
      </c>
      <c r="EB96" s="9">
        <v>0.91299999999999992</v>
      </c>
      <c r="EC96" s="9"/>
      <c r="ED96" s="9"/>
      <c r="EE96" s="9"/>
      <c r="EF96" s="46">
        <f>Tabelle58971121[[#This Row],[Durchschnittsauslastung min]]*Tabelle58971121[[#This Row],[installierte Leistung MW min]]</f>
        <v>0</v>
      </c>
      <c r="EG96" s="46">
        <f>Tabelle58971121[[#This Row],[Durchschnittsauslastung durch]]*Tabelle58971121[[#This Row],[installierte Leistung MW durch]]</f>
        <v>0</v>
      </c>
      <c r="EH96" s="46">
        <f>Tabelle58971121[[#This Row],[Durchschnittsauslastung max]]*Tabelle58971121[[#This Row],[installierte Leistung MW max]]</f>
        <v>0</v>
      </c>
      <c r="EI96" s="83">
        <f>Tabelle58971121[[#This Row],[Maximalauslastung durch]]*Tabelle58971121[[#This Row],[installierte Leistung MW min]]</f>
        <v>599.60249999999996</v>
      </c>
      <c r="EJ96" s="46">
        <f>Tabelle58971121[[#This Row],[Maximalauslastung durch]]*Tabelle58971121[[#This Row],[installierte Leistung MW durch]]</f>
        <v>740.25</v>
      </c>
      <c r="EK96" s="19">
        <f>Tabelle58971121[[#This Row],[Maximalauslastung max]]*Tabelle58971121[[#This Row],[installierte Leistung MW durch]]</f>
        <v>819</v>
      </c>
      <c r="EL96" s="9">
        <v>0.47</v>
      </c>
      <c r="EM96" s="9">
        <v>0.42</v>
      </c>
      <c r="EN96" s="9">
        <v>0.52</v>
      </c>
      <c r="EO96" s="1">
        <v>1575</v>
      </c>
      <c r="EP96" s="1">
        <v>1275.75</v>
      </c>
      <c r="EQ96" s="1">
        <v>1874.25</v>
      </c>
      <c r="ER96" s="19"/>
      <c r="ES96" s="19"/>
      <c r="EY96" s="65"/>
      <c r="EZ96" s="65"/>
      <c r="FA96" s="1">
        <v>0.25</v>
      </c>
      <c r="FB96" s="1">
        <v>0.2</v>
      </c>
      <c r="FC96" s="1">
        <v>0.3</v>
      </c>
      <c r="FD96" s="1">
        <v>0.25</v>
      </c>
      <c r="FE96" s="1">
        <v>0.2</v>
      </c>
      <c r="FF96" s="1">
        <v>0.3</v>
      </c>
      <c r="FG96" s="1">
        <v>0.5</v>
      </c>
      <c r="FH96" s="1">
        <v>0.4</v>
      </c>
      <c r="FI96" s="1">
        <v>0.6</v>
      </c>
      <c r="FJ96" s="1">
        <v>0.3</v>
      </c>
      <c r="FK96" s="1">
        <v>0.2</v>
      </c>
      <c r="FL96" s="1">
        <v>0.4</v>
      </c>
      <c r="FS96" s="1">
        <v>365</v>
      </c>
      <c r="FT96" s="1">
        <v>328</v>
      </c>
      <c r="FU96" s="1">
        <v>402</v>
      </c>
      <c r="FV96" s="1" t="s">
        <v>1084</v>
      </c>
      <c r="FW96" s="1" t="s">
        <v>1084</v>
      </c>
      <c r="FX96" s="1" t="s">
        <v>1084</v>
      </c>
      <c r="FY96" s="1">
        <v>145.52352941176468</v>
      </c>
      <c r="FZ96" s="19">
        <v>130.9711764705882</v>
      </c>
      <c r="GA96" s="19">
        <v>160.07588235294116</v>
      </c>
      <c r="GB96" s="19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>
        <v>9.972941176470588</v>
      </c>
      <c r="GO96" s="8">
        <v>3.5617647058823536</v>
      </c>
      <c r="GP96" s="8">
        <v>16.384117647058822</v>
      </c>
      <c r="GS96" s="1">
        <v>67</v>
      </c>
      <c r="GT96" s="1">
        <v>67</v>
      </c>
      <c r="GU96" s="1">
        <v>67</v>
      </c>
      <c r="GV96" s="13" t="s">
        <v>806</v>
      </c>
      <c r="GW96" s="13" t="s">
        <v>806</v>
      </c>
      <c r="GX96" s="13" t="s">
        <v>806</v>
      </c>
      <c r="GY96" s="13"/>
      <c r="GZ96" s="13" t="s">
        <v>806</v>
      </c>
      <c r="HA96" s="13" t="s">
        <v>806</v>
      </c>
      <c r="HB96" s="13" t="s">
        <v>806</v>
      </c>
      <c r="HC96" s="13" t="s">
        <v>806</v>
      </c>
      <c r="HD96" s="13" t="s">
        <v>806</v>
      </c>
      <c r="HE96" s="13" t="s">
        <v>806</v>
      </c>
      <c r="HF96" s="13" t="s">
        <v>806</v>
      </c>
      <c r="HI96" s="13" t="s">
        <v>806</v>
      </c>
      <c r="HJ96" s="13" t="s">
        <v>806</v>
      </c>
      <c r="HL96" s="13" t="s">
        <v>806</v>
      </c>
    </row>
    <row r="97" spans="1:223" ht="12.75" customHeight="1" x14ac:dyDescent="0.25">
      <c r="A97" s="1" t="s">
        <v>150</v>
      </c>
      <c r="B97" s="1" t="s">
        <v>744</v>
      </c>
      <c r="E97" s="1" t="s">
        <v>139</v>
      </c>
      <c r="F97" s="1">
        <v>2</v>
      </c>
      <c r="G97" s="1">
        <v>2050</v>
      </c>
      <c r="H97" s="1">
        <v>0</v>
      </c>
      <c r="I97" s="1">
        <v>1</v>
      </c>
      <c r="J97" s="1">
        <v>0</v>
      </c>
      <c r="K97" s="19"/>
      <c r="L97" s="19"/>
      <c r="M97" s="19"/>
      <c r="N97" s="19"/>
      <c r="O97" s="19"/>
      <c r="P97" s="19"/>
      <c r="Q97" s="19"/>
      <c r="R97" s="19"/>
      <c r="S97" s="19"/>
      <c r="T97" s="19">
        <v>1193.6531249999994</v>
      </c>
      <c r="U97" s="19">
        <v>387.82800000000003</v>
      </c>
      <c r="V97" s="19">
        <v>1711.1902500000001</v>
      </c>
      <c r="W97" s="19"/>
      <c r="X97" s="19"/>
      <c r="Y97" s="19"/>
      <c r="Z97" s="19"/>
      <c r="AA97" s="19"/>
      <c r="AB97" s="19"/>
      <c r="AC97" s="19">
        <v>1193.6531249999994</v>
      </c>
      <c r="AD97" s="19">
        <v>387.82800000000003</v>
      </c>
      <c r="AE97" s="19">
        <v>1711.1902500000001</v>
      </c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>
        <v>1193.6531249999994</v>
      </c>
      <c r="AS97" s="19">
        <v>387.82800000000003</v>
      </c>
      <c r="AT97" s="19">
        <v>1711.1902500000001</v>
      </c>
      <c r="AU97" s="19"/>
      <c r="AV97" s="19"/>
      <c r="AW97" s="19"/>
      <c r="AX97" s="19"/>
      <c r="AY97" s="19"/>
      <c r="AZ97" s="19"/>
      <c r="BA97" s="19">
        <v>1193.6531249999994</v>
      </c>
      <c r="BB97" s="19">
        <v>387.82800000000003</v>
      </c>
      <c r="BC97" s="19">
        <v>1711.1902500000001</v>
      </c>
      <c r="BD97" s="19"/>
      <c r="BE97" s="19"/>
      <c r="BF97" s="19"/>
      <c r="BG97" s="19"/>
      <c r="BH97" s="19"/>
      <c r="BI97" s="19"/>
      <c r="BJ97" s="19">
        <v>1193.6531249999994</v>
      </c>
      <c r="BK97" s="19">
        <v>387.82800000000003</v>
      </c>
      <c r="BL97" s="19">
        <v>1711.1902500000001</v>
      </c>
      <c r="BM97" s="19"/>
      <c r="BN97" s="19"/>
      <c r="BO97" s="19"/>
      <c r="BP97" s="19"/>
      <c r="BQ97" s="19"/>
      <c r="BR97" s="19"/>
      <c r="BS97" s="19">
        <v>1193.6531249999994</v>
      </c>
      <c r="BT97" s="19">
        <v>387.82800000000003</v>
      </c>
      <c r="BU97" s="19">
        <v>1711.1902500000001</v>
      </c>
      <c r="BV97" s="19"/>
      <c r="BW97" s="19"/>
      <c r="BX97" s="19"/>
      <c r="BY97" s="19"/>
      <c r="BZ97" s="19"/>
      <c r="CA97" s="19"/>
      <c r="CB97" s="19">
        <v>1193.6531249999994</v>
      </c>
      <c r="CC97" s="19">
        <v>387.82800000000003</v>
      </c>
      <c r="CD97" s="19">
        <v>1711.1902500000001</v>
      </c>
      <c r="CE97" s="19"/>
      <c r="CF97" s="19"/>
      <c r="CG97" s="19"/>
      <c r="CH97" s="19"/>
      <c r="CI97" s="19"/>
      <c r="CJ97" s="19"/>
      <c r="CK97" s="19">
        <v>1193.6531249999994</v>
      </c>
      <c r="CL97" s="19">
        <v>387.82800000000003</v>
      </c>
      <c r="CM97" s="19">
        <v>1711.1902500000001</v>
      </c>
      <c r="CN97" s="19"/>
      <c r="CO97" s="19"/>
      <c r="CP97" s="19"/>
      <c r="CQ97" s="19"/>
      <c r="CR97" s="19"/>
      <c r="CS97" s="19"/>
      <c r="CT97" s="19"/>
      <c r="CU97" s="11">
        <f>Tabelle58971121[[#This Row],[Mindestauslastung durch]]*Tabelle58971121[[#This Row],[installierte Leistung MW durch]]</f>
        <v>236.25</v>
      </c>
      <c r="CV97" s="11">
        <f>Tabelle58971121[[#This Row],[Mindestauslastung min]]*Tabelle58971121[[#This Row],[installierte Leistung MW min]]</f>
        <v>191.36249999999998</v>
      </c>
      <c r="CW97" s="11">
        <f>Tabelle58971121[[#This Row],[Mindestauslastung max]]*Tabelle58971121[[#This Row],[installierte Leistung MW max]]</f>
        <v>281.13749999999999</v>
      </c>
      <c r="CX97" s="9">
        <v>0.15</v>
      </c>
      <c r="CY97" s="9">
        <v>0.15</v>
      </c>
      <c r="CZ97" s="9">
        <v>0.15</v>
      </c>
      <c r="DA97" s="9"/>
      <c r="DB97" s="9">
        <v>0.75787499999999985</v>
      </c>
      <c r="DC97" s="9">
        <v>0.30399999999999999</v>
      </c>
      <c r="DD97" s="9">
        <v>0.91299999999999992</v>
      </c>
      <c r="DE97" s="9">
        <v>0.75787499999999985</v>
      </c>
      <c r="DF97" s="9">
        <v>0.30399999999999999</v>
      </c>
      <c r="DG97" s="9">
        <v>0.91299999999999992</v>
      </c>
      <c r="DH97" s="9">
        <v>0.75787499999999985</v>
      </c>
      <c r="DI97" s="9">
        <v>0.30399999999999999</v>
      </c>
      <c r="DJ97" s="9">
        <v>0.91299999999999992</v>
      </c>
      <c r="DK97" s="9">
        <v>0.75787499999999985</v>
      </c>
      <c r="DL97" s="9">
        <v>0.30399999999999999</v>
      </c>
      <c r="DM97" s="9">
        <v>0.91299999999999992</v>
      </c>
      <c r="DN97" s="9">
        <v>0.75787499999999985</v>
      </c>
      <c r="DO97" s="9">
        <v>0.30399999999999999</v>
      </c>
      <c r="DP97" s="9">
        <v>0.91299999999999992</v>
      </c>
      <c r="DQ97" s="9">
        <v>0.75787499999999985</v>
      </c>
      <c r="DR97" s="9">
        <v>0.30399999999999999</v>
      </c>
      <c r="DS97" s="9">
        <v>0.91299999999999992</v>
      </c>
      <c r="DT97" s="9">
        <v>0.75787499999999985</v>
      </c>
      <c r="DU97" s="9">
        <v>0.30399999999999999</v>
      </c>
      <c r="DV97" s="9">
        <v>0.91299999999999992</v>
      </c>
      <c r="DW97" s="9">
        <v>0.75787499999999985</v>
      </c>
      <c r="DX97" s="9">
        <v>0.30399999999999999</v>
      </c>
      <c r="DY97" s="9">
        <v>0.91299999999999992</v>
      </c>
      <c r="DZ97" s="9">
        <v>0.75787499999999985</v>
      </c>
      <c r="EA97" s="9">
        <v>0.30399999999999999</v>
      </c>
      <c r="EB97" s="9">
        <v>0.91299999999999992</v>
      </c>
      <c r="EC97" s="9"/>
      <c r="ED97" s="9"/>
      <c r="EE97" s="9"/>
      <c r="EF97" s="46">
        <f>Tabelle58971121[[#This Row],[Durchschnittsauslastung min]]*Tabelle58971121[[#This Row],[installierte Leistung MW min]]</f>
        <v>0</v>
      </c>
      <c r="EG97" s="46">
        <f>Tabelle58971121[[#This Row],[Durchschnittsauslastung durch]]*Tabelle58971121[[#This Row],[installierte Leistung MW durch]]</f>
        <v>0</v>
      </c>
      <c r="EH97" s="46">
        <f>Tabelle58971121[[#This Row],[Durchschnittsauslastung max]]*Tabelle58971121[[#This Row],[installierte Leistung MW max]]</f>
        <v>0</v>
      </c>
      <c r="EI97" s="83">
        <f>Tabelle58971121[[#This Row],[Maximalauslastung durch]]*Tabelle58971121[[#This Row],[installierte Leistung MW min]]</f>
        <v>599.60249999999996</v>
      </c>
      <c r="EJ97" s="46">
        <f>Tabelle58971121[[#This Row],[Maximalauslastung durch]]*Tabelle58971121[[#This Row],[installierte Leistung MW durch]]</f>
        <v>740.25</v>
      </c>
      <c r="EK97" s="19">
        <f>Tabelle58971121[[#This Row],[Maximalauslastung max]]*Tabelle58971121[[#This Row],[installierte Leistung MW durch]]</f>
        <v>819</v>
      </c>
      <c r="EL97" s="9">
        <v>0.47</v>
      </c>
      <c r="EM97" s="9">
        <v>0.42</v>
      </c>
      <c r="EN97" s="9">
        <v>0.52</v>
      </c>
      <c r="EO97" s="1">
        <v>1575</v>
      </c>
      <c r="EP97" s="1">
        <v>1275.75</v>
      </c>
      <c r="EQ97" s="1">
        <v>1874.25</v>
      </c>
      <c r="ER97" s="19"/>
      <c r="ES97" s="19"/>
      <c r="EY97" s="65"/>
      <c r="EZ97" s="65"/>
      <c r="FA97" s="1">
        <v>0.25</v>
      </c>
      <c r="FB97" s="1">
        <v>0.2</v>
      </c>
      <c r="FC97" s="1">
        <v>0.3</v>
      </c>
      <c r="FD97" s="1">
        <v>0.25</v>
      </c>
      <c r="FE97" s="1">
        <v>0.2</v>
      </c>
      <c r="FF97" s="1">
        <v>0.3</v>
      </c>
      <c r="FG97" s="1">
        <v>0.5</v>
      </c>
      <c r="FH97" s="1">
        <v>0.4</v>
      </c>
      <c r="FI97" s="1">
        <v>0.6</v>
      </c>
      <c r="FJ97" s="1">
        <v>0.3</v>
      </c>
      <c r="FK97" s="1">
        <v>0.2</v>
      </c>
      <c r="FL97" s="1">
        <v>0.4</v>
      </c>
      <c r="FS97" s="1">
        <v>365</v>
      </c>
      <c r="FT97" s="1">
        <v>328</v>
      </c>
      <c r="FU97" s="1">
        <v>402</v>
      </c>
      <c r="FV97" s="1" t="s">
        <v>1084</v>
      </c>
      <c r="FW97" s="1" t="s">
        <v>1084</v>
      </c>
      <c r="FX97" s="1" t="s">
        <v>1084</v>
      </c>
      <c r="FY97" s="1">
        <v>145.52352941176468</v>
      </c>
      <c r="FZ97" s="19">
        <v>130.9711764705882</v>
      </c>
      <c r="GA97" s="19">
        <v>160.07588235294116</v>
      </c>
      <c r="GB97" s="19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>
        <v>9.972941176470588</v>
      </c>
      <c r="GO97" s="8">
        <v>3.5617647058823536</v>
      </c>
      <c r="GP97" s="8">
        <v>16.384117647058822</v>
      </c>
      <c r="GS97" s="1">
        <v>67</v>
      </c>
      <c r="GT97" s="1">
        <v>67</v>
      </c>
      <c r="GU97" s="1">
        <v>67</v>
      </c>
      <c r="GV97" s="13" t="s">
        <v>806</v>
      </c>
      <c r="GW97" s="13" t="s">
        <v>806</v>
      </c>
      <c r="GX97" s="13" t="s">
        <v>806</v>
      </c>
      <c r="GY97" s="13"/>
      <c r="GZ97" s="13" t="s">
        <v>806</v>
      </c>
      <c r="HA97" s="13" t="s">
        <v>806</v>
      </c>
      <c r="HB97" s="13" t="s">
        <v>806</v>
      </c>
      <c r="HC97" s="13" t="s">
        <v>806</v>
      </c>
      <c r="HD97" s="13" t="s">
        <v>806</v>
      </c>
      <c r="HE97" s="13" t="s">
        <v>806</v>
      </c>
      <c r="HF97" s="13" t="s">
        <v>806</v>
      </c>
      <c r="HI97" s="13" t="s">
        <v>806</v>
      </c>
      <c r="HJ97" s="13" t="s">
        <v>806</v>
      </c>
      <c r="HL97" s="13" t="s">
        <v>806</v>
      </c>
    </row>
    <row r="98" spans="1:223" s="52" customFormat="1" ht="12.75" customHeight="1" x14ac:dyDescent="0.25">
      <c r="A98" s="1" t="s">
        <v>135</v>
      </c>
      <c r="B98" s="1" t="s">
        <v>745</v>
      </c>
      <c r="C98" s="1"/>
      <c r="D98" s="1"/>
      <c r="E98" s="1" t="s">
        <v>139</v>
      </c>
      <c r="F98" s="1">
        <v>2</v>
      </c>
      <c r="G98" s="1">
        <v>2015</v>
      </c>
      <c r="H98" s="1">
        <v>1</v>
      </c>
      <c r="I98" s="1">
        <v>0</v>
      </c>
      <c r="J98" s="1">
        <v>0</v>
      </c>
      <c r="K98" s="19"/>
      <c r="L98" s="19"/>
      <c r="M98" s="19"/>
      <c r="N98" s="19"/>
      <c r="O98" s="19"/>
      <c r="P98" s="19"/>
      <c r="Q98" s="19">
        <v>2943.5</v>
      </c>
      <c r="R98" s="19">
        <v>126.846</v>
      </c>
      <c r="S98" s="19">
        <v>4918.9799999999996</v>
      </c>
      <c r="T98" s="19"/>
      <c r="U98" s="19"/>
      <c r="V98" s="19"/>
      <c r="W98" s="19">
        <v>753.99999999999966</v>
      </c>
      <c r="X98" s="19">
        <v>0</v>
      </c>
      <c r="Y98" s="19">
        <v>4114.0559999999996</v>
      </c>
      <c r="Z98" s="19">
        <v>2943.5</v>
      </c>
      <c r="AA98" s="19">
        <v>126.846</v>
      </c>
      <c r="AB98" s="19">
        <v>4918.9799999999996</v>
      </c>
      <c r="AC98" s="19"/>
      <c r="AD98" s="19"/>
      <c r="AE98" s="19"/>
      <c r="AF98" s="19">
        <v>753.99999999999966</v>
      </c>
      <c r="AG98" s="19">
        <v>0</v>
      </c>
      <c r="AH98" s="19">
        <v>4114.0559999999996</v>
      </c>
      <c r="AI98" s="19">
        <v>2943.5</v>
      </c>
      <c r="AJ98" s="19">
        <v>126.846</v>
      </c>
      <c r="AK98" s="19">
        <v>4918.9799999999996</v>
      </c>
      <c r="AL98" s="19">
        <v>753.99999999999966</v>
      </c>
      <c r="AM98" s="19">
        <v>0</v>
      </c>
      <c r="AN98" s="19">
        <v>4114.0559999999996</v>
      </c>
      <c r="AO98" s="19">
        <v>3523.5</v>
      </c>
      <c r="AP98" s="19">
        <v>126.846</v>
      </c>
      <c r="AQ98" s="19">
        <v>5813.34</v>
      </c>
      <c r="AR98" s="19"/>
      <c r="AS98" s="19"/>
      <c r="AT98" s="19"/>
      <c r="AU98" s="19">
        <v>174.00000000000011</v>
      </c>
      <c r="AV98" s="19">
        <v>0</v>
      </c>
      <c r="AW98" s="19">
        <v>4114.0559999999996</v>
      </c>
      <c r="AX98" s="19">
        <v>3523.5</v>
      </c>
      <c r="AY98" s="19">
        <v>126.846</v>
      </c>
      <c r="AZ98" s="19">
        <v>5813.34</v>
      </c>
      <c r="BA98" s="19"/>
      <c r="BB98" s="19"/>
      <c r="BC98" s="19"/>
      <c r="BD98" s="19">
        <v>174.00000000000011</v>
      </c>
      <c r="BE98" s="19">
        <v>0</v>
      </c>
      <c r="BF98" s="19">
        <v>4114.0559999999996</v>
      </c>
      <c r="BG98" s="19">
        <v>3523.5</v>
      </c>
      <c r="BH98" s="19">
        <v>126.846</v>
      </c>
      <c r="BI98" s="19">
        <v>5813.34</v>
      </c>
      <c r="BJ98" s="19"/>
      <c r="BK98" s="19"/>
      <c r="BL98" s="19"/>
      <c r="BM98" s="19">
        <v>174.00000000000011</v>
      </c>
      <c r="BN98" s="19">
        <v>0</v>
      </c>
      <c r="BO98" s="19">
        <v>4114.0559999999996</v>
      </c>
      <c r="BP98" s="19">
        <v>3523.5</v>
      </c>
      <c r="BQ98" s="19">
        <v>126.846</v>
      </c>
      <c r="BR98" s="19">
        <v>5813.34</v>
      </c>
      <c r="BS98" s="19"/>
      <c r="BT98" s="19"/>
      <c r="BU98" s="19"/>
      <c r="BV98" s="19">
        <v>174.00000000000011</v>
      </c>
      <c r="BW98" s="19">
        <v>0</v>
      </c>
      <c r="BX98" s="19">
        <v>4114.0559999999996</v>
      </c>
      <c r="BY98" s="19">
        <v>3523.5</v>
      </c>
      <c r="BZ98" s="19">
        <v>126.846</v>
      </c>
      <c r="CA98" s="19">
        <v>5813.34</v>
      </c>
      <c r="CB98" s="19"/>
      <c r="CC98" s="19"/>
      <c r="CD98" s="19"/>
      <c r="CE98" s="19">
        <v>174.00000000000011</v>
      </c>
      <c r="CF98" s="19">
        <v>0</v>
      </c>
      <c r="CG98" s="19">
        <v>4114.0559999999996</v>
      </c>
      <c r="CH98" s="19">
        <v>3523.5</v>
      </c>
      <c r="CI98" s="19">
        <v>126.846</v>
      </c>
      <c r="CJ98" s="19">
        <v>5813.34</v>
      </c>
      <c r="CK98" s="19"/>
      <c r="CL98" s="19"/>
      <c r="CM98" s="19"/>
      <c r="CN98" s="19">
        <v>174.00000000000011</v>
      </c>
      <c r="CO98" s="19">
        <v>0</v>
      </c>
      <c r="CP98" s="19">
        <v>4114.0559999999996</v>
      </c>
      <c r="CQ98" s="19"/>
      <c r="CR98" s="19"/>
      <c r="CS98" s="19"/>
      <c r="CT98" s="19"/>
      <c r="CU98" s="11">
        <f>Tabelle58971121[[#This Row],[Mindestauslastung durch]]*Tabelle58971121[[#This Row],[installierte Leistung MW durch]]</f>
        <v>3262.5</v>
      </c>
      <c r="CV98" s="11">
        <f>Tabelle58971121[[#This Row],[Mindestauslastung min]]*Tabelle58971121[[#This Row],[installierte Leistung MW min]]</f>
        <v>3171.15</v>
      </c>
      <c r="CW98" s="11">
        <f>Tabelle58971121[[#This Row],[Mindestauslastung max]]*Tabelle58971121[[#This Row],[installierte Leistung MW max]]</f>
        <v>3353.85</v>
      </c>
      <c r="CX98" s="9">
        <v>0.15</v>
      </c>
      <c r="CY98" s="9">
        <v>0.15</v>
      </c>
      <c r="CZ98" s="9">
        <v>0.15</v>
      </c>
      <c r="DA98" s="9"/>
      <c r="DB98" s="9">
        <v>0.13533333333333339</v>
      </c>
      <c r="DC98" s="9">
        <v>6.0000000000000001E-3</v>
      </c>
      <c r="DD98" s="9">
        <v>0.22</v>
      </c>
      <c r="DE98" s="9">
        <v>0.13533333333333339</v>
      </c>
      <c r="DF98" s="9">
        <v>6.0000000000000001E-3</v>
      </c>
      <c r="DG98" s="9">
        <v>0.22</v>
      </c>
      <c r="DH98" s="9">
        <v>0.13533333333333339</v>
      </c>
      <c r="DI98" s="9">
        <v>6.0000000000000001E-3</v>
      </c>
      <c r="DJ98" s="9">
        <v>0.22</v>
      </c>
      <c r="DK98" s="9">
        <v>0.16200000000000001</v>
      </c>
      <c r="DL98" s="9">
        <v>6.0000000000000001E-3</v>
      </c>
      <c r="DM98" s="9">
        <v>0.26</v>
      </c>
      <c r="DN98" s="9">
        <v>0.16200000000000001</v>
      </c>
      <c r="DO98" s="9">
        <v>6.0000000000000001E-3</v>
      </c>
      <c r="DP98" s="9">
        <v>0.26</v>
      </c>
      <c r="DQ98" s="9">
        <v>0.16200000000000001</v>
      </c>
      <c r="DR98" s="9">
        <v>6.0000000000000001E-3</v>
      </c>
      <c r="DS98" s="9">
        <v>0.26</v>
      </c>
      <c r="DT98" s="9">
        <v>0.16200000000000001</v>
      </c>
      <c r="DU98" s="9">
        <v>6.0000000000000001E-3</v>
      </c>
      <c r="DV98" s="9">
        <v>0.26</v>
      </c>
      <c r="DW98" s="9">
        <v>0.16200000000000001</v>
      </c>
      <c r="DX98" s="9">
        <v>6.0000000000000001E-3</v>
      </c>
      <c r="DY98" s="9">
        <v>0.26</v>
      </c>
      <c r="DZ98" s="9">
        <v>0.16200000000000001</v>
      </c>
      <c r="EA98" s="9">
        <v>6.0000000000000001E-3</v>
      </c>
      <c r="EB98" s="9">
        <v>0.26</v>
      </c>
      <c r="EC98" s="9"/>
      <c r="ED98" s="9"/>
      <c r="EE98" s="9"/>
      <c r="EF98" s="46">
        <f>Tabelle58971121[[#This Row],[Durchschnittsauslastung min]]*Tabelle58971121[[#This Row],[installierte Leistung MW min]]</f>
        <v>0</v>
      </c>
      <c r="EG98" s="46">
        <f>Tabelle58971121[[#This Row],[Durchschnittsauslastung durch]]*Tabelle58971121[[#This Row],[installierte Leistung MW durch]]</f>
        <v>0</v>
      </c>
      <c r="EH98" s="46">
        <f>Tabelle58971121[[#This Row],[Durchschnittsauslastung max]]*Tabelle58971121[[#This Row],[installierte Leistung MW max]]</f>
        <v>0</v>
      </c>
      <c r="EI98" s="83">
        <f>Tabelle58971121[[#This Row],[Maximalauslastung durch]]*Tabelle58971121[[#This Row],[installierte Leistung MW min]]</f>
        <v>3593.9700000000003</v>
      </c>
      <c r="EJ98" s="46">
        <f>Tabelle58971121[[#This Row],[Maximalauslastung durch]]*Tabelle58971121[[#This Row],[installierte Leistung MW durch]]</f>
        <v>3697.5000000000005</v>
      </c>
      <c r="EK98" s="19">
        <f>Tabelle58971121[[#This Row],[Maximalauslastung max]]*Tabelle58971121[[#This Row],[installierte Leistung MW durch]]</f>
        <v>4132.5</v>
      </c>
      <c r="EL98" s="9">
        <v>0.17</v>
      </c>
      <c r="EM98" s="9">
        <v>0.15</v>
      </c>
      <c r="EN98" s="9">
        <v>0.19</v>
      </c>
      <c r="EO98" s="1">
        <v>21750</v>
      </c>
      <c r="EP98" s="1">
        <v>21141</v>
      </c>
      <c r="EQ98" s="1">
        <v>22359</v>
      </c>
      <c r="ER98" s="19"/>
      <c r="ES98" s="19"/>
      <c r="ET98" s="1"/>
      <c r="EU98" s="1"/>
      <c r="EV98" s="1"/>
      <c r="EW98" s="1"/>
      <c r="EX98" s="1">
        <v>4</v>
      </c>
      <c r="EY98" s="1">
        <v>3.2</v>
      </c>
      <c r="EZ98" s="1">
        <v>4.8</v>
      </c>
      <c r="FA98" s="1"/>
      <c r="FB98" s="1"/>
      <c r="FC98" s="1"/>
      <c r="FD98" s="1">
        <v>8</v>
      </c>
      <c r="FE98" s="1">
        <v>6.4</v>
      </c>
      <c r="FF98" s="1">
        <v>9.6</v>
      </c>
      <c r="FG98" s="1">
        <v>24</v>
      </c>
      <c r="FH98" s="1">
        <v>24</v>
      </c>
      <c r="FI98" s="1">
        <v>24</v>
      </c>
      <c r="FJ98" s="1">
        <v>7.5</v>
      </c>
      <c r="FK98" s="1">
        <v>4.4000000000000004</v>
      </c>
      <c r="FL98" s="1">
        <v>10.6</v>
      </c>
      <c r="FM98" s="1"/>
      <c r="FN98" s="1"/>
      <c r="FO98" s="1"/>
      <c r="FP98" s="1">
        <v>365</v>
      </c>
      <c r="FQ98" s="1">
        <v>328</v>
      </c>
      <c r="FR98" s="1">
        <v>402</v>
      </c>
      <c r="FS98" s="11"/>
      <c r="FT98" s="11"/>
      <c r="FU98" s="11"/>
      <c r="FV98" s="1">
        <v>365</v>
      </c>
      <c r="FW98" s="1">
        <v>328</v>
      </c>
      <c r="FX98" s="1">
        <v>402</v>
      </c>
      <c r="FY98" s="1">
        <v>145.52352941176468</v>
      </c>
      <c r="FZ98" s="19">
        <v>130.9711764705882</v>
      </c>
      <c r="GA98" s="19">
        <v>160.07588235294116</v>
      </c>
      <c r="GB98" s="19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>
        <v>9.972941176470588</v>
      </c>
      <c r="GO98" s="8">
        <v>3.5617647058823536</v>
      </c>
      <c r="GP98" s="8">
        <v>16.384117647058822</v>
      </c>
      <c r="GQ98" s="1"/>
      <c r="GR98" s="1"/>
      <c r="GS98" s="1">
        <v>67</v>
      </c>
      <c r="GT98" s="1">
        <v>67</v>
      </c>
      <c r="GU98" s="1">
        <v>67</v>
      </c>
      <c r="GV98" s="13" t="s">
        <v>806</v>
      </c>
      <c r="GW98" s="13" t="s">
        <v>806</v>
      </c>
      <c r="GX98" s="13" t="s">
        <v>806</v>
      </c>
      <c r="GY98" s="13"/>
      <c r="GZ98" s="13" t="s">
        <v>806</v>
      </c>
      <c r="HA98" s="13" t="s">
        <v>806</v>
      </c>
      <c r="HB98" s="13" t="s">
        <v>806</v>
      </c>
      <c r="HC98" s="13" t="s">
        <v>806</v>
      </c>
      <c r="HD98" s="13" t="s">
        <v>806</v>
      </c>
      <c r="HE98" s="13" t="s">
        <v>806</v>
      </c>
      <c r="HF98" s="13" t="s">
        <v>806</v>
      </c>
      <c r="HG98" s="1"/>
      <c r="HH98" s="1"/>
      <c r="HI98" s="13" t="s">
        <v>806</v>
      </c>
      <c r="HJ98" s="13" t="s">
        <v>806</v>
      </c>
      <c r="HK98" s="1"/>
      <c r="HL98" s="13" t="s">
        <v>806</v>
      </c>
      <c r="HM98" s="1"/>
      <c r="HN98" s="1"/>
      <c r="HO98" s="1"/>
    </row>
    <row r="99" spans="1:223" ht="12.75" customHeight="1" x14ac:dyDescent="0.25">
      <c r="A99" s="1" t="s">
        <v>135</v>
      </c>
      <c r="B99" s="1" t="s">
        <v>745</v>
      </c>
      <c r="E99" s="1" t="s">
        <v>139</v>
      </c>
      <c r="F99" s="1">
        <v>2</v>
      </c>
      <c r="G99" s="1">
        <v>2020</v>
      </c>
      <c r="H99" s="1">
        <v>1</v>
      </c>
      <c r="I99" s="1">
        <v>0</v>
      </c>
      <c r="J99" s="1">
        <v>0</v>
      </c>
      <c r="K99" s="19"/>
      <c r="L99" s="19"/>
      <c r="M99" s="19"/>
      <c r="N99" s="19"/>
      <c r="O99" s="19"/>
      <c r="P99" s="19"/>
      <c r="Q99" s="19">
        <v>2972.9349999999999</v>
      </c>
      <c r="R99" s="19">
        <v>128.11446000000001</v>
      </c>
      <c r="S99" s="19">
        <v>4968.1697999999997</v>
      </c>
      <c r="T99" s="19"/>
      <c r="U99" s="19"/>
      <c r="V99" s="19"/>
      <c r="W99" s="19">
        <v>761.53999999999962</v>
      </c>
      <c r="X99" s="19">
        <v>0</v>
      </c>
      <c r="Y99" s="19">
        <v>4155.1965599999994</v>
      </c>
      <c r="Z99" s="19">
        <v>2972.9349999999999</v>
      </c>
      <c r="AA99" s="19">
        <v>128.11446000000001</v>
      </c>
      <c r="AB99" s="19">
        <v>4968.1697999999997</v>
      </c>
      <c r="AC99" s="19"/>
      <c r="AD99" s="19"/>
      <c r="AE99" s="19"/>
      <c r="AF99" s="19">
        <v>761.53999999999962</v>
      </c>
      <c r="AG99" s="19">
        <v>0</v>
      </c>
      <c r="AH99" s="19">
        <v>4155.1965599999994</v>
      </c>
      <c r="AI99" s="19">
        <v>2972.9349999999999</v>
      </c>
      <c r="AJ99" s="19">
        <v>128.11446000000001</v>
      </c>
      <c r="AK99" s="19">
        <v>4968.1697999999997</v>
      </c>
      <c r="AL99" s="19">
        <v>761.53999999999962</v>
      </c>
      <c r="AM99" s="19">
        <v>0</v>
      </c>
      <c r="AN99" s="19">
        <v>4155.1965599999994</v>
      </c>
      <c r="AO99" s="19">
        <v>3558.7350000000001</v>
      </c>
      <c r="AP99" s="19">
        <v>128.11446000000001</v>
      </c>
      <c r="AQ99" s="19">
        <v>5871.4733999999999</v>
      </c>
      <c r="AR99" s="19"/>
      <c r="AS99" s="19"/>
      <c r="AT99" s="19"/>
      <c r="AU99" s="19">
        <v>175.74000000000012</v>
      </c>
      <c r="AV99" s="19">
        <v>0</v>
      </c>
      <c r="AW99" s="19">
        <v>4155.1965599999994</v>
      </c>
      <c r="AX99" s="19">
        <v>3558.7350000000001</v>
      </c>
      <c r="AY99" s="19">
        <v>128.11446000000001</v>
      </c>
      <c r="AZ99" s="19">
        <v>5871.4733999999999</v>
      </c>
      <c r="BA99" s="19"/>
      <c r="BB99" s="19"/>
      <c r="BC99" s="19"/>
      <c r="BD99" s="19">
        <v>175.74000000000012</v>
      </c>
      <c r="BE99" s="19">
        <v>0</v>
      </c>
      <c r="BF99" s="19">
        <v>4155.1965599999994</v>
      </c>
      <c r="BG99" s="19">
        <v>3558.7350000000001</v>
      </c>
      <c r="BH99" s="19">
        <v>128.11446000000001</v>
      </c>
      <c r="BI99" s="19">
        <v>5871.4733999999999</v>
      </c>
      <c r="BJ99" s="19"/>
      <c r="BK99" s="19"/>
      <c r="BL99" s="19"/>
      <c r="BM99" s="19">
        <v>175.74000000000012</v>
      </c>
      <c r="BN99" s="19">
        <v>0</v>
      </c>
      <c r="BO99" s="19">
        <v>4155.1965599999994</v>
      </c>
      <c r="BP99" s="19">
        <v>3558.7350000000001</v>
      </c>
      <c r="BQ99" s="19">
        <v>128.11446000000001</v>
      </c>
      <c r="BR99" s="19">
        <v>5871.4733999999999</v>
      </c>
      <c r="BS99" s="19"/>
      <c r="BT99" s="19"/>
      <c r="BU99" s="19"/>
      <c r="BV99" s="19">
        <v>175.74000000000012</v>
      </c>
      <c r="BW99" s="19">
        <v>0</v>
      </c>
      <c r="BX99" s="19">
        <v>4155.1965599999994</v>
      </c>
      <c r="BY99" s="19">
        <v>3558.7350000000001</v>
      </c>
      <c r="BZ99" s="19">
        <v>128.11446000000001</v>
      </c>
      <c r="CA99" s="19">
        <v>5871.4733999999999</v>
      </c>
      <c r="CB99" s="19"/>
      <c r="CC99" s="19"/>
      <c r="CD99" s="19"/>
      <c r="CE99" s="19">
        <v>175.74000000000012</v>
      </c>
      <c r="CF99" s="19">
        <v>0</v>
      </c>
      <c r="CG99" s="19">
        <v>4155.1965599999994</v>
      </c>
      <c r="CH99" s="19">
        <v>3558.7350000000001</v>
      </c>
      <c r="CI99" s="19">
        <v>128.11446000000001</v>
      </c>
      <c r="CJ99" s="19">
        <v>5871.4733999999999</v>
      </c>
      <c r="CK99" s="19"/>
      <c r="CL99" s="19"/>
      <c r="CM99" s="19"/>
      <c r="CN99" s="19">
        <v>175.74000000000012</v>
      </c>
      <c r="CO99" s="19">
        <v>0</v>
      </c>
      <c r="CP99" s="19">
        <v>4155.1965599999994</v>
      </c>
      <c r="CQ99" s="19"/>
      <c r="CR99" s="19"/>
      <c r="CS99" s="19"/>
      <c r="CT99" s="19"/>
      <c r="CU99" s="11">
        <f>Tabelle58971121[[#This Row],[Mindestauslastung durch]]*Tabelle58971121[[#This Row],[installierte Leistung MW durch]]</f>
        <v>3295.125</v>
      </c>
      <c r="CV99" s="11">
        <f>Tabelle58971121[[#This Row],[Mindestauslastung min]]*Tabelle58971121[[#This Row],[installierte Leistung MW min]]</f>
        <v>3202.8615</v>
      </c>
      <c r="CW99" s="11">
        <f>Tabelle58971121[[#This Row],[Mindestauslastung max]]*Tabelle58971121[[#This Row],[installierte Leistung MW max]]</f>
        <v>3387.3885</v>
      </c>
      <c r="CX99" s="9">
        <v>0.15</v>
      </c>
      <c r="CY99" s="9">
        <v>0.15</v>
      </c>
      <c r="CZ99" s="9">
        <v>0.15</v>
      </c>
      <c r="DA99" s="9"/>
      <c r="DB99" s="9">
        <v>0.13533333333333339</v>
      </c>
      <c r="DC99" s="9">
        <v>6.0000000000000001E-3</v>
      </c>
      <c r="DD99" s="9">
        <v>0.22</v>
      </c>
      <c r="DE99" s="9">
        <v>0.13533333333333339</v>
      </c>
      <c r="DF99" s="9">
        <v>6.0000000000000001E-3</v>
      </c>
      <c r="DG99" s="9">
        <v>0.22</v>
      </c>
      <c r="DH99" s="9">
        <v>0.13533333333333339</v>
      </c>
      <c r="DI99" s="9">
        <v>6.0000000000000001E-3</v>
      </c>
      <c r="DJ99" s="9">
        <v>0.22</v>
      </c>
      <c r="DK99" s="9">
        <v>0.16200000000000001</v>
      </c>
      <c r="DL99" s="9">
        <v>6.0000000000000001E-3</v>
      </c>
      <c r="DM99" s="9">
        <v>0.26</v>
      </c>
      <c r="DN99" s="9">
        <v>0.16200000000000001</v>
      </c>
      <c r="DO99" s="9">
        <v>6.0000000000000001E-3</v>
      </c>
      <c r="DP99" s="9">
        <v>0.26</v>
      </c>
      <c r="DQ99" s="9">
        <v>0.16200000000000001</v>
      </c>
      <c r="DR99" s="9">
        <v>6.0000000000000001E-3</v>
      </c>
      <c r="DS99" s="9">
        <v>0.26</v>
      </c>
      <c r="DT99" s="9">
        <v>0.16200000000000001</v>
      </c>
      <c r="DU99" s="9">
        <v>6.0000000000000001E-3</v>
      </c>
      <c r="DV99" s="9">
        <v>0.26</v>
      </c>
      <c r="DW99" s="9">
        <v>0.16200000000000001</v>
      </c>
      <c r="DX99" s="9">
        <v>6.0000000000000001E-3</v>
      </c>
      <c r="DY99" s="9">
        <v>0.26</v>
      </c>
      <c r="DZ99" s="9">
        <v>0.16200000000000001</v>
      </c>
      <c r="EA99" s="9">
        <v>6.0000000000000001E-3</v>
      </c>
      <c r="EB99" s="9">
        <v>0.26</v>
      </c>
      <c r="EC99" s="9"/>
      <c r="ED99" s="9"/>
      <c r="EE99" s="9"/>
      <c r="EF99" s="46">
        <f>Tabelle58971121[[#This Row],[Durchschnittsauslastung min]]*Tabelle58971121[[#This Row],[installierte Leistung MW min]]</f>
        <v>0</v>
      </c>
      <c r="EG99" s="46">
        <f>Tabelle58971121[[#This Row],[Durchschnittsauslastung durch]]*Tabelle58971121[[#This Row],[installierte Leistung MW durch]]</f>
        <v>0</v>
      </c>
      <c r="EH99" s="46">
        <f>Tabelle58971121[[#This Row],[Durchschnittsauslastung max]]*Tabelle58971121[[#This Row],[installierte Leistung MW max]]</f>
        <v>0</v>
      </c>
      <c r="EI99" s="83">
        <f>Tabelle58971121[[#This Row],[Maximalauslastung durch]]*Tabelle58971121[[#This Row],[installierte Leistung MW min]]</f>
        <v>3629.9097000000002</v>
      </c>
      <c r="EJ99" s="46">
        <f>Tabelle58971121[[#This Row],[Maximalauslastung durch]]*Tabelle58971121[[#This Row],[installierte Leistung MW durch]]</f>
        <v>3734.4750000000004</v>
      </c>
      <c r="EK99" s="19">
        <f>Tabelle58971121[[#This Row],[Maximalauslastung max]]*Tabelle58971121[[#This Row],[installierte Leistung MW durch]]</f>
        <v>4173.8249999999998</v>
      </c>
      <c r="EL99" s="9">
        <v>0.17</v>
      </c>
      <c r="EM99" s="9">
        <v>0.15</v>
      </c>
      <c r="EN99" s="9">
        <v>0.19</v>
      </c>
      <c r="EO99" s="1">
        <v>21967.5</v>
      </c>
      <c r="EP99" s="1">
        <v>21352.41</v>
      </c>
      <c r="EQ99" s="1">
        <v>22582.59</v>
      </c>
      <c r="ER99" s="19"/>
      <c r="ES99" s="19"/>
      <c r="EX99" s="1">
        <v>4</v>
      </c>
      <c r="EY99" s="1">
        <v>3.2</v>
      </c>
      <c r="EZ99" s="1">
        <v>4.8</v>
      </c>
      <c r="FD99" s="1">
        <v>8</v>
      </c>
      <c r="FE99" s="1">
        <v>6.4</v>
      </c>
      <c r="FF99" s="1">
        <v>9.6</v>
      </c>
      <c r="FG99" s="1">
        <v>24</v>
      </c>
      <c r="FH99" s="1">
        <v>24</v>
      </c>
      <c r="FI99" s="1">
        <v>24</v>
      </c>
      <c r="FJ99" s="1">
        <v>7.5</v>
      </c>
      <c r="FK99" s="1">
        <v>4.4000000000000004</v>
      </c>
      <c r="FL99" s="1">
        <v>10.6</v>
      </c>
      <c r="FP99" s="1">
        <v>365</v>
      </c>
      <c r="FQ99" s="1">
        <v>328</v>
      </c>
      <c r="FR99" s="1">
        <v>402</v>
      </c>
      <c r="FS99" s="11"/>
      <c r="FT99" s="11"/>
      <c r="FU99" s="11"/>
      <c r="FV99" s="1">
        <v>365</v>
      </c>
      <c r="FW99" s="1">
        <v>328</v>
      </c>
      <c r="FX99" s="1">
        <v>402</v>
      </c>
      <c r="FY99" s="1">
        <v>145.52352941176468</v>
      </c>
      <c r="FZ99" s="19">
        <v>130.9711764705882</v>
      </c>
      <c r="GA99" s="19">
        <v>160.07588235294116</v>
      </c>
      <c r="GB99" s="19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>
        <v>9.972941176470588</v>
      </c>
      <c r="GO99" s="8">
        <v>3.5617647058823536</v>
      </c>
      <c r="GP99" s="8">
        <v>16.384117647058822</v>
      </c>
      <c r="GS99" s="1">
        <v>67</v>
      </c>
      <c r="GT99" s="1">
        <v>67</v>
      </c>
      <c r="GU99" s="1">
        <v>67</v>
      </c>
      <c r="GV99" s="13" t="s">
        <v>806</v>
      </c>
      <c r="GW99" s="13" t="s">
        <v>806</v>
      </c>
      <c r="GX99" s="13" t="s">
        <v>806</v>
      </c>
      <c r="GY99" s="13"/>
      <c r="GZ99" s="13" t="s">
        <v>806</v>
      </c>
      <c r="HA99" s="13" t="s">
        <v>806</v>
      </c>
      <c r="HB99" s="13" t="s">
        <v>806</v>
      </c>
      <c r="HC99" s="13" t="s">
        <v>806</v>
      </c>
      <c r="HD99" s="13" t="s">
        <v>806</v>
      </c>
      <c r="HE99" s="13" t="s">
        <v>806</v>
      </c>
      <c r="HF99" s="13" t="s">
        <v>806</v>
      </c>
      <c r="HI99" s="13" t="s">
        <v>806</v>
      </c>
      <c r="HJ99" s="13" t="s">
        <v>806</v>
      </c>
      <c r="HL99" s="13" t="s">
        <v>806</v>
      </c>
    </row>
    <row r="100" spans="1:223" ht="12.75" customHeight="1" x14ac:dyDescent="0.25">
      <c r="A100" s="1" t="s">
        <v>135</v>
      </c>
      <c r="B100" s="1" t="s">
        <v>745</v>
      </c>
      <c r="E100" s="1" t="s">
        <v>139</v>
      </c>
      <c r="F100" s="1">
        <v>2</v>
      </c>
      <c r="G100" s="1">
        <v>2025</v>
      </c>
      <c r="H100" s="1">
        <v>1</v>
      </c>
      <c r="I100" s="1">
        <v>0</v>
      </c>
      <c r="J100" s="1">
        <v>0</v>
      </c>
      <c r="K100" s="19"/>
      <c r="L100" s="19"/>
      <c r="M100" s="19"/>
      <c r="N100" s="19"/>
      <c r="O100" s="19"/>
      <c r="P100" s="19"/>
      <c r="Q100" s="19">
        <v>3031.8050000000003</v>
      </c>
      <c r="R100" s="19">
        <v>130.65138000000002</v>
      </c>
      <c r="S100" s="19">
        <v>5066.5493999999999</v>
      </c>
      <c r="T100" s="19"/>
      <c r="U100" s="19"/>
      <c r="V100" s="19"/>
      <c r="W100" s="19">
        <v>776.61999999999966</v>
      </c>
      <c r="X100" s="19">
        <v>0</v>
      </c>
      <c r="Y100" s="19">
        <v>4237.47768</v>
      </c>
      <c r="Z100" s="19">
        <v>3031.8050000000003</v>
      </c>
      <c r="AA100" s="19">
        <v>130.65138000000002</v>
      </c>
      <c r="AB100" s="19">
        <v>5066.5493999999999</v>
      </c>
      <c r="AC100" s="19"/>
      <c r="AD100" s="19"/>
      <c r="AE100" s="19"/>
      <c r="AF100" s="19">
        <v>776.61999999999966</v>
      </c>
      <c r="AG100" s="19">
        <v>0</v>
      </c>
      <c r="AH100" s="19">
        <v>4237.47768</v>
      </c>
      <c r="AI100" s="19">
        <v>3031.8050000000003</v>
      </c>
      <c r="AJ100" s="19">
        <v>130.65138000000002</v>
      </c>
      <c r="AK100" s="19">
        <v>5066.5493999999999</v>
      </c>
      <c r="AL100" s="19">
        <v>776.61999999999966</v>
      </c>
      <c r="AM100" s="19">
        <v>0</v>
      </c>
      <c r="AN100" s="19">
        <v>4237.47768</v>
      </c>
      <c r="AO100" s="19">
        <v>3629.2049999999999</v>
      </c>
      <c r="AP100" s="19">
        <v>130.65138000000002</v>
      </c>
      <c r="AQ100" s="19">
        <v>5987.7402000000002</v>
      </c>
      <c r="AR100" s="19"/>
      <c r="AS100" s="19"/>
      <c r="AT100" s="19"/>
      <c r="AU100" s="19">
        <v>179.22000000000011</v>
      </c>
      <c r="AV100" s="19">
        <v>0</v>
      </c>
      <c r="AW100" s="19">
        <v>4237.47768</v>
      </c>
      <c r="AX100" s="19">
        <v>3629.2049999999999</v>
      </c>
      <c r="AY100" s="19">
        <v>130.65138000000002</v>
      </c>
      <c r="AZ100" s="19">
        <v>5987.7402000000002</v>
      </c>
      <c r="BA100" s="19"/>
      <c r="BB100" s="19"/>
      <c r="BC100" s="19"/>
      <c r="BD100" s="19">
        <v>179.22000000000011</v>
      </c>
      <c r="BE100" s="19">
        <v>0</v>
      </c>
      <c r="BF100" s="19">
        <v>4237.47768</v>
      </c>
      <c r="BG100" s="19">
        <v>3629.2049999999999</v>
      </c>
      <c r="BH100" s="19">
        <v>130.65138000000002</v>
      </c>
      <c r="BI100" s="19">
        <v>5987.7402000000002</v>
      </c>
      <c r="BJ100" s="19"/>
      <c r="BK100" s="19"/>
      <c r="BL100" s="19"/>
      <c r="BM100" s="19">
        <v>179.22000000000011</v>
      </c>
      <c r="BN100" s="19">
        <v>0</v>
      </c>
      <c r="BO100" s="19">
        <v>4237.47768</v>
      </c>
      <c r="BP100" s="19">
        <v>3629.2049999999999</v>
      </c>
      <c r="BQ100" s="19">
        <v>130.65138000000002</v>
      </c>
      <c r="BR100" s="19">
        <v>5987.7402000000002</v>
      </c>
      <c r="BS100" s="19"/>
      <c r="BT100" s="19"/>
      <c r="BU100" s="19"/>
      <c r="BV100" s="19">
        <v>179.22000000000011</v>
      </c>
      <c r="BW100" s="19">
        <v>0</v>
      </c>
      <c r="BX100" s="19">
        <v>4237.47768</v>
      </c>
      <c r="BY100" s="19">
        <v>3629.2049999999999</v>
      </c>
      <c r="BZ100" s="19">
        <v>130.65138000000002</v>
      </c>
      <c r="CA100" s="19">
        <v>5987.7402000000002</v>
      </c>
      <c r="CB100" s="19"/>
      <c r="CC100" s="19"/>
      <c r="CD100" s="19"/>
      <c r="CE100" s="19">
        <v>179.22000000000011</v>
      </c>
      <c r="CF100" s="19">
        <v>0</v>
      </c>
      <c r="CG100" s="19">
        <v>4237.47768</v>
      </c>
      <c r="CH100" s="19">
        <v>3629.2049999999999</v>
      </c>
      <c r="CI100" s="19">
        <v>130.65138000000002</v>
      </c>
      <c r="CJ100" s="19">
        <v>5987.7402000000002</v>
      </c>
      <c r="CK100" s="19"/>
      <c r="CL100" s="19"/>
      <c r="CM100" s="19"/>
      <c r="CN100" s="19">
        <v>179.22000000000011</v>
      </c>
      <c r="CO100" s="19">
        <v>0</v>
      </c>
      <c r="CP100" s="19">
        <v>4237.47768</v>
      </c>
      <c r="CQ100" s="19"/>
      <c r="CR100" s="19"/>
      <c r="CS100" s="19"/>
      <c r="CT100" s="19"/>
      <c r="CU100" s="11">
        <f>Tabelle58971121[[#This Row],[Mindestauslastung durch]]*Tabelle58971121[[#This Row],[installierte Leistung MW durch]]</f>
        <v>3360.375</v>
      </c>
      <c r="CV100" s="11">
        <f>Tabelle58971121[[#This Row],[Mindestauslastung min]]*Tabelle58971121[[#This Row],[installierte Leistung MW min]]</f>
        <v>3266.2844999999998</v>
      </c>
      <c r="CW100" s="11">
        <f>Tabelle58971121[[#This Row],[Mindestauslastung max]]*Tabelle58971121[[#This Row],[installierte Leistung MW max]]</f>
        <v>3454.4654999999998</v>
      </c>
      <c r="CX100" s="9">
        <v>0.15</v>
      </c>
      <c r="CY100" s="9">
        <v>0.15</v>
      </c>
      <c r="CZ100" s="9">
        <v>0.15</v>
      </c>
      <c r="DA100" s="9"/>
      <c r="DB100" s="9">
        <v>0.13533333333333339</v>
      </c>
      <c r="DC100" s="9">
        <v>6.0000000000000001E-3</v>
      </c>
      <c r="DD100" s="9">
        <v>0.22</v>
      </c>
      <c r="DE100" s="9">
        <v>0.13533333333333339</v>
      </c>
      <c r="DF100" s="9">
        <v>6.0000000000000001E-3</v>
      </c>
      <c r="DG100" s="9">
        <v>0.22</v>
      </c>
      <c r="DH100" s="9">
        <v>0.13533333333333339</v>
      </c>
      <c r="DI100" s="9">
        <v>6.0000000000000001E-3</v>
      </c>
      <c r="DJ100" s="9">
        <v>0.22</v>
      </c>
      <c r="DK100" s="9">
        <v>0.16200000000000001</v>
      </c>
      <c r="DL100" s="9">
        <v>6.0000000000000001E-3</v>
      </c>
      <c r="DM100" s="9">
        <v>0.26</v>
      </c>
      <c r="DN100" s="9">
        <v>0.16200000000000001</v>
      </c>
      <c r="DO100" s="9">
        <v>6.0000000000000001E-3</v>
      </c>
      <c r="DP100" s="9">
        <v>0.26</v>
      </c>
      <c r="DQ100" s="9">
        <v>0.16200000000000001</v>
      </c>
      <c r="DR100" s="9">
        <v>6.0000000000000001E-3</v>
      </c>
      <c r="DS100" s="9">
        <v>0.26</v>
      </c>
      <c r="DT100" s="9">
        <v>0.16200000000000001</v>
      </c>
      <c r="DU100" s="9">
        <v>6.0000000000000001E-3</v>
      </c>
      <c r="DV100" s="9">
        <v>0.26</v>
      </c>
      <c r="DW100" s="9">
        <v>0.16200000000000001</v>
      </c>
      <c r="DX100" s="9">
        <v>6.0000000000000001E-3</v>
      </c>
      <c r="DY100" s="9">
        <v>0.26</v>
      </c>
      <c r="DZ100" s="9">
        <v>0.16200000000000001</v>
      </c>
      <c r="EA100" s="9">
        <v>6.0000000000000001E-3</v>
      </c>
      <c r="EB100" s="9">
        <v>0.26</v>
      </c>
      <c r="EC100" s="9"/>
      <c r="ED100" s="9"/>
      <c r="EE100" s="9"/>
      <c r="EF100" s="46">
        <f>Tabelle58971121[[#This Row],[Durchschnittsauslastung min]]*Tabelle58971121[[#This Row],[installierte Leistung MW min]]</f>
        <v>0</v>
      </c>
      <c r="EG100" s="46">
        <f>Tabelle58971121[[#This Row],[Durchschnittsauslastung durch]]*Tabelle58971121[[#This Row],[installierte Leistung MW durch]]</f>
        <v>0</v>
      </c>
      <c r="EH100" s="46">
        <f>Tabelle58971121[[#This Row],[Durchschnittsauslastung max]]*Tabelle58971121[[#This Row],[installierte Leistung MW max]]</f>
        <v>0</v>
      </c>
      <c r="EI100" s="83">
        <f>Tabelle58971121[[#This Row],[Maximalauslastung durch]]*Tabelle58971121[[#This Row],[installierte Leistung MW min]]</f>
        <v>3701.7891000000004</v>
      </c>
      <c r="EJ100" s="46">
        <f>Tabelle58971121[[#This Row],[Maximalauslastung durch]]*Tabelle58971121[[#This Row],[installierte Leistung MW durch]]</f>
        <v>3808.4250000000002</v>
      </c>
      <c r="EK100" s="19">
        <f>Tabelle58971121[[#This Row],[Maximalauslastung max]]*Tabelle58971121[[#This Row],[installierte Leistung MW durch]]</f>
        <v>4256.4750000000004</v>
      </c>
      <c r="EL100" s="9">
        <v>0.17</v>
      </c>
      <c r="EM100" s="9">
        <v>0.15</v>
      </c>
      <c r="EN100" s="9">
        <v>0.19</v>
      </c>
      <c r="EO100" s="1">
        <v>22402.5</v>
      </c>
      <c r="EP100" s="1">
        <v>21775.23</v>
      </c>
      <c r="EQ100" s="1">
        <v>23029.77</v>
      </c>
      <c r="ER100" s="19"/>
      <c r="ES100" s="19"/>
      <c r="EX100" s="1">
        <v>4</v>
      </c>
      <c r="EY100" s="1">
        <v>3.2</v>
      </c>
      <c r="EZ100" s="1">
        <v>4.8</v>
      </c>
      <c r="FD100" s="1">
        <v>8</v>
      </c>
      <c r="FE100" s="1">
        <v>6.4</v>
      </c>
      <c r="FF100" s="1">
        <v>9.6</v>
      </c>
      <c r="FG100" s="1">
        <v>24</v>
      </c>
      <c r="FH100" s="1">
        <v>24</v>
      </c>
      <c r="FI100" s="1">
        <v>24</v>
      </c>
      <c r="FJ100" s="1">
        <v>7.5</v>
      </c>
      <c r="FK100" s="1">
        <v>4.4000000000000004</v>
      </c>
      <c r="FL100" s="1">
        <v>10.6</v>
      </c>
      <c r="FP100" s="1">
        <v>365</v>
      </c>
      <c r="FQ100" s="1">
        <v>328</v>
      </c>
      <c r="FR100" s="1">
        <v>402</v>
      </c>
      <c r="FS100" s="11"/>
      <c r="FT100" s="11"/>
      <c r="FU100" s="11"/>
      <c r="FV100" s="1">
        <v>365</v>
      </c>
      <c r="FW100" s="1">
        <v>328</v>
      </c>
      <c r="FX100" s="1">
        <v>402</v>
      </c>
      <c r="FY100" s="1">
        <v>145.52352941176468</v>
      </c>
      <c r="FZ100" s="19">
        <v>130.9711764705882</v>
      </c>
      <c r="GA100" s="19">
        <v>160.07588235294116</v>
      </c>
      <c r="GB100" s="19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>
        <v>9.972941176470588</v>
      </c>
      <c r="GO100" s="8">
        <v>3.5617647058823536</v>
      </c>
      <c r="GP100" s="8">
        <v>16.384117647058822</v>
      </c>
      <c r="GS100" s="1">
        <v>67</v>
      </c>
      <c r="GT100" s="1">
        <v>67</v>
      </c>
      <c r="GU100" s="1">
        <v>67</v>
      </c>
      <c r="GV100" s="13" t="s">
        <v>806</v>
      </c>
      <c r="GW100" s="13" t="s">
        <v>806</v>
      </c>
      <c r="GX100" s="13" t="s">
        <v>806</v>
      </c>
      <c r="GY100" s="13"/>
      <c r="GZ100" s="13" t="s">
        <v>806</v>
      </c>
      <c r="HA100" s="13" t="s">
        <v>806</v>
      </c>
      <c r="HB100" s="13" t="s">
        <v>806</v>
      </c>
      <c r="HC100" s="13" t="s">
        <v>806</v>
      </c>
      <c r="HD100" s="13" t="s">
        <v>806</v>
      </c>
      <c r="HE100" s="13" t="s">
        <v>806</v>
      </c>
      <c r="HF100" s="13" t="s">
        <v>806</v>
      </c>
      <c r="HI100" s="13" t="s">
        <v>806</v>
      </c>
      <c r="HJ100" s="13" t="s">
        <v>806</v>
      </c>
      <c r="HL100" s="13" t="s">
        <v>806</v>
      </c>
    </row>
    <row r="101" spans="1:223" ht="12.75" customHeight="1" x14ac:dyDescent="0.25">
      <c r="A101" s="1" t="s">
        <v>135</v>
      </c>
      <c r="B101" s="1" t="s">
        <v>745</v>
      </c>
      <c r="E101" s="1" t="s">
        <v>139</v>
      </c>
      <c r="F101" s="1">
        <v>2</v>
      </c>
      <c r="G101" s="1">
        <v>2030</v>
      </c>
      <c r="H101" s="1">
        <v>1</v>
      </c>
      <c r="I101" s="1">
        <v>0</v>
      </c>
      <c r="J101" s="1">
        <v>0</v>
      </c>
      <c r="K101" s="19"/>
      <c r="L101" s="19"/>
      <c r="M101" s="19"/>
      <c r="N101" s="19"/>
      <c r="O101" s="19"/>
      <c r="P101" s="19"/>
      <c r="Q101" s="19">
        <v>3061.2400000000002</v>
      </c>
      <c r="R101" s="19">
        <v>131.91984000000002</v>
      </c>
      <c r="S101" s="19">
        <v>5115.7392</v>
      </c>
      <c r="T101" s="19"/>
      <c r="U101" s="19"/>
      <c r="V101" s="19"/>
      <c r="W101" s="19">
        <v>784.15999999999963</v>
      </c>
      <c r="X101" s="19">
        <v>0</v>
      </c>
      <c r="Y101" s="19">
        <v>4278.6182399999998</v>
      </c>
      <c r="Z101" s="19">
        <v>3061.2400000000002</v>
      </c>
      <c r="AA101" s="19">
        <v>131.91984000000002</v>
      </c>
      <c r="AB101" s="19">
        <v>5115.7392</v>
      </c>
      <c r="AC101" s="19"/>
      <c r="AD101" s="19"/>
      <c r="AE101" s="19"/>
      <c r="AF101" s="19">
        <v>784.15999999999963</v>
      </c>
      <c r="AG101" s="19">
        <v>0</v>
      </c>
      <c r="AH101" s="19">
        <v>4278.6182399999998</v>
      </c>
      <c r="AI101" s="19">
        <v>3061.2400000000002</v>
      </c>
      <c r="AJ101" s="19">
        <v>131.91984000000002</v>
      </c>
      <c r="AK101" s="19">
        <v>5115.7392</v>
      </c>
      <c r="AL101" s="19">
        <v>784.15999999999963</v>
      </c>
      <c r="AM101" s="19">
        <v>0</v>
      </c>
      <c r="AN101" s="19">
        <v>4278.6182399999998</v>
      </c>
      <c r="AO101" s="19">
        <v>3664.44</v>
      </c>
      <c r="AP101" s="19">
        <v>131.91984000000002</v>
      </c>
      <c r="AQ101" s="19">
        <v>6045.8736000000008</v>
      </c>
      <c r="AR101" s="19"/>
      <c r="AS101" s="19"/>
      <c r="AT101" s="19"/>
      <c r="AU101" s="19">
        <v>180.96000000000012</v>
      </c>
      <c r="AV101" s="19">
        <v>0</v>
      </c>
      <c r="AW101" s="19">
        <v>4278.6182399999998</v>
      </c>
      <c r="AX101" s="19">
        <v>3664.44</v>
      </c>
      <c r="AY101" s="19">
        <v>131.91984000000002</v>
      </c>
      <c r="AZ101" s="19">
        <v>6045.8736000000008</v>
      </c>
      <c r="BA101" s="19"/>
      <c r="BB101" s="19"/>
      <c r="BC101" s="19"/>
      <c r="BD101" s="19">
        <v>180.96000000000012</v>
      </c>
      <c r="BE101" s="19">
        <v>0</v>
      </c>
      <c r="BF101" s="19">
        <v>4278.6182399999998</v>
      </c>
      <c r="BG101" s="19">
        <v>3664.44</v>
      </c>
      <c r="BH101" s="19">
        <v>131.91984000000002</v>
      </c>
      <c r="BI101" s="19">
        <v>6045.8736000000008</v>
      </c>
      <c r="BJ101" s="19"/>
      <c r="BK101" s="19"/>
      <c r="BL101" s="19"/>
      <c r="BM101" s="19">
        <v>180.96000000000012</v>
      </c>
      <c r="BN101" s="19">
        <v>0</v>
      </c>
      <c r="BO101" s="19">
        <v>4278.6182399999998</v>
      </c>
      <c r="BP101" s="19">
        <v>3664.44</v>
      </c>
      <c r="BQ101" s="19">
        <v>131.91984000000002</v>
      </c>
      <c r="BR101" s="19">
        <v>6045.8736000000008</v>
      </c>
      <c r="BS101" s="19"/>
      <c r="BT101" s="19"/>
      <c r="BU101" s="19"/>
      <c r="BV101" s="19">
        <v>180.96000000000012</v>
      </c>
      <c r="BW101" s="19">
        <v>0</v>
      </c>
      <c r="BX101" s="19">
        <v>4278.6182399999998</v>
      </c>
      <c r="BY101" s="19">
        <v>3664.44</v>
      </c>
      <c r="BZ101" s="19">
        <v>131.91984000000002</v>
      </c>
      <c r="CA101" s="19">
        <v>6045.8736000000008</v>
      </c>
      <c r="CB101" s="19"/>
      <c r="CC101" s="19"/>
      <c r="CD101" s="19"/>
      <c r="CE101" s="19">
        <v>180.96000000000012</v>
      </c>
      <c r="CF101" s="19">
        <v>0</v>
      </c>
      <c r="CG101" s="19">
        <v>4278.6182399999998</v>
      </c>
      <c r="CH101" s="19">
        <v>3664.44</v>
      </c>
      <c r="CI101" s="19">
        <v>131.91984000000002</v>
      </c>
      <c r="CJ101" s="19">
        <v>6045.8736000000008</v>
      </c>
      <c r="CK101" s="19"/>
      <c r="CL101" s="19"/>
      <c r="CM101" s="19"/>
      <c r="CN101" s="19">
        <v>180.96000000000012</v>
      </c>
      <c r="CO101" s="19">
        <v>0</v>
      </c>
      <c r="CP101" s="19">
        <v>4278.6182399999998</v>
      </c>
      <c r="CQ101" s="19"/>
      <c r="CR101" s="19"/>
      <c r="CS101" s="19"/>
      <c r="CT101" s="19"/>
      <c r="CU101" s="11">
        <f>Tabelle58971121[[#This Row],[Mindestauslastung durch]]*Tabelle58971121[[#This Row],[installierte Leistung MW durch]]</f>
        <v>3393</v>
      </c>
      <c r="CV101" s="11">
        <f>Tabelle58971121[[#This Row],[Mindestauslastung min]]*Tabelle58971121[[#This Row],[installierte Leistung MW min]]</f>
        <v>3297.9959999999996</v>
      </c>
      <c r="CW101" s="11">
        <f>Tabelle58971121[[#This Row],[Mindestauslastung max]]*Tabelle58971121[[#This Row],[installierte Leistung MW max]]</f>
        <v>3488.0039999999999</v>
      </c>
      <c r="CX101" s="9">
        <v>0.15</v>
      </c>
      <c r="CY101" s="9">
        <v>0.15</v>
      </c>
      <c r="CZ101" s="9">
        <v>0.15</v>
      </c>
      <c r="DA101" s="9"/>
      <c r="DB101" s="9">
        <v>0.13533333333333339</v>
      </c>
      <c r="DC101" s="9">
        <v>6.0000000000000001E-3</v>
      </c>
      <c r="DD101" s="9">
        <v>0.22</v>
      </c>
      <c r="DE101" s="9">
        <v>0.13533333333333339</v>
      </c>
      <c r="DF101" s="9">
        <v>6.0000000000000001E-3</v>
      </c>
      <c r="DG101" s="9">
        <v>0.22</v>
      </c>
      <c r="DH101" s="9">
        <v>0.13533333333333339</v>
      </c>
      <c r="DI101" s="9">
        <v>6.0000000000000001E-3</v>
      </c>
      <c r="DJ101" s="9">
        <v>0.22</v>
      </c>
      <c r="DK101" s="9">
        <v>0.16200000000000001</v>
      </c>
      <c r="DL101" s="9">
        <v>6.0000000000000001E-3</v>
      </c>
      <c r="DM101" s="9">
        <v>0.26</v>
      </c>
      <c r="DN101" s="9">
        <v>0.16200000000000001</v>
      </c>
      <c r="DO101" s="9">
        <v>6.0000000000000001E-3</v>
      </c>
      <c r="DP101" s="9">
        <v>0.26</v>
      </c>
      <c r="DQ101" s="9">
        <v>0.16200000000000001</v>
      </c>
      <c r="DR101" s="9">
        <v>6.0000000000000001E-3</v>
      </c>
      <c r="DS101" s="9">
        <v>0.26</v>
      </c>
      <c r="DT101" s="9">
        <v>0.16200000000000001</v>
      </c>
      <c r="DU101" s="9">
        <v>6.0000000000000001E-3</v>
      </c>
      <c r="DV101" s="9">
        <v>0.26</v>
      </c>
      <c r="DW101" s="9">
        <v>0.16200000000000001</v>
      </c>
      <c r="DX101" s="9">
        <v>6.0000000000000001E-3</v>
      </c>
      <c r="DY101" s="9">
        <v>0.26</v>
      </c>
      <c r="DZ101" s="9">
        <v>0.16200000000000001</v>
      </c>
      <c r="EA101" s="9">
        <v>6.0000000000000001E-3</v>
      </c>
      <c r="EB101" s="9">
        <v>0.26</v>
      </c>
      <c r="EC101" s="9"/>
      <c r="ED101" s="9"/>
      <c r="EE101" s="9"/>
      <c r="EF101" s="46">
        <f>Tabelle58971121[[#This Row],[Durchschnittsauslastung min]]*Tabelle58971121[[#This Row],[installierte Leistung MW min]]</f>
        <v>0</v>
      </c>
      <c r="EG101" s="46">
        <f>Tabelle58971121[[#This Row],[Durchschnittsauslastung durch]]*Tabelle58971121[[#This Row],[installierte Leistung MW durch]]</f>
        <v>0</v>
      </c>
      <c r="EH101" s="46">
        <f>Tabelle58971121[[#This Row],[Durchschnittsauslastung max]]*Tabelle58971121[[#This Row],[installierte Leistung MW max]]</f>
        <v>0</v>
      </c>
      <c r="EI101" s="83">
        <f>Tabelle58971121[[#This Row],[Maximalauslastung durch]]*Tabelle58971121[[#This Row],[installierte Leistung MW min]]</f>
        <v>3737.7288000000003</v>
      </c>
      <c r="EJ101" s="46">
        <f>Tabelle58971121[[#This Row],[Maximalauslastung durch]]*Tabelle58971121[[#This Row],[installierte Leistung MW durch]]</f>
        <v>3845.4</v>
      </c>
      <c r="EK101" s="19">
        <f>Tabelle58971121[[#This Row],[Maximalauslastung max]]*Tabelle58971121[[#This Row],[installierte Leistung MW durch]]</f>
        <v>4297.8</v>
      </c>
      <c r="EL101" s="9">
        <v>0.17</v>
      </c>
      <c r="EM101" s="9">
        <v>0.15</v>
      </c>
      <c r="EN101" s="9">
        <v>0.19</v>
      </c>
      <c r="EO101" s="1">
        <v>22620</v>
      </c>
      <c r="EP101" s="1">
        <v>21986.639999999999</v>
      </c>
      <c r="EQ101" s="1">
        <v>23253.360000000001</v>
      </c>
      <c r="ER101" s="19"/>
      <c r="ES101" s="19"/>
      <c r="EX101" s="1">
        <v>4</v>
      </c>
      <c r="EY101" s="1">
        <v>3.2</v>
      </c>
      <c r="EZ101" s="1">
        <v>4.8</v>
      </c>
      <c r="FD101" s="1">
        <v>8</v>
      </c>
      <c r="FE101" s="1">
        <v>6.4</v>
      </c>
      <c r="FF101" s="1">
        <v>9.6</v>
      </c>
      <c r="FG101" s="1">
        <v>24</v>
      </c>
      <c r="FH101" s="1">
        <v>24</v>
      </c>
      <c r="FI101" s="1">
        <v>24</v>
      </c>
      <c r="FJ101" s="1">
        <v>7.5</v>
      </c>
      <c r="FK101" s="1">
        <v>4.4000000000000004</v>
      </c>
      <c r="FL101" s="1">
        <v>10.6</v>
      </c>
      <c r="FP101" s="1">
        <v>365</v>
      </c>
      <c r="FQ101" s="1">
        <v>328</v>
      </c>
      <c r="FR101" s="1">
        <v>402</v>
      </c>
      <c r="FS101" s="11"/>
      <c r="FT101" s="11"/>
      <c r="FU101" s="11"/>
      <c r="FV101" s="1">
        <v>365</v>
      </c>
      <c r="FW101" s="1">
        <v>328</v>
      </c>
      <c r="FX101" s="1">
        <v>402</v>
      </c>
      <c r="FY101" s="1">
        <v>145.52352941176468</v>
      </c>
      <c r="FZ101" s="19">
        <v>130.9711764705882</v>
      </c>
      <c r="GA101" s="19">
        <v>160.07588235294116</v>
      </c>
      <c r="GB101" s="19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>
        <v>9.972941176470588</v>
      </c>
      <c r="GO101" s="8">
        <v>3.5617647058823536</v>
      </c>
      <c r="GP101" s="8">
        <v>16.384117647058822</v>
      </c>
      <c r="GS101" s="1">
        <v>67</v>
      </c>
      <c r="GT101" s="1">
        <v>67</v>
      </c>
      <c r="GU101" s="1">
        <v>67</v>
      </c>
      <c r="GV101" s="13" t="s">
        <v>806</v>
      </c>
      <c r="GW101" s="13" t="s">
        <v>806</v>
      </c>
      <c r="GX101" s="13" t="s">
        <v>806</v>
      </c>
      <c r="GY101" s="13"/>
      <c r="GZ101" s="13" t="s">
        <v>806</v>
      </c>
      <c r="HA101" s="13" t="s">
        <v>806</v>
      </c>
      <c r="HB101" s="13" t="s">
        <v>806</v>
      </c>
      <c r="HC101" s="13" t="s">
        <v>806</v>
      </c>
      <c r="HD101" s="13" t="s">
        <v>806</v>
      </c>
      <c r="HE101" s="13" t="s">
        <v>806</v>
      </c>
      <c r="HF101" s="13" t="s">
        <v>806</v>
      </c>
      <c r="HI101" s="13" t="s">
        <v>806</v>
      </c>
      <c r="HJ101" s="13" t="s">
        <v>806</v>
      </c>
      <c r="HL101" s="13" t="s">
        <v>806</v>
      </c>
    </row>
    <row r="102" spans="1:223" ht="12.75" customHeight="1" x14ac:dyDescent="0.25">
      <c r="A102" s="1" t="s">
        <v>135</v>
      </c>
      <c r="B102" s="1" t="s">
        <v>745</v>
      </c>
      <c r="E102" s="1" t="s">
        <v>139</v>
      </c>
      <c r="F102" s="1">
        <v>2</v>
      </c>
      <c r="G102" s="1">
        <v>2035</v>
      </c>
      <c r="H102" s="1">
        <v>1</v>
      </c>
      <c r="I102" s="1">
        <v>0</v>
      </c>
      <c r="J102" s="1">
        <v>0</v>
      </c>
      <c r="K102" s="19"/>
      <c r="L102" s="19"/>
      <c r="M102" s="19"/>
      <c r="N102" s="19"/>
      <c r="O102" s="19"/>
      <c r="P102" s="19"/>
      <c r="Q102" s="19">
        <v>2649.15</v>
      </c>
      <c r="R102" s="19">
        <v>114.1614</v>
      </c>
      <c r="S102" s="19">
        <v>4427.0819999999994</v>
      </c>
      <c r="T102" s="19"/>
      <c r="U102" s="19"/>
      <c r="V102" s="19"/>
      <c r="W102" s="19">
        <v>678.59999999999968</v>
      </c>
      <c r="X102" s="19">
        <v>0</v>
      </c>
      <c r="Y102" s="19">
        <v>3702.6503999999995</v>
      </c>
      <c r="Z102" s="19">
        <v>2649.15</v>
      </c>
      <c r="AA102" s="19">
        <v>114.1614</v>
      </c>
      <c r="AB102" s="19">
        <v>4427.0819999999994</v>
      </c>
      <c r="AC102" s="19"/>
      <c r="AD102" s="19"/>
      <c r="AE102" s="19"/>
      <c r="AF102" s="19">
        <v>678.59999999999968</v>
      </c>
      <c r="AG102" s="19">
        <v>0</v>
      </c>
      <c r="AH102" s="19">
        <v>3702.6503999999995</v>
      </c>
      <c r="AI102" s="19">
        <v>2649.15</v>
      </c>
      <c r="AJ102" s="19">
        <v>114.1614</v>
      </c>
      <c r="AK102" s="19">
        <v>4427.0819999999994</v>
      </c>
      <c r="AL102" s="19">
        <v>678.59999999999968</v>
      </c>
      <c r="AM102" s="19">
        <v>0</v>
      </c>
      <c r="AN102" s="19">
        <v>3702.6503999999995</v>
      </c>
      <c r="AO102" s="19">
        <v>3171.15</v>
      </c>
      <c r="AP102" s="19">
        <v>114.1614</v>
      </c>
      <c r="AQ102" s="19">
        <v>5232.0060000000003</v>
      </c>
      <c r="AR102" s="19"/>
      <c r="AS102" s="19"/>
      <c r="AT102" s="19"/>
      <c r="AU102" s="19">
        <v>156.60000000000011</v>
      </c>
      <c r="AV102" s="19">
        <v>0</v>
      </c>
      <c r="AW102" s="19">
        <v>3702.6503999999995</v>
      </c>
      <c r="AX102" s="19">
        <v>3171.15</v>
      </c>
      <c r="AY102" s="19">
        <v>114.1614</v>
      </c>
      <c r="AZ102" s="19">
        <v>5232.0060000000003</v>
      </c>
      <c r="BA102" s="19"/>
      <c r="BB102" s="19"/>
      <c r="BC102" s="19"/>
      <c r="BD102" s="19">
        <v>156.60000000000011</v>
      </c>
      <c r="BE102" s="19">
        <v>0</v>
      </c>
      <c r="BF102" s="19">
        <v>3702.6503999999995</v>
      </c>
      <c r="BG102" s="19">
        <v>3171.15</v>
      </c>
      <c r="BH102" s="19">
        <v>114.1614</v>
      </c>
      <c r="BI102" s="19">
        <v>5232.0060000000003</v>
      </c>
      <c r="BJ102" s="19"/>
      <c r="BK102" s="19"/>
      <c r="BL102" s="19"/>
      <c r="BM102" s="19">
        <v>156.60000000000011</v>
      </c>
      <c r="BN102" s="19">
        <v>0</v>
      </c>
      <c r="BO102" s="19">
        <v>3702.6503999999995</v>
      </c>
      <c r="BP102" s="19">
        <v>3171.15</v>
      </c>
      <c r="BQ102" s="19">
        <v>114.1614</v>
      </c>
      <c r="BR102" s="19">
        <v>5232.0060000000003</v>
      </c>
      <c r="BS102" s="19"/>
      <c r="BT102" s="19"/>
      <c r="BU102" s="19"/>
      <c r="BV102" s="19">
        <v>156.60000000000011</v>
      </c>
      <c r="BW102" s="19">
        <v>0</v>
      </c>
      <c r="BX102" s="19">
        <v>3702.6503999999995</v>
      </c>
      <c r="BY102" s="19">
        <v>3171.15</v>
      </c>
      <c r="BZ102" s="19">
        <v>114.1614</v>
      </c>
      <c r="CA102" s="19">
        <v>5232.0060000000003</v>
      </c>
      <c r="CB102" s="19"/>
      <c r="CC102" s="19"/>
      <c r="CD102" s="19"/>
      <c r="CE102" s="19">
        <v>156.60000000000011</v>
      </c>
      <c r="CF102" s="19">
        <v>0</v>
      </c>
      <c r="CG102" s="19">
        <v>3702.6503999999995</v>
      </c>
      <c r="CH102" s="19">
        <v>3171.15</v>
      </c>
      <c r="CI102" s="19">
        <v>114.1614</v>
      </c>
      <c r="CJ102" s="19">
        <v>5232.0060000000003</v>
      </c>
      <c r="CK102" s="19"/>
      <c r="CL102" s="19"/>
      <c r="CM102" s="19"/>
      <c r="CN102" s="19">
        <v>156.60000000000011</v>
      </c>
      <c r="CO102" s="19">
        <v>0</v>
      </c>
      <c r="CP102" s="19">
        <v>3702.6503999999995</v>
      </c>
      <c r="CQ102" s="19"/>
      <c r="CR102" s="19"/>
      <c r="CS102" s="19"/>
      <c r="CT102" s="19"/>
      <c r="CU102" s="11">
        <f>Tabelle58971121[[#This Row],[Mindestauslastung durch]]*Tabelle58971121[[#This Row],[installierte Leistung MW durch]]</f>
        <v>2936.25</v>
      </c>
      <c r="CV102" s="11">
        <f>Tabelle58971121[[#This Row],[Mindestauslastung min]]*Tabelle58971121[[#This Row],[installierte Leistung MW min]]</f>
        <v>2854.0350000000003</v>
      </c>
      <c r="CW102" s="11">
        <f>Tabelle58971121[[#This Row],[Mindestauslastung max]]*Tabelle58971121[[#This Row],[installierte Leistung MW max]]</f>
        <v>3018.4649999999997</v>
      </c>
      <c r="CX102" s="9">
        <v>0.15</v>
      </c>
      <c r="CY102" s="9">
        <v>0.15</v>
      </c>
      <c r="CZ102" s="9">
        <v>0.15</v>
      </c>
      <c r="DA102" s="9"/>
      <c r="DB102" s="9">
        <v>0.13533333333333339</v>
      </c>
      <c r="DC102" s="9">
        <v>6.0000000000000001E-3</v>
      </c>
      <c r="DD102" s="9">
        <v>0.22</v>
      </c>
      <c r="DE102" s="9">
        <v>0.13533333333333339</v>
      </c>
      <c r="DF102" s="9">
        <v>6.0000000000000001E-3</v>
      </c>
      <c r="DG102" s="9">
        <v>0.22</v>
      </c>
      <c r="DH102" s="9">
        <v>0.13533333333333339</v>
      </c>
      <c r="DI102" s="9">
        <v>6.0000000000000001E-3</v>
      </c>
      <c r="DJ102" s="9">
        <v>0.22</v>
      </c>
      <c r="DK102" s="9">
        <v>0.16200000000000001</v>
      </c>
      <c r="DL102" s="9">
        <v>6.0000000000000001E-3</v>
      </c>
      <c r="DM102" s="9">
        <v>0.26</v>
      </c>
      <c r="DN102" s="9">
        <v>0.16200000000000001</v>
      </c>
      <c r="DO102" s="9">
        <v>6.0000000000000001E-3</v>
      </c>
      <c r="DP102" s="9">
        <v>0.26</v>
      </c>
      <c r="DQ102" s="9">
        <v>0.16200000000000001</v>
      </c>
      <c r="DR102" s="9">
        <v>6.0000000000000001E-3</v>
      </c>
      <c r="DS102" s="9">
        <v>0.26</v>
      </c>
      <c r="DT102" s="9">
        <v>0.16200000000000001</v>
      </c>
      <c r="DU102" s="9">
        <v>6.0000000000000001E-3</v>
      </c>
      <c r="DV102" s="9">
        <v>0.26</v>
      </c>
      <c r="DW102" s="9">
        <v>0.16200000000000001</v>
      </c>
      <c r="DX102" s="9">
        <v>6.0000000000000001E-3</v>
      </c>
      <c r="DY102" s="9">
        <v>0.26</v>
      </c>
      <c r="DZ102" s="9">
        <v>0.16200000000000001</v>
      </c>
      <c r="EA102" s="9">
        <v>6.0000000000000001E-3</v>
      </c>
      <c r="EB102" s="9">
        <v>0.26</v>
      </c>
      <c r="EC102" s="9"/>
      <c r="ED102" s="9"/>
      <c r="EE102" s="9"/>
      <c r="EF102" s="46">
        <f>Tabelle58971121[[#This Row],[Durchschnittsauslastung min]]*Tabelle58971121[[#This Row],[installierte Leistung MW min]]</f>
        <v>0</v>
      </c>
      <c r="EG102" s="46">
        <f>Tabelle58971121[[#This Row],[Durchschnittsauslastung durch]]*Tabelle58971121[[#This Row],[installierte Leistung MW durch]]</f>
        <v>0</v>
      </c>
      <c r="EH102" s="46">
        <f>Tabelle58971121[[#This Row],[Durchschnittsauslastung max]]*Tabelle58971121[[#This Row],[installierte Leistung MW max]]</f>
        <v>0</v>
      </c>
      <c r="EI102" s="83">
        <f>Tabelle58971121[[#This Row],[Maximalauslastung durch]]*Tabelle58971121[[#This Row],[installierte Leistung MW min]]</f>
        <v>3234.5730000000003</v>
      </c>
      <c r="EJ102" s="46">
        <f>Tabelle58971121[[#This Row],[Maximalauslastung durch]]*Tabelle58971121[[#This Row],[installierte Leistung MW durch]]</f>
        <v>3327.7500000000005</v>
      </c>
      <c r="EK102" s="19">
        <f>Tabelle58971121[[#This Row],[Maximalauslastung max]]*Tabelle58971121[[#This Row],[installierte Leistung MW durch]]</f>
        <v>3719.25</v>
      </c>
      <c r="EL102" s="9">
        <v>0.17</v>
      </c>
      <c r="EM102" s="9">
        <v>0.15</v>
      </c>
      <c r="EN102" s="9">
        <v>0.19</v>
      </c>
      <c r="EO102" s="1">
        <v>19575</v>
      </c>
      <c r="EP102" s="1">
        <v>19026.900000000001</v>
      </c>
      <c r="EQ102" s="1">
        <v>20123.099999999999</v>
      </c>
      <c r="ER102" s="19"/>
      <c r="ES102" s="19"/>
      <c r="EX102" s="1">
        <v>4</v>
      </c>
      <c r="EY102" s="1">
        <v>3.2</v>
      </c>
      <c r="EZ102" s="1">
        <v>4.8</v>
      </c>
      <c r="FD102" s="1">
        <v>8</v>
      </c>
      <c r="FE102" s="1">
        <v>6.4</v>
      </c>
      <c r="FF102" s="1">
        <v>9.6</v>
      </c>
      <c r="FG102" s="1">
        <v>24</v>
      </c>
      <c r="FH102" s="1">
        <v>24</v>
      </c>
      <c r="FI102" s="1">
        <v>24</v>
      </c>
      <c r="FJ102" s="1">
        <v>7.5</v>
      </c>
      <c r="FK102" s="1">
        <v>4.4000000000000004</v>
      </c>
      <c r="FL102" s="1">
        <v>10.6</v>
      </c>
      <c r="FP102" s="1">
        <v>365</v>
      </c>
      <c r="FQ102" s="1">
        <v>328</v>
      </c>
      <c r="FR102" s="1">
        <v>402</v>
      </c>
      <c r="FS102" s="11"/>
      <c r="FT102" s="11"/>
      <c r="FU102" s="11"/>
      <c r="FV102" s="1">
        <v>365</v>
      </c>
      <c r="FW102" s="1">
        <v>328</v>
      </c>
      <c r="FX102" s="1">
        <v>402</v>
      </c>
      <c r="FY102" s="1">
        <v>145.52352941176468</v>
      </c>
      <c r="FZ102" s="19">
        <v>130.9711764705882</v>
      </c>
      <c r="GA102" s="19">
        <v>160.07588235294116</v>
      </c>
      <c r="GB102" s="19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>
        <v>9.972941176470588</v>
      </c>
      <c r="GO102" s="8">
        <v>3.5617647058823536</v>
      </c>
      <c r="GP102" s="8">
        <v>16.384117647058822</v>
      </c>
      <c r="GS102" s="1">
        <v>67</v>
      </c>
      <c r="GT102" s="1">
        <v>67</v>
      </c>
      <c r="GU102" s="1">
        <v>67</v>
      </c>
      <c r="GV102" s="13" t="s">
        <v>806</v>
      </c>
      <c r="GW102" s="13" t="s">
        <v>806</v>
      </c>
      <c r="GX102" s="13" t="s">
        <v>806</v>
      </c>
      <c r="GY102" s="13"/>
      <c r="GZ102" s="13" t="s">
        <v>806</v>
      </c>
      <c r="HA102" s="13" t="s">
        <v>806</v>
      </c>
      <c r="HB102" s="13" t="s">
        <v>806</v>
      </c>
      <c r="HC102" s="13" t="s">
        <v>806</v>
      </c>
      <c r="HD102" s="13" t="s">
        <v>806</v>
      </c>
      <c r="HE102" s="13" t="s">
        <v>806</v>
      </c>
      <c r="HF102" s="13" t="s">
        <v>806</v>
      </c>
      <c r="HI102" s="13" t="s">
        <v>806</v>
      </c>
      <c r="HJ102" s="13" t="s">
        <v>806</v>
      </c>
      <c r="HL102" s="13" t="s">
        <v>806</v>
      </c>
    </row>
    <row r="103" spans="1:223" x14ac:dyDescent="0.25">
      <c r="A103" s="1" t="s">
        <v>135</v>
      </c>
      <c r="B103" s="1" t="s">
        <v>745</v>
      </c>
      <c r="E103" s="1" t="s">
        <v>139</v>
      </c>
      <c r="F103" s="1">
        <v>2</v>
      </c>
      <c r="G103" s="1">
        <v>2040</v>
      </c>
      <c r="H103" s="1">
        <v>1</v>
      </c>
      <c r="I103" s="1">
        <v>0</v>
      </c>
      <c r="J103" s="1">
        <v>0</v>
      </c>
      <c r="K103" s="19"/>
      <c r="L103" s="19"/>
      <c r="M103" s="19"/>
      <c r="N103" s="19"/>
      <c r="O103" s="19"/>
      <c r="P103" s="19"/>
      <c r="Q103" s="19">
        <v>2266.4949999999999</v>
      </c>
      <c r="R103" s="19">
        <v>97.671420000000012</v>
      </c>
      <c r="S103" s="19">
        <v>3787.6145999999999</v>
      </c>
      <c r="T103" s="19"/>
      <c r="U103" s="19"/>
      <c r="V103" s="19"/>
      <c r="W103" s="19">
        <v>580.5799999999997</v>
      </c>
      <c r="X103" s="19">
        <v>0</v>
      </c>
      <c r="Y103" s="19">
        <v>3167.8231199999996</v>
      </c>
      <c r="Z103" s="19">
        <v>2266.4949999999999</v>
      </c>
      <c r="AA103" s="19">
        <v>97.671420000000012</v>
      </c>
      <c r="AB103" s="19">
        <v>3787.6145999999999</v>
      </c>
      <c r="AC103" s="19"/>
      <c r="AD103" s="19"/>
      <c r="AE103" s="19"/>
      <c r="AF103" s="19">
        <v>580.5799999999997</v>
      </c>
      <c r="AG103" s="19">
        <v>0</v>
      </c>
      <c r="AH103" s="19">
        <v>3167.8231199999996</v>
      </c>
      <c r="AI103" s="19">
        <v>2266.4949999999999</v>
      </c>
      <c r="AJ103" s="19">
        <v>97.671420000000012</v>
      </c>
      <c r="AK103" s="19">
        <v>3787.6145999999999</v>
      </c>
      <c r="AL103" s="19">
        <v>580.5799999999997</v>
      </c>
      <c r="AM103" s="19">
        <v>0</v>
      </c>
      <c r="AN103" s="19">
        <v>3167.8231199999996</v>
      </c>
      <c r="AO103" s="19">
        <v>2713.0950000000003</v>
      </c>
      <c r="AP103" s="19">
        <v>97.671420000000012</v>
      </c>
      <c r="AQ103" s="19">
        <v>4476.2718000000004</v>
      </c>
      <c r="AR103" s="19"/>
      <c r="AS103" s="19"/>
      <c r="AT103" s="19"/>
      <c r="AU103" s="19">
        <v>133.9800000000001</v>
      </c>
      <c r="AV103" s="19">
        <v>0</v>
      </c>
      <c r="AW103" s="19">
        <v>3167.8231199999996</v>
      </c>
      <c r="AX103" s="19">
        <v>2713.0950000000003</v>
      </c>
      <c r="AY103" s="19">
        <v>97.671420000000012</v>
      </c>
      <c r="AZ103" s="19">
        <v>4476.2718000000004</v>
      </c>
      <c r="BA103" s="19"/>
      <c r="BB103" s="19"/>
      <c r="BC103" s="19"/>
      <c r="BD103" s="19">
        <v>133.9800000000001</v>
      </c>
      <c r="BE103" s="19">
        <v>0</v>
      </c>
      <c r="BF103" s="19">
        <v>3167.8231199999996</v>
      </c>
      <c r="BG103" s="19">
        <v>2713.0950000000003</v>
      </c>
      <c r="BH103" s="19">
        <v>97.671420000000012</v>
      </c>
      <c r="BI103" s="19">
        <v>4476.2718000000004</v>
      </c>
      <c r="BJ103" s="19"/>
      <c r="BK103" s="19"/>
      <c r="BL103" s="19"/>
      <c r="BM103" s="19">
        <v>133.9800000000001</v>
      </c>
      <c r="BN103" s="19">
        <v>0</v>
      </c>
      <c r="BO103" s="19">
        <v>3167.8231199999996</v>
      </c>
      <c r="BP103" s="19">
        <v>2713.0950000000003</v>
      </c>
      <c r="BQ103" s="19">
        <v>97.671420000000012</v>
      </c>
      <c r="BR103" s="19">
        <v>4476.2718000000004</v>
      </c>
      <c r="BS103" s="19"/>
      <c r="BT103" s="19"/>
      <c r="BU103" s="19"/>
      <c r="BV103" s="19">
        <v>133.9800000000001</v>
      </c>
      <c r="BW103" s="19">
        <v>0</v>
      </c>
      <c r="BX103" s="19">
        <v>3167.8231199999996</v>
      </c>
      <c r="BY103" s="19">
        <v>2713.0950000000003</v>
      </c>
      <c r="BZ103" s="19">
        <v>97.671420000000012</v>
      </c>
      <c r="CA103" s="19">
        <v>4476.2718000000004</v>
      </c>
      <c r="CB103" s="19"/>
      <c r="CC103" s="19"/>
      <c r="CD103" s="19"/>
      <c r="CE103" s="19">
        <v>133.9800000000001</v>
      </c>
      <c r="CF103" s="19">
        <v>0</v>
      </c>
      <c r="CG103" s="19">
        <v>3167.8231199999996</v>
      </c>
      <c r="CH103" s="19">
        <v>2713.0950000000003</v>
      </c>
      <c r="CI103" s="19">
        <v>97.671420000000012</v>
      </c>
      <c r="CJ103" s="19">
        <v>4476.2718000000004</v>
      </c>
      <c r="CK103" s="19"/>
      <c r="CL103" s="19"/>
      <c r="CM103" s="19"/>
      <c r="CN103" s="19">
        <v>133.9800000000001</v>
      </c>
      <c r="CO103" s="19">
        <v>0</v>
      </c>
      <c r="CP103" s="19">
        <v>3167.8231199999996</v>
      </c>
      <c r="CQ103" s="19"/>
      <c r="CR103" s="19"/>
      <c r="CS103" s="19"/>
      <c r="CT103" s="19"/>
      <c r="CU103" s="11">
        <f>Tabelle58971121[[#This Row],[Mindestauslastung durch]]*Tabelle58971121[[#This Row],[installierte Leistung MW durch]]</f>
        <v>2512.125</v>
      </c>
      <c r="CV103" s="11">
        <f>Tabelle58971121[[#This Row],[Mindestauslastung min]]*Tabelle58971121[[#This Row],[installierte Leistung MW min]]</f>
        <v>2441.7855</v>
      </c>
      <c r="CW103" s="11">
        <f>Tabelle58971121[[#This Row],[Mindestauslastung max]]*Tabelle58971121[[#This Row],[installierte Leistung MW max]]</f>
        <v>2582.4645</v>
      </c>
      <c r="CX103" s="9">
        <v>0.15</v>
      </c>
      <c r="CY103" s="9">
        <v>0.15</v>
      </c>
      <c r="CZ103" s="9">
        <v>0.15</v>
      </c>
      <c r="DA103" s="9"/>
      <c r="DB103" s="9">
        <v>0.13533333333333339</v>
      </c>
      <c r="DC103" s="9">
        <v>6.0000000000000001E-3</v>
      </c>
      <c r="DD103" s="9">
        <v>0.22</v>
      </c>
      <c r="DE103" s="9">
        <v>0.13533333333333339</v>
      </c>
      <c r="DF103" s="9">
        <v>6.0000000000000001E-3</v>
      </c>
      <c r="DG103" s="9">
        <v>0.22</v>
      </c>
      <c r="DH103" s="9">
        <v>0.13533333333333339</v>
      </c>
      <c r="DI103" s="9">
        <v>6.0000000000000001E-3</v>
      </c>
      <c r="DJ103" s="9">
        <v>0.22</v>
      </c>
      <c r="DK103" s="9">
        <v>0.16200000000000001</v>
      </c>
      <c r="DL103" s="9">
        <v>6.0000000000000001E-3</v>
      </c>
      <c r="DM103" s="9">
        <v>0.26</v>
      </c>
      <c r="DN103" s="9">
        <v>0.16200000000000001</v>
      </c>
      <c r="DO103" s="9">
        <v>6.0000000000000001E-3</v>
      </c>
      <c r="DP103" s="9">
        <v>0.26</v>
      </c>
      <c r="DQ103" s="9">
        <v>0.16200000000000001</v>
      </c>
      <c r="DR103" s="9">
        <v>6.0000000000000001E-3</v>
      </c>
      <c r="DS103" s="9">
        <v>0.26</v>
      </c>
      <c r="DT103" s="9">
        <v>0.16200000000000001</v>
      </c>
      <c r="DU103" s="9">
        <v>6.0000000000000001E-3</v>
      </c>
      <c r="DV103" s="9">
        <v>0.26</v>
      </c>
      <c r="DW103" s="9">
        <v>0.16200000000000001</v>
      </c>
      <c r="DX103" s="9">
        <v>6.0000000000000001E-3</v>
      </c>
      <c r="DY103" s="9">
        <v>0.26</v>
      </c>
      <c r="DZ103" s="9">
        <v>0.16200000000000001</v>
      </c>
      <c r="EA103" s="9">
        <v>6.0000000000000001E-3</v>
      </c>
      <c r="EB103" s="9">
        <v>0.26</v>
      </c>
      <c r="EC103" s="9"/>
      <c r="ED103" s="9"/>
      <c r="EE103" s="9"/>
      <c r="EF103" s="46">
        <f>Tabelle58971121[[#This Row],[Durchschnittsauslastung min]]*Tabelle58971121[[#This Row],[installierte Leistung MW min]]</f>
        <v>0</v>
      </c>
      <c r="EG103" s="46">
        <f>Tabelle58971121[[#This Row],[Durchschnittsauslastung durch]]*Tabelle58971121[[#This Row],[installierte Leistung MW durch]]</f>
        <v>0</v>
      </c>
      <c r="EH103" s="46">
        <f>Tabelle58971121[[#This Row],[Durchschnittsauslastung max]]*Tabelle58971121[[#This Row],[installierte Leistung MW max]]</f>
        <v>0</v>
      </c>
      <c r="EI103" s="83">
        <f>Tabelle58971121[[#This Row],[Maximalauslastung durch]]*Tabelle58971121[[#This Row],[installierte Leistung MW min]]</f>
        <v>2767.3569000000002</v>
      </c>
      <c r="EJ103" s="46">
        <f>Tabelle58971121[[#This Row],[Maximalauslastung durch]]*Tabelle58971121[[#This Row],[installierte Leistung MW durch]]</f>
        <v>2847.0750000000003</v>
      </c>
      <c r="EK103" s="19">
        <f>Tabelle58971121[[#This Row],[Maximalauslastung max]]*Tabelle58971121[[#This Row],[installierte Leistung MW durch]]</f>
        <v>3182.0250000000001</v>
      </c>
      <c r="EL103" s="9">
        <v>0.17</v>
      </c>
      <c r="EM103" s="9">
        <v>0.15</v>
      </c>
      <c r="EN103" s="9">
        <v>0.19</v>
      </c>
      <c r="EO103" s="1">
        <v>16747.5</v>
      </c>
      <c r="EP103" s="1">
        <v>16278.57</v>
      </c>
      <c r="EQ103" s="1">
        <v>17216.43</v>
      </c>
      <c r="ER103" s="19"/>
      <c r="ES103" s="19"/>
      <c r="EX103" s="1">
        <v>4</v>
      </c>
      <c r="EY103" s="1">
        <v>3.2</v>
      </c>
      <c r="EZ103" s="1">
        <v>4.8</v>
      </c>
      <c r="FD103" s="1">
        <v>8</v>
      </c>
      <c r="FE103" s="1">
        <v>6.4</v>
      </c>
      <c r="FF103" s="1">
        <v>9.6</v>
      </c>
      <c r="FG103" s="1">
        <v>24</v>
      </c>
      <c r="FH103" s="1">
        <v>24</v>
      </c>
      <c r="FI103" s="1">
        <v>24</v>
      </c>
      <c r="FJ103" s="1">
        <v>7.5</v>
      </c>
      <c r="FK103" s="1">
        <v>4.4000000000000004</v>
      </c>
      <c r="FL103" s="1">
        <v>10.6</v>
      </c>
      <c r="FP103" s="1">
        <v>365</v>
      </c>
      <c r="FQ103" s="1">
        <v>328</v>
      </c>
      <c r="FR103" s="1">
        <v>402</v>
      </c>
      <c r="FS103" s="11"/>
      <c r="FT103" s="11"/>
      <c r="FU103" s="11"/>
      <c r="FV103" s="1">
        <v>365</v>
      </c>
      <c r="FW103" s="1">
        <v>328</v>
      </c>
      <c r="FX103" s="1">
        <v>402</v>
      </c>
      <c r="FY103" s="1">
        <v>145.52352941176468</v>
      </c>
      <c r="FZ103" s="19">
        <v>130.9711764705882</v>
      </c>
      <c r="GA103" s="19">
        <v>160.07588235294116</v>
      </c>
      <c r="GB103" s="19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>
        <v>9.972941176470588</v>
      </c>
      <c r="GO103" s="8">
        <v>3.5617647058823536</v>
      </c>
      <c r="GP103" s="8">
        <v>16.384117647058822</v>
      </c>
      <c r="GS103" s="1">
        <v>67</v>
      </c>
      <c r="GT103" s="1">
        <v>67</v>
      </c>
      <c r="GU103" s="1">
        <v>67</v>
      </c>
      <c r="GV103" s="13" t="s">
        <v>806</v>
      </c>
      <c r="GW103" s="13" t="s">
        <v>806</v>
      </c>
      <c r="GX103" s="13" t="s">
        <v>806</v>
      </c>
      <c r="GY103" s="13"/>
      <c r="GZ103" s="13" t="s">
        <v>806</v>
      </c>
      <c r="HA103" s="13" t="s">
        <v>806</v>
      </c>
      <c r="HB103" s="13" t="s">
        <v>806</v>
      </c>
      <c r="HC103" s="13" t="s">
        <v>806</v>
      </c>
      <c r="HD103" s="13" t="s">
        <v>806</v>
      </c>
      <c r="HE103" s="13" t="s">
        <v>806</v>
      </c>
      <c r="HF103" s="13" t="s">
        <v>806</v>
      </c>
      <c r="HI103" s="13" t="s">
        <v>806</v>
      </c>
      <c r="HJ103" s="13" t="s">
        <v>806</v>
      </c>
      <c r="HL103" s="13" t="s">
        <v>806</v>
      </c>
    </row>
    <row r="104" spans="1:223" ht="12.75" customHeight="1" x14ac:dyDescent="0.25">
      <c r="A104" s="1" t="s">
        <v>135</v>
      </c>
      <c r="B104" s="1" t="s">
        <v>745</v>
      </c>
      <c r="E104" s="1" t="s">
        <v>139</v>
      </c>
      <c r="F104" s="1">
        <v>2</v>
      </c>
      <c r="G104" s="1">
        <v>2045</v>
      </c>
      <c r="H104" s="1">
        <v>1</v>
      </c>
      <c r="I104" s="1">
        <v>0</v>
      </c>
      <c r="J104" s="1">
        <v>0</v>
      </c>
      <c r="K104" s="19"/>
      <c r="L104" s="19"/>
      <c r="M104" s="19"/>
      <c r="N104" s="19"/>
      <c r="O104" s="19"/>
      <c r="P104" s="19"/>
      <c r="Q104" s="19">
        <v>1972.1450000000002</v>
      </c>
      <c r="R104" s="19">
        <v>84.986820000000009</v>
      </c>
      <c r="S104" s="19">
        <v>3295.7165999999997</v>
      </c>
      <c r="T104" s="19"/>
      <c r="U104" s="19"/>
      <c r="V104" s="19"/>
      <c r="W104" s="19">
        <v>505.17999999999978</v>
      </c>
      <c r="X104" s="19">
        <v>0</v>
      </c>
      <c r="Y104" s="19">
        <v>2756.41752</v>
      </c>
      <c r="Z104" s="19">
        <v>1972.1450000000002</v>
      </c>
      <c r="AA104" s="19">
        <v>84.986820000000009</v>
      </c>
      <c r="AB104" s="19">
        <v>3295.7165999999997</v>
      </c>
      <c r="AC104" s="19"/>
      <c r="AD104" s="19"/>
      <c r="AE104" s="19"/>
      <c r="AF104" s="19">
        <v>505.17999999999978</v>
      </c>
      <c r="AG104" s="19">
        <v>0</v>
      </c>
      <c r="AH104" s="19">
        <v>2756.41752</v>
      </c>
      <c r="AI104" s="19">
        <v>1972.1450000000002</v>
      </c>
      <c r="AJ104" s="19">
        <v>84.986820000000009</v>
      </c>
      <c r="AK104" s="19">
        <v>3295.7165999999997</v>
      </c>
      <c r="AL104" s="19">
        <v>505.17999999999978</v>
      </c>
      <c r="AM104" s="19">
        <v>0</v>
      </c>
      <c r="AN104" s="19">
        <v>2756.41752</v>
      </c>
      <c r="AO104" s="19">
        <v>2360.7450000000003</v>
      </c>
      <c r="AP104" s="19">
        <v>84.986820000000009</v>
      </c>
      <c r="AQ104" s="19">
        <v>3894.9378000000002</v>
      </c>
      <c r="AR104" s="19"/>
      <c r="AS104" s="19"/>
      <c r="AT104" s="19"/>
      <c r="AU104" s="19">
        <v>116.58000000000008</v>
      </c>
      <c r="AV104" s="19">
        <v>0</v>
      </c>
      <c r="AW104" s="19">
        <v>2756.41752</v>
      </c>
      <c r="AX104" s="19">
        <v>2360.7450000000003</v>
      </c>
      <c r="AY104" s="19">
        <v>84.986820000000009</v>
      </c>
      <c r="AZ104" s="19">
        <v>3894.9378000000002</v>
      </c>
      <c r="BA104" s="19"/>
      <c r="BB104" s="19"/>
      <c r="BC104" s="19"/>
      <c r="BD104" s="19">
        <v>116.58000000000008</v>
      </c>
      <c r="BE104" s="19">
        <v>0</v>
      </c>
      <c r="BF104" s="19">
        <v>2756.41752</v>
      </c>
      <c r="BG104" s="19">
        <v>2360.7450000000003</v>
      </c>
      <c r="BH104" s="19">
        <v>84.986820000000009</v>
      </c>
      <c r="BI104" s="19">
        <v>3894.9378000000002</v>
      </c>
      <c r="BJ104" s="19"/>
      <c r="BK104" s="19"/>
      <c r="BL104" s="19"/>
      <c r="BM104" s="19">
        <v>116.58000000000008</v>
      </c>
      <c r="BN104" s="19">
        <v>0</v>
      </c>
      <c r="BO104" s="19">
        <v>2756.41752</v>
      </c>
      <c r="BP104" s="19">
        <v>2360.7450000000003</v>
      </c>
      <c r="BQ104" s="19">
        <v>84.986820000000009</v>
      </c>
      <c r="BR104" s="19">
        <v>3894.9378000000002</v>
      </c>
      <c r="BS104" s="19"/>
      <c r="BT104" s="19"/>
      <c r="BU104" s="19"/>
      <c r="BV104" s="19">
        <v>116.58000000000008</v>
      </c>
      <c r="BW104" s="19">
        <v>0</v>
      </c>
      <c r="BX104" s="19">
        <v>2756.41752</v>
      </c>
      <c r="BY104" s="19">
        <v>2360.7450000000003</v>
      </c>
      <c r="BZ104" s="19">
        <v>84.986820000000009</v>
      </c>
      <c r="CA104" s="19">
        <v>3894.9378000000002</v>
      </c>
      <c r="CB104" s="19"/>
      <c r="CC104" s="19"/>
      <c r="CD104" s="19"/>
      <c r="CE104" s="19">
        <v>116.58000000000008</v>
      </c>
      <c r="CF104" s="19">
        <v>0</v>
      </c>
      <c r="CG104" s="19">
        <v>2756.41752</v>
      </c>
      <c r="CH104" s="19">
        <v>2360.7450000000003</v>
      </c>
      <c r="CI104" s="19">
        <v>84.986820000000009</v>
      </c>
      <c r="CJ104" s="19">
        <v>3894.9378000000002</v>
      </c>
      <c r="CK104" s="19"/>
      <c r="CL104" s="19"/>
      <c r="CM104" s="19"/>
      <c r="CN104" s="19">
        <v>116.58000000000008</v>
      </c>
      <c r="CO104" s="19">
        <v>0</v>
      </c>
      <c r="CP104" s="19">
        <v>2756.41752</v>
      </c>
      <c r="CQ104" s="19"/>
      <c r="CR104" s="19"/>
      <c r="CS104" s="19"/>
      <c r="CT104" s="19"/>
      <c r="CU104" s="11">
        <f>Tabelle58971121[[#This Row],[Mindestauslastung durch]]*Tabelle58971121[[#This Row],[installierte Leistung MW durch]]</f>
        <v>2185.875</v>
      </c>
      <c r="CV104" s="11">
        <f>Tabelle58971121[[#This Row],[Mindestauslastung min]]*Tabelle58971121[[#This Row],[installierte Leistung MW min]]</f>
        <v>2124.6704999999997</v>
      </c>
      <c r="CW104" s="11">
        <f>Tabelle58971121[[#This Row],[Mindestauslastung max]]*Tabelle58971121[[#This Row],[installierte Leistung MW max]]</f>
        <v>2247.0794999999998</v>
      </c>
      <c r="CX104" s="9">
        <v>0.15</v>
      </c>
      <c r="CY104" s="9">
        <v>0.15</v>
      </c>
      <c r="CZ104" s="9">
        <v>0.15</v>
      </c>
      <c r="DA104" s="9"/>
      <c r="DB104" s="9">
        <v>0.13533333333333339</v>
      </c>
      <c r="DC104" s="9">
        <v>6.0000000000000001E-3</v>
      </c>
      <c r="DD104" s="9">
        <v>0.22</v>
      </c>
      <c r="DE104" s="9">
        <v>0.13533333333333339</v>
      </c>
      <c r="DF104" s="9">
        <v>6.0000000000000001E-3</v>
      </c>
      <c r="DG104" s="9">
        <v>0.22</v>
      </c>
      <c r="DH104" s="9">
        <v>0.13533333333333339</v>
      </c>
      <c r="DI104" s="9">
        <v>6.0000000000000001E-3</v>
      </c>
      <c r="DJ104" s="9">
        <v>0.22</v>
      </c>
      <c r="DK104" s="9">
        <v>0.16200000000000001</v>
      </c>
      <c r="DL104" s="9">
        <v>6.0000000000000001E-3</v>
      </c>
      <c r="DM104" s="9">
        <v>0.26</v>
      </c>
      <c r="DN104" s="9">
        <v>0.16200000000000001</v>
      </c>
      <c r="DO104" s="9">
        <v>6.0000000000000001E-3</v>
      </c>
      <c r="DP104" s="9">
        <v>0.26</v>
      </c>
      <c r="DQ104" s="9">
        <v>0.16200000000000001</v>
      </c>
      <c r="DR104" s="9">
        <v>6.0000000000000001E-3</v>
      </c>
      <c r="DS104" s="9">
        <v>0.26</v>
      </c>
      <c r="DT104" s="9">
        <v>0.16200000000000001</v>
      </c>
      <c r="DU104" s="9">
        <v>6.0000000000000001E-3</v>
      </c>
      <c r="DV104" s="9">
        <v>0.26</v>
      </c>
      <c r="DW104" s="9">
        <v>0.16200000000000001</v>
      </c>
      <c r="DX104" s="9">
        <v>6.0000000000000001E-3</v>
      </c>
      <c r="DY104" s="9">
        <v>0.26</v>
      </c>
      <c r="DZ104" s="9">
        <v>0.16200000000000001</v>
      </c>
      <c r="EA104" s="9">
        <v>6.0000000000000001E-3</v>
      </c>
      <c r="EB104" s="9">
        <v>0.26</v>
      </c>
      <c r="EC104" s="9"/>
      <c r="ED104" s="9"/>
      <c r="EE104" s="9"/>
      <c r="EF104" s="46">
        <f>Tabelle58971121[[#This Row],[Durchschnittsauslastung min]]*Tabelle58971121[[#This Row],[installierte Leistung MW min]]</f>
        <v>0</v>
      </c>
      <c r="EG104" s="46">
        <f>Tabelle58971121[[#This Row],[Durchschnittsauslastung durch]]*Tabelle58971121[[#This Row],[installierte Leistung MW durch]]</f>
        <v>0</v>
      </c>
      <c r="EH104" s="46">
        <f>Tabelle58971121[[#This Row],[Durchschnittsauslastung max]]*Tabelle58971121[[#This Row],[installierte Leistung MW max]]</f>
        <v>0</v>
      </c>
      <c r="EI104" s="83">
        <f>Tabelle58971121[[#This Row],[Maximalauslastung durch]]*Tabelle58971121[[#This Row],[installierte Leistung MW min]]</f>
        <v>2407.9599000000003</v>
      </c>
      <c r="EJ104" s="46">
        <f>Tabelle58971121[[#This Row],[Maximalauslastung durch]]*Tabelle58971121[[#This Row],[installierte Leistung MW durch]]</f>
        <v>2477.3250000000003</v>
      </c>
      <c r="EK104" s="19">
        <f>Tabelle58971121[[#This Row],[Maximalauslastung max]]*Tabelle58971121[[#This Row],[installierte Leistung MW durch]]</f>
        <v>2768.7750000000001</v>
      </c>
      <c r="EL104" s="9">
        <v>0.17</v>
      </c>
      <c r="EM104" s="9">
        <v>0.15</v>
      </c>
      <c r="EN104" s="9">
        <v>0.19</v>
      </c>
      <c r="EO104" s="1">
        <v>14572.5</v>
      </c>
      <c r="EP104" s="1">
        <v>14164.47</v>
      </c>
      <c r="EQ104" s="1">
        <v>14980.53</v>
      </c>
      <c r="ER104" s="19"/>
      <c r="ES104" s="19"/>
      <c r="EX104" s="1">
        <v>4</v>
      </c>
      <c r="EY104" s="1">
        <v>3.2</v>
      </c>
      <c r="EZ104" s="1">
        <v>4.8</v>
      </c>
      <c r="FD104" s="1">
        <v>8</v>
      </c>
      <c r="FE104" s="1">
        <v>6.4</v>
      </c>
      <c r="FF104" s="1">
        <v>9.6</v>
      </c>
      <c r="FG104" s="1">
        <v>24</v>
      </c>
      <c r="FH104" s="1">
        <v>24</v>
      </c>
      <c r="FI104" s="1">
        <v>24</v>
      </c>
      <c r="FJ104" s="1">
        <v>7.5</v>
      </c>
      <c r="FK104" s="1">
        <v>4.4000000000000004</v>
      </c>
      <c r="FL104" s="1">
        <v>10.6</v>
      </c>
      <c r="FP104" s="1">
        <v>365</v>
      </c>
      <c r="FQ104" s="1">
        <v>328</v>
      </c>
      <c r="FR104" s="1">
        <v>402</v>
      </c>
      <c r="FS104" s="11"/>
      <c r="FT104" s="11"/>
      <c r="FU104" s="11"/>
      <c r="FV104" s="1">
        <v>365</v>
      </c>
      <c r="FW104" s="1">
        <v>328</v>
      </c>
      <c r="FX104" s="1">
        <v>402</v>
      </c>
      <c r="FY104" s="1">
        <v>145.52352941176468</v>
      </c>
      <c r="FZ104" s="19">
        <v>130.9711764705882</v>
      </c>
      <c r="GA104" s="19">
        <v>160.07588235294116</v>
      </c>
      <c r="GB104" s="19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>
        <v>9.972941176470588</v>
      </c>
      <c r="GO104" s="8">
        <v>3.5617647058823536</v>
      </c>
      <c r="GP104" s="8">
        <v>16.384117647058822</v>
      </c>
      <c r="GS104" s="1">
        <v>67</v>
      </c>
      <c r="GT104" s="1">
        <v>67</v>
      </c>
      <c r="GU104" s="1">
        <v>67</v>
      </c>
      <c r="GV104" s="13" t="s">
        <v>806</v>
      </c>
      <c r="GW104" s="13" t="s">
        <v>806</v>
      </c>
      <c r="GX104" s="13" t="s">
        <v>806</v>
      </c>
      <c r="GY104" s="13"/>
      <c r="GZ104" s="13" t="s">
        <v>806</v>
      </c>
      <c r="HA104" s="13" t="s">
        <v>806</v>
      </c>
      <c r="HB104" s="13" t="s">
        <v>806</v>
      </c>
      <c r="HC104" s="13" t="s">
        <v>806</v>
      </c>
      <c r="HD104" s="13" t="s">
        <v>806</v>
      </c>
      <c r="HE104" s="13" t="s">
        <v>806</v>
      </c>
      <c r="HF104" s="13" t="s">
        <v>806</v>
      </c>
      <c r="HI104" s="13" t="s">
        <v>806</v>
      </c>
      <c r="HJ104" s="13" t="s">
        <v>806</v>
      </c>
      <c r="HL104" s="13" t="s">
        <v>806</v>
      </c>
    </row>
    <row r="105" spans="1:223" ht="12.75" customHeight="1" x14ac:dyDescent="0.25">
      <c r="A105" s="1" t="s">
        <v>135</v>
      </c>
      <c r="B105" s="1" t="s">
        <v>745</v>
      </c>
      <c r="E105" s="1" t="s">
        <v>139</v>
      </c>
      <c r="F105" s="1">
        <v>2</v>
      </c>
      <c r="G105" s="1">
        <v>2050</v>
      </c>
      <c r="H105" s="1">
        <v>1</v>
      </c>
      <c r="I105" s="1">
        <v>0</v>
      </c>
      <c r="J105" s="1">
        <v>0</v>
      </c>
      <c r="K105" s="19"/>
      <c r="L105" s="19"/>
      <c r="M105" s="19"/>
      <c r="N105" s="19"/>
      <c r="O105" s="19"/>
      <c r="P105" s="19"/>
      <c r="Q105" s="19">
        <v>1707.2299999999998</v>
      </c>
      <c r="R105" s="19">
        <v>73.570679999999996</v>
      </c>
      <c r="S105" s="19">
        <v>2853.0083999999997</v>
      </c>
      <c r="T105" s="19"/>
      <c r="U105" s="19"/>
      <c r="V105" s="19"/>
      <c r="W105" s="19">
        <v>437.31999999999977</v>
      </c>
      <c r="X105" s="19">
        <v>0</v>
      </c>
      <c r="Y105" s="19">
        <v>2386.1524799999997</v>
      </c>
      <c r="Z105" s="19">
        <v>1707.2299999999998</v>
      </c>
      <c r="AA105" s="19">
        <v>73.570679999999996</v>
      </c>
      <c r="AB105" s="19">
        <v>2853.0083999999997</v>
      </c>
      <c r="AC105" s="19"/>
      <c r="AD105" s="19"/>
      <c r="AE105" s="19"/>
      <c r="AF105" s="19">
        <v>437.31999999999977</v>
      </c>
      <c r="AG105" s="19">
        <v>0</v>
      </c>
      <c r="AH105" s="19">
        <v>2386.1524799999997</v>
      </c>
      <c r="AI105" s="19">
        <v>1707.2299999999998</v>
      </c>
      <c r="AJ105" s="19">
        <v>73.570679999999996</v>
      </c>
      <c r="AK105" s="19">
        <v>2853.0083999999997</v>
      </c>
      <c r="AL105" s="19">
        <v>437.31999999999977</v>
      </c>
      <c r="AM105" s="19">
        <v>0</v>
      </c>
      <c r="AN105" s="19">
        <v>2386.1524799999997</v>
      </c>
      <c r="AO105" s="19">
        <v>2043.6299999999999</v>
      </c>
      <c r="AP105" s="19">
        <v>73.570679999999996</v>
      </c>
      <c r="AQ105" s="19">
        <v>3371.7372</v>
      </c>
      <c r="AR105" s="19"/>
      <c r="AS105" s="19"/>
      <c r="AT105" s="19"/>
      <c r="AU105" s="19">
        <v>100.92000000000006</v>
      </c>
      <c r="AV105" s="19">
        <v>0</v>
      </c>
      <c r="AW105" s="19">
        <v>2386.1524799999997</v>
      </c>
      <c r="AX105" s="19">
        <v>2043.6299999999999</v>
      </c>
      <c r="AY105" s="19">
        <v>73.570679999999996</v>
      </c>
      <c r="AZ105" s="19">
        <v>3371.7372</v>
      </c>
      <c r="BA105" s="19"/>
      <c r="BB105" s="19"/>
      <c r="BC105" s="19"/>
      <c r="BD105" s="19">
        <v>100.92000000000006</v>
      </c>
      <c r="BE105" s="19">
        <v>0</v>
      </c>
      <c r="BF105" s="19">
        <v>2386.1524799999997</v>
      </c>
      <c r="BG105" s="19">
        <v>2043.6299999999999</v>
      </c>
      <c r="BH105" s="19">
        <v>73.570679999999996</v>
      </c>
      <c r="BI105" s="19">
        <v>3371.7372</v>
      </c>
      <c r="BJ105" s="19"/>
      <c r="BK105" s="19"/>
      <c r="BL105" s="19"/>
      <c r="BM105" s="19">
        <v>100.92000000000006</v>
      </c>
      <c r="BN105" s="19">
        <v>0</v>
      </c>
      <c r="BO105" s="19">
        <v>2386.1524799999997</v>
      </c>
      <c r="BP105" s="19">
        <v>2043.6299999999999</v>
      </c>
      <c r="BQ105" s="19">
        <v>73.570679999999996</v>
      </c>
      <c r="BR105" s="19">
        <v>3371.7372</v>
      </c>
      <c r="BS105" s="19"/>
      <c r="BT105" s="19"/>
      <c r="BU105" s="19"/>
      <c r="BV105" s="19">
        <v>100.92000000000006</v>
      </c>
      <c r="BW105" s="19">
        <v>0</v>
      </c>
      <c r="BX105" s="19">
        <v>2386.1524799999997</v>
      </c>
      <c r="BY105" s="19">
        <v>2043.6299999999999</v>
      </c>
      <c r="BZ105" s="19">
        <v>73.570679999999996</v>
      </c>
      <c r="CA105" s="19">
        <v>3371.7372</v>
      </c>
      <c r="CB105" s="19"/>
      <c r="CC105" s="19"/>
      <c r="CD105" s="19"/>
      <c r="CE105" s="19">
        <v>100.92000000000006</v>
      </c>
      <c r="CF105" s="19">
        <v>0</v>
      </c>
      <c r="CG105" s="19">
        <v>2386.1524799999997</v>
      </c>
      <c r="CH105" s="19">
        <v>2043.6299999999999</v>
      </c>
      <c r="CI105" s="19">
        <v>73.570679999999996</v>
      </c>
      <c r="CJ105" s="19">
        <v>3371.7372</v>
      </c>
      <c r="CK105" s="19"/>
      <c r="CL105" s="19"/>
      <c r="CM105" s="19"/>
      <c r="CN105" s="19">
        <v>100.92000000000006</v>
      </c>
      <c r="CO105" s="19">
        <v>0</v>
      </c>
      <c r="CP105" s="19">
        <v>2386.1524799999997</v>
      </c>
      <c r="CQ105" s="19"/>
      <c r="CR105" s="19"/>
      <c r="CS105" s="19"/>
      <c r="CT105" s="19"/>
      <c r="CU105" s="11">
        <f>Tabelle58971121[[#This Row],[Mindestauslastung durch]]*Tabelle58971121[[#This Row],[installierte Leistung MW durch]]</f>
        <v>1892.25</v>
      </c>
      <c r="CV105" s="11">
        <f>Tabelle58971121[[#This Row],[Mindestauslastung min]]*Tabelle58971121[[#This Row],[installierte Leistung MW min]]</f>
        <v>1839.2670000000001</v>
      </c>
      <c r="CW105" s="11">
        <f>Tabelle58971121[[#This Row],[Mindestauslastung max]]*Tabelle58971121[[#This Row],[installierte Leistung MW max]]</f>
        <v>1945.2329999999997</v>
      </c>
      <c r="CX105" s="9">
        <v>0.15</v>
      </c>
      <c r="CY105" s="9">
        <v>0.15</v>
      </c>
      <c r="CZ105" s="9">
        <v>0.15</v>
      </c>
      <c r="DA105" s="9"/>
      <c r="DB105" s="9">
        <v>0.13533333333333339</v>
      </c>
      <c r="DC105" s="9">
        <v>6.0000000000000001E-3</v>
      </c>
      <c r="DD105" s="9">
        <v>0.22</v>
      </c>
      <c r="DE105" s="9">
        <v>0.13533333333333339</v>
      </c>
      <c r="DF105" s="9">
        <v>6.0000000000000001E-3</v>
      </c>
      <c r="DG105" s="9">
        <v>0.22</v>
      </c>
      <c r="DH105" s="9">
        <v>0.13533333333333339</v>
      </c>
      <c r="DI105" s="9">
        <v>6.0000000000000001E-3</v>
      </c>
      <c r="DJ105" s="9">
        <v>0.22</v>
      </c>
      <c r="DK105" s="9">
        <v>0.16200000000000001</v>
      </c>
      <c r="DL105" s="9">
        <v>6.0000000000000001E-3</v>
      </c>
      <c r="DM105" s="9">
        <v>0.26</v>
      </c>
      <c r="DN105" s="9">
        <v>0.16200000000000001</v>
      </c>
      <c r="DO105" s="9">
        <v>6.0000000000000001E-3</v>
      </c>
      <c r="DP105" s="9">
        <v>0.26</v>
      </c>
      <c r="DQ105" s="9">
        <v>0.16200000000000001</v>
      </c>
      <c r="DR105" s="9">
        <v>6.0000000000000001E-3</v>
      </c>
      <c r="DS105" s="9">
        <v>0.26</v>
      </c>
      <c r="DT105" s="9">
        <v>0.16200000000000001</v>
      </c>
      <c r="DU105" s="9">
        <v>6.0000000000000001E-3</v>
      </c>
      <c r="DV105" s="9">
        <v>0.26</v>
      </c>
      <c r="DW105" s="9">
        <v>0.16200000000000001</v>
      </c>
      <c r="DX105" s="9">
        <v>6.0000000000000001E-3</v>
      </c>
      <c r="DY105" s="9">
        <v>0.26</v>
      </c>
      <c r="DZ105" s="9">
        <v>0.16200000000000001</v>
      </c>
      <c r="EA105" s="9">
        <v>6.0000000000000001E-3</v>
      </c>
      <c r="EB105" s="9">
        <v>0.26</v>
      </c>
      <c r="EC105" s="9"/>
      <c r="ED105" s="9"/>
      <c r="EE105" s="9"/>
      <c r="EF105" s="46">
        <f>Tabelle58971121[[#This Row],[Durchschnittsauslastung min]]*Tabelle58971121[[#This Row],[installierte Leistung MW min]]</f>
        <v>0</v>
      </c>
      <c r="EG105" s="46">
        <f>Tabelle58971121[[#This Row],[Durchschnittsauslastung durch]]*Tabelle58971121[[#This Row],[installierte Leistung MW durch]]</f>
        <v>0</v>
      </c>
      <c r="EH105" s="46">
        <f>Tabelle58971121[[#This Row],[Durchschnittsauslastung max]]*Tabelle58971121[[#This Row],[installierte Leistung MW max]]</f>
        <v>0</v>
      </c>
      <c r="EI105" s="83">
        <f>Tabelle58971121[[#This Row],[Maximalauslastung durch]]*Tabelle58971121[[#This Row],[installierte Leistung MW min]]</f>
        <v>2084.5026000000003</v>
      </c>
      <c r="EJ105" s="46">
        <f>Tabelle58971121[[#This Row],[Maximalauslastung durch]]*Tabelle58971121[[#This Row],[installierte Leistung MW durch]]</f>
        <v>2144.5500000000002</v>
      </c>
      <c r="EK105" s="19">
        <f>Tabelle58971121[[#This Row],[Maximalauslastung max]]*Tabelle58971121[[#This Row],[installierte Leistung MW durch]]</f>
        <v>2396.85</v>
      </c>
      <c r="EL105" s="9">
        <v>0.17</v>
      </c>
      <c r="EM105" s="9">
        <v>0.15</v>
      </c>
      <c r="EN105" s="9">
        <v>0.19</v>
      </c>
      <c r="EO105" s="1">
        <v>12615</v>
      </c>
      <c r="EP105" s="1">
        <v>12261.78</v>
      </c>
      <c r="EQ105" s="1">
        <v>12968.22</v>
      </c>
      <c r="ER105" s="19"/>
      <c r="ES105" s="19"/>
      <c r="EX105" s="1">
        <v>4</v>
      </c>
      <c r="EY105" s="1">
        <v>3.2</v>
      </c>
      <c r="EZ105" s="1">
        <v>4.8</v>
      </c>
      <c r="FD105" s="1">
        <v>8</v>
      </c>
      <c r="FE105" s="1">
        <v>6.4</v>
      </c>
      <c r="FF105" s="1">
        <v>9.6</v>
      </c>
      <c r="FG105" s="1">
        <v>24</v>
      </c>
      <c r="FH105" s="1">
        <v>24</v>
      </c>
      <c r="FI105" s="1">
        <v>24</v>
      </c>
      <c r="FJ105" s="1">
        <v>7.5</v>
      </c>
      <c r="FK105" s="1">
        <v>4.4000000000000004</v>
      </c>
      <c r="FL105" s="1">
        <v>10.6</v>
      </c>
      <c r="FP105" s="1">
        <v>365</v>
      </c>
      <c r="FQ105" s="1">
        <v>328</v>
      </c>
      <c r="FR105" s="1">
        <v>402</v>
      </c>
      <c r="FS105" s="11"/>
      <c r="FT105" s="11"/>
      <c r="FU105" s="11"/>
      <c r="FV105" s="1">
        <v>365</v>
      </c>
      <c r="FW105" s="1">
        <v>328</v>
      </c>
      <c r="FX105" s="1">
        <v>402</v>
      </c>
      <c r="FY105" s="1">
        <v>145.52352941176468</v>
      </c>
      <c r="FZ105" s="19">
        <v>130.9711764705882</v>
      </c>
      <c r="GA105" s="19">
        <v>160.07588235294116</v>
      </c>
      <c r="GB105" s="19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>
        <v>9.972941176470588</v>
      </c>
      <c r="GO105" s="8">
        <v>3.5617647058823536</v>
      </c>
      <c r="GP105" s="8">
        <v>16.384117647058822</v>
      </c>
      <c r="GS105" s="1">
        <v>67</v>
      </c>
      <c r="GT105" s="1">
        <v>67</v>
      </c>
      <c r="GU105" s="1">
        <v>67</v>
      </c>
      <c r="GV105" s="13" t="s">
        <v>806</v>
      </c>
      <c r="GW105" s="13" t="s">
        <v>806</v>
      </c>
      <c r="GX105" s="13" t="s">
        <v>806</v>
      </c>
      <c r="GY105" s="13"/>
      <c r="GZ105" s="13" t="s">
        <v>806</v>
      </c>
      <c r="HA105" s="13" t="s">
        <v>806</v>
      </c>
      <c r="HB105" s="13" t="s">
        <v>806</v>
      </c>
      <c r="HC105" s="13" t="s">
        <v>806</v>
      </c>
      <c r="HD105" s="13" t="s">
        <v>806</v>
      </c>
      <c r="HE105" s="13" t="s">
        <v>806</v>
      </c>
      <c r="HF105" s="13" t="s">
        <v>806</v>
      </c>
      <c r="HI105" s="13" t="s">
        <v>806</v>
      </c>
      <c r="HJ105" s="13" t="s">
        <v>806</v>
      </c>
      <c r="HL105" s="13" t="s">
        <v>806</v>
      </c>
    </row>
    <row r="106" spans="1:223" ht="12.75" customHeight="1" x14ac:dyDescent="0.25">
      <c r="A106" s="1" t="s">
        <v>129</v>
      </c>
      <c r="B106" s="1" t="s">
        <v>746</v>
      </c>
      <c r="E106" s="1" t="s">
        <v>139</v>
      </c>
      <c r="F106" s="1">
        <v>2</v>
      </c>
      <c r="G106" s="1">
        <v>2015</v>
      </c>
      <c r="H106" s="1">
        <v>0</v>
      </c>
      <c r="I106" s="1">
        <v>0</v>
      </c>
      <c r="J106" s="1">
        <v>1</v>
      </c>
      <c r="K106" s="19"/>
      <c r="L106" s="19"/>
      <c r="M106" s="19"/>
      <c r="N106" s="19"/>
      <c r="O106" s="19"/>
      <c r="P106" s="19"/>
      <c r="Q106" s="19">
        <v>16.537249999999869</v>
      </c>
      <c r="R106" s="19">
        <v>0</v>
      </c>
      <c r="S106" s="19">
        <v>265.14399999999989</v>
      </c>
      <c r="T106" s="19"/>
      <c r="U106" s="19"/>
      <c r="V106" s="19"/>
      <c r="W106" s="19">
        <v>380.35674999999998</v>
      </c>
      <c r="X106" s="19">
        <v>0</v>
      </c>
      <c r="Y106" s="19">
        <v>2121.152</v>
      </c>
      <c r="Z106" s="19">
        <v>16.537249999999869</v>
      </c>
      <c r="AA106" s="19">
        <v>0</v>
      </c>
      <c r="AB106" s="19">
        <v>265.14399999999989</v>
      </c>
      <c r="AC106" s="19"/>
      <c r="AD106" s="19"/>
      <c r="AE106" s="19"/>
      <c r="AF106" s="19">
        <v>380.35674999999998</v>
      </c>
      <c r="AG106" s="19">
        <v>0</v>
      </c>
      <c r="AH106" s="19">
        <v>2121.152</v>
      </c>
      <c r="AI106" s="19">
        <v>16.537249999999869</v>
      </c>
      <c r="AJ106" s="19">
        <v>0</v>
      </c>
      <c r="AK106" s="19">
        <v>265.14399999999989</v>
      </c>
      <c r="AL106" s="19">
        <v>380.35674999999998</v>
      </c>
      <c r="AM106" s="19">
        <v>0</v>
      </c>
      <c r="AN106" s="19">
        <v>2121.152</v>
      </c>
      <c r="AO106" s="19">
        <v>16.537249999999869</v>
      </c>
      <c r="AP106" s="19">
        <v>0</v>
      </c>
      <c r="AQ106" s="19">
        <v>265.14399999999989</v>
      </c>
      <c r="AR106" s="19"/>
      <c r="AS106" s="19"/>
      <c r="AT106" s="19"/>
      <c r="AU106" s="19">
        <v>380.35674999999998</v>
      </c>
      <c r="AV106" s="19">
        <v>0</v>
      </c>
      <c r="AW106" s="19">
        <v>2121.152</v>
      </c>
      <c r="AX106" s="19">
        <v>16.537249999999869</v>
      </c>
      <c r="AY106" s="19">
        <v>0</v>
      </c>
      <c r="AZ106" s="19">
        <v>265.14399999999989</v>
      </c>
      <c r="BA106" s="19"/>
      <c r="BB106" s="19"/>
      <c r="BC106" s="19"/>
      <c r="BD106" s="19">
        <v>380.35674999999998</v>
      </c>
      <c r="BE106" s="19">
        <v>0</v>
      </c>
      <c r="BF106" s="19">
        <v>2121.152</v>
      </c>
      <c r="BG106" s="19">
        <v>16.537249999999869</v>
      </c>
      <c r="BH106" s="19">
        <v>0</v>
      </c>
      <c r="BI106" s="19">
        <v>265.14399999999989</v>
      </c>
      <c r="BJ106" s="19"/>
      <c r="BK106" s="19"/>
      <c r="BL106" s="19"/>
      <c r="BM106" s="19">
        <v>380.35674999999998</v>
      </c>
      <c r="BN106" s="19">
        <v>0</v>
      </c>
      <c r="BO106" s="19">
        <v>2121.152</v>
      </c>
      <c r="BP106" s="19">
        <v>16.537249999999869</v>
      </c>
      <c r="BQ106" s="19">
        <v>0</v>
      </c>
      <c r="BR106" s="19">
        <v>265.14399999999989</v>
      </c>
      <c r="BS106" s="19"/>
      <c r="BT106" s="19"/>
      <c r="BU106" s="19"/>
      <c r="BV106" s="19">
        <v>380.35674999999998</v>
      </c>
      <c r="BW106" s="19">
        <v>0</v>
      </c>
      <c r="BX106" s="19">
        <v>2121.152</v>
      </c>
      <c r="BY106" s="19">
        <v>16.537249999999869</v>
      </c>
      <c r="BZ106" s="19">
        <v>0</v>
      </c>
      <c r="CA106" s="19">
        <v>265.14399999999989</v>
      </c>
      <c r="CB106" s="19"/>
      <c r="CC106" s="19"/>
      <c r="CD106" s="19"/>
      <c r="CE106" s="19">
        <v>380.35674999999998</v>
      </c>
      <c r="CF106" s="19">
        <v>0</v>
      </c>
      <c r="CG106" s="19">
        <v>2121.152</v>
      </c>
      <c r="CH106" s="19">
        <v>16.537249999999869</v>
      </c>
      <c r="CI106" s="19">
        <v>0</v>
      </c>
      <c r="CJ106" s="19">
        <v>265.14399999999989</v>
      </c>
      <c r="CK106" s="19"/>
      <c r="CL106" s="19"/>
      <c r="CM106" s="19"/>
      <c r="CN106" s="19">
        <v>380.35674999999998</v>
      </c>
      <c r="CO106" s="19">
        <v>0</v>
      </c>
      <c r="CP106" s="19">
        <v>2121.152</v>
      </c>
      <c r="CQ106" s="19"/>
      <c r="CR106" s="19"/>
      <c r="CS106" s="19"/>
      <c r="CT106" s="19"/>
      <c r="CU106" s="11">
        <f>Tabelle58971121[[#This Row],[Mindestauslastung durch]]*Tabelle58971121[[#This Row],[installierte Leistung MW durch]]</f>
        <v>529.19200000000001</v>
      </c>
      <c r="CV106" s="11">
        <f>Tabelle58971121[[#This Row],[Mindestauslastung min]]*Tabelle58971121[[#This Row],[installierte Leistung MW min]]</f>
        <v>528.096</v>
      </c>
      <c r="CW106" s="11">
        <f>Tabelle58971121[[#This Row],[Mindestauslastung max]]*Tabelle58971121[[#This Row],[installierte Leistung MW max]]</f>
        <v>530.28800000000001</v>
      </c>
      <c r="CX106" s="9">
        <v>8.0000000000000002E-3</v>
      </c>
      <c r="CY106" s="9">
        <v>8.0000000000000002E-3</v>
      </c>
      <c r="CZ106" s="9">
        <v>8.0000000000000002E-3</v>
      </c>
      <c r="DA106" s="9"/>
      <c r="DB106" s="9">
        <v>8.2499999999999987E-3</v>
      </c>
      <c r="DC106" s="9">
        <v>2E-3</v>
      </c>
      <c r="DD106" s="9">
        <v>1.2E-2</v>
      </c>
      <c r="DE106" s="9">
        <v>8.2499999999999987E-3</v>
      </c>
      <c r="DF106" s="9">
        <v>2E-3</v>
      </c>
      <c r="DG106" s="9">
        <v>1.2E-2</v>
      </c>
      <c r="DH106" s="9">
        <v>8.2499999999999987E-3</v>
      </c>
      <c r="DI106" s="9">
        <v>2E-3</v>
      </c>
      <c r="DJ106" s="9">
        <v>1.2E-2</v>
      </c>
      <c r="DK106" s="9">
        <v>8.2499999999999987E-3</v>
      </c>
      <c r="DL106" s="9">
        <v>2E-3</v>
      </c>
      <c r="DM106" s="9">
        <v>1.2E-2</v>
      </c>
      <c r="DN106" s="9">
        <v>8.2499999999999987E-3</v>
      </c>
      <c r="DO106" s="9">
        <v>2E-3</v>
      </c>
      <c r="DP106" s="9">
        <v>1.2E-2</v>
      </c>
      <c r="DQ106" s="9">
        <v>8.2499999999999987E-3</v>
      </c>
      <c r="DR106" s="9">
        <v>2E-3</v>
      </c>
      <c r="DS106" s="9">
        <v>1.2E-2</v>
      </c>
      <c r="DT106" s="9">
        <v>8.2499999999999987E-3</v>
      </c>
      <c r="DU106" s="9">
        <v>2E-3</v>
      </c>
      <c r="DV106" s="9">
        <v>1.2E-2</v>
      </c>
      <c r="DW106" s="9">
        <v>8.2499999999999987E-3</v>
      </c>
      <c r="DX106" s="9">
        <v>2E-3</v>
      </c>
      <c r="DY106" s="9">
        <v>1.2E-2</v>
      </c>
      <c r="DZ106" s="9">
        <v>8.2499999999999987E-3</v>
      </c>
      <c r="EA106" s="9">
        <v>2E-3</v>
      </c>
      <c r="EB106" s="9">
        <v>1.2E-2</v>
      </c>
      <c r="EC106" s="9"/>
      <c r="ED106" s="9"/>
      <c r="EE106" s="9"/>
      <c r="EF106" s="46">
        <f>Tabelle58971121[[#This Row],[Durchschnittsauslastung min]]*Tabelle58971121[[#This Row],[installierte Leistung MW min]]</f>
        <v>0</v>
      </c>
      <c r="EG106" s="46">
        <f>Tabelle58971121[[#This Row],[Durchschnittsauslastung durch]]*Tabelle58971121[[#This Row],[installierte Leistung MW durch]]</f>
        <v>0</v>
      </c>
      <c r="EH106" s="46">
        <f>Tabelle58971121[[#This Row],[Durchschnittsauslastung max]]*Tabelle58971121[[#This Row],[installierte Leistung MW max]]</f>
        <v>0</v>
      </c>
      <c r="EI106" s="83">
        <f>Tabelle58971121[[#This Row],[Maximalauslastung durch]]*Tabelle58971121[[#This Row],[installierte Leistung MW min]]</f>
        <v>924.16800000000001</v>
      </c>
      <c r="EJ106" s="46">
        <f>Tabelle58971121[[#This Row],[Maximalauslastung durch]]*Tabelle58971121[[#This Row],[installierte Leistung MW durch]]</f>
        <v>926.08600000000001</v>
      </c>
      <c r="EK106" s="19">
        <f>Tabelle58971121[[#This Row],[Maximalauslastung max]]*Tabelle58971121[[#This Row],[installierte Leistung MW durch]]</f>
        <v>2249.0660000000003</v>
      </c>
      <c r="EL106" s="9">
        <v>1.4E-2</v>
      </c>
      <c r="EM106" s="9">
        <v>0</v>
      </c>
      <c r="EN106" s="9">
        <v>3.4000000000000002E-2</v>
      </c>
      <c r="EO106" s="1">
        <v>66149</v>
      </c>
      <c r="EP106" s="1">
        <v>66012</v>
      </c>
      <c r="EQ106" s="1">
        <v>66286</v>
      </c>
      <c r="ER106" s="19"/>
      <c r="ES106" s="19"/>
      <c r="EX106" s="1">
        <v>1.75</v>
      </c>
      <c r="EY106" s="1">
        <v>1.1499999999999999</v>
      </c>
      <c r="EZ106" s="1">
        <v>2.35</v>
      </c>
      <c r="FD106" s="1">
        <v>1.75</v>
      </c>
      <c r="FE106" s="1">
        <v>0.5</v>
      </c>
      <c r="FF106" s="1">
        <v>3</v>
      </c>
      <c r="FG106" s="1">
        <v>3.5</v>
      </c>
      <c r="FH106" s="1">
        <v>2.2999999999999998</v>
      </c>
      <c r="FI106" s="1">
        <v>4.7</v>
      </c>
      <c r="FJ106" s="1">
        <v>3.5</v>
      </c>
      <c r="FK106" s="1">
        <v>3.5</v>
      </c>
      <c r="FL106" s="1">
        <v>3.5</v>
      </c>
      <c r="FP106" s="1" t="s">
        <v>1084</v>
      </c>
      <c r="FQ106" s="1" t="s">
        <v>1084</v>
      </c>
      <c r="FR106" s="1" t="s">
        <v>1084</v>
      </c>
      <c r="FS106" s="11"/>
      <c r="FT106" s="11"/>
      <c r="FU106" s="11"/>
      <c r="FV106" s="1">
        <v>220</v>
      </c>
      <c r="FW106" s="1">
        <v>198</v>
      </c>
      <c r="FX106" s="1">
        <v>242</v>
      </c>
      <c r="FY106" s="1">
        <v>92.50411764705882</v>
      </c>
      <c r="FZ106" s="19">
        <v>83.243529411764712</v>
      </c>
      <c r="GA106" s="19">
        <v>101.76470588235293</v>
      </c>
      <c r="GB106" s="19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>
        <v>753.05882352941171</v>
      </c>
      <c r="GO106" s="8">
        <v>745.52823529411762</v>
      </c>
      <c r="GP106" s="8">
        <v>760.5894117647058</v>
      </c>
      <c r="GS106" s="1">
        <v>67</v>
      </c>
      <c r="GT106" s="1">
        <v>67</v>
      </c>
      <c r="GU106" s="1">
        <v>67</v>
      </c>
      <c r="GV106" s="13" t="s">
        <v>806</v>
      </c>
      <c r="GW106" s="13" t="s">
        <v>806</v>
      </c>
      <c r="GX106" s="13" t="s">
        <v>806</v>
      </c>
      <c r="GY106" s="13"/>
      <c r="GZ106" s="13" t="s">
        <v>806</v>
      </c>
      <c r="HA106" s="13" t="s">
        <v>806</v>
      </c>
      <c r="HB106" s="13" t="s">
        <v>806</v>
      </c>
      <c r="HC106" s="13" t="s">
        <v>806</v>
      </c>
      <c r="HD106" s="13" t="s">
        <v>806</v>
      </c>
      <c r="HE106" s="13" t="s">
        <v>806</v>
      </c>
      <c r="HF106" s="13" t="s">
        <v>806</v>
      </c>
      <c r="HI106" s="13" t="s">
        <v>806</v>
      </c>
      <c r="HJ106" s="13" t="s">
        <v>806</v>
      </c>
      <c r="HL106" s="13" t="s">
        <v>806</v>
      </c>
    </row>
    <row r="107" spans="1:223" ht="12.75" customHeight="1" x14ac:dyDescent="0.25">
      <c r="A107" s="1" t="s">
        <v>129</v>
      </c>
      <c r="B107" s="1" t="s">
        <v>746</v>
      </c>
      <c r="E107" s="1" t="s">
        <v>139</v>
      </c>
      <c r="F107" s="1">
        <v>2</v>
      </c>
      <c r="G107" s="1">
        <v>2020</v>
      </c>
      <c r="H107" s="1">
        <v>0</v>
      </c>
      <c r="I107" s="1">
        <v>0</v>
      </c>
      <c r="J107" s="1">
        <v>1</v>
      </c>
      <c r="K107" s="19"/>
      <c r="L107" s="19"/>
      <c r="M107" s="19"/>
      <c r="N107" s="19"/>
      <c r="O107" s="19"/>
      <c r="P107" s="19"/>
      <c r="Q107" s="19">
        <v>14.387407499999886</v>
      </c>
      <c r="R107" s="19">
        <v>0</v>
      </c>
      <c r="S107" s="19">
        <v>230.6752799999999</v>
      </c>
      <c r="T107" s="19"/>
      <c r="U107" s="19"/>
      <c r="V107" s="19"/>
      <c r="W107" s="19">
        <v>330.91037249999999</v>
      </c>
      <c r="X107" s="19">
        <v>0</v>
      </c>
      <c r="Y107" s="19">
        <v>1845.4022400000001</v>
      </c>
      <c r="Z107" s="19">
        <v>14.387407499999886</v>
      </c>
      <c r="AA107" s="19">
        <v>0</v>
      </c>
      <c r="AB107" s="19">
        <v>230.6752799999999</v>
      </c>
      <c r="AC107" s="19"/>
      <c r="AD107" s="19"/>
      <c r="AE107" s="19"/>
      <c r="AF107" s="19">
        <v>330.91037249999999</v>
      </c>
      <c r="AG107" s="19">
        <v>0</v>
      </c>
      <c r="AH107" s="19">
        <v>1845.4022400000001</v>
      </c>
      <c r="AI107" s="19">
        <v>14.387407499999886</v>
      </c>
      <c r="AJ107" s="19">
        <v>0</v>
      </c>
      <c r="AK107" s="19">
        <v>230.6752799999999</v>
      </c>
      <c r="AL107" s="19">
        <v>330.91037249999999</v>
      </c>
      <c r="AM107" s="19">
        <v>0</v>
      </c>
      <c r="AN107" s="19">
        <v>1845.4022400000001</v>
      </c>
      <c r="AO107" s="19">
        <v>14.387407499999886</v>
      </c>
      <c r="AP107" s="19">
        <v>0</v>
      </c>
      <c r="AQ107" s="19">
        <v>230.6752799999999</v>
      </c>
      <c r="AR107" s="19"/>
      <c r="AS107" s="19"/>
      <c r="AT107" s="19"/>
      <c r="AU107" s="19">
        <v>330.91037249999999</v>
      </c>
      <c r="AV107" s="19">
        <v>0</v>
      </c>
      <c r="AW107" s="19">
        <v>1845.4022400000001</v>
      </c>
      <c r="AX107" s="19">
        <v>14.387407499999886</v>
      </c>
      <c r="AY107" s="19">
        <v>0</v>
      </c>
      <c r="AZ107" s="19">
        <v>230.6752799999999</v>
      </c>
      <c r="BA107" s="19"/>
      <c r="BB107" s="19"/>
      <c r="BC107" s="19"/>
      <c r="BD107" s="19">
        <v>330.91037249999999</v>
      </c>
      <c r="BE107" s="19">
        <v>0</v>
      </c>
      <c r="BF107" s="19">
        <v>1845.4022400000001</v>
      </c>
      <c r="BG107" s="19">
        <v>14.387407499999886</v>
      </c>
      <c r="BH107" s="19">
        <v>0</v>
      </c>
      <c r="BI107" s="19">
        <v>230.6752799999999</v>
      </c>
      <c r="BJ107" s="19"/>
      <c r="BK107" s="19"/>
      <c r="BL107" s="19"/>
      <c r="BM107" s="19">
        <v>330.91037249999999</v>
      </c>
      <c r="BN107" s="19">
        <v>0</v>
      </c>
      <c r="BO107" s="19">
        <v>1845.4022400000001</v>
      </c>
      <c r="BP107" s="19">
        <v>14.387407499999886</v>
      </c>
      <c r="BQ107" s="19">
        <v>0</v>
      </c>
      <c r="BR107" s="19">
        <v>230.6752799999999</v>
      </c>
      <c r="BS107" s="19"/>
      <c r="BT107" s="19"/>
      <c r="BU107" s="19"/>
      <c r="BV107" s="19">
        <v>330.91037249999999</v>
      </c>
      <c r="BW107" s="19">
        <v>0</v>
      </c>
      <c r="BX107" s="19">
        <v>1845.4022400000001</v>
      </c>
      <c r="BY107" s="19">
        <v>14.387407499999886</v>
      </c>
      <c r="BZ107" s="19">
        <v>0</v>
      </c>
      <c r="CA107" s="19">
        <v>230.6752799999999</v>
      </c>
      <c r="CB107" s="19"/>
      <c r="CC107" s="19"/>
      <c r="CD107" s="19"/>
      <c r="CE107" s="19">
        <v>330.91037249999999</v>
      </c>
      <c r="CF107" s="19">
        <v>0</v>
      </c>
      <c r="CG107" s="19">
        <v>1845.4022400000001</v>
      </c>
      <c r="CH107" s="19">
        <v>14.387407499999886</v>
      </c>
      <c r="CI107" s="19">
        <v>0</v>
      </c>
      <c r="CJ107" s="19">
        <v>230.6752799999999</v>
      </c>
      <c r="CK107" s="19"/>
      <c r="CL107" s="19"/>
      <c r="CM107" s="19"/>
      <c r="CN107" s="19">
        <v>330.91037249999999</v>
      </c>
      <c r="CO107" s="19">
        <v>0</v>
      </c>
      <c r="CP107" s="19">
        <v>1845.4022400000001</v>
      </c>
      <c r="CQ107" s="19"/>
      <c r="CR107" s="19"/>
      <c r="CS107" s="19"/>
      <c r="CT107" s="19"/>
      <c r="CU107" s="11">
        <f>Tabelle58971121[[#This Row],[Mindestauslastung durch]]*Tabelle58971121[[#This Row],[installierte Leistung MW durch]]</f>
        <v>460.39704</v>
      </c>
      <c r="CV107" s="11">
        <f>Tabelle58971121[[#This Row],[Mindestauslastung min]]*Tabelle58971121[[#This Row],[installierte Leistung MW min]]</f>
        <v>459.44352000000003</v>
      </c>
      <c r="CW107" s="11">
        <f>Tabelle58971121[[#This Row],[Mindestauslastung max]]*Tabelle58971121[[#This Row],[installierte Leistung MW max]]</f>
        <v>461.35056000000003</v>
      </c>
      <c r="CX107" s="9">
        <v>8.0000000000000002E-3</v>
      </c>
      <c r="CY107" s="9">
        <v>8.0000000000000002E-3</v>
      </c>
      <c r="CZ107" s="9">
        <v>8.0000000000000002E-3</v>
      </c>
      <c r="DA107" s="9"/>
      <c r="DB107" s="9">
        <v>8.2499999999999987E-3</v>
      </c>
      <c r="DC107" s="9">
        <v>2E-3</v>
      </c>
      <c r="DD107" s="9">
        <v>1.2E-2</v>
      </c>
      <c r="DE107" s="9">
        <v>8.2499999999999987E-3</v>
      </c>
      <c r="DF107" s="9">
        <v>2E-3</v>
      </c>
      <c r="DG107" s="9">
        <v>1.2E-2</v>
      </c>
      <c r="DH107" s="9">
        <v>8.2499999999999987E-3</v>
      </c>
      <c r="DI107" s="9">
        <v>2E-3</v>
      </c>
      <c r="DJ107" s="9">
        <v>1.2E-2</v>
      </c>
      <c r="DK107" s="9">
        <v>8.2499999999999987E-3</v>
      </c>
      <c r="DL107" s="9">
        <v>2E-3</v>
      </c>
      <c r="DM107" s="9">
        <v>1.2E-2</v>
      </c>
      <c r="DN107" s="9">
        <v>8.2499999999999987E-3</v>
      </c>
      <c r="DO107" s="9">
        <v>2E-3</v>
      </c>
      <c r="DP107" s="9">
        <v>1.2E-2</v>
      </c>
      <c r="DQ107" s="9">
        <v>8.2499999999999987E-3</v>
      </c>
      <c r="DR107" s="9">
        <v>2E-3</v>
      </c>
      <c r="DS107" s="9">
        <v>1.2E-2</v>
      </c>
      <c r="DT107" s="9">
        <v>8.2499999999999987E-3</v>
      </c>
      <c r="DU107" s="9">
        <v>2E-3</v>
      </c>
      <c r="DV107" s="9">
        <v>1.2E-2</v>
      </c>
      <c r="DW107" s="9">
        <v>8.2499999999999987E-3</v>
      </c>
      <c r="DX107" s="9">
        <v>2E-3</v>
      </c>
      <c r="DY107" s="9">
        <v>1.2E-2</v>
      </c>
      <c r="DZ107" s="9">
        <v>8.2499999999999987E-3</v>
      </c>
      <c r="EA107" s="9">
        <v>2E-3</v>
      </c>
      <c r="EB107" s="9">
        <v>1.2E-2</v>
      </c>
      <c r="EC107" s="9"/>
      <c r="ED107" s="9"/>
      <c r="EE107" s="9"/>
      <c r="EF107" s="46">
        <f>Tabelle58971121[[#This Row],[Durchschnittsauslastung min]]*Tabelle58971121[[#This Row],[installierte Leistung MW min]]</f>
        <v>0</v>
      </c>
      <c r="EG107" s="46">
        <f>Tabelle58971121[[#This Row],[Durchschnittsauslastung durch]]*Tabelle58971121[[#This Row],[installierte Leistung MW durch]]</f>
        <v>0</v>
      </c>
      <c r="EH107" s="46">
        <f>Tabelle58971121[[#This Row],[Durchschnittsauslastung max]]*Tabelle58971121[[#This Row],[installierte Leistung MW max]]</f>
        <v>0</v>
      </c>
      <c r="EI107" s="83">
        <f>Tabelle58971121[[#This Row],[Maximalauslastung durch]]*Tabelle58971121[[#This Row],[installierte Leistung MW min]]</f>
        <v>804.02616</v>
      </c>
      <c r="EJ107" s="46">
        <f>Tabelle58971121[[#This Row],[Maximalauslastung durch]]*Tabelle58971121[[#This Row],[installierte Leistung MW durch]]</f>
        <v>805.69481999999994</v>
      </c>
      <c r="EK107" s="19">
        <f>Tabelle58971121[[#This Row],[Maximalauslastung max]]*Tabelle58971121[[#This Row],[installierte Leistung MW durch]]</f>
        <v>1956.68742</v>
      </c>
      <c r="EL107" s="9">
        <v>1.4E-2</v>
      </c>
      <c r="EM107" s="9">
        <v>0</v>
      </c>
      <c r="EN107" s="9">
        <v>3.4000000000000002E-2</v>
      </c>
      <c r="EO107" s="1">
        <v>57549.63</v>
      </c>
      <c r="EP107" s="1">
        <v>57430.44</v>
      </c>
      <c r="EQ107" s="1">
        <v>57668.82</v>
      </c>
      <c r="ER107" s="19"/>
      <c r="ES107" s="19"/>
      <c r="EX107" s="1">
        <v>1.75</v>
      </c>
      <c r="EY107" s="1">
        <v>1.1499999999999999</v>
      </c>
      <c r="EZ107" s="1">
        <v>2.35</v>
      </c>
      <c r="FD107" s="1">
        <v>1.75</v>
      </c>
      <c r="FE107" s="1">
        <v>0.5</v>
      </c>
      <c r="FF107" s="1">
        <v>3</v>
      </c>
      <c r="FG107" s="1">
        <v>3.5</v>
      </c>
      <c r="FH107" s="1">
        <v>2.2999999999999998</v>
      </c>
      <c r="FI107" s="1">
        <v>4.7</v>
      </c>
      <c r="FJ107" s="1">
        <v>3.5</v>
      </c>
      <c r="FK107" s="1">
        <v>3.5</v>
      </c>
      <c r="FL107" s="1">
        <v>3.5</v>
      </c>
      <c r="FP107" s="1" t="s">
        <v>1084</v>
      </c>
      <c r="FQ107" s="1" t="s">
        <v>1084</v>
      </c>
      <c r="FR107" s="1" t="s">
        <v>1084</v>
      </c>
      <c r="FS107" s="11"/>
      <c r="FT107" s="11"/>
      <c r="FU107" s="11"/>
      <c r="FV107" s="1">
        <v>220</v>
      </c>
      <c r="FW107" s="1">
        <v>198</v>
      </c>
      <c r="FX107" s="1">
        <v>242</v>
      </c>
      <c r="FY107" s="1">
        <v>92.50411764705882</v>
      </c>
      <c r="FZ107" s="19">
        <v>83.243529411764712</v>
      </c>
      <c r="GA107" s="19">
        <v>101.76470588235293</v>
      </c>
      <c r="GB107" s="19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>
        <v>753.05882352941171</v>
      </c>
      <c r="GO107" s="8">
        <v>745.52823529411762</v>
      </c>
      <c r="GP107" s="8">
        <v>760.5894117647058</v>
      </c>
      <c r="GS107" s="1">
        <v>67</v>
      </c>
      <c r="GT107" s="1">
        <v>67</v>
      </c>
      <c r="GU107" s="1">
        <v>67</v>
      </c>
      <c r="GV107" s="13" t="s">
        <v>806</v>
      </c>
      <c r="GW107" s="13" t="s">
        <v>806</v>
      </c>
      <c r="GX107" s="13" t="s">
        <v>806</v>
      </c>
      <c r="GY107" s="13"/>
      <c r="GZ107" s="13" t="s">
        <v>806</v>
      </c>
      <c r="HA107" s="13" t="s">
        <v>806</v>
      </c>
      <c r="HB107" s="13" t="s">
        <v>806</v>
      </c>
      <c r="HC107" s="13" t="s">
        <v>806</v>
      </c>
      <c r="HD107" s="13" t="s">
        <v>806</v>
      </c>
      <c r="HE107" s="13" t="s">
        <v>806</v>
      </c>
      <c r="HF107" s="13" t="s">
        <v>806</v>
      </c>
      <c r="HI107" s="13" t="s">
        <v>806</v>
      </c>
      <c r="HJ107" s="13" t="s">
        <v>806</v>
      </c>
      <c r="HL107" s="13" t="s">
        <v>806</v>
      </c>
    </row>
    <row r="108" spans="1:223" ht="12.75" customHeight="1" x14ac:dyDescent="0.25">
      <c r="A108" s="1" t="s">
        <v>129</v>
      </c>
      <c r="B108" s="1" t="s">
        <v>746</v>
      </c>
      <c r="E108" s="1" t="s">
        <v>139</v>
      </c>
      <c r="F108" s="1">
        <v>2</v>
      </c>
      <c r="G108" s="1">
        <v>2025</v>
      </c>
      <c r="H108" s="1">
        <v>0</v>
      </c>
      <c r="I108" s="1">
        <v>0</v>
      </c>
      <c r="J108" s="1">
        <v>1</v>
      </c>
      <c r="K108" s="19"/>
      <c r="L108" s="19"/>
      <c r="M108" s="19"/>
      <c r="N108" s="19"/>
      <c r="O108" s="19"/>
      <c r="P108" s="19"/>
      <c r="Q108" s="19">
        <v>12.402937499999901</v>
      </c>
      <c r="R108" s="19">
        <v>0</v>
      </c>
      <c r="S108" s="19">
        <v>198.85799999999992</v>
      </c>
      <c r="T108" s="19"/>
      <c r="U108" s="19"/>
      <c r="V108" s="19"/>
      <c r="W108" s="19">
        <v>285.2675625</v>
      </c>
      <c r="X108" s="19">
        <v>0</v>
      </c>
      <c r="Y108" s="19">
        <v>1590.864</v>
      </c>
      <c r="Z108" s="19">
        <v>12.402937499999901</v>
      </c>
      <c r="AA108" s="19">
        <v>0</v>
      </c>
      <c r="AB108" s="19">
        <v>198.85799999999992</v>
      </c>
      <c r="AC108" s="19"/>
      <c r="AD108" s="19"/>
      <c r="AE108" s="19"/>
      <c r="AF108" s="19">
        <v>285.2675625</v>
      </c>
      <c r="AG108" s="19">
        <v>0</v>
      </c>
      <c r="AH108" s="19">
        <v>1590.864</v>
      </c>
      <c r="AI108" s="19">
        <v>12.402937499999901</v>
      </c>
      <c r="AJ108" s="19">
        <v>0</v>
      </c>
      <c r="AK108" s="19">
        <v>198.85799999999992</v>
      </c>
      <c r="AL108" s="19">
        <v>285.2675625</v>
      </c>
      <c r="AM108" s="19">
        <v>0</v>
      </c>
      <c r="AN108" s="19">
        <v>1590.864</v>
      </c>
      <c r="AO108" s="19">
        <v>12.402937499999901</v>
      </c>
      <c r="AP108" s="19">
        <v>0</v>
      </c>
      <c r="AQ108" s="19">
        <v>198.85799999999992</v>
      </c>
      <c r="AR108" s="19"/>
      <c r="AS108" s="19"/>
      <c r="AT108" s="19"/>
      <c r="AU108" s="19">
        <v>285.2675625</v>
      </c>
      <c r="AV108" s="19">
        <v>0</v>
      </c>
      <c r="AW108" s="19">
        <v>1590.864</v>
      </c>
      <c r="AX108" s="19">
        <v>12.402937499999901</v>
      </c>
      <c r="AY108" s="19">
        <v>0</v>
      </c>
      <c r="AZ108" s="19">
        <v>198.85799999999992</v>
      </c>
      <c r="BA108" s="19"/>
      <c r="BB108" s="19"/>
      <c r="BC108" s="19"/>
      <c r="BD108" s="19">
        <v>285.2675625</v>
      </c>
      <c r="BE108" s="19">
        <v>0</v>
      </c>
      <c r="BF108" s="19">
        <v>1590.864</v>
      </c>
      <c r="BG108" s="19">
        <v>12.402937499999901</v>
      </c>
      <c r="BH108" s="19">
        <v>0</v>
      </c>
      <c r="BI108" s="19">
        <v>198.85799999999992</v>
      </c>
      <c r="BJ108" s="19"/>
      <c r="BK108" s="19"/>
      <c r="BL108" s="19"/>
      <c r="BM108" s="19">
        <v>285.2675625</v>
      </c>
      <c r="BN108" s="19">
        <v>0</v>
      </c>
      <c r="BO108" s="19">
        <v>1590.864</v>
      </c>
      <c r="BP108" s="19">
        <v>12.402937499999901</v>
      </c>
      <c r="BQ108" s="19">
        <v>0</v>
      </c>
      <c r="BR108" s="19">
        <v>198.85799999999992</v>
      </c>
      <c r="BS108" s="19"/>
      <c r="BT108" s="19"/>
      <c r="BU108" s="19"/>
      <c r="BV108" s="19">
        <v>285.2675625</v>
      </c>
      <c r="BW108" s="19">
        <v>0</v>
      </c>
      <c r="BX108" s="19">
        <v>1590.864</v>
      </c>
      <c r="BY108" s="19">
        <v>12.402937499999901</v>
      </c>
      <c r="BZ108" s="19">
        <v>0</v>
      </c>
      <c r="CA108" s="19">
        <v>198.85799999999992</v>
      </c>
      <c r="CB108" s="19"/>
      <c r="CC108" s="19"/>
      <c r="CD108" s="19"/>
      <c r="CE108" s="19">
        <v>285.2675625</v>
      </c>
      <c r="CF108" s="19">
        <v>0</v>
      </c>
      <c r="CG108" s="19">
        <v>1590.864</v>
      </c>
      <c r="CH108" s="19">
        <v>12.402937499999901</v>
      </c>
      <c r="CI108" s="19">
        <v>0</v>
      </c>
      <c r="CJ108" s="19">
        <v>198.85799999999992</v>
      </c>
      <c r="CK108" s="19"/>
      <c r="CL108" s="19"/>
      <c r="CM108" s="19"/>
      <c r="CN108" s="19">
        <v>285.2675625</v>
      </c>
      <c r="CO108" s="19">
        <v>0</v>
      </c>
      <c r="CP108" s="19">
        <v>1590.864</v>
      </c>
      <c r="CQ108" s="19"/>
      <c r="CR108" s="19"/>
      <c r="CS108" s="19"/>
      <c r="CT108" s="19"/>
      <c r="CU108" s="11">
        <f>Tabelle58971121[[#This Row],[Mindestauslastung durch]]*Tabelle58971121[[#This Row],[installierte Leistung MW durch]]</f>
        <v>396.89400000000001</v>
      </c>
      <c r="CV108" s="11">
        <f>Tabelle58971121[[#This Row],[Mindestauslastung min]]*Tabelle58971121[[#This Row],[installierte Leistung MW min]]</f>
        <v>396.072</v>
      </c>
      <c r="CW108" s="11">
        <f>Tabelle58971121[[#This Row],[Mindestauslastung max]]*Tabelle58971121[[#This Row],[installierte Leistung MW max]]</f>
        <v>397.71600000000001</v>
      </c>
      <c r="CX108" s="9">
        <v>8.0000000000000002E-3</v>
      </c>
      <c r="CY108" s="9">
        <v>8.0000000000000002E-3</v>
      </c>
      <c r="CZ108" s="9">
        <v>8.0000000000000002E-3</v>
      </c>
      <c r="DA108" s="9"/>
      <c r="DB108" s="9">
        <v>8.2499999999999987E-3</v>
      </c>
      <c r="DC108" s="9">
        <v>2E-3</v>
      </c>
      <c r="DD108" s="9">
        <v>1.2E-2</v>
      </c>
      <c r="DE108" s="9">
        <v>8.2499999999999987E-3</v>
      </c>
      <c r="DF108" s="9">
        <v>2E-3</v>
      </c>
      <c r="DG108" s="9">
        <v>1.2E-2</v>
      </c>
      <c r="DH108" s="9">
        <v>8.2499999999999987E-3</v>
      </c>
      <c r="DI108" s="9">
        <v>2E-3</v>
      </c>
      <c r="DJ108" s="9">
        <v>1.2E-2</v>
      </c>
      <c r="DK108" s="9">
        <v>8.2499999999999987E-3</v>
      </c>
      <c r="DL108" s="9">
        <v>2E-3</v>
      </c>
      <c r="DM108" s="9">
        <v>1.2E-2</v>
      </c>
      <c r="DN108" s="9">
        <v>8.2499999999999987E-3</v>
      </c>
      <c r="DO108" s="9">
        <v>2E-3</v>
      </c>
      <c r="DP108" s="9">
        <v>1.2E-2</v>
      </c>
      <c r="DQ108" s="9">
        <v>8.2499999999999987E-3</v>
      </c>
      <c r="DR108" s="9">
        <v>2E-3</v>
      </c>
      <c r="DS108" s="9">
        <v>1.2E-2</v>
      </c>
      <c r="DT108" s="9">
        <v>8.2499999999999987E-3</v>
      </c>
      <c r="DU108" s="9">
        <v>2E-3</v>
      </c>
      <c r="DV108" s="9">
        <v>1.2E-2</v>
      </c>
      <c r="DW108" s="9">
        <v>8.2499999999999987E-3</v>
      </c>
      <c r="DX108" s="9">
        <v>2E-3</v>
      </c>
      <c r="DY108" s="9">
        <v>1.2E-2</v>
      </c>
      <c r="DZ108" s="9">
        <v>8.2499999999999987E-3</v>
      </c>
      <c r="EA108" s="9">
        <v>2E-3</v>
      </c>
      <c r="EB108" s="9">
        <v>1.2E-2</v>
      </c>
      <c r="EC108" s="9"/>
      <c r="ED108" s="9"/>
      <c r="EE108" s="9"/>
      <c r="EF108" s="46">
        <f>Tabelle58971121[[#This Row],[Durchschnittsauslastung min]]*Tabelle58971121[[#This Row],[installierte Leistung MW min]]</f>
        <v>0</v>
      </c>
      <c r="EG108" s="46">
        <f>Tabelle58971121[[#This Row],[Durchschnittsauslastung durch]]*Tabelle58971121[[#This Row],[installierte Leistung MW durch]]</f>
        <v>0</v>
      </c>
      <c r="EH108" s="46">
        <f>Tabelle58971121[[#This Row],[Durchschnittsauslastung max]]*Tabelle58971121[[#This Row],[installierte Leistung MW max]]</f>
        <v>0</v>
      </c>
      <c r="EI108" s="83">
        <f>Tabelle58971121[[#This Row],[Maximalauslastung durch]]*Tabelle58971121[[#This Row],[installierte Leistung MW min]]</f>
        <v>693.12599999999998</v>
      </c>
      <c r="EJ108" s="46">
        <f>Tabelle58971121[[#This Row],[Maximalauslastung durch]]*Tabelle58971121[[#This Row],[installierte Leistung MW durch]]</f>
        <v>694.56450000000007</v>
      </c>
      <c r="EK108" s="19">
        <f>Tabelle58971121[[#This Row],[Maximalauslastung max]]*Tabelle58971121[[#This Row],[installierte Leistung MW durch]]</f>
        <v>1686.7995000000001</v>
      </c>
      <c r="EL108" s="9">
        <v>1.4E-2</v>
      </c>
      <c r="EM108" s="9">
        <v>0</v>
      </c>
      <c r="EN108" s="9">
        <v>3.4000000000000002E-2</v>
      </c>
      <c r="EO108" s="1">
        <v>49611.75</v>
      </c>
      <c r="EP108" s="1">
        <v>49509</v>
      </c>
      <c r="EQ108" s="1">
        <v>49714.5</v>
      </c>
      <c r="ER108" s="19"/>
      <c r="ES108" s="19"/>
      <c r="EX108" s="1">
        <v>1.75</v>
      </c>
      <c r="EY108" s="1">
        <v>1.1499999999999999</v>
      </c>
      <c r="EZ108" s="1">
        <v>2.35</v>
      </c>
      <c r="FD108" s="1">
        <v>1.75</v>
      </c>
      <c r="FE108" s="1">
        <v>0.5</v>
      </c>
      <c r="FF108" s="1">
        <v>3</v>
      </c>
      <c r="FG108" s="1">
        <v>3.5</v>
      </c>
      <c r="FH108" s="1">
        <v>2.2999999999999998</v>
      </c>
      <c r="FI108" s="1">
        <v>4.7</v>
      </c>
      <c r="FJ108" s="1">
        <v>3.5</v>
      </c>
      <c r="FK108" s="1">
        <v>3.5</v>
      </c>
      <c r="FL108" s="1">
        <v>3.5</v>
      </c>
      <c r="FP108" s="1" t="s">
        <v>1084</v>
      </c>
      <c r="FQ108" s="1" t="s">
        <v>1084</v>
      </c>
      <c r="FR108" s="1" t="s">
        <v>1084</v>
      </c>
      <c r="FS108" s="11"/>
      <c r="FT108" s="11"/>
      <c r="FU108" s="11"/>
      <c r="FV108" s="1">
        <v>220</v>
      </c>
      <c r="FW108" s="1">
        <v>198</v>
      </c>
      <c r="FX108" s="1">
        <v>242</v>
      </c>
      <c r="FY108" s="1">
        <v>92.50411764705882</v>
      </c>
      <c r="FZ108" s="19">
        <v>83.243529411764712</v>
      </c>
      <c r="GA108" s="19">
        <v>101.76470588235293</v>
      </c>
      <c r="GB108" s="19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>
        <v>753.05882352941171</v>
      </c>
      <c r="GO108" s="8">
        <v>745.52823529411762</v>
      </c>
      <c r="GP108" s="8">
        <v>760.5894117647058</v>
      </c>
      <c r="GS108" s="1">
        <v>67</v>
      </c>
      <c r="GT108" s="1">
        <v>67</v>
      </c>
      <c r="GU108" s="1">
        <v>67</v>
      </c>
      <c r="GV108" s="13" t="s">
        <v>806</v>
      </c>
      <c r="GW108" s="13" t="s">
        <v>806</v>
      </c>
      <c r="GX108" s="13" t="s">
        <v>806</v>
      </c>
      <c r="GY108" s="13"/>
      <c r="GZ108" s="13" t="s">
        <v>806</v>
      </c>
      <c r="HA108" s="13" t="s">
        <v>806</v>
      </c>
      <c r="HB108" s="13" t="s">
        <v>806</v>
      </c>
      <c r="HC108" s="13" t="s">
        <v>806</v>
      </c>
      <c r="HD108" s="13" t="s">
        <v>806</v>
      </c>
      <c r="HE108" s="13" t="s">
        <v>806</v>
      </c>
      <c r="HF108" s="13" t="s">
        <v>806</v>
      </c>
      <c r="HI108" s="13" t="s">
        <v>806</v>
      </c>
      <c r="HJ108" s="13" t="s">
        <v>806</v>
      </c>
      <c r="HL108" s="13" t="s">
        <v>806</v>
      </c>
    </row>
    <row r="109" spans="1:223" ht="12.75" customHeight="1" x14ac:dyDescent="0.25">
      <c r="A109" s="1" t="s">
        <v>129</v>
      </c>
      <c r="B109" s="1" t="s">
        <v>746</v>
      </c>
      <c r="E109" s="1" t="s">
        <v>139</v>
      </c>
      <c r="F109" s="1">
        <v>2</v>
      </c>
      <c r="G109" s="1">
        <v>2030</v>
      </c>
      <c r="H109" s="1">
        <v>0</v>
      </c>
      <c r="I109" s="1">
        <v>0</v>
      </c>
      <c r="J109" s="1">
        <v>1</v>
      </c>
      <c r="K109" s="19"/>
      <c r="L109" s="19"/>
      <c r="M109" s="19"/>
      <c r="N109" s="19"/>
      <c r="O109" s="19"/>
      <c r="P109" s="19"/>
      <c r="Q109" s="19">
        <v>10.749212499999915</v>
      </c>
      <c r="R109" s="19">
        <v>0</v>
      </c>
      <c r="S109" s="19">
        <v>172.34359999999992</v>
      </c>
      <c r="T109" s="19"/>
      <c r="U109" s="19"/>
      <c r="V109" s="19"/>
      <c r="W109" s="19">
        <v>247.2318875</v>
      </c>
      <c r="X109" s="19">
        <v>0</v>
      </c>
      <c r="Y109" s="19">
        <v>1378.7488000000001</v>
      </c>
      <c r="Z109" s="19">
        <v>10.749212499999915</v>
      </c>
      <c r="AA109" s="19">
        <v>0</v>
      </c>
      <c r="AB109" s="19">
        <v>172.34359999999992</v>
      </c>
      <c r="AC109" s="19"/>
      <c r="AD109" s="19"/>
      <c r="AE109" s="19"/>
      <c r="AF109" s="19">
        <v>247.2318875</v>
      </c>
      <c r="AG109" s="19">
        <v>0</v>
      </c>
      <c r="AH109" s="19">
        <v>1378.7488000000001</v>
      </c>
      <c r="AI109" s="19">
        <v>10.749212499999915</v>
      </c>
      <c r="AJ109" s="19">
        <v>0</v>
      </c>
      <c r="AK109" s="19">
        <v>172.34359999999992</v>
      </c>
      <c r="AL109" s="19">
        <v>247.2318875</v>
      </c>
      <c r="AM109" s="19">
        <v>0</v>
      </c>
      <c r="AN109" s="19">
        <v>1378.7488000000001</v>
      </c>
      <c r="AO109" s="19">
        <v>10.749212499999915</v>
      </c>
      <c r="AP109" s="19">
        <v>0</v>
      </c>
      <c r="AQ109" s="19">
        <v>172.34359999999992</v>
      </c>
      <c r="AR109" s="19"/>
      <c r="AS109" s="19"/>
      <c r="AT109" s="19"/>
      <c r="AU109" s="19">
        <v>247.2318875</v>
      </c>
      <c r="AV109" s="19">
        <v>0</v>
      </c>
      <c r="AW109" s="19">
        <v>1378.7488000000001</v>
      </c>
      <c r="AX109" s="19">
        <v>10.749212499999915</v>
      </c>
      <c r="AY109" s="19">
        <v>0</v>
      </c>
      <c r="AZ109" s="19">
        <v>172.34359999999992</v>
      </c>
      <c r="BA109" s="19"/>
      <c r="BB109" s="19"/>
      <c r="BC109" s="19"/>
      <c r="BD109" s="19">
        <v>247.2318875</v>
      </c>
      <c r="BE109" s="19">
        <v>0</v>
      </c>
      <c r="BF109" s="19">
        <v>1378.7488000000001</v>
      </c>
      <c r="BG109" s="19">
        <v>10.749212499999915</v>
      </c>
      <c r="BH109" s="19">
        <v>0</v>
      </c>
      <c r="BI109" s="19">
        <v>172.34359999999992</v>
      </c>
      <c r="BJ109" s="19"/>
      <c r="BK109" s="19"/>
      <c r="BL109" s="19"/>
      <c r="BM109" s="19">
        <v>247.2318875</v>
      </c>
      <c r="BN109" s="19">
        <v>0</v>
      </c>
      <c r="BO109" s="19">
        <v>1378.7488000000001</v>
      </c>
      <c r="BP109" s="19">
        <v>10.749212499999915</v>
      </c>
      <c r="BQ109" s="19">
        <v>0</v>
      </c>
      <c r="BR109" s="19">
        <v>172.34359999999992</v>
      </c>
      <c r="BS109" s="19"/>
      <c r="BT109" s="19"/>
      <c r="BU109" s="19"/>
      <c r="BV109" s="19">
        <v>247.2318875</v>
      </c>
      <c r="BW109" s="19">
        <v>0</v>
      </c>
      <c r="BX109" s="19">
        <v>1378.7488000000001</v>
      </c>
      <c r="BY109" s="19">
        <v>10.749212499999915</v>
      </c>
      <c r="BZ109" s="19">
        <v>0</v>
      </c>
      <c r="CA109" s="19">
        <v>172.34359999999992</v>
      </c>
      <c r="CB109" s="19"/>
      <c r="CC109" s="19"/>
      <c r="CD109" s="19"/>
      <c r="CE109" s="19">
        <v>247.2318875</v>
      </c>
      <c r="CF109" s="19">
        <v>0</v>
      </c>
      <c r="CG109" s="19">
        <v>1378.7488000000001</v>
      </c>
      <c r="CH109" s="19">
        <v>10.749212499999915</v>
      </c>
      <c r="CI109" s="19">
        <v>0</v>
      </c>
      <c r="CJ109" s="19">
        <v>172.34359999999992</v>
      </c>
      <c r="CK109" s="19"/>
      <c r="CL109" s="19"/>
      <c r="CM109" s="19"/>
      <c r="CN109" s="19">
        <v>247.2318875</v>
      </c>
      <c r="CO109" s="19">
        <v>0</v>
      </c>
      <c r="CP109" s="19">
        <v>1378.7488000000001</v>
      </c>
      <c r="CQ109" s="19"/>
      <c r="CR109" s="19"/>
      <c r="CS109" s="19"/>
      <c r="CT109" s="19"/>
      <c r="CU109" s="11">
        <f>Tabelle58971121[[#This Row],[Mindestauslastung durch]]*Tabelle58971121[[#This Row],[installierte Leistung MW durch]]</f>
        <v>343.97480000000002</v>
      </c>
      <c r="CV109" s="11">
        <f>Tabelle58971121[[#This Row],[Mindestauslastung min]]*Tabelle58971121[[#This Row],[installierte Leistung MW min]]</f>
        <v>343.26240000000001</v>
      </c>
      <c r="CW109" s="11">
        <f>Tabelle58971121[[#This Row],[Mindestauslastung max]]*Tabelle58971121[[#This Row],[installierte Leistung MW max]]</f>
        <v>344.68720000000002</v>
      </c>
      <c r="CX109" s="9">
        <v>8.0000000000000002E-3</v>
      </c>
      <c r="CY109" s="9">
        <v>8.0000000000000002E-3</v>
      </c>
      <c r="CZ109" s="9">
        <v>8.0000000000000002E-3</v>
      </c>
      <c r="DA109" s="9"/>
      <c r="DB109" s="9">
        <v>8.2499999999999987E-3</v>
      </c>
      <c r="DC109" s="9">
        <v>2E-3</v>
      </c>
      <c r="DD109" s="9">
        <v>1.2E-2</v>
      </c>
      <c r="DE109" s="9">
        <v>8.2499999999999987E-3</v>
      </c>
      <c r="DF109" s="9">
        <v>2E-3</v>
      </c>
      <c r="DG109" s="9">
        <v>1.2E-2</v>
      </c>
      <c r="DH109" s="9">
        <v>8.2499999999999987E-3</v>
      </c>
      <c r="DI109" s="9">
        <v>2E-3</v>
      </c>
      <c r="DJ109" s="9">
        <v>1.2E-2</v>
      </c>
      <c r="DK109" s="9">
        <v>8.2499999999999987E-3</v>
      </c>
      <c r="DL109" s="9">
        <v>2E-3</v>
      </c>
      <c r="DM109" s="9">
        <v>1.2E-2</v>
      </c>
      <c r="DN109" s="9">
        <v>8.2499999999999987E-3</v>
      </c>
      <c r="DO109" s="9">
        <v>2E-3</v>
      </c>
      <c r="DP109" s="9">
        <v>1.2E-2</v>
      </c>
      <c r="DQ109" s="9">
        <v>8.2499999999999987E-3</v>
      </c>
      <c r="DR109" s="9">
        <v>2E-3</v>
      </c>
      <c r="DS109" s="9">
        <v>1.2E-2</v>
      </c>
      <c r="DT109" s="9">
        <v>8.2499999999999987E-3</v>
      </c>
      <c r="DU109" s="9">
        <v>2E-3</v>
      </c>
      <c r="DV109" s="9">
        <v>1.2E-2</v>
      </c>
      <c r="DW109" s="9">
        <v>8.2499999999999987E-3</v>
      </c>
      <c r="DX109" s="9">
        <v>2E-3</v>
      </c>
      <c r="DY109" s="9">
        <v>1.2E-2</v>
      </c>
      <c r="DZ109" s="9">
        <v>8.2499999999999987E-3</v>
      </c>
      <c r="EA109" s="9">
        <v>2E-3</v>
      </c>
      <c r="EB109" s="9">
        <v>1.2E-2</v>
      </c>
      <c r="EC109" s="9"/>
      <c r="ED109" s="9"/>
      <c r="EE109" s="9"/>
      <c r="EF109" s="46">
        <f>Tabelle58971121[[#This Row],[Durchschnittsauslastung min]]*Tabelle58971121[[#This Row],[installierte Leistung MW min]]</f>
        <v>0</v>
      </c>
      <c r="EG109" s="46">
        <f>Tabelle58971121[[#This Row],[Durchschnittsauslastung durch]]*Tabelle58971121[[#This Row],[installierte Leistung MW durch]]</f>
        <v>0</v>
      </c>
      <c r="EH109" s="46">
        <f>Tabelle58971121[[#This Row],[Durchschnittsauslastung max]]*Tabelle58971121[[#This Row],[installierte Leistung MW max]]</f>
        <v>0</v>
      </c>
      <c r="EI109" s="83">
        <f>Tabelle58971121[[#This Row],[Maximalauslastung durch]]*Tabelle58971121[[#This Row],[installierte Leistung MW min]]</f>
        <v>600.70920000000001</v>
      </c>
      <c r="EJ109" s="46">
        <f>Tabelle58971121[[#This Row],[Maximalauslastung durch]]*Tabelle58971121[[#This Row],[installierte Leistung MW durch]]</f>
        <v>601.95590000000004</v>
      </c>
      <c r="EK109" s="19">
        <f>Tabelle58971121[[#This Row],[Maximalauslastung max]]*Tabelle58971121[[#This Row],[installierte Leistung MW durch]]</f>
        <v>1461.8929000000001</v>
      </c>
      <c r="EL109" s="9">
        <v>1.4E-2</v>
      </c>
      <c r="EM109" s="9">
        <v>0</v>
      </c>
      <c r="EN109" s="9">
        <v>3.4000000000000002E-2</v>
      </c>
      <c r="EO109" s="1">
        <v>42996.85</v>
      </c>
      <c r="EP109" s="1">
        <v>42907.8</v>
      </c>
      <c r="EQ109" s="1">
        <v>43085.9</v>
      </c>
      <c r="ER109" s="19"/>
      <c r="ES109" s="19"/>
      <c r="EX109" s="1">
        <v>1.75</v>
      </c>
      <c r="EY109" s="1">
        <v>1.1499999999999999</v>
      </c>
      <c r="EZ109" s="1">
        <v>2.35</v>
      </c>
      <c r="FD109" s="1">
        <v>1.75</v>
      </c>
      <c r="FE109" s="1">
        <v>0.5</v>
      </c>
      <c r="FF109" s="1">
        <v>3</v>
      </c>
      <c r="FG109" s="1">
        <v>3.5</v>
      </c>
      <c r="FH109" s="1">
        <v>2.2999999999999998</v>
      </c>
      <c r="FI109" s="1">
        <v>4.7</v>
      </c>
      <c r="FJ109" s="1">
        <v>3.5</v>
      </c>
      <c r="FK109" s="1">
        <v>3.5</v>
      </c>
      <c r="FL109" s="1">
        <v>3.5</v>
      </c>
      <c r="FP109" s="1" t="s">
        <v>1084</v>
      </c>
      <c r="FQ109" s="1" t="s">
        <v>1084</v>
      </c>
      <c r="FR109" s="1" t="s">
        <v>1084</v>
      </c>
      <c r="FS109" s="11"/>
      <c r="FT109" s="11"/>
      <c r="FU109" s="11"/>
      <c r="FV109" s="1">
        <v>220</v>
      </c>
      <c r="FW109" s="1">
        <v>198</v>
      </c>
      <c r="FX109" s="1">
        <v>242</v>
      </c>
      <c r="FY109" s="1">
        <v>92.50411764705882</v>
      </c>
      <c r="FZ109" s="19">
        <v>83.243529411764712</v>
      </c>
      <c r="GA109" s="19">
        <v>101.76470588235293</v>
      </c>
      <c r="GB109" s="19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>
        <v>753.05882352941171</v>
      </c>
      <c r="GO109" s="8">
        <v>745.52823529411762</v>
      </c>
      <c r="GP109" s="8">
        <v>760.5894117647058</v>
      </c>
      <c r="GS109" s="1">
        <v>67</v>
      </c>
      <c r="GT109" s="1">
        <v>67</v>
      </c>
      <c r="GU109" s="1">
        <v>67</v>
      </c>
      <c r="GV109" s="13" t="s">
        <v>806</v>
      </c>
      <c r="GW109" s="13" t="s">
        <v>806</v>
      </c>
      <c r="GX109" s="13" t="s">
        <v>806</v>
      </c>
      <c r="GY109" s="13"/>
      <c r="GZ109" s="13" t="s">
        <v>806</v>
      </c>
      <c r="HA109" s="13" t="s">
        <v>806</v>
      </c>
      <c r="HB109" s="13" t="s">
        <v>806</v>
      </c>
      <c r="HC109" s="13" t="s">
        <v>806</v>
      </c>
      <c r="HD109" s="13" t="s">
        <v>806</v>
      </c>
      <c r="HE109" s="13" t="s">
        <v>806</v>
      </c>
      <c r="HF109" s="13" t="s">
        <v>806</v>
      </c>
      <c r="HI109" s="13" t="s">
        <v>806</v>
      </c>
      <c r="HJ109" s="13" t="s">
        <v>806</v>
      </c>
      <c r="HL109" s="13" t="s">
        <v>806</v>
      </c>
    </row>
    <row r="110" spans="1:223" ht="12.75" customHeight="1" x14ac:dyDescent="0.25">
      <c r="A110" s="1" t="s">
        <v>129</v>
      </c>
      <c r="B110" s="1" t="s">
        <v>746</v>
      </c>
      <c r="E110" s="1" t="s">
        <v>139</v>
      </c>
      <c r="F110" s="1">
        <v>2</v>
      </c>
      <c r="G110" s="1">
        <v>2035</v>
      </c>
      <c r="H110" s="1">
        <v>0</v>
      </c>
      <c r="I110" s="1">
        <v>0</v>
      </c>
      <c r="J110" s="1">
        <v>1</v>
      </c>
      <c r="K110" s="19"/>
      <c r="L110" s="19"/>
      <c r="M110" s="19"/>
      <c r="N110" s="19"/>
      <c r="O110" s="19"/>
      <c r="P110" s="19"/>
      <c r="Q110" s="19">
        <v>10.253094999999918</v>
      </c>
      <c r="R110" s="19">
        <v>0</v>
      </c>
      <c r="S110" s="19">
        <v>164.38927999999993</v>
      </c>
      <c r="T110" s="19"/>
      <c r="U110" s="19"/>
      <c r="V110" s="19"/>
      <c r="W110" s="19">
        <v>235.82118499999999</v>
      </c>
      <c r="X110" s="19">
        <v>0</v>
      </c>
      <c r="Y110" s="19">
        <v>1315.1142400000001</v>
      </c>
      <c r="Z110" s="19">
        <v>10.253094999999918</v>
      </c>
      <c r="AA110" s="19">
        <v>0</v>
      </c>
      <c r="AB110" s="19">
        <v>164.38927999999993</v>
      </c>
      <c r="AC110" s="19"/>
      <c r="AD110" s="19"/>
      <c r="AE110" s="19"/>
      <c r="AF110" s="19">
        <v>235.82118499999999</v>
      </c>
      <c r="AG110" s="19">
        <v>0</v>
      </c>
      <c r="AH110" s="19">
        <v>1315.1142400000001</v>
      </c>
      <c r="AI110" s="19">
        <v>10.253094999999918</v>
      </c>
      <c r="AJ110" s="19">
        <v>0</v>
      </c>
      <c r="AK110" s="19">
        <v>164.38927999999993</v>
      </c>
      <c r="AL110" s="19">
        <v>235.82118499999999</v>
      </c>
      <c r="AM110" s="19">
        <v>0</v>
      </c>
      <c r="AN110" s="19">
        <v>1315.1142400000001</v>
      </c>
      <c r="AO110" s="19">
        <v>10.253094999999918</v>
      </c>
      <c r="AP110" s="19">
        <v>0</v>
      </c>
      <c r="AQ110" s="19">
        <v>164.38927999999993</v>
      </c>
      <c r="AR110" s="19"/>
      <c r="AS110" s="19"/>
      <c r="AT110" s="19"/>
      <c r="AU110" s="19">
        <v>235.82118499999999</v>
      </c>
      <c r="AV110" s="19">
        <v>0</v>
      </c>
      <c r="AW110" s="19">
        <v>1315.1142400000001</v>
      </c>
      <c r="AX110" s="19">
        <v>10.253094999999918</v>
      </c>
      <c r="AY110" s="19">
        <v>0</v>
      </c>
      <c r="AZ110" s="19">
        <v>164.38927999999993</v>
      </c>
      <c r="BA110" s="19"/>
      <c r="BB110" s="19"/>
      <c r="BC110" s="19"/>
      <c r="BD110" s="19">
        <v>235.82118499999999</v>
      </c>
      <c r="BE110" s="19">
        <v>0</v>
      </c>
      <c r="BF110" s="19">
        <v>1315.1142400000001</v>
      </c>
      <c r="BG110" s="19">
        <v>10.253094999999918</v>
      </c>
      <c r="BH110" s="19">
        <v>0</v>
      </c>
      <c r="BI110" s="19">
        <v>164.38927999999993</v>
      </c>
      <c r="BJ110" s="19"/>
      <c r="BK110" s="19"/>
      <c r="BL110" s="19"/>
      <c r="BM110" s="19">
        <v>235.82118499999999</v>
      </c>
      <c r="BN110" s="19">
        <v>0</v>
      </c>
      <c r="BO110" s="19">
        <v>1315.1142400000001</v>
      </c>
      <c r="BP110" s="19">
        <v>10.253094999999918</v>
      </c>
      <c r="BQ110" s="19">
        <v>0</v>
      </c>
      <c r="BR110" s="19">
        <v>164.38927999999993</v>
      </c>
      <c r="BS110" s="19"/>
      <c r="BT110" s="19"/>
      <c r="BU110" s="19"/>
      <c r="BV110" s="19">
        <v>235.82118499999999</v>
      </c>
      <c r="BW110" s="19">
        <v>0</v>
      </c>
      <c r="BX110" s="19">
        <v>1315.1142400000001</v>
      </c>
      <c r="BY110" s="19">
        <v>10.253094999999918</v>
      </c>
      <c r="BZ110" s="19">
        <v>0</v>
      </c>
      <c r="CA110" s="19">
        <v>164.38927999999993</v>
      </c>
      <c r="CB110" s="19"/>
      <c r="CC110" s="19"/>
      <c r="CD110" s="19"/>
      <c r="CE110" s="19">
        <v>235.82118499999999</v>
      </c>
      <c r="CF110" s="19">
        <v>0</v>
      </c>
      <c r="CG110" s="19">
        <v>1315.1142400000001</v>
      </c>
      <c r="CH110" s="19">
        <v>10.253094999999918</v>
      </c>
      <c r="CI110" s="19">
        <v>0</v>
      </c>
      <c r="CJ110" s="19">
        <v>164.38927999999993</v>
      </c>
      <c r="CK110" s="19"/>
      <c r="CL110" s="19"/>
      <c r="CM110" s="19"/>
      <c r="CN110" s="19">
        <v>235.82118499999999</v>
      </c>
      <c r="CO110" s="19">
        <v>0</v>
      </c>
      <c r="CP110" s="19">
        <v>1315.1142400000001</v>
      </c>
      <c r="CQ110" s="19"/>
      <c r="CR110" s="19"/>
      <c r="CS110" s="19"/>
      <c r="CT110" s="19"/>
      <c r="CU110" s="11">
        <f>Tabelle58971121[[#This Row],[Mindestauslastung durch]]*Tabelle58971121[[#This Row],[installierte Leistung MW durch]]</f>
        <v>328.09904</v>
      </c>
      <c r="CV110" s="11">
        <f>Tabelle58971121[[#This Row],[Mindestauslastung min]]*Tabelle58971121[[#This Row],[installierte Leistung MW min]]</f>
        <v>327.41952000000003</v>
      </c>
      <c r="CW110" s="11">
        <f>Tabelle58971121[[#This Row],[Mindestauslastung max]]*Tabelle58971121[[#This Row],[installierte Leistung MW max]]</f>
        <v>328.77856000000003</v>
      </c>
      <c r="CX110" s="9">
        <v>8.0000000000000002E-3</v>
      </c>
      <c r="CY110" s="9">
        <v>8.0000000000000002E-3</v>
      </c>
      <c r="CZ110" s="9">
        <v>8.0000000000000002E-3</v>
      </c>
      <c r="DA110" s="9"/>
      <c r="DB110" s="9">
        <v>8.2499999999999987E-3</v>
      </c>
      <c r="DC110" s="9">
        <v>2E-3</v>
      </c>
      <c r="DD110" s="9">
        <v>1.2E-2</v>
      </c>
      <c r="DE110" s="9">
        <v>8.2499999999999987E-3</v>
      </c>
      <c r="DF110" s="9">
        <v>2E-3</v>
      </c>
      <c r="DG110" s="9">
        <v>1.2E-2</v>
      </c>
      <c r="DH110" s="9">
        <v>8.2499999999999987E-3</v>
      </c>
      <c r="DI110" s="9">
        <v>2E-3</v>
      </c>
      <c r="DJ110" s="9">
        <v>1.2E-2</v>
      </c>
      <c r="DK110" s="9">
        <v>8.2499999999999987E-3</v>
      </c>
      <c r="DL110" s="9">
        <v>2E-3</v>
      </c>
      <c r="DM110" s="9">
        <v>1.2E-2</v>
      </c>
      <c r="DN110" s="9">
        <v>8.2499999999999987E-3</v>
      </c>
      <c r="DO110" s="9">
        <v>2E-3</v>
      </c>
      <c r="DP110" s="9">
        <v>1.2E-2</v>
      </c>
      <c r="DQ110" s="9">
        <v>8.2499999999999987E-3</v>
      </c>
      <c r="DR110" s="9">
        <v>2E-3</v>
      </c>
      <c r="DS110" s="9">
        <v>1.2E-2</v>
      </c>
      <c r="DT110" s="9">
        <v>8.2499999999999987E-3</v>
      </c>
      <c r="DU110" s="9">
        <v>2E-3</v>
      </c>
      <c r="DV110" s="9">
        <v>1.2E-2</v>
      </c>
      <c r="DW110" s="9">
        <v>8.2499999999999987E-3</v>
      </c>
      <c r="DX110" s="9">
        <v>2E-3</v>
      </c>
      <c r="DY110" s="9">
        <v>1.2E-2</v>
      </c>
      <c r="DZ110" s="9">
        <v>8.2499999999999987E-3</v>
      </c>
      <c r="EA110" s="9">
        <v>2E-3</v>
      </c>
      <c r="EB110" s="9">
        <v>1.2E-2</v>
      </c>
      <c r="EC110" s="9"/>
      <c r="ED110" s="9"/>
      <c r="EE110" s="9"/>
      <c r="EF110" s="46">
        <f>Tabelle58971121[[#This Row],[Durchschnittsauslastung min]]*Tabelle58971121[[#This Row],[installierte Leistung MW min]]</f>
        <v>0</v>
      </c>
      <c r="EG110" s="46">
        <f>Tabelle58971121[[#This Row],[Durchschnittsauslastung durch]]*Tabelle58971121[[#This Row],[installierte Leistung MW durch]]</f>
        <v>0</v>
      </c>
      <c r="EH110" s="46">
        <f>Tabelle58971121[[#This Row],[Durchschnittsauslastung max]]*Tabelle58971121[[#This Row],[installierte Leistung MW max]]</f>
        <v>0</v>
      </c>
      <c r="EI110" s="83">
        <f>Tabelle58971121[[#This Row],[Maximalauslastung durch]]*Tabelle58971121[[#This Row],[installierte Leistung MW min]]</f>
        <v>572.98416000000009</v>
      </c>
      <c r="EJ110" s="46">
        <f>Tabelle58971121[[#This Row],[Maximalauslastung durch]]*Tabelle58971121[[#This Row],[installierte Leistung MW durch]]</f>
        <v>574.17331999999999</v>
      </c>
      <c r="EK110" s="19">
        <f>Tabelle58971121[[#This Row],[Maximalauslastung max]]*Tabelle58971121[[#This Row],[installierte Leistung MW durch]]</f>
        <v>1394.42092</v>
      </c>
      <c r="EL110" s="9">
        <v>1.4E-2</v>
      </c>
      <c r="EM110" s="9">
        <v>0</v>
      </c>
      <c r="EN110" s="9">
        <v>3.4000000000000002E-2</v>
      </c>
      <c r="EO110" s="1">
        <v>41012.379999999997</v>
      </c>
      <c r="EP110" s="1">
        <v>40927.440000000002</v>
      </c>
      <c r="EQ110" s="1">
        <v>41097.32</v>
      </c>
      <c r="ER110" s="19"/>
      <c r="ES110" s="19"/>
      <c r="EX110" s="1">
        <v>1.75</v>
      </c>
      <c r="EY110" s="1">
        <v>1.1499999999999999</v>
      </c>
      <c r="EZ110" s="1">
        <v>2.35</v>
      </c>
      <c r="FD110" s="1">
        <v>1.75</v>
      </c>
      <c r="FE110" s="1">
        <v>0.5</v>
      </c>
      <c r="FF110" s="1">
        <v>3</v>
      </c>
      <c r="FG110" s="1">
        <v>3.5</v>
      </c>
      <c r="FH110" s="1">
        <v>2.2999999999999998</v>
      </c>
      <c r="FI110" s="1">
        <v>4.7</v>
      </c>
      <c r="FJ110" s="1">
        <v>3.5</v>
      </c>
      <c r="FK110" s="1">
        <v>3.5</v>
      </c>
      <c r="FL110" s="1">
        <v>3.5</v>
      </c>
      <c r="FP110" s="1" t="s">
        <v>1084</v>
      </c>
      <c r="FQ110" s="1" t="s">
        <v>1084</v>
      </c>
      <c r="FR110" s="1" t="s">
        <v>1084</v>
      </c>
      <c r="FS110" s="11"/>
      <c r="FT110" s="11"/>
      <c r="FU110" s="11"/>
      <c r="FV110" s="1">
        <v>220</v>
      </c>
      <c r="FW110" s="1">
        <v>198</v>
      </c>
      <c r="FX110" s="1">
        <v>242</v>
      </c>
      <c r="FY110" s="1">
        <v>92.50411764705882</v>
      </c>
      <c r="FZ110" s="19">
        <v>83.243529411764712</v>
      </c>
      <c r="GA110" s="19">
        <v>101.76470588235293</v>
      </c>
      <c r="GB110" s="19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>
        <v>753.05882352941171</v>
      </c>
      <c r="GO110" s="8">
        <v>745.52823529411762</v>
      </c>
      <c r="GP110" s="8">
        <v>760.5894117647058</v>
      </c>
      <c r="GS110" s="1">
        <v>67</v>
      </c>
      <c r="GT110" s="1">
        <v>67</v>
      </c>
      <c r="GU110" s="1">
        <v>67</v>
      </c>
      <c r="GV110" s="13" t="s">
        <v>806</v>
      </c>
      <c r="GW110" s="13" t="s">
        <v>806</v>
      </c>
      <c r="GX110" s="13" t="s">
        <v>806</v>
      </c>
      <c r="GY110" s="13"/>
      <c r="GZ110" s="13" t="s">
        <v>806</v>
      </c>
      <c r="HA110" s="13" t="s">
        <v>806</v>
      </c>
      <c r="HB110" s="13" t="s">
        <v>806</v>
      </c>
      <c r="HC110" s="13" t="s">
        <v>806</v>
      </c>
      <c r="HD110" s="13" t="s">
        <v>806</v>
      </c>
      <c r="HE110" s="13" t="s">
        <v>806</v>
      </c>
      <c r="HF110" s="13" t="s">
        <v>806</v>
      </c>
      <c r="HI110" s="13" t="s">
        <v>806</v>
      </c>
      <c r="HJ110" s="13" t="s">
        <v>806</v>
      </c>
      <c r="HL110" s="13" t="s">
        <v>806</v>
      </c>
    </row>
    <row r="111" spans="1:223" ht="12.75" customHeight="1" x14ac:dyDescent="0.25">
      <c r="A111" s="1" t="s">
        <v>129</v>
      </c>
      <c r="B111" s="1" t="s">
        <v>746</v>
      </c>
      <c r="E111" s="1" t="s">
        <v>139</v>
      </c>
      <c r="F111" s="1">
        <v>2</v>
      </c>
      <c r="G111" s="1">
        <v>2040</v>
      </c>
      <c r="H111" s="1">
        <v>0</v>
      </c>
      <c r="I111" s="1">
        <v>0</v>
      </c>
      <c r="J111" s="1">
        <v>1</v>
      </c>
      <c r="K111" s="19"/>
      <c r="L111" s="19"/>
      <c r="M111" s="19"/>
      <c r="N111" s="19"/>
      <c r="O111" s="19"/>
      <c r="P111" s="19"/>
      <c r="Q111" s="19">
        <v>9.5916049999999231</v>
      </c>
      <c r="R111" s="19">
        <v>0</v>
      </c>
      <c r="S111" s="19">
        <v>153.78351999999992</v>
      </c>
      <c r="T111" s="19"/>
      <c r="U111" s="19"/>
      <c r="V111" s="19"/>
      <c r="W111" s="19">
        <v>220.60691499999996</v>
      </c>
      <c r="X111" s="19">
        <v>0</v>
      </c>
      <c r="Y111" s="19">
        <v>1230.2681599999999</v>
      </c>
      <c r="Z111" s="19">
        <v>9.5916049999999231</v>
      </c>
      <c r="AA111" s="19">
        <v>0</v>
      </c>
      <c r="AB111" s="19">
        <v>153.78351999999992</v>
      </c>
      <c r="AC111" s="19"/>
      <c r="AD111" s="19"/>
      <c r="AE111" s="19"/>
      <c r="AF111" s="19">
        <v>220.60691499999996</v>
      </c>
      <c r="AG111" s="19">
        <v>0</v>
      </c>
      <c r="AH111" s="19">
        <v>1230.2681599999999</v>
      </c>
      <c r="AI111" s="19">
        <v>9.5916049999999231</v>
      </c>
      <c r="AJ111" s="19">
        <v>0</v>
      </c>
      <c r="AK111" s="19">
        <v>153.78351999999992</v>
      </c>
      <c r="AL111" s="19">
        <v>220.60691499999996</v>
      </c>
      <c r="AM111" s="19">
        <v>0</v>
      </c>
      <c r="AN111" s="19">
        <v>1230.2681599999999</v>
      </c>
      <c r="AO111" s="19">
        <v>9.5916049999999231</v>
      </c>
      <c r="AP111" s="19">
        <v>0</v>
      </c>
      <c r="AQ111" s="19">
        <v>153.78351999999992</v>
      </c>
      <c r="AR111" s="19"/>
      <c r="AS111" s="19"/>
      <c r="AT111" s="19"/>
      <c r="AU111" s="19">
        <v>220.60691499999996</v>
      </c>
      <c r="AV111" s="19">
        <v>0</v>
      </c>
      <c r="AW111" s="19">
        <v>1230.2681599999999</v>
      </c>
      <c r="AX111" s="19">
        <v>9.5916049999999231</v>
      </c>
      <c r="AY111" s="19">
        <v>0</v>
      </c>
      <c r="AZ111" s="19">
        <v>153.78351999999992</v>
      </c>
      <c r="BA111" s="19"/>
      <c r="BB111" s="19"/>
      <c r="BC111" s="19"/>
      <c r="BD111" s="19">
        <v>220.60691499999996</v>
      </c>
      <c r="BE111" s="19">
        <v>0</v>
      </c>
      <c r="BF111" s="19">
        <v>1230.2681599999999</v>
      </c>
      <c r="BG111" s="19">
        <v>9.5916049999999231</v>
      </c>
      <c r="BH111" s="19">
        <v>0</v>
      </c>
      <c r="BI111" s="19">
        <v>153.78351999999992</v>
      </c>
      <c r="BJ111" s="19"/>
      <c r="BK111" s="19"/>
      <c r="BL111" s="19"/>
      <c r="BM111" s="19">
        <v>220.60691499999996</v>
      </c>
      <c r="BN111" s="19">
        <v>0</v>
      </c>
      <c r="BO111" s="19">
        <v>1230.2681599999999</v>
      </c>
      <c r="BP111" s="19">
        <v>9.5916049999999231</v>
      </c>
      <c r="BQ111" s="19">
        <v>0</v>
      </c>
      <c r="BR111" s="19">
        <v>153.78351999999992</v>
      </c>
      <c r="BS111" s="19"/>
      <c r="BT111" s="19"/>
      <c r="BU111" s="19"/>
      <c r="BV111" s="19">
        <v>220.60691499999996</v>
      </c>
      <c r="BW111" s="19">
        <v>0</v>
      </c>
      <c r="BX111" s="19">
        <v>1230.2681599999999</v>
      </c>
      <c r="BY111" s="19">
        <v>9.5916049999999231</v>
      </c>
      <c r="BZ111" s="19">
        <v>0</v>
      </c>
      <c r="CA111" s="19">
        <v>153.78351999999992</v>
      </c>
      <c r="CB111" s="19"/>
      <c r="CC111" s="19"/>
      <c r="CD111" s="19"/>
      <c r="CE111" s="19">
        <v>220.60691499999996</v>
      </c>
      <c r="CF111" s="19">
        <v>0</v>
      </c>
      <c r="CG111" s="19">
        <v>1230.2681599999999</v>
      </c>
      <c r="CH111" s="19">
        <v>9.5916049999999231</v>
      </c>
      <c r="CI111" s="19">
        <v>0</v>
      </c>
      <c r="CJ111" s="19">
        <v>153.78351999999992</v>
      </c>
      <c r="CK111" s="19"/>
      <c r="CL111" s="19"/>
      <c r="CM111" s="19"/>
      <c r="CN111" s="19">
        <v>220.60691499999996</v>
      </c>
      <c r="CO111" s="19">
        <v>0</v>
      </c>
      <c r="CP111" s="19">
        <v>1230.2681599999999</v>
      </c>
      <c r="CQ111" s="19"/>
      <c r="CR111" s="19"/>
      <c r="CS111" s="19"/>
      <c r="CT111" s="19"/>
      <c r="CU111" s="11">
        <f>Tabelle58971121[[#This Row],[Mindestauslastung durch]]*Tabelle58971121[[#This Row],[installierte Leistung MW durch]]</f>
        <v>306.93135999999998</v>
      </c>
      <c r="CV111" s="11">
        <f>Tabelle58971121[[#This Row],[Mindestauslastung min]]*Tabelle58971121[[#This Row],[installierte Leistung MW min]]</f>
        <v>306.29568</v>
      </c>
      <c r="CW111" s="11">
        <f>Tabelle58971121[[#This Row],[Mindestauslastung max]]*Tabelle58971121[[#This Row],[installierte Leistung MW max]]</f>
        <v>307.56703999999996</v>
      </c>
      <c r="CX111" s="9">
        <v>8.0000000000000002E-3</v>
      </c>
      <c r="CY111" s="9">
        <v>8.0000000000000002E-3</v>
      </c>
      <c r="CZ111" s="9">
        <v>8.0000000000000002E-3</v>
      </c>
      <c r="DA111" s="9"/>
      <c r="DB111" s="9">
        <v>8.2499999999999987E-3</v>
      </c>
      <c r="DC111" s="9">
        <v>2E-3</v>
      </c>
      <c r="DD111" s="9">
        <v>1.2E-2</v>
      </c>
      <c r="DE111" s="9">
        <v>8.2499999999999987E-3</v>
      </c>
      <c r="DF111" s="9">
        <v>2E-3</v>
      </c>
      <c r="DG111" s="9">
        <v>1.2E-2</v>
      </c>
      <c r="DH111" s="9">
        <v>8.2499999999999987E-3</v>
      </c>
      <c r="DI111" s="9">
        <v>2E-3</v>
      </c>
      <c r="DJ111" s="9">
        <v>1.2E-2</v>
      </c>
      <c r="DK111" s="9">
        <v>8.2499999999999987E-3</v>
      </c>
      <c r="DL111" s="9">
        <v>2E-3</v>
      </c>
      <c r="DM111" s="9">
        <v>1.2E-2</v>
      </c>
      <c r="DN111" s="9">
        <v>8.2499999999999987E-3</v>
      </c>
      <c r="DO111" s="9">
        <v>2E-3</v>
      </c>
      <c r="DP111" s="9">
        <v>1.2E-2</v>
      </c>
      <c r="DQ111" s="9">
        <v>8.2499999999999987E-3</v>
      </c>
      <c r="DR111" s="9">
        <v>2E-3</v>
      </c>
      <c r="DS111" s="9">
        <v>1.2E-2</v>
      </c>
      <c r="DT111" s="9">
        <v>8.2499999999999987E-3</v>
      </c>
      <c r="DU111" s="9">
        <v>2E-3</v>
      </c>
      <c r="DV111" s="9">
        <v>1.2E-2</v>
      </c>
      <c r="DW111" s="9">
        <v>8.2499999999999987E-3</v>
      </c>
      <c r="DX111" s="9">
        <v>2E-3</v>
      </c>
      <c r="DY111" s="9">
        <v>1.2E-2</v>
      </c>
      <c r="DZ111" s="9">
        <v>8.2499999999999987E-3</v>
      </c>
      <c r="EA111" s="9">
        <v>2E-3</v>
      </c>
      <c r="EB111" s="9">
        <v>1.2E-2</v>
      </c>
      <c r="EC111" s="9"/>
      <c r="ED111" s="9"/>
      <c r="EE111" s="9"/>
      <c r="EF111" s="46">
        <f>Tabelle58971121[[#This Row],[Durchschnittsauslastung min]]*Tabelle58971121[[#This Row],[installierte Leistung MW min]]</f>
        <v>0</v>
      </c>
      <c r="EG111" s="46">
        <f>Tabelle58971121[[#This Row],[Durchschnittsauslastung durch]]*Tabelle58971121[[#This Row],[installierte Leistung MW durch]]</f>
        <v>0</v>
      </c>
      <c r="EH111" s="46">
        <f>Tabelle58971121[[#This Row],[Durchschnittsauslastung max]]*Tabelle58971121[[#This Row],[installierte Leistung MW max]]</f>
        <v>0</v>
      </c>
      <c r="EI111" s="83">
        <f>Tabelle58971121[[#This Row],[Maximalauslastung durch]]*Tabelle58971121[[#This Row],[installierte Leistung MW min]]</f>
        <v>536.01743999999997</v>
      </c>
      <c r="EJ111" s="46">
        <f>Tabelle58971121[[#This Row],[Maximalauslastung durch]]*Tabelle58971121[[#This Row],[installierte Leistung MW durch]]</f>
        <v>537.12987999999996</v>
      </c>
      <c r="EK111" s="19">
        <f>Tabelle58971121[[#This Row],[Maximalauslastung max]]*Tabelle58971121[[#This Row],[installierte Leistung MW durch]]</f>
        <v>1304.4582800000001</v>
      </c>
      <c r="EL111" s="9">
        <v>1.4E-2</v>
      </c>
      <c r="EM111" s="9">
        <v>0</v>
      </c>
      <c r="EN111" s="9">
        <v>3.4000000000000002E-2</v>
      </c>
      <c r="EO111" s="1">
        <v>38366.42</v>
      </c>
      <c r="EP111" s="1">
        <v>38286.959999999999</v>
      </c>
      <c r="EQ111" s="1">
        <v>38445.879999999997</v>
      </c>
      <c r="ER111" s="19"/>
      <c r="ES111" s="19"/>
      <c r="EX111" s="1">
        <v>1.75</v>
      </c>
      <c r="EY111" s="1">
        <v>1.1499999999999999</v>
      </c>
      <c r="EZ111" s="1">
        <v>2.35</v>
      </c>
      <c r="FD111" s="1">
        <v>1.75</v>
      </c>
      <c r="FE111" s="1">
        <v>0.5</v>
      </c>
      <c r="FF111" s="1">
        <v>3</v>
      </c>
      <c r="FG111" s="1">
        <v>3.5</v>
      </c>
      <c r="FH111" s="1">
        <v>2.2999999999999998</v>
      </c>
      <c r="FI111" s="1">
        <v>4.7</v>
      </c>
      <c r="FJ111" s="1">
        <v>3.5</v>
      </c>
      <c r="FK111" s="1">
        <v>3.5</v>
      </c>
      <c r="FL111" s="1">
        <v>3.5</v>
      </c>
      <c r="FP111" s="1" t="s">
        <v>1084</v>
      </c>
      <c r="FQ111" s="1" t="s">
        <v>1084</v>
      </c>
      <c r="FR111" s="1" t="s">
        <v>1084</v>
      </c>
      <c r="FS111" s="11"/>
      <c r="FT111" s="11"/>
      <c r="FU111" s="11"/>
      <c r="FV111" s="1">
        <v>220</v>
      </c>
      <c r="FW111" s="1">
        <v>198</v>
      </c>
      <c r="FX111" s="1">
        <v>242</v>
      </c>
      <c r="FY111" s="1">
        <v>92.50411764705882</v>
      </c>
      <c r="FZ111" s="19">
        <v>83.243529411764712</v>
      </c>
      <c r="GA111" s="19">
        <v>101.76470588235293</v>
      </c>
      <c r="GB111" s="19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>
        <v>753.05882352941171</v>
      </c>
      <c r="GO111" s="8">
        <v>745.52823529411762</v>
      </c>
      <c r="GP111" s="8">
        <v>760.5894117647058</v>
      </c>
      <c r="GS111" s="1">
        <v>67</v>
      </c>
      <c r="GT111" s="1">
        <v>67</v>
      </c>
      <c r="GU111" s="1">
        <v>67</v>
      </c>
      <c r="GV111" s="13" t="s">
        <v>806</v>
      </c>
      <c r="GW111" s="13" t="s">
        <v>806</v>
      </c>
      <c r="GX111" s="13" t="s">
        <v>806</v>
      </c>
      <c r="GY111" s="13"/>
      <c r="GZ111" s="13" t="s">
        <v>806</v>
      </c>
      <c r="HA111" s="13" t="s">
        <v>806</v>
      </c>
      <c r="HB111" s="13" t="s">
        <v>806</v>
      </c>
      <c r="HC111" s="13" t="s">
        <v>806</v>
      </c>
      <c r="HD111" s="13" t="s">
        <v>806</v>
      </c>
      <c r="HE111" s="13" t="s">
        <v>806</v>
      </c>
      <c r="HF111" s="13" t="s">
        <v>806</v>
      </c>
      <c r="HI111" s="13" t="s">
        <v>806</v>
      </c>
      <c r="HJ111" s="13" t="s">
        <v>806</v>
      </c>
      <c r="HL111" s="13" t="s">
        <v>806</v>
      </c>
    </row>
    <row r="112" spans="1:223" ht="12.75" customHeight="1" x14ac:dyDescent="0.25">
      <c r="A112" s="1" t="s">
        <v>129</v>
      </c>
      <c r="B112" s="1" t="s">
        <v>746</v>
      </c>
      <c r="E112" s="1" t="s">
        <v>139</v>
      </c>
      <c r="F112" s="1">
        <v>2</v>
      </c>
      <c r="G112" s="1">
        <v>2045</v>
      </c>
      <c r="H112" s="1">
        <v>0</v>
      </c>
      <c r="I112" s="1">
        <v>0</v>
      </c>
      <c r="J112" s="1">
        <v>1</v>
      </c>
      <c r="K112" s="19"/>
      <c r="L112" s="19"/>
      <c r="M112" s="19"/>
      <c r="N112" s="19"/>
      <c r="O112" s="19"/>
      <c r="P112" s="19"/>
      <c r="Q112" s="19">
        <v>9.095487499999928</v>
      </c>
      <c r="R112" s="19">
        <v>0</v>
      </c>
      <c r="S112" s="19">
        <v>145.82919999999996</v>
      </c>
      <c r="T112" s="19"/>
      <c r="U112" s="19"/>
      <c r="V112" s="19"/>
      <c r="W112" s="19">
        <v>209.1962125</v>
      </c>
      <c r="X112" s="19">
        <v>0</v>
      </c>
      <c r="Y112" s="19">
        <v>1166.6336000000001</v>
      </c>
      <c r="Z112" s="19">
        <v>9.095487499999928</v>
      </c>
      <c r="AA112" s="19">
        <v>0</v>
      </c>
      <c r="AB112" s="19">
        <v>145.82919999999996</v>
      </c>
      <c r="AC112" s="19"/>
      <c r="AD112" s="19"/>
      <c r="AE112" s="19"/>
      <c r="AF112" s="19">
        <v>209.1962125</v>
      </c>
      <c r="AG112" s="19">
        <v>0</v>
      </c>
      <c r="AH112" s="19">
        <v>1166.6336000000001</v>
      </c>
      <c r="AI112" s="19">
        <v>9.095487499999928</v>
      </c>
      <c r="AJ112" s="19">
        <v>0</v>
      </c>
      <c r="AK112" s="19">
        <v>145.82919999999996</v>
      </c>
      <c r="AL112" s="19">
        <v>209.1962125</v>
      </c>
      <c r="AM112" s="19">
        <v>0</v>
      </c>
      <c r="AN112" s="19">
        <v>1166.6336000000001</v>
      </c>
      <c r="AO112" s="19">
        <v>9.095487499999928</v>
      </c>
      <c r="AP112" s="19">
        <v>0</v>
      </c>
      <c r="AQ112" s="19">
        <v>145.82919999999996</v>
      </c>
      <c r="AR112" s="19"/>
      <c r="AS112" s="19"/>
      <c r="AT112" s="19"/>
      <c r="AU112" s="19">
        <v>209.1962125</v>
      </c>
      <c r="AV112" s="19">
        <v>0</v>
      </c>
      <c r="AW112" s="19">
        <v>1166.6336000000001</v>
      </c>
      <c r="AX112" s="19">
        <v>9.095487499999928</v>
      </c>
      <c r="AY112" s="19">
        <v>0</v>
      </c>
      <c r="AZ112" s="19">
        <v>145.82919999999996</v>
      </c>
      <c r="BA112" s="19"/>
      <c r="BB112" s="19"/>
      <c r="BC112" s="19"/>
      <c r="BD112" s="19">
        <v>209.1962125</v>
      </c>
      <c r="BE112" s="19">
        <v>0</v>
      </c>
      <c r="BF112" s="19">
        <v>1166.6336000000001</v>
      </c>
      <c r="BG112" s="19">
        <v>9.095487499999928</v>
      </c>
      <c r="BH112" s="19">
        <v>0</v>
      </c>
      <c r="BI112" s="19">
        <v>145.82919999999996</v>
      </c>
      <c r="BJ112" s="19"/>
      <c r="BK112" s="19"/>
      <c r="BL112" s="19"/>
      <c r="BM112" s="19">
        <v>209.1962125</v>
      </c>
      <c r="BN112" s="19">
        <v>0</v>
      </c>
      <c r="BO112" s="19">
        <v>1166.6336000000001</v>
      </c>
      <c r="BP112" s="19">
        <v>9.095487499999928</v>
      </c>
      <c r="BQ112" s="19">
        <v>0</v>
      </c>
      <c r="BR112" s="19">
        <v>145.82919999999996</v>
      </c>
      <c r="BS112" s="19"/>
      <c r="BT112" s="19"/>
      <c r="BU112" s="19"/>
      <c r="BV112" s="19">
        <v>209.1962125</v>
      </c>
      <c r="BW112" s="19">
        <v>0</v>
      </c>
      <c r="BX112" s="19">
        <v>1166.6336000000001</v>
      </c>
      <c r="BY112" s="19">
        <v>9.095487499999928</v>
      </c>
      <c r="BZ112" s="19">
        <v>0</v>
      </c>
      <c r="CA112" s="19">
        <v>145.82919999999996</v>
      </c>
      <c r="CB112" s="19"/>
      <c r="CC112" s="19"/>
      <c r="CD112" s="19"/>
      <c r="CE112" s="19">
        <v>209.1962125</v>
      </c>
      <c r="CF112" s="19">
        <v>0</v>
      </c>
      <c r="CG112" s="19">
        <v>1166.6336000000001</v>
      </c>
      <c r="CH112" s="19">
        <v>9.095487499999928</v>
      </c>
      <c r="CI112" s="19">
        <v>0</v>
      </c>
      <c r="CJ112" s="19">
        <v>145.82919999999996</v>
      </c>
      <c r="CK112" s="19"/>
      <c r="CL112" s="19"/>
      <c r="CM112" s="19"/>
      <c r="CN112" s="19">
        <v>209.1962125</v>
      </c>
      <c r="CO112" s="19">
        <v>0</v>
      </c>
      <c r="CP112" s="19">
        <v>1166.6336000000001</v>
      </c>
      <c r="CQ112" s="19"/>
      <c r="CR112" s="19"/>
      <c r="CS112" s="19"/>
      <c r="CT112" s="19"/>
      <c r="CU112" s="11">
        <f>Tabelle58971121[[#This Row],[Mindestauslastung durch]]*Tabelle58971121[[#This Row],[installierte Leistung MW durch]]</f>
        <v>291.05559999999997</v>
      </c>
      <c r="CV112" s="11">
        <f>Tabelle58971121[[#This Row],[Mindestauslastung min]]*Tabelle58971121[[#This Row],[installierte Leistung MW min]]</f>
        <v>290.45279999999997</v>
      </c>
      <c r="CW112" s="11">
        <f>Tabelle58971121[[#This Row],[Mindestauslastung max]]*Tabelle58971121[[#This Row],[installierte Leistung MW max]]</f>
        <v>291.65840000000003</v>
      </c>
      <c r="CX112" s="9">
        <v>8.0000000000000002E-3</v>
      </c>
      <c r="CY112" s="9">
        <v>8.0000000000000002E-3</v>
      </c>
      <c r="CZ112" s="9">
        <v>8.0000000000000002E-3</v>
      </c>
      <c r="DA112" s="9"/>
      <c r="DB112" s="9">
        <v>8.2499999999999987E-3</v>
      </c>
      <c r="DC112" s="9">
        <v>2E-3</v>
      </c>
      <c r="DD112" s="9">
        <v>1.2E-2</v>
      </c>
      <c r="DE112" s="9">
        <v>8.2499999999999987E-3</v>
      </c>
      <c r="DF112" s="9">
        <v>2E-3</v>
      </c>
      <c r="DG112" s="9">
        <v>1.2E-2</v>
      </c>
      <c r="DH112" s="9">
        <v>8.2499999999999987E-3</v>
      </c>
      <c r="DI112" s="9">
        <v>2E-3</v>
      </c>
      <c r="DJ112" s="9">
        <v>1.2E-2</v>
      </c>
      <c r="DK112" s="9">
        <v>8.2499999999999987E-3</v>
      </c>
      <c r="DL112" s="9">
        <v>2E-3</v>
      </c>
      <c r="DM112" s="9">
        <v>1.2E-2</v>
      </c>
      <c r="DN112" s="9">
        <v>8.2499999999999987E-3</v>
      </c>
      <c r="DO112" s="9">
        <v>2E-3</v>
      </c>
      <c r="DP112" s="9">
        <v>1.2E-2</v>
      </c>
      <c r="DQ112" s="9">
        <v>8.2499999999999987E-3</v>
      </c>
      <c r="DR112" s="9">
        <v>2E-3</v>
      </c>
      <c r="DS112" s="9">
        <v>1.2E-2</v>
      </c>
      <c r="DT112" s="9">
        <v>8.2499999999999987E-3</v>
      </c>
      <c r="DU112" s="9">
        <v>2E-3</v>
      </c>
      <c r="DV112" s="9">
        <v>1.2E-2</v>
      </c>
      <c r="DW112" s="9">
        <v>8.2499999999999987E-3</v>
      </c>
      <c r="DX112" s="9">
        <v>2E-3</v>
      </c>
      <c r="DY112" s="9">
        <v>1.2E-2</v>
      </c>
      <c r="DZ112" s="9">
        <v>8.2499999999999987E-3</v>
      </c>
      <c r="EA112" s="9">
        <v>2E-3</v>
      </c>
      <c r="EB112" s="9">
        <v>1.2E-2</v>
      </c>
      <c r="EC112" s="9"/>
      <c r="ED112" s="9"/>
      <c r="EE112" s="9"/>
      <c r="EF112" s="46">
        <f>Tabelle58971121[[#This Row],[Durchschnittsauslastung min]]*Tabelle58971121[[#This Row],[installierte Leistung MW min]]</f>
        <v>0</v>
      </c>
      <c r="EG112" s="46">
        <f>Tabelle58971121[[#This Row],[Durchschnittsauslastung durch]]*Tabelle58971121[[#This Row],[installierte Leistung MW durch]]</f>
        <v>0</v>
      </c>
      <c r="EH112" s="46">
        <f>Tabelle58971121[[#This Row],[Durchschnittsauslastung max]]*Tabelle58971121[[#This Row],[installierte Leistung MW max]]</f>
        <v>0</v>
      </c>
      <c r="EI112" s="83">
        <f>Tabelle58971121[[#This Row],[Maximalauslastung durch]]*Tabelle58971121[[#This Row],[installierte Leistung MW min]]</f>
        <v>508.29239999999999</v>
      </c>
      <c r="EJ112" s="46">
        <f>Tabelle58971121[[#This Row],[Maximalauslastung durch]]*Tabelle58971121[[#This Row],[installierte Leistung MW durch]]</f>
        <v>509.34729999999996</v>
      </c>
      <c r="EK112" s="19">
        <f>Tabelle58971121[[#This Row],[Maximalauslastung max]]*Tabelle58971121[[#This Row],[installierte Leistung MW durch]]</f>
        <v>1236.9863</v>
      </c>
      <c r="EL112" s="9">
        <v>1.4E-2</v>
      </c>
      <c r="EM112" s="9">
        <v>0</v>
      </c>
      <c r="EN112" s="9">
        <v>3.4000000000000002E-2</v>
      </c>
      <c r="EO112" s="1">
        <v>36381.949999999997</v>
      </c>
      <c r="EP112" s="1">
        <v>36306.6</v>
      </c>
      <c r="EQ112" s="1">
        <v>36457.300000000003</v>
      </c>
      <c r="ER112" s="19"/>
      <c r="ES112" s="19"/>
      <c r="EX112" s="1">
        <v>1.75</v>
      </c>
      <c r="EY112" s="1">
        <v>1.1499999999999999</v>
      </c>
      <c r="EZ112" s="1">
        <v>2.35</v>
      </c>
      <c r="FD112" s="1">
        <v>1.75</v>
      </c>
      <c r="FE112" s="1">
        <v>0.5</v>
      </c>
      <c r="FF112" s="1">
        <v>3</v>
      </c>
      <c r="FG112" s="1">
        <v>3.5</v>
      </c>
      <c r="FH112" s="1">
        <v>2.2999999999999998</v>
      </c>
      <c r="FI112" s="1">
        <v>4.7</v>
      </c>
      <c r="FJ112" s="1">
        <v>3.5</v>
      </c>
      <c r="FK112" s="1">
        <v>3.5</v>
      </c>
      <c r="FL112" s="1">
        <v>3.5</v>
      </c>
      <c r="FP112" s="1" t="s">
        <v>1084</v>
      </c>
      <c r="FQ112" s="1" t="s">
        <v>1084</v>
      </c>
      <c r="FR112" s="1" t="s">
        <v>1084</v>
      </c>
      <c r="FS112" s="11"/>
      <c r="FT112" s="11"/>
      <c r="FU112" s="11"/>
      <c r="FV112" s="1">
        <v>220</v>
      </c>
      <c r="FW112" s="1">
        <v>198</v>
      </c>
      <c r="FX112" s="1">
        <v>242</v>
      </c>
      <c r="FY112" s="1">
        <v>92.50411764705882</v>
      </c>
      <c r="FZ112" s="19">
        <v>83.243529411764712</v>
      </c>
      <c r="GA112" s="19">
        <v>101.76470588235293</v>
      </c>
      <c r="GB112" s="19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>
        <v>753.05882352941171</v>
      </c>
      <c r="GO112" s="8">
        <v>745.52823529411762</v>
      </c>
      <c r="GP112" s="8">
        <v>760.5894117647058</v>
      </c>
      <c r="GS112" s="1">
        <v>67</v>
      </c>
      <c r="GT112" s="1">
        <v>67</v>
      </c>
      <c r="GU112" s="1">
        <v>67</v>
      </c>
      <c r="GV112" s="13" t="s">
        <v>806</v>
      </c>
      <c r="GW112" s="13" t="s">
        <v>806</v>
      </c>
      <c r="GX112" s="13" t="s">
        <v>806</v>
      </c>
      <c r="GY112" s="13"/>
      <c r="GZ112" s="13" t="s">
        <v>806</v>
      </c>
      <c r="HA112" s="13" t="s">
        <v>806</v>
      </c>
      <c r="HB112" s="13" t="s">
        <v>806</v>
      </c>
      <c r="HC112" s="13" t="s">
        <v>806</v>
      </c>
      <c r="HD112" s="13" t="s">
        <v>806</v>
      </c>
      <c r="HE112" s="13" t="s">
        <v>806</v>
      </c>
      <c r="HF112" s="13" t="s">
        <v>806</v>
      </c>
      <c r="HI112" s="13" t="s">
        <v>806</v>
      </c>
      <c r="HJ112" s="13" t="s">
        <v>806</v>
      </c>
      <c r="HL112" s="13" t="s">
        <v>806</v>
      </c>
    </row>
    <row r="113" spans="1:220" ht="12.75" customHeight="1" x14ac:dyDescent="0.25">
      <c r="A113" s="1" t="s">
        <v>129</v>
      </c>
      <c r="B113" s="1" t="s">
        <v>746</v>
      </c>
      <c r="E113" s="1" t="s">
        <v>139</v>
      </c>
      <c r="F113" s="1">
        <v>2</v>
      </c>
      <c r="G113" s="1">
        <v>2050</v>
      </c>
      <c r="H113" s="1">
        <v>0</v>
      </c>
      <c r="I113" s="1">
        <v>0</v>
      </c>
      <c r="J113" s="1">
        <v>1</v>
      </c>
      <c r="K113" s="19"/>
      <c r="L113" s="19"/>
      <c r="M113" s="19"/>
      <c r="N113" s="19"/>
      <c r="O113" s="19"/>
      <c r="P113" s="19"/>
      <c r="Q113" s="19">
        <v>8.4339974999999328</v>
      </c>
      <c r="R113" s="19">
        <v>0</v>
      </c>
      <c r="S113" s="19">
        <v>135.22343999999995</v>
      </c>
      <c r="T113" s="19"/>
      <c r="U113" s="19"/>
      <c r="V113" s="19"/>
      <c r="W113" s="19">
        <v>193.9819425</v>
      </c>
      <c r="X113" s="19">
        <v>0</v>
      </c>
      <c r="Y113" s="19">
        <v>1081.7875200000001</v>
      </c>
      <c r="Z113" s="19">
        <v>8.4339974999999328</v>
      </c>
      <c r="AA113" s="19">
        <v>0</v>
      </c>
      <c r="AB113" s="19">
        <v>135.22343999999995</v>
      </c>
      <c r="AC113" s="19"/>
      <c r="AD113" s="19"/>
      <c r="AE113" s="19"/>
      <c r="AF113" s="19">
        <v>193.9819425</v>
      </c>
      <c r="AG113" s="19">
        <v>0</v>
      </c>
      <c r="AH113" s="19">
        <v>1081.7875200000001</v>
      </c>
      <c r="AI113" s="19">
        <v>8.4339974999999328</v>
      </c>
      <c r="AJ113" s="19">
        <v>0</v>
      </c>
      <c r="AK113" s="19">
        <v>135.22343999999995</v>
      </c>
      <c r="AL113" s="19">
        <v>193.9819425</v>
      </c>
      <c r="AM113" s="19">
        <v>0</v>
      </c>
      <c r="AN113" s="19">
        <v>1081.7875200000001</v>
      </c>
      <c r="AO113" s="19">
        <v>8.4339974999999328</v>
      </c>
      <c r="AP113" s="19">
        <v>0</v>
      </c>
      <c r="AQ113" s="19">
        <v>135.22343999999995</v>
      </c>
      <c r="AR113" s="19"/>
      <c r="AS113" s="19"/>
      <c r="AT113" s="19"/>
      <c r="AU113" s="19">
        <v>193.9819425</v>
      </c>
      <c r="AV113" s="19">
        <v>0</v>
      </c>
      <c r="AW113" s="19">
        <v>1081.7875200000001</v>
      </c>
      <c r="AX113" s="19">
        <v>8.4339974999999328</v>
      </c>
      <c r="AY113" s="19">
        <v>0</v>
      </c>
      <c r="AZ113" s="19">
        <v>135.22343999999995</v>
      </c>
      <c r="BA113" s="19"/>
      <c r="BB113" s="19"/>
      <c r="BC113" s="19"/>
      <c r="BD113" s="19">
        <v>193.9819425</v>
      </c>
      <c r="BE113" s="19">
        <v>0</v>
      </c>
      <c r="BF113" s="19">
        <v>1081.7875200000001</v>
      </c>
      <c r="BG113" s="19">
        <v>8.4339974999999328</v>
      </c>
      <c r="BH113" s="19">
        <v>0</v>
      </c>
      <c r="BI113" s="19">
        <v>135.22343999999995</v>
      </c>
      <c r="BJ113" s="19"/>
      <c r="BK113" s="19"/>
      <c r="BL113" s="19"/>
      <c r="BM113" s="19">
        <v>193.9819425</v>
      </c>
      <c r="BN113" s="19">
        <v>0</v>
      </c>
      <c r="BO113" s="19">
        <v>1081.7875200000001</v>
      </c>
      <c r="BP113" s="19">
        <v>8.4339974999999328</v>
      </c>
      <c r="BQ113" s="19">
        <v>0</v>
      </c>
      <c r="BR113" s="19">
        <v>135.22343999999995</v>
      </c>
      <c r="BS113" s="19"/>
      <c r="BT113" s="19"/>
      <c r="BU113" s="19"/>
      <c r="BV113" s="19">
        <v>193.9819425</v>
      </c>
      <c r="BW113" s="19">
        <v>0</v>
      </c>
      <c r="BX113" s="19">
        <v>1081.7875200000001</v>
      </c>
      <c r="BY113" s="19">
        <v>8.4339974999999328</v>
      </c>
      <c r="BZ113" s="19">
        <v>0</v>
      </c>
      <c r="CA113" s="19">
        <v>135.22343999999995</v>
      </c>
      <c r="CB113" s="19"/>
      <c r="CC113" s="19"/>
      <c r="CD113" s="19"/>
      <c r="CE113" s="19">
        <v>193.9819425</v>
      </c>
      <c r="CF113" s="19">
        <v>0</v>
      </c>
      <c r="CG113" s="19">
        <v>1081.7875200000001</v>
      </c>
      <c r="CH113" s="19">
        <v>8.4339974999999328</v>
      </c>
      <c r="CI113" s="19">
        <v>0</v>
      </c>
      <c r="CJ113" s="19">
        <v>135.22343999999995</v>
      </c>
      <c r="CK113" s="19"/>
      <c r="CL113" s="19"/>
      <c r="CM113" s="19"/>
      <c r="CN113" s="19">
        <v>193.9819425</v>
      </c>
      <c r="CO113" s="19">
        <v>0</v>
      </c>
      <c r="CP113" s="19">
        <v>1081.7875200000001</v>
      </c>
      <c r="CQ113" s="19"/>
      <c r="CR113" s="19"/>
      <c r="CS113" s="19"/>
      <c r="CT113" s="19"/>
      <c r="CU113" s="11">
        <f>Tabelle58971121[[#This Row],[Mindestauslastung durch]]*Tabelle58971121[[#This Row],[installierte Leistung MW durch]]</f>
        <v>269.88792000000001</v>
      </c>
      <c r="CV113" s="11">
        <f>Tabelle58971121[[#This Row],[Mindestauslastung min]]*Tabelle58971121[[#This Row],[installierte Leistung MW min]]</f>
        <v>269.32896000000005</v>
      </c>
      <c r="CW113" s="11">
        <f>Tabelle58971121[[#This Row],[Mindestauslastung max]]*Tabelle58971121[[#This Row],[installierte Leistung MW max]]</f>
        <v>270.44688000000002</v>
      </c>
      <c r="CX113" s="9">
        <v>8.0000000000000002E-3</v>
      </c>
      <c r="CY113" s="9">
        <v>8.0000000000000002E-3</v>
      </c>
      <c r="CZ113" s="9">
        <v>8.0000000000000002E-3</v>
      </c>
      <c r="DA113" s="9"/>
      <c r="DB113" s="9">
        <v>8.2499999999999987E-3</v>
      </c>
      <c r="DC113" s="9">
        <v>2E-3</v>
      </c>
      <c r="DD113" s="9">
        <v>1.2E-2</v>
      </c>
      <c r="DE113" s="9">
        <v>8.2499999999999987E-3</v>
      </c>
      <c r="DF113" s="9">
        <v>2E-3</v>
      </c>
      <c r="DG113" s="9">
        <v>1.2E-2</v>
      </c>
      <c r="DH113" s="9">
        <v>8.2499999999999987E-3</v>
      </c>
      <c r="DI113" s="9">
        <v>2E-3</v>
      </c>
      <c r="DJ113" s="9">
        <v>1.2E-2</v>
      </c>
      <c r="DK113" s="9">
        <v>8.2499999999999987E-3</v>
      </c>
      <c r="DL113" s="9">
        <v>2E-3</v>
      </c>
      <c r="DM113" s="9">
        <v>1.2E-2</v>
      </c>
      <c r="DN113" s="9">
        <v>8.2499999999999987E-3</v>
      </c>
      <c r="DO113" s="9">
        <v>2E-3</v>
      </c>
      <c r="DP113" s="9">
        <v>1.2E-2</v>
      </c>
      <c r="DQ113" s="9">
        <v>8.2499999999999987E-3</v>
      </c>
      <c r="DR113" s="9">
        <v>2E-3</v>
      </c>
      <c r="DS113" s="9">
        <v>1.2E-2</v>
      </c>
      <c r="DT113" s="9">
        <v>8.2499999999999987E-3</v>
      </c>
      <c r="DU113" s="9">
        <v>2E-3</v>
      </c>
      <c r="DV113" s="9">
        <v>1.2E-2</v>
      </c>
      <c r="DW113" s="9">
        <v>8.2499999999999987E-3</v>
      </c>
      <c r="DX113" s="9">
        <v>2E-3</v>
      </c>
      <c r="DY113" s="9">
        <v>1.2E-2</v>
      </c>
      <c r="DZ113" s="9">
        <v>8.2499999999999987E-3</v>
      </c>
      <c r="EA113" s="9">
        <v>2E-3</v>
      </c>
      <c r="EB113" s="9">
        <v>1.2E-2</v>
      </c>
      <c r="EC113" s="9"/>
      <c r="ED113" s="9"/>
      <c r="EE113" s="9"/>
      <c r="EF113" s="46">
        <f>Tabelle58971121[[#This Row],[Durchschnittsauslastung min]]*Tabelle58971121[[#This Row],[installierte Leistung MW min]]</f>
        <v>0</v>
      </c>
      <c r="EG113" s="46">
        <f>Tabelle58971121[[#This Row],[Durchschnittsauslastung durch]]*Tabelle58971121[[#This Row],[installierte Leistung MW durch]]</f>
        <v>0</v>
      </c>
      <c r="EH113" s="46">
        <f>Tabelle58971121[[#This Row],[Durchschnittsauslastung max]]*Tabelle58971121[[#This Row],[installierte Leistung MW max]]</f>
        <v>0</v>
      </c>
      <c r="EI113" s="83">
        <f>Tabelle58971121[[#This Row],[Maximalauslastung durch]]*Tabelle58971121[[#This Row],[installierte Leistung MW min]]</f>
        <v>471.32568000000003</v>
      </c>
      <c r="EJ113" s="46">
        <f>Tabelle58971121[[#This Row],[Maximalauslastung durch]]*Tabelle58971121[[#This Row],[installierte Leistung MW durch]]</f>
        <v>472.30385999999999</v>
      </c>
      <c r="EK113" s="19">
        <f>Tabelle58971121[[#This Row],[Maximalauslastung max]]*Tabelle58971121[[#This Row],[installierte Leistung MW durch]]</f>
        <v>1147.0236600000001</v>
      </c>
      <c r="EL113" s="9">
        <v>1.4E-2</v>
      </c>
      <c r="EM113" s="9">
        <v>0</v>
      </c>
      <c r="EN113" s="9">
        <v>3.4000000000000002E-2</v>
      </c>
      <c r="EO113" s="1">
        <v>33735.99</v>
      </c>
      <c r="EP113" s="1">
        <v>33666.120000000003</v>
      </c>
      <c r="EQ113" s="1">
        <v>33805.86</v>
      </c>
      <c r="ER113" s="19"/>
      <c r="ES113" s="19"/>
      <c r="EX113" s="1">
        <v>1.75</v>
      </c>
      <c r="EY113" s="1">
        <v>1.1499999999999999</v>
      </c>
      <c r="EZ113" s="1">
        <v>2.35</v>
      </c>
      <c r="FD113" s="1">
        <v>1.75</v>
      </c>
      <c r="FE113" s="1">
        <v>0.5</v>
      </c>
      <c r="FF113" s="1">
        <v>3</v>
      </c>
      <c r="FG113" s="1">
        <v>3.5</v>
      </c>
      <c r="FH113" s="1">
        <v>2.2999999999999998</v>
      </c>
      <c r="FI113" s="1">
        <v>4.7</v>
      </c>
      <c r="FJ113" s="1">
        <v>3.5</v>
      </c>
      <c r="FK113" s="1">
        <v>3.5</v>
      </c>
      <c r="FL113" s="1">
        <v>3.5</v>
      </c>
      <c r="FP113" s="1" t="s">
        <v>1084</v>
      </c>
      <c r="FQ113" s="1" t="s">
        <v>1084</v>
      </c>
      <c r="FR113" s="1" t="s">
        <v>1084</v>
      </c>
      <c r="FS113" s="11"/>
      <c r="FT113" s="11"/>
      <c r="FU113" s="11"/>
      <c r="FV113" s="1">
        <v>220</v>
      </c>
      <c r="FW113" s="1">
        <v>198</v>
      </c>
      <c r="FX113" s="1">
        <v>242</v>
      </c>
      <c r="FY113" s="1">
        <v>92.50411764705882</v>
      </c>
      <c r="FZ113" s="19">
        <v>83.243529411764712</v>
      </c>
      <c r="GA113" s="19">
        <v>101.76470588235293</v>
      </c>
      <c r="GB113" s="19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>
        <v>753.05882352941171</v>
      </c>
      <c r="GO113" s="8">
        <v>745.52823529411762</v>
      </c>
      <c r="GP113" s="8">
        <v>760.5894117647058</v>
      </c>
      <c r="GS113" s="1">
        <v>67</v>
      </c>
      <c r="GT113" s="1">
        <v>67</v>
      </c>
      <c r="GU113" s="1">
        <v>67</v>
      </c>
      <c r="GV113" s="13" t="s">
        <v>806</v>
      </c>
      <c r="GW113" s="13" t="s">
        <v>806</v>
      </c>
      <c r="GX113" s="13" t="s">
        <v>806</v>
      </c>
      <c r="GY113" s="13"/>
      <c r="GZ113" s="13" t="s">
        <v>806</v>
      </c>
      <c r="HA113" s="13" t="s">
        <v>806</v>
      </c>
      <c r="HB113" s="13" t="s">
        <v>806</v>
      </c>
      <c r="HC113" s="13" t="s">
        <v>806</v>
      </c>
      <c r="HD113" s="13" t="s">
        <v>806</v>
      </c>
      <c r="HE113" s="13" t="s">
        <v>806</v>
      </c>
      <c r="HF113" s="13" t="s">
        <v>806</v>
      </c>
      <c r="HI113" s="13" t="s">
        <v>806</v>
      </c>
      <c r="HJ113" s="13" t="s">
        <v>806</v>
      </c>
      <c r="HL113" s="13" t="s">
        <v>806</v>
      </c>
    </row>
    <row r="114" spans="1:220" ht="12.75" customHeight="1" x14ac:dyDescent="0.25">
      <c r="A114" s="1" t="s">
        <v>134</v>
      </c>
      <c r="B114" s="1" t="s">
        <v>748</v>
      </c>
      <c r="E114" s="1" t="s">
        <v>139</v>
      </c>
      <c r="F114" s="1">
        <v>2</v>
      </c>
      <c r="G114" s="1">
        <v>2015</v>
      </c>
      <c r="H114" s="1">
        <v>1</v>
      </c>
      <c r="I114" s="1">
        <v>0</v>
      </c>
      <c r="J114" s="1">
        <v>0</v>
      </c>
      <c r="K114" s="19"/>
      <c r="L114" s="19"/>
      <c r="M114" s="19"/>
      <c r="N114" s="19"/>
      <c r="O114" s="19"/>
      <c r="P114" s="19"/>
      <c r="Q114" s="19">
        <v>447.76666666666671</v>
      </c>
      <c r="R114" s="19">
        <v>288.99</v>
      </c>
      <c r="S114" s="19">
        <v>579.37</v>
      </c>
      <c r="T114" s="19"/>
      <c r="U114" s="19"/>
      <c r="V114" s="19"/>
      <c r="W114" s="19">
        <v>1067.2333333333329</v>
      </c>
      <c r="X114" s="19">
        <v>699.66</v>
      </c>
      <c r="Y114" s="19">
        <v>1561.78</v>
      </c>
      <c r="Z114" s="19">
        <v>447.76666666666671</v>
      </c>
      <c r="AA114" s="19">
        <v>288.99</v>
      </c>
      <c r="AB114" s="19">
        <v>579.37</v>
      </c>
      <c r="AC114" s="19"/>
      <c r="AD114" s="19"/>
      <c r="AE114" s="19"/>
      <c r="AF114" s="19">
        <v>1067.2333333333329</v>
      </c>
      <c r="AG114" s="19">
        <v>699.66</v>
      </c>
      <c r="AH114" s="19">
        <v>1561.78</v>
      </c>
      <c r="AI114" s="19">
        <v>447.76666666666671</v>
      </c>
      <c r="AJ114" s="19">
        <v>288.99</v>
      </c>
      <c r="AK114" s="19">
        <v>579.37</v>
      </c>
      <c r="AL114" s="19">
        <v>1067.2333333333329</v>
      </c>
      <c r="AM114" s="19">
        <v>699.66</v>
      </c>
      <c r="AN114" s="19">
        <v>1561.78</v>
      </c>
      <c r="AO114" s="19">
        <v>877.85833333333346</v>
      </c>
      <c r="AP114" s="19">
        <v>577.98</v>
      </c>
      <c r="AQ114" s="19">
        <v>1133.55</v>
      </c>
      <c r="AR114" s="19"/>
      <c r="AS114" s="19"/>
      <c r="AT114" s="19"/>
      <c r="AU114" s="19">
        <v>637.14166666666665</v>
      </c>
      <c r="AV114" s="19">
        <v>365.04</v>
      </c>
      <c r="AW114" s="19">
        <v>1083.17</v>
      </c>
      <c r="AX114" s="19">
        <v>877.85833333333346</v>
      </c>
      <c r="AY114" s="19">
        <v>577.98</v>
      </c>
      <c r="AZ114" s="19">
        <v>1133.55</v>
      </c>
      <c r="BA114" s="19"/>
      <c r="BB114" s="19"/>
      <c r="BC114" s="19"/>
      <c r="BD114" s="19">
        <v>637.14166666666665</v>
      </c>
      <c r="BE114" s="19">
        <v>365.04</v>
      </c>
      <c r="BF114" s="19">
        <v>1083.17</v>
      </c>
      <c r="BG114" s="19">
        <v>877.85833333333346</v>
      </c>
      <c r="BH114" s="19">
        <v>577.98</v>
      </c>
      <c r="BI114" s="19">
        <v>1133.55</v>
      </c>
      <c r="BJ114" s="19"/>
      <c r="BK114" s="19"/>
      <c r="BL114" s="19"/>
      <c r="BM114" s="19">
        <v>637.14166666666665</v>
      </c>
      <c r="BN114" s="19">
        <v>365.04</v>
      </c>
      <c r="BO114" s="19">
        <v>1083.17</v>
      </c>
      <c r="BP114" s="19">
        <v>1515.8416666666669</v>
      </c>
      <c r="BQ114" s="19">
        <v>988.65</v>
      </c>
      <c r="BR114" s="19">
        <v>1964.82</v>
      </c>
      <c r="BS114" s="19"/>
      <c r="BT114" s="19"/>
      <c r="BU114" s="19"/>
      <c r="BV114" s="19">
        <v>0</v>
      </c>
      <c r="BW114" s="19">
        <v>0</v>
      </c>
      <c r="BX114" s="19">
        <v>403.04</v>
      </c>
      <c r="BY114" s="19">
        <v>1515.8416666666669</v>
      </c>
      <c r="BZ114" s="19">
        <v>988.65</v>
      </c>
      <c r="CA114" s="19">
        <v>1964.82</v>
      </c>
      <c r="CB114" s="19"/>
      <c r="CC114" s="19"/>
      <c r="CD114" s="19"/>
      <c r="CE114" s="19">
        <v>0</v>
      </c>
      <c r="CF114" s="19">
        <v>0</v>
      </c>
      <c r="CG114" s="19">
        <v>403.04</v>
      </c>
      <c r="CH114" s="19">
        <v>1515.8416666666669</v>
      </c>
      <c r="CI114" s="19">
        <v>988.65</v>
      </c>
      <c r="CJ114" s="19">
        <v>1964.82</v>
      </c>
      <c r="CK114" s="19"/>
      <c r="CL114" s="19"/>
      <c r="CM114" s="19"/>
      <c r="CN114" s="19">
        <v>0</v>
      </c>
      <c r="CO114" s="19">
        <v>0</v>
      </c>
      <c r="CP114" s="19">
        <v>403.04</v>
      </c>
      <c r="CQ114" s="19"/>
      <c r="CR114" s="19"/>
      <c r="CS114" s="19"/>
      <c r="CT114" s="19"/>
      <c r="CU114" s="11">
        <f>Tabelle58971121[[#This Row],[Mindestauslastung durch]]*Tabelle58971121[[#This Row],[installierte Leistung MW durch]]</f>
        <v>303</v>
      </c>
      <c r="CV114" s="11">
        <f>Tabelle58971121[[#This Row],[Mindestauslastung min]]*Tabelle58971121[[#This Row],[installierte Leistung MW min]]</f>
        <v>228.15</v>
      </c>
      <c r="CW114" s="11">
        <f>Tabelle58971121[[#This Row],[Mindestauslastung max]]*Tabelle58971121[[#This Row],[installierte Leistung MW max]]</f>
        <v>377.84999999999997</v>
      </c>
      <c r="CX114" s="9">
        <v>0.15</v>
      </c>
      <c r="CY114" s="9">
        <v>0.15</v>
      </c>
      <c r="CZ114" s="9">
        <v>0.15</v>
      </c>
      <c r="DA114" s="9"/>
      <c r="DB114" s="9">
        <v>0.22166666666666671</v>
      </c>
      <c r="DC114" s="9">
        <v>0.19</v>
      </c>
      <c r="DD114" s="9">
        <v>0.23</v>
      </c>
      <c r="DE114" s="9">
        <v>0.22166666666666671</v>
      </c>
      <c r="DF114" s="9">
        <v>0.19</v>
      </c>
      <c r="DG114" s="9">
        <v>0.23</v>
      </c>
      <c r="DH114" s="9">
        <v>0.22166666666666671</v>
      </c>
      <c r="DI114" s="9">
        <v>0.19</v>
      </c>
      <c r="DJ114" s="9">
        <v>0.23</v>
      </c>
      <c r="DK114" s="9">
        <v>0.43458333333333338</v>
      </c>
      <c r="DL114" s="9">
        <v>0.38</v>
      </c>
      <c r="DM114" s="9">
        <v>0.45</v>
      </c>
      <c r="DN114" s="9">
        <v>0.43458333333333338</v>
      </c>
      <c r="DO114" s="9">
        <v>0.38</v>
      </c>
      <c r="DP114" s="9">
        <v>0.45</v>
      </c>
      <c r="DQ114" s="9">
        <v>0.43458333333333338</v>
      </c>
      <c r="DR114" s="9">
        <v>0.38</v>
      </c>
      <c r="DS114" s="9">
        <v>0.45</v>
      </c>
      <c r="DT114" s="9">
        <v>0.75041666666666673</v>
      </c>
      <c r="DU114" s="9">
        <v>0.65</v>
      </c>
      <c r="DV114" s="9">
        <v>0.78</v>
      </c>
      <c r="DW114" s="9">
        <v>0.75041666666666673</v>
      </c>
      <c r="DX114" s="9">
        <v>0.65</v>
      </c>
      <c r="DY114" s="9">
        <v>0.78</v>
      </c>
      <c r="DZ114" s="9">
        <v>0.75041666666666673</v>
      </c>
      <c r="EA114" s="9">
        <v>0.65</v>
      </c>
      <c r="EB114" s="9">
        <v>0.78</v>
      </c>
      <c r="EC114" s="9"/>
      <c r="ED114" s="9"/>
      <c r="EE114" s="9"/>
      <c r="EF114" s="46">
        <f>Tabelle58971121[[#This Row],[Durchschnittsauslastung min]]*Tabelle58971121[[#This Row],[installierte Leistung MW min]]</f>
        <v>0</v>
      </c>
      <c r="EG114" s="46">
        <f>Tabelle58971121[[#This Row],[Durchschnittsauslastung durch]]*Tabelle58971121[[#This Row],[installierte Leistung MW durch]]</f>
        <v>0</v>
      </c>
      <c r="EH114" s="46">
        <f>Tabelle58971121[[#This Row],[Durchschnittsauslastung max]]*Tabelle58971121[[#This Row],[installierte Leistung MW max]]</f>
        <v>0</v>
      </c>
      <c r="EI114" s="83">
        <f>Tabelle58971121[[#This Row],[Maximalauslastung durch]]*Tabelle58971121[[#This Row],[installierte Leistung MW min]]</f>
        <v>1140.75</v>
      </c>
      <c r="EJ114" s="46">
        <f>Tabelle58971121[[#This Row],[Maximalauslastung durch]]*Tabelle58971121[[#This Row],[installierte Leistung MW durch]]</f>
        <v>1515</v>
      </c>
      <c r="EK114" s="19">
        <f>Tabelle58971121[[#This Row],[Maximalauslastung max]]*Tabelle58971121[[#This Row],[installierte Leistung MW durch]]</f>
        <v>1636.2</v>
      </c>
      <c r="EL114" s="9">
        <v>0.75</v>
      </c>
      <c r="EM114" s="9">
        <v>0.69</v>
      </c>
      <c r="EN114" s="9">
        <v>0.81</v>
      </c>
      <c r="EO114" s="1">
        <v>2020</v>
      </c>
      <c r="EP114" s="1">
        <v>1521</v>
      </c>
      <c r="EQ114" s="1">
        <v>2519</v>
      </c>
      <c r="ER114" s="19"/>
      <c r="ES114" s="19"/>
      <c r="EX114" s="1">
        <v>1.5</v>
      </c>
      <c r="EY114" s="1">
        <v>1</v>
      </c>
      <c r="EZ114" s="1">
        <v>2</v>
      </c>
      <c r="FD114" s="1">
        <v>1.5</v>
      </c>
      <c r="FE114" s="1">
        <v>1</v>
      </c>
      <c r="FF114" s="1">
        <v>2</v>
      </c>
      <c r="FG114" s="1">
        <v>3</v>
      </c>
      <c r="FH114" s="1">
        <v>2.4</v>
      </c>
      <c r="FI114" s="1">
        <v>3.6</v>
      </c>
      <c r="FJ114" s="1">
        <v>2.5</v>
      </c>
      <c r="FK114" s="1">
        <v>1.4</v>
      </c>
      <c r="FL114" s="1">
        <v>3.6</v>
      </c>
      <c r="FP114" s="1">
        <v>639</v>
      </c>
      <c r="FQ114" s="1">
        <v>575</v>
      </c>
      <c r="FR114" s="1">
        <v>703</v>
      </c>
      <c r="FS114" s="11"/>
      <c r="FT114" s="11"/>
      <c r="FU114" s="11"/>
      <c r="FV114" s="1">
        <v>639</v>
      </c>
      <c r="FW114" s="1">
        <v>575</v>
      </c>
      <c r="FX114" s="1">
        <v>703</v>
      </c>
      <c r="FY114" s="1">
        <v>0</v>
      </c>
      <c r="FZ114" s="19">
        <v>0</v>
      </c>
      <c r="GA114" s="19">
        <v>0</v>
      </c>
      <c r="GB114" s="19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>
        <v>90.977647058823536</v>
      </c>
      <c r="GO114" s="8">
        <v>45.488823529411768</v>
      </c>
      <c r="GP114" s="8">
        <v>136.46647058823527</v>
      </c>
      <c r="GS114" s="1">
        <v>67</v>
      </c>
      <c r="GT114" s="1">
        <v>67</v>
      </c>
      <c r="GU114" s="1">
        <v>67</v>
      </c>
      <c r="GV114" s="13" t="s">
        <v>806</v>
      </c>
      <c r="GW114" s="13" t="s">
        <v>806</v>
      </c>
      <c r="GX114" s="13" t="s">
        <v>806</v>
      </c>
      <c r="GY114" s="13"/>
      <c r="GZ114" s="13" t="s">
        <v>806</v>
      </c>
      <c r="HA114" s="13" t="s">
        <v>806</v>
      </c>
      <c r="HB114" s="13" t="s">
        <v>806</v>
      </c>
      <c r="HC114" s="13" t="s">
        <v>806</v>
      </c>
      <c r="HD114" s="13" t="s">
        <v>806</v>
      </c>
      <c r="HE114" s="13" t="s">
        <v>806</v>
      </c>
      <c r="HF114" s="13" t="s">
        <v>806</v>
      </c>
      <c r="HI114" s="13" t="s">
        <v>806</v>
      </c>
      <c r="HJ114" s="13" t="s">
        <v>806</v>
      </c>
      <c r="HL114" s="13" t="s">
        <v>806</v>
      </c>
    </row>
    <row r="115" spans="1:220" ht="12.75" customHeight="1" x14ac:dyDescent="0.25">
      <c r="A115" s="1" t="s">
        <v>134</v>
      </c>
      <c r="B115" s="1" t="s">
        <v>748</v>
      </c>
      <c r="E115" s="1" t="s">
        <v>139</v>
      </c>
      <c r="F115" s="1">
        <v>2</v>
      </c>
      <c r="G115" s="1">
        <v>2020</v>
      </c>
      <c r="H115" s="1">
        <v>1</v>
      </c>
      <c r="I115" s="1">
        <v>0</v>
      </c>
      <c r="J115" s="1">
        <v>0</v>
      </c>
      <c r="K115" s="19"/>
      <c r="L115" s="19"/>
      <c r="M115" s="19"/>
      <c r="N115" s="19"/>
      <c r="O115" s="19"/>
      <c r="P115" s="19"/>
      <c r="Q115" s="19">
        <v>640.30633333333333</v>
      </c>
      <c r="R115" s="19">
        <v>413.25569999999999</v>
      </c>
      <c r="S115" s="19">
        <v>828.4991</v>
      </c>
      <c r="T115" s="19"/>
      <c r="U115" s="19"/>
      <c r="V115" s="19"/>
      <c r="W115" s="19">
        <v>1526.1436666666659</v>
      </c>
      <c r="X115" s="19">
        <v>1000.5137999999999</v>
      </c>
      <c r="Y115" s="19">
        <v>2233.3453999999997</v>
      </c>
      <c r="Z115" s="19">
        <v>640.30633333333333</v>
      </c>
      <c r="AA115" s="19">
        <v>413.25569999999999</v>
      </c>
      <c r="AB115" s="19">
        <v>828.4991</v>
      </c>
      <c r="AC115" s="19"/>
      <c r="AD115" s="19"/>
      <c r="AE115" s="19"/>
      <c r="AF115" s="19">
        <v>1526.1436666666659</v>
      </c>
      <c r="AG115" s="19">
        <v>1000.5137999999999</v>
      </c>
      <c r="AH115" s="19">
        <v>2233.3453999999997</v>
      </c>
      <c r="AI115" s="19">
        <v>640.30633333333333</v>
      </c>
      <c r="AJ115" s="19">
        <v>413.25569999999999</v>
      </c>
      <c r="AK115" s="19">
        <v>828.4991</v>
      </c>
      <c r="AL115" s="19">
        <v>1526.1436666666659</v>
      </c>
      <c r="AM115" s="19">
        <v>1000.5137999999999</v>
      </c>
      <c r="AN115" s="19">
        <v>2233.3453999999997</v>
      </c>
      <c r="AO115" s="19">
        <v>1255.3374166666667</v>
      </c>
      <c r="AP115" s="19">
        <v>826.51139999999998</v>
      </c>
      <c r="AQ115" s="19">
        <v>1620.9764999999998</v>
      </c>
      <c r="AR115" s="19"/>
      <c r="AS115" s="19"/>
      <c r="AT115" s="19"/>
      <c r="AU115" s="19">
        <v>911.1125833333333</v>
      </c>
      <c r="AV115" s="19">
        <v>522.00720000000001</v>
      </c>
      <c r="AW115" s="19">
        <v>1548.9331</v>
      </c>
      <c r="AX115" s="19">
        <v>1255.3374166666667</v>
      </c>
      <c r="AY115" s="19">
        <v>826.51139999999998</v>
      </c>
      <c r="AZ115" s="19">
        <v>1620.9764999999998</v>
      </c>
      <c r="BA115" s="19"/>
      <c r="BB115" s="19"/>
      <c r="BC115" s="19"/>
      <c r="BD115" s="19">
        <v>911.1125833333333</v>
      </c>
      <c r="BE115" s="19">
        <v>522.00720000000001</v>
      </c>
      <c r="BF115" s="19">
        <v>1548.9331</v>
      </c>
      <c r="BG115" s="19">
        <v>1255.3374166666667</v>
      </c>
      <c r="BH115" s="19">
        <v>826.51139999999998</v>
      </c>
      <c r="BI115" s="19">
        <v>1620.9764999999998</v>
      </c>
      <c r="BJ115" s="19"/>
      <c r="BK115" s="19"/>
      <c r="BL115" s="19"/>
      <c r="BM115" s="19">
        <v>911.1125833333333</v>
      </c>
      <c r="BN115" s="19">
        <v>522.00720000000001</v>
      </c>
      <c r="BO115" s="19">
        <v>1548.9331</v>
      </c>
      <c r="BP115" s="19">
        <v>2167.6535833333337</v>
      </c>
      <c r="BQ115" s="19">
        <v>1413.7694999999999</v>
      </c>
      <c r="BR115" s="19">
        <v>2809.6925999999999</v>
      </c>
      <c r="BS115" s="19"/>
      <c r="BT115" s="19"/>
      <c r="BU115" s="19"/>
      <c r="BV115" s="19">
        <v>0</v>
      </c>
      <c r="BW115" s="19">
        <v>0</v>
      </c>
      <c r="BX115" s="19">
        <v>576.34720000000004</v>
      </c>
      <c r="BY115" s="19">
        <v>2167.6535833333337</v>
      </c>
      <c r="BZ115" s="19">
        <v>1413.7694999999999</v>
      </c>
      <c r="CA115" s="19">
        <v>2809.6925999999999</v>
      </c>
      <c r="CB115" s="19"/>
      <c r="CC115" s="19"/>
      <c r="CD115" s="19"/>
      <c r="CE115" s="19">
        <v>0</v>
      </c>
      <c r="CF115" s="19">
        <v>0</v>
      </c>
      <c r="CG115" s="19">
        <v>576.34720000000004</v>
      </c>
      <c r="CH115" s="19">
        <v>2167.6535833333337</v>
      </c>
      <c r="CI115" s="19">
        <v>1413.7694999999999</v>
      </c>
      <c r="CJ115" s="19">
        <v>2809.6925999999999</v>
      </c>
      <c r="CK115" s="19"/>
      <c r="CL115" s="19"/>
      <c r="CM115" s="19"/>
      <c r="CN115" s="19">
        <v>0</v>
      </c>
      <c r="CO115" s="19">
        <v>0</v>
      </c>
      <c r="CP115" s="19">
        <v>576.34720000000004</v>
      </c>
      <c r="CQ115" s="19"/>
      <c r="CR115" s="19"/>
      <c r="CS115" s="19"/>
      <c r="CT115" s="19"/>
      <c r="CU115" s="11">
        <f>Tabelle58971121[[#This Row],[Mindestauslastung durch]]*Tabelle58971121[[#This Row],[installierte Leistung MW durch]]</f>
        <v>433.28999999999996</v>
      </c>
      <c r="CV115" s="11">
        <f>Tabelle58971121[[#This Row],[Mindestauslastung min]]*Tabelle58971121[[#This Row],[installierte Leistung MW min]]</f>
        <v>326.25450000000001</v>
      </c>
      <c r="CW115" s="11">
        <f>Tabelle58971121[[#This Row],[Mindestauslastung max]]*Tabelle58971121[[#This Row],[installierte Leistung MW max]]</f>
        <v>540.32550000000003</v>
      </c>
      <c r="CX115" s="9">
        <v>0.15</v>
      </c>
      <c r="CY115" s="9">
        <v>0.15</v>
      </c>
      <c r="CZ115" s="9">
        <v>0.15</v>
      </c>
      <c r="DA115" s="9"/>
      <c r="DB115" s="9">
        <v>0.22166666666666671</v>
      </c>
      <c r="DC115" s="9">
        <v>0.19</v>
      </c>
      <c r="DD115" s="9">
        <v>0.23</v>
      </c>
      <c r="DE115" s="9">
        <v>0.22166666666666671</v>
      </c>
      <c r="DF115" s="9">
        <v>0.19</v>
      </c>
      <c r="DG115" s="9">
        <v>0.23</v>
      </c>
      <c r="DH115" s="9">
        <v>0.22166666666666671</v>
      </c>
      <c r="DI115" s="9">
        <v>0.19</v>
      </c>
      <c r="DJ115" s="9">
        <v>0.23</v>
      </c>
      <c r="DK115" s="9">
        <v>0.43458333333333338</v>
      </c>
      <c r="DL115" s="9">
        <v>0.38</v>
      </c>
      <c r="DM115" s="9">
        <v>0.45</v>
      </c>
      <c r="DN115" s="9">
        <v>0.43458333333333338</v>
      </c>
      <c r="DO115" s="9">
        <v>0.38</v>
      </c>
      <c r="DP115" s="9">
        <v>0.45</v>
      </c>
      <c r="DQ115" s="9">
        <v>0.43458333333333338</v>
      </c>
      <c r="DR115" s="9">
        <v>0.38</v>
      </c>
      <c r="DS115" s="9">
        <v>0.45</v>
      </c>
      <c r="DT115" s="9">
        <v>0.75041666666666673</v>
      </c>
      <c r="DU115" s="9">
        <v>0.65</v>
      </c>
      <c r="DV115" s="9">
        <v>0.78</v>
      </c>
      <c r="DW115" s="9">
        <v>0.75041666666666673</v>
      </c>
      <c r="DX115" s="9">
        <v>0.65</v>
      </c>
      <c r="DY115" s="9">
        <v>0.78</v>
      </c>
      <c r="DZ115" s="9">
        <v>0.75041666666666673</v>
      </c>
      <c r="EA115" s="9">
        <v>0.65</v>
      </c>
      <c r="EB115" s="9">
        <v>0.78</v>
      </c>
      <c r="EC115" s="9"/>
      <c r="ED115" s="9"/>
      <c r="EE115" s="9"/>
      <c r="EF115" s="46">
        <f>Tabelle58971121[[#This Row],[Durchschnittsauslastung min]]*Tabelle58971121[[#This Row],[installierte Leistung MW min]]</f>
        <v>0</v>
      </c>
      <c r="EG115" s="46">
        <f>Tabelle58971121[[#This Row],[Durchschnittsauslastung durch]]*Tabelle58971121[[#This Row],[installierte Leistung MW durch]]</f>
        <v>0</v>
      </c>
      <c r="EH115" s="46">
        <f>Tabelle58971121[[#This Row],[Durchschnittsauslastung max]]*Tabelle58971121[[#This Row],[installierte Leistung MW max]]</f>
        <v>0</v>
      </c>
      <c r="EI115" s="83">
        <f>Tabelle58971121[[#This Row],[Maximalauslastung durch]]*Tabelle58971121[[#This Row],[installierte Leistung MW min]]</f>
        <v>1631.2725</v>
      </c>
      <c r="EJ115" s="46">
        <f>Tabelle58971121[[#This Row],[Maximalauslastung durch]]*Tabelle58971121[[#This Row],[installierte Leistung MW durch]]</f>
        <v>2166.4499999999998</v>
      </c>
      <c r="EK115" s="19">
        <f>Tabelle58971121[[#This Row],[Maximalauslastung max]]*Tabelle58971121[[#This Row],[installierte Leistung MW durch]]</f>
        <v>2339.7660000000001</v>
      </c>
      <c r="EL115" s="9">
        <v>0.75</v>
      </c>
      <c r="EM115" s="9">
        <v>0.69</v>
      </c>
      <c r="EN115" s="9">
        <v>0.81</v>
      </c>
      <c r="EO115" s="1">
        <v>2888.6</v>
      </c>
      <c r="EP115" s="1">
        <v>2175.0300000000002</v>
      </c>
      <c r="EQ115" s="1">
        <v>3602.17</v>
      </c>
      <c r="ER115" s="19"/>
      <c r="ES115" s="19"/>
      <c r="EX115" s="1">
        <v>1.5</v>
      </c>
      <c r="EY115" s="1">
        <v>1</v>
      </c>
      <c r="EZ115" s="1">
        <v>2</v>
      </c>
      <c r="FD115" s="1">
        <v>1.5</v>
      </c>
      <c r="FE115" s="1">
        <v>1</v>
      </c>
      <c r="FF115" s="1">
        <v>2</v>
      </c>
      <c r="FG115" s="1">
        <v>3</v>
      </c>
      <c r="FH115" s="1">
        <v>2.4</v>
      </c>
      <c r="FI115" s="1">
        <v>3.6</v>
      </c>
      <c r="FJ115" s="1">
        <v>2.5</v>
      </c>
      <c r="FK115" s="1">
        <v>1.4</v>
      </c>
      <c r="FL115" s="1">
        <v>3.6</v>
      </c>
      <c r="FP115" s="1">
        <v>639</v>
      </c>
      <c r="FQ115" s="1">
        <v>575</v>
      </c>
      <c r="FR115" s="1">
        <v>703</v>
      </c>
      <c r="FS115" s="11"/>
      <c r="FT115" s="11"/>
      <c r="FU115" s="11"/>
      <c r="FV115" s="1">
        <v>639</v>
      </c>
      <c r="FW115" s="1">
        <v>575</v>
      </c>
      <c r="FX115" s="1">
        <v>703</v>
      </c>
      <c r="FY115" s="1">
        <v>0</v>
      </c>
      <c r="FZ115" s="19">
        <v>0</v>
      </c>
      <c r="GA115" s="19">
        <v>0</v>
      </c>
      <c r="GB115" s="19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>
        <v>90.977647058823536</v>
      </c>
      <c r="GO115" s="8">
        <v>45.488823529411768</v>
      </c>
      <c r="GP115" s="8">
        <v>136.46647058823527</v>
      </c>
      <c r="GS115" s="1">
        <v>67</v>
      </c>
      <c r="GT115" s="1">
        <v>67</v>
      </c>
      <c r="GU115" s="1">
        <v>67</v>
      </c>
      <c r="GV115" s="13" t="s">
        <v>806</v>
      </c>
      <c r="GW115" s="13" t="s">
        <v>806</v>
      </c>
      <c r="GX115" s="13" t="s">
        <v>806</v>
      </c>
      <c r="GY115" s="13"/>
      <c r="GZ115" s="13" t="s">
        <v>806</v>
      </c>
      <c r="HA115" s="13" t="s">
        <v>806</v>
      </c>
      <c r="HB115" s="13" t="s">
        <v>806</v>
      </c>
      <c r="HC115" s="13" t="s">
        <v>806</v>
      </c>
      <c r="HD115" s="13" t="s">
        <v>806</v>
      </c>
      <c r="HE115" s="13" t="s">
        <v>806</v>
      </c>
      <c r="HF115" s="13" t="s">
        <v>806</v>
      </c>
      <c r="HI115" s="13" t="s">
        <v>806</v>
      </c>
      <c r="HJ115" s="13" t="s">
        <v>806</v>
      </c>
      <c r="HL115" s="13" t="s">
        <v>806</v>
      </c>
    </row>
    <row r="116" spans="1:220" x14ac:dyDescent="0.25">
      <c r="A116" s="1" t="s">
        <v>134</v>
      </c>
      <c r="B116" s="1" t="s">
        <v>748</v>
      </c>
      <c r="E116" s="1" t="s">
        <v>139</v>
      </c>
      <c r="F116" s="1">
        <v>2</v>
      </c>
      <c r="G116" s="1">
        <v>2025</v>
      </c>
      <c r="H116" s="1">
        <v>1</v>
      </c>
      <c r="I116" s="1">
        <v>0</v>
      </c>
      <c r="J116" s="1">
        <v>0</v>
      </c>
      <c r="K116" s="19"/>
      <c r="L116" s="19"/>
      <c r="M116" s="19"/>
      <c r="N116" s="19"/>
      <c r="O116" s="19"/>
      <c r="P116" s="19"/>
      <c r="Q116" s="19">
        <v>676.12766666666676</v>
      </c>
      <c r="R116" s="19">
        <v>436.37490000000003</v>
      </c>
      <c r="S116" s="19">
        <v>874.84870000000001</v>
      </c>
      <c r="T116" s="19"/>
      <c r="U116" s="19"/>
      <c r="V116" s="19"/>
      <c r="W116" s="19">
        <v>1611.5223333333327</v>
      </c>
      <c r="X116" s="19">
        <v>1056.4866</v>
      </c>
      <c r="Y116" s="19">
        <v>2358.2878000000001</v>
      </c>
      <c r="Z116" s="19">
        <v>676.12766666666676</v>
      </c>
      <c r="AA116" s="19">
        <v>436.37490000000003</v>
      </c>
      <c r="AB116" s="19">
        <v>874.84870000000001</v>
      </c>
      <c r="AC116" s="19"/>
      <c r="AD116" s="19"/>
      <c r="AE116" s="19"/>
      <c r="AF116" s="19">
        <v>1611.5223333333327</v>
      </c>
      <c r="AG116" s="19">
        <v>1056.4866</v>
      </c>
      <c r="AH116" s="19">
        <v>2358.2878000000001</v>
      </c>
      <c r="AI116" s="19">
        <v>676.12766666666676</v>
      </c>
      <c r="AJ116" s="19">
        <v>436.37490000000003</v>
      </c>
      <c r="AK116" s="19">
        <v>874.84870000000001</v>
      </c>
      <c r="AL116" s="19">
        <v>1611.5223333333327</v>
      </c>
      <c r="AM116" s="19">
        <v>1056.4866</v>
      </c>
      <c r="AN116" s="19">
        <v>2358.2878000000001</v>
      </c>
      <c r="AO116" s="19">
        <v>1325.5660833333336</v>
      </c>
      <c r="AP116" s="19">
        <v>872.74980000000005</v>
      </c>
      <c r="AQ116" s="19">
        <v>1711.6605</v>
      </c>
      <c r="AR116" s="19"/>
      <c r="AS116" s="19"/>
      <c r="AT116" s="19"/>
      <c r="AU116" s="19">
        <v>962.0839166666666</v>
      </c>
      <c r="AV116" s="19">
        <v>551.21040000000005</v>
      </c>
      <c r="AW116" s="19">
        <v>1635.5867000000001</v>
      </c>
      <c r="AX116" s="19">
        <v>1325.5660833333336</v>
      </c>
      <c r="AY116" s="19">
        <v>872.74980000000005</v>
      </c>
      <c r="AZ116" s="19">
        <v>1711.6605</v>
      </c>
      <c r="BA116" s="19"/>
      <c r="BB116" s="19"/>
      <c r="BC116" s="19"/>
      <c r="BD116" s="19">
        <v>962.0839166666666</v>
      </c>
      <c r="BE116" s="19">
        <v>551.21040000000005</v>
      </c>
      <c r="BF116" s="19">
        <v>1635.5867000000001</v>
      </c>
      <c r="BG116" s="19">
        <v>1325.5660833333336</v>
      </c>
      <c r="BH116" s="19">
        <v>872.74980000000005</v>
      </c>
      <c r="BI116" s="19">
        <v>1711.6605</v>
      </c>
      <c r="BJ116" s="19"/>
      <c r="BK116" s="19"/>
      <c r="BL116" s="19"/>
      <c r="BM116" s="19">
        <v>962.0839166666666</v>
      </c>
      <c r="BN116" s="19">
        <v>551.21040000000005</v>
      </c>
      <c r="BO116" s="19">
        <v>1635.5867000000001</v>
      </c>
      <c r="BP116" s="19">
        <v>2288.9209166666669</v>
      </c>
      <c r="BQ116" s="19">
        <v>1492.8615</v>
      </c>
      <c r="BR116" s="19">
        <v>2966.8782000000001</v>
      </c>
      <c r="BS116" s="19"/>
      <c r="BT116" s="19"/>
      <c r="BU116" s="19"/>
      <c r="BV116" s="19">
        <v>0</v>
      </c>
      <c r="BW116" s="19">
        <v>0</v>
      </c>
      <c r="BX116" s="19">
        <v>608.59040000000005</v>
      </c>
      <c r="BY116" s="19">
        <v>2288.9209166666669</v>
      </c>
      <c r="BZ116" s="19">
        <v>1492.8615</v>
      </c>
      <c r="CA116" s="19">
        <v>2966.8782000000001</v>
      </c>
      <c r="CB116" s="19"/>
      <c r="CC116" s="19"/>
      <c r="CD116" s="19"/>
      <c r="CE116" s="19">
        <v>0</v>
      </c>
      <c r="CF116" s="19">
        <v>0</v>
      </c>
      <c r="CG116" s="19">
        <v>608.59040000000005</v>
      </c>
      <c r="CH116" s="19">
        <v>2288.9209166666669</v>
      </c>
      <c r="CI116" s="19">
        <v>1492.8615</v>
      </c>
      <c r="CJ116" s="19">
        <v>2966.8782000000001</v>
      </c>
      <c r="CK116" s="19"/>
      <c r="CL116" s="19"/>
      <c r="CM116" s="19"/>
      <c r="CN116" s="19">
        <v>0</v>
      </c>
      <c r="CO116" s="19">
        <v>0</v>
      </c>
      <c r="CP116" s="19">
        <v>608.59040000000005</v>
      </c>
      <c r="CQ116" s="19"/>
      <c r="CR116" s="19"/>
      <c r="CS116" s="19"/>
      <c r="CT116" s="19"/>
      <c r="CU116" s="11">
        <f>Tabelle58971121[[#This Row],[Mindestauslastung durch]]*Tabelle58971121[[#This Row],[installierte Leistung MW durch]]</f>
        <v>457.53</v>
      </c>
      <c r="CV116" s="11">
        <f>Tabelle58971121[[#This Row],[Mindestauslastung min]]*Tabelle58971121[[#This Row],[installierte Leistung MW min]]</f>
        <v>344.50650000000002</v>
      </c>
      <c r="CW116" s="11">
        <f>Tabelle58971121[[#This Row],[Mindestauslastung max]]*Tabelle58971121[[#This Row],[installierte Leistung MW max]]</f>
        <v>570.55349999999999</v>
      </c>
      <c r="CX116" s="9">
        <v>0.15</v>
      </c>
      <c r="CY116" s="9">
        <v>0.15</v>
      </c>
      <c r="CZ116" s="9">
        <v>0.15</v>
      </c>
      <c r="DA116" s="9"/>
      <c r="DB116" s="9">
        <v>0.22166666666666671</v>
      </c>
      <c r="DC116" s="9">
        <v>0.19</v>
      </c>
      <c r="DD116" s="9">
        <v>0.23</v>
      </c>
      <c r="DE116" s="9">
        <v>0.22166666666666671</v>
      </c>
      <c r="DF116" s="9">
        <v>0.19</v>
      </c>
      <c r="DG116" s="9">
        <v>0.23</v>
      </c>
      <c r="DH116" s="9">
        <v>0.22166666666666671</v>
      </c>
      <c r="DI116" s="9">
        <v>0.19</v>
      </c>
      <c r="DJ116" s="9">
        <v>0.23</v>
      </c>
      <c r="DK116" s="9">
        <v>0.43458333333333338</v>
      </c>
      <c r="DL116" s="9">
        <v>0.38</v>
      </c>
      <c r="DM116" s="9">
        <v>0.45</v>
      </c>
      <c r="DN116" s="9">
        <v>0.43458333333333338</v>
      </c>
      <c r="DO116" s="9">
        <v>0.38</v>
      </c>
      <c r="DP116" s="9">
        <v>0.45</v>
      </c>
      <c r="DQ116" s="9">
        <v>0.43458333333333338</v>
      </c>
      <c r="DR116" s="9">
        <v>0.38</v>
      </c>
      <c r="DS116" s="9">
        <v>0.45</v>
      </c>
      <c r="DT116" s="9">
        <v>0.75041666666666673</v>
      </c>
      <c r="DU116" s="9">
        <v>0.65</v>
      </c>
      <c r="DV116" s="9">
        <v>0.78</v>
      </c>
      <c r="DW116" s="9">
        <v>0.75041666666666673</v>
      </c>
      <c r="DX116" s="9">
        <v>0.65</v>
      </c>
      <c r="DY116" s="9">
        <v>0.78</v>
      </c>
      <c r="DZ116" s="9">
        <v>0.75041666666666673</v>
      </c>
      <c r="EA116" s="9">
        <v>0.65</v>
      </c>
      <c r="EB116" s="9">
        <v>0.78</v>
      </c>
      <c r="EC116" s="9"/>
      <c r="ED116" s="9"/>
      <c r="EE116" s="9"/>
      <c r="EF116" s="46">
        <f>Tabelle58971121[[#This Row],[Durchschnittsauslastung min]]*Tabelle58971121[[#This Row],[installierte Leistung MW min]]</f>
        <v>0</v>
      </c>
      <c r="EG116" s="46">
        <f>Tabelle58971121[[#This Row],[Durchschnittsauslastung durch]]*Tabelle58971121[[#This Row],[installierte Leistung MW durch]]</f>
        <v>0</v>
      </c>
      <c r="EH116" s="46">
        <f>Tabelle58971121[[#This Row],[Durchschnittsauslastung max]]*Tabelle58971121[[#This Row],[installierte Leistung MW max]]</f>
        <v>0</v>
      </c>
      <c r="EI116" s="83">
        <f>Tabelle58971121[[#This Row],[Maximalauslastung durch]]*Tabelle58971121[[#This Row],[installierte Leistung MW min]]</f>
        <v>1722.5325</v>
      </c>
      <c r="EJ116" s="46">
        <f>Tabelle58971121[[#This Row],[Maximalauslastung durch]]*Tabelle58971121[[#This Row],[installierte Leistung MW durch]]</f>
        <v>2287.6499999999996</v>
      </c>
      <c r="EK116" s="19">
        <f>Tabelle58971121[[#This Row],[Maximalauslastung max]]*Tabelle58971121[[#This Row],[installierte Leistung MW durch]]</f>
        <v>2470.6619999999998</v>
      </c>
      <c r="EL116" s="9">
        <v>0.75</v>
      </c>
      <c r="EM116" s="9">
        <v>0.69</v>
      </c>
      <c r="EN116" s="9">
        <v>0.81</v>
      </c>
      <c r="EO116" s="1">
        <v>3050.2</v>
      </c>
      <c r="EP116" s="1">
        <v>2296.71</v>
      </c>
      <c r="EQ116" s="1">
        <v>3803.69</v>
      </c>
      <c r="ER116" s="19"/>
      <c r="ES116" s="19"/>
      <c r="EX116" s="1">
        <v>1.5</v>
      </c>
      <c r="EY116" s="1">
        <v>1</v>
      </c>
      <c r="EZ116" s="1">
        <v>2</v>
      </c>
      <c r="FD116" s="1">
        <v>1.5</v>
      </c>
      <c r="FE116" s="1">
        <v>1</v>
      </c>
      <c r="FF116" s="1">
        <v>2</v>
      </c>
      <c r="FG116" s="1">
        <v>3</v>
      </c>
      <c r="FH116" s="1">
        <v>2.4</v>
      </c>
      <c r="FI116" s="1">
        <v>3.6</v>
      </c>
      <c r="FJ116" s="1">
        <v>2.5</v>
      </c>
      <c r="FK116" s="1">
        <v>1.4</v>
      </c>
      <c r="FL116" s="1">
        <v>3.6</v>
      </c>
      <c r="FP116" s="1">
        <v>639</v>
      </c>
      <c r="FQ116" s="1">
        <v>575</v>
      </c>
      <c r="FR116" s="1">
        <v>703</v>
      </c>
      <c r="FS116" s="11"/>
      <c r="FT116" s="11"/>
      <c r="FU116" s="11"/>
      <c r="FV116" s="1">
        <v>639</v>
      </c>
      <c r="FW116" s="1">
        <v>575</v>
      </c>
      <c r="FX116" s="1">
        <v>703</v>
      </c>
      <c r="FY116" s="1">
        <v>0</v>
      </c>
      <c r="FZ116" s="19">
        <v>0</v>
      </c>
      <c r="GA116" s="19">
        <v>0</v>
      </c>
      <c r="GB116" s="19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>
        <v>90.977647058823536</v>
      </c>
      <c r="GO116" s="8">
        <v>45.488823529411768</v>
      </c>
      <c r="GP116" s="8">
        <v>136.46647058823527</v>
      </c>
      <c r="GS116" s="1">
        <v>67</v>
      </c>
      <c r="GT116" s="1">
        <v>67</v>
      </c>
      <c r="GU116" s="1">
        <v>67</v>
      </c>
      <c r="GV116" s="13" t="s">
        <v>806</v>
      </c>
      <c r="GW116" s="13" t="s">
        <v>806</v>
      </c>
      <c r="GX116" s="13" t="s">
        <v>806</v>
      </c>
      <c r="GY116" s="13"/>
      <c r="GZ116" s="13" t="s">
        <v>806</v>
      </c>
      <c r="HA116" s="13" t="s">
        <v>806</v>
      </c>
      <c r="HB116" s="13" t="s">
        <v>806</v>
      </c>
      <c r="HC116" s="13" t="s">
        <v>806</v>
      </c>
      <c r="HD116" s="13" t="s">
        <v>806</v>
      </c>
      <c r="HE116" s="13" t="s">
        <v>806</v>
      </c>
      <c r="HF116" s="13" t="s">
        <v>806</v>
      </c>
      <c r="HI116" s="13" t="s">
        <v>806</v>
      </c>
      <c r="HJ116" s="13" t="s">
        <v>806</v>
      </c>
      <c r="HL116" s="13" t="s">
        <v>806</v>
      </c>
    </row>
    <row r="117" spans="1:220" x14ac:dyDescent="0.25">
      <c r="A117" s="1" t="s">
        <v>134</v>
      </c>
      <c r="B117" s="1" t="s">
        <v>748</v>
      </c>
      <c r="E117" s="1" t="s">
        <v>139</v>
      </c>
      <c r="F117" s="1">
        <v>2</v>
      </c>
      <c r="G117" s="1">
        <v>2030</v>
      </c>
      <c r="H117" s="1">
        <v>1</v>
      </c>
      <c r="I117" s="1">
        <v>0</v>
      </c>
      <c r="J117" s="1">
        <v>0</v>
      </c>
      <c r="K117" s="19"/>
      <c r="L117" s="19"/>
      <c r="M117" s="19"/>
      <c r="N117" s="19"/>
      <c r="O117" s="19"/>
      <c r="P117" s="19"/>
      <c r="Q117" s="19">
        <v>720.9043333333334</v>
      </c>
      <c r="R117" s="19">
        <v>465.27390000000003</v>
      </c>
      <c r="S117" s="19">
        <v>932.78570000000002</v>
      </c>
      <c r="T117" s="19"/>
      <c r="U117" s="19"/>
      <c r="V117" s="19"/>
      <c r="W117" s="19">
        <v>1718.245666666666</v>
      </c>
      <c r="X117" s="19">
        <v>1126.4526000000001</v>
      </c>
      <c r="Y117" s="19">
        <v>2514.4657999999999</v>
      </c>
      <c r="Z117" s="19">
        <v>720.9043333333334</v>
      </c>
      <c r="AA117" s="19">
        <v>465.27390000000003</v>
      </c>
      <c r="AB117" s="19">
        <v>932.78570000000002</v>
      </c>
      <c r="AC117" s="19"/>
      <c r="AD117" s="19"/>
      <c r="AE117" s="19"/>
      <c r="AF117" s="19">
        <v>1718.245666666666</v>
      </c>
      <c r="AG117" s="19">
        <v>1126.4526000000001</v>
      </c>
      <c r="AH117" s="19">
        <v>2514.4657999999999</v>
      </c>
      <c r="AI117" s="19">
        <v>720.9043333333334</v>
      </c>
      <c r="AJ117" s="19">
        <v>465.27390000000003</v>
      </c>
      <c r="AK117" s="19">
        <v>932.78570000000002</v>
      </c>
      <c r="AL117" s="19">
        <v>1718.245666666666</v>
      </c>
      <c r="AM117" s="19">
        <v>1126.4526000000001</v>
      </c>
      <c r="AN117" s="19">
        <v>2514.4657999999999</v>
      </c>
      <c r="AO117" s="19">
        <v>1413.351916666667</v>
      </c>
      <c r="AP117" s="19">
        <v>930.54780000000005</v>
      </c>
      <c r="AQ117" s="19">
        <v>1825.0155</v>
      </c>
      <c r="AR117" s="19"/>
      <c r="AS117" s="19"/>
      <c r="AT117" s="19"/>
      <c r="AU117" s="19">
        <v>1025.7980833333334</v>
      </c>
      <c r="AV117" s="19">
        <v>587.71440000000007</v>
      </c>
      <c r="AW117" s="19">
        <v>1743.9037000000003</v>
      </c>
      <c r="AX117" s="19">
        <v>1413.351916666667</v>
      </c>
      <c r="AY117" s="19">
        <v>930.54780000000005</v>
      </c>
      <c r="AZ117" s="19">
        <v>1825.0155</v>
      </c>
      <c r="BA117" s="19"/>
      <c r="BB117" s="19"/>
      <c r="BC117" s="19"/>
      <c r="BD117" s="19">
        <v>1025.7980833333334</v>
      </c>
      <c r="BE117" s="19">
        <v>587.71440000000007</v>
      </c>
      <c r="BF117" s="19">
        <v>1743.9037000000003</v>
      </c>
      <c r="BG117" s="19">
        <v>1413.351916666667</v>
      </c>
      <c r="BH117" s="19">
        <v>930.54780000000005</v>
      </c>
      <c r="BI117" s="19">
        <v>1825.0155</v>
      </c>
      <c r="BJ117" s="19"/>
      <c r="BK117" s="19"/>
      <c r="BL117" s="19"/>
      <c r="BM117" s="19">
        <v>1025.7980833333334</v>
      </c>
      <c r="BN117" s="19">
        <v>587.71440000000007</v>
      </c>
      <c r="BO117" s="19">
        <v>1743.9037000000003</v>
      </c>
      <c r="BP117" s="19">
        <v>2440.5050833333339</v>
      </c>
      <c r="BQ117" s="19">
        <v>1591.7265</v>
      </c>
      <c r="BR117" s="19">
        <v>3163.3602000000001</v>
      </c>
      <c r="BS117" s="19"/>
      <c r="BT117" s="19"/>
      <c r="BU117" s="19"/>
      <c r="BV117" s="19">
        <v>0</v>
      </c>
      <c r="BW117" s="19">
        <v>0</v>
      </c>
      <c r="BX117" s="19">
        <v>648.89440000000002</v>
      </c>
      <c r="BY117" s="19">
        <v>2440.5050833333339</v>
      </c>
      <c r="BZ117" s="19">
        <v>1591.7265</v>
      </c>
      <c r="CA117" s="19">
        <v>3163.3602000000001</v>
      </c>
      <c r="CB117" s="19"/>
      <c r="CC117" s="19"/>
      <c r="CD117" s="19"/>
      <c r="CE117" s="19">
        <v>0</v>
      </c>
      <c r="CF117" s="19">
        <v>0</v>
      </c>
      <c r="CG117" s="19">
        <v>648.89440000000002</v>
      </c>
      <c r="CH117" s="19">
        <v>2440.5050833333339</v>
      </c>
      <c r="CI117" s="19">
        <v>1591.7265</v>
      </c>
      <c r="CJ117" s="19">
        <v>3163.3602000000001</v>
      </c>
      <c r="CK117" s="19"/>
      <c r="CL117" s="19"/>
      <c r="CM117" s="19"/>
      <c r="CN117" s="19">
        <v>0</v>
      </c>
      <c r="CO117" s="19">
        <v>0</v>
      </c>
      <c r="CP117" s="19">
        <v>648.89440000000002</v>
      </c>
      <c r="CQ117" s="19"/>
      <c r="CR117" s="19"/>
      <c r="CS117" s="19"/>
      <c r="CT117" s="19"/>
      <c r="CU117" s="11">
        <f>Tabelle58971121[[#This Row],[Mindestauslastung durch]]*Tabelle58971121[[#This Row],[installierte Leistung MW durch]]</f>
        <v>487.82999999999993</v>
      </c>
      <c r="CV117" s="11">
        <f>Tabelle58971121[[#This Row],[Mindestauslastung min]]*Tabelle58971121[[#This Row],[installierte Leistung MW min]]</f>
        <v>367.32149999999996</v>
      </c>
      <c r="CW117" s="11">
        <f>Tabelle58971121[[#This Row],[Mindestauslastung max]]*Tabelle58971121[[#This Row],[installierte Leistung MW max]]</f>
        <v>608.33849999999995</v>
      </c>
      <c r="CX117" s="9">
        <v>0.15</v>
      </c>
      <c r="CY117" s="9">
        <v>0.15</v>
      </c>
      <c r="CZ117" s="9">
        <v>0.15</v>
      </c>
      <c r="DA117" s="9"/>
      <c r="DB117" s="9">
        <v>0.22166666666666671</v>
      </c>
      <c r="DC117" s="9">
        <v>0.19</v>
      </c>
      <c r="DD117" s="9">
        <v>0.23</v>
      </c>
      <c r="DE117" s="9">
        <v>0.22166666666666671</v>
      </c>
      <c r="DF117" s="9">
        <v>0.19</v>
      </c>
      <c r="DG117" s="9">
        <v>0.23</v>
      </c>
      <c r="DH117" s="9">
        <v>0.22166666666666671</v>
      </c>
      <c r="DI117" s="9">
        <v>0.19</v>
      </c>
      <c r="DJ117" s="9">
        <v>0.23</v>
      </c>
      <c r="DK117" s="9">
        <v>0.43458333333333338</v>
      </c>
      <c r="DL117" s="9">
        <v>0.38</v>
      </c>
      <c r="DM117" s="9">
        <v>0.45</v>
      </c>
      <c r="DN117" s="9">
        <v>0.43458333333333338</v>
      </c>
      <c r="DO117" s="9">
        <v>0.38</v>
      </c>
      <c r="DP117" s="9">
        <v>0.45</v>
      </c>
      <c r="DQ117" s="9">
        <v>0.43458333333333338</v>
      </c>
      <c r="DR117" s="9">
        <v>0.38</v>
      </c>
      <c r="DS117" s="9">
        <v>0.45</v>
      </c>
      <c r="DT117" s="9">
        <v>0.75041666666666673</v>
      </c>
      <c r="DU117" s="9">
        <v>0.65</v>
      </c>
      <c r="DV117" s="9">
        <v>0.78</v>
      </c>
      <c r="DW117" s="9">
        <v>0.75041666666666673</v>
      </c>
      <c r="DX117" s="9">
        <v>0.65</v>
      </c>
      <c r="DY117" s="9">
        <v>0.78</v>
      </c>
      <c r="DZ117" s="9">
        <v>0.75041666666666673</v>
      </c>
      <c r="EA117" s="9">
        <v>0.65</v>
      </c>
      <c r="EB117" s="9">
        <v>0.78</v>
      </c>
      <c r="EC117" s="9"/>
      <c r="ED117" s="9"/>
      <c r="EE117" s="9"/>
      <c r="EF117" s="46">
        <f>Tabelle58971121[[#This Row],[Durchschnittsauslastung min]]*Tabelle58971121[[#This Row],[installierte Leistung MW min]]</f>
        <v>0</v>
      </c>
      <c r="EG117" s="46">
        <f>Tabelle58971121[[#This Row],[Durchschnittsauslastung durch]]*Tabelle58971121[[#This Row],[installierte Leistung MW durch]]</f>
        <v>0</v>
      </c>
      <c r="EH117" s="46">
        <f>Tabelle58971121[[#This Row],[Durchschnittsauslastung max]]*Tabelle58971121[[#This Row],[installierte Leistung MW max]]</f>
        <v>0</v>
      </c>
      <c r="EI117" s="83">
        <f>Tabelle58971121[[#This Row],[Maximalauslastung durch]]*Tabelle58971121[[#This Row],[installierte Leistung MW min]]</f>
        <v>1836.6075000000001</v>
      </c>
      <c r="EJ117" s="46">
        <f>Tabelle58971121[[#This Row],[Maximalauslastung durch]]*Tabelle58971121[[#This Row],[installierte Leistung MW durch]]</f>
        <v>2439.1499999999996</v>
      </c>
      <c r="EK117" s="19">
        <f>Tabelle58971121[[#This Row],[Maximalauslastung max]]*Tabelle58971121[[#This Row],[installierte Leistung MW durch]]</f>
        <v>2634.2820000000002</v>
      </c>
      <c r="EL117" s="9">
        <v>0.75</v>
      </c>
      <c r="EM117" s="9">
        <v>0.69</v>
      </c>
      <c r="EN117" s="9">
        <v>0.81</v>
      </c>
      <c r="EO117" s="1">
        <v>3252.2</v>
      </c>
      <c r="EP117" s="1">
        <v>2448.81</v>
      </c>
      <c r="EQ117" s="1">
        <v>4055.59</v>
      </c>
      <c r="ER117" s="19"/>
      <c r="ES117" s="19"/>
      <c r="EX117" s="1">
        <v>1.5</v>
      </c>
      <c r="EY117" s="1">
        <v>1</v>
      </c>
      <c r="EZ117" s="1">
        <v>2</v>
      </c>
      <c r="FD117" s="1">
        <v>1.5</v>
      </c>
      <c r="FE117" s="1">
        <v>1</v>
      </c>
      <c r="FF117" s="1">
        <v>2</v>
      </c>
      <c r="FG117" s="1">
        <v>3</v>
      </c>
      <c r="FH117" s="1">
        <v>2.4</v>
      </c>
      <c r="FI117" s="1">
        <v>3.6</v>
      </c>
      <c r="FJ117" s="1">
        <v>2.5</v>
      </c>
      <c r="FK117" s="1">
        <v>1.4</v>
      </c>
      <c r="FL117" s="1">
        <v>3.6</v>
      </c>
      <c r="FP117" s="1">
        <v>639</v>
      </c>
      <c r="FQ117" s="1">
        <v>575</v>
      </c>
      <c r="FR117" s="1">
        <v>703</v>
      </c>
      <c r="FS117" s="11"/>
      <c r="FT117" s="11"/>
      <c r="FU117" s="11"/>
      <c r="FV117" s="1">
        <v>639</v>
      </c>
      <c r="FW117" s="1">
        <v>575</v>
      </c>
      <c r="FX117" s="1">
        <v>703</v>
      </c>
      <c r="FY117" s="1">
        <v>0</v>
      </c>
      <c r="FZ117" s="19">
        <v>0</v>
      </c>
      <c r="GA117" s="19">
        <v>0</v>
      </c>
      <c r="GB117" s="19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>
        <v>90.977647058823536</v>
      </c>
      <c r="GO117" s="8">
        <v>45.488823529411768</v>
      </c>
      <c r="GP117" s="8">
        <v>136.46647058823527</v>
      </c>
      <c r="GS117" s="1">
        <v>67</v>
      </c>
      <c r="GT117" s="1">
        <v>67</v>
      </c>
      <c r="GU117" s="1">
        <v>67</v>
      </c>
      <c r="GV117" s="13" t="s">
        <v>806</v>
      </c>
      <c r="GW117" s="13" t="s">
        <v>806</v>
      </c>
      <c r="GX117" s="13" t="s">
        <v>806</v>
      </c>
      <c r="GY117" s="13"/>
      <c r="GZ117" s="13" t="s">
        <v>806</v>
      </c>
      <c r="HA117" s="13" t="s">
        <v>806</v>
      </c>
      <c r="HB117" s="13" t="s">
        <v>806</v>
      </c>
      <c r="HC117" s="13" t="s">
        <v>806</v>
      </c>
      <c r="HD117" s="13" t="s">
        <v>806</v>
      </c>
      <c r="HE117" s="13" t="s">
        <v>806</v>
      </c>
      <c r="HF117" s="13" t="s">
        <v>806</v>
      </c>
      <c r="HI117" s="13" t="s">
        <v>806</v>
      </c>
      <c r="HJ117" s="13" t="s">
        <v>806</v>
      </c>
      <c r="HL117" s="13" t="s">
        <v>806</v>
      </c>
    </row>
    <row r="118" spans="1:220" x14ac:dyDescent="0.25">
      <c r="A118" s="1" t="s">
        <v>134</v>
      </c>
      <c r="B118" s="1" t="s">
        <v>748</v>
      </c>
      <c r="E118" s="1" t="s">
        <v>139</v>
      </c>
      <c r="F118" s="1">
        <v>2</v>
      </c>
      <c r="G118" s="1">
        <v>2035</v>
      </c>
      <c r="H118" s="1">
        <v>1</v>
      </c>
      <c r="I118" s="1">
        <v>0</v>
      </c>
      <c r="J118" s="1">
        <v>0</v>
      </c>
      <c r="K118" s="19"/>
      <c r="L118" s="19"/>
      <c r="M118" s="19"/>
      <c r="N118" s="19"/>
      <c r="O118" s="19"/>
      <c r="P118" s="19"/>
      <c r="Q118" s="19">
        <v>770.1586666666667</v>
      </c>
      <c r="R118" s="19">
        <v>497.06279999999998</v>
      </c>
      <c r="S118" s="19">
        <v>996.51639999999998</v>
      </c>
      <c r="T118" s="19"/>
      <c r="U118" s="19"/>
      <c r="V118" s="19"/>
      <c r="W118" s="19">
        <v>1835.6413333333326</v>
      </c>
      <c r="X118" s="19">
        <v>1203.4151999999999</v>
      </c>
      <c r="Y118" s="19">
        <v>2686.2615999999998</v>
      </c>
      <c r="Z118" s="19">
        <v>770.1586666666667</v>
      </c>
      <c r="AA118" s="19">
        <v>497.06279999999998</v>
      </c>
      <c r="AB118" s="19">
        <v>996.51639999999998</v>
      </c>
      <c r="AC118" s="19"/>
      <c r="AD118" s="19"/>
      <c r="AE118" s="19"/>
      <c r="AF118" s="19">
        <v>1835.6413333333326</v>
      </c>
      <c r="AG118" s="19">
        <v>1203.4151999999999</v>
      </c>
      <c r="AH118" s="19">
        <v>2686.2615999999998</v>
      </c>
      <c r="AI118" s="19">
        <v>770.1586666666667</v>
      </c>
      <c r="AJ118" s="19">
        <v>497.06279999999998</v>
      </c>
      <c r="AK118" s="19">
        <v>996.51639999999998</v>
      </c>
      <c r="AL118" s="19">
        <v>1835.6413333333326</v>
      </c>
      <c r="AM118" s="19">
        <v>1203.4151999999999</v>
      </c>
      <c r="AN118" s="19">
        <v>2686.2615999999998</v>
      </c>
      <c r="AO118" s="19">
        <v>1509.9163333333336</v>
      </c>
      <c r="AP118" s="19">
        <v>994.12559999999996</v>
      </c>
      <c r="AQ118" s="19">
        <v>1949.7059999999999</v>
      </c>
      <c r="AR118" s="19"/>
      <c r="AS118" s="19"/>
      <c r="AT118" s="19"/>
      <c r="AU118" s="19">
        <v>1095.8836666666666</v>
      </c>
      <c r="AV118" s="19">
        <v>627.86880000000008</v>
      </c>
      <c r="AW118" s="19">
        <v>1863.0524</v>
      </c>
      <c r="AX118" s="19">
        <v>1509.9163333333336</v>
      </c>
      <c r="AY118" s="19">
        <v>994.12559999999996</v>
      </c>
      <c r="AZ118" s="19">
        <v>1949.7059999999999</v>
      </c>
      <c r="BA118" s="19"/>
      <c r="BB118" s="19"/>
      <c r="BC118" s="19"/>
      <c r="BD118" s="19">
        <v>1095.8836666666666</v>
      </c>
      <c r="BE118" s="19">
        <v>627.86880000000008</v>
      </c>
      <c r="BF118" s="19">
        <v>1863.0524</v>
      </c>
      <c r="BG118" s="19">
        <v>1509.9163333333336</v>
      </c>
      <c r="BH118" s="19">
        <v>994.12559999999996</v>
      </c>
      <c r="BI118" s="19">
        <v>1949.7059999999999</v>
      </c>
      <c r="BJ118" s="19"/>
      <c r="BK118" s="19"/>
      <c r="BL118" s="19"/>
      <c r="BM118" s="19">
        <v>1095.8836666666666</v>
      </c>
      <c r="BN118" s="19">
        <v>627.86880000000008</v>
      </c>
      <c r="BO118" s="19">
        <v>1863.0524</v>
      </c>
      <c r="BP118" s="19">
        <v>2607.2476666666671</v>
      </c>
      <c r="BQ118" s="19">
        <v>1700.4779999999998</v>
      </c>
      <c r="BR118" s="19">
        <v>3379.4903999999997</v>
      </c>
      <c r="BS118" s="19"/>
      <c r="BT118" s="19"/>
      <c r="BU118" s="19"/>
      <c r="BV118" s="19">
        <v>0</v>
      </c>
      <c r="BW118" s="19">
        <v>0</v>
      </c>
      <c r="BX118" s="19">
        <v>693.22879999999998</v>
      </c>
      <c r="BY118" s="19">
        <v>2607.2476666666671</v>
      </c>
      <c r="BZ118" s="19">
        <v>1700.4779999999998</v>
      </c>
      <c r="CA118" s="19">
        <v>3379.4903999999997</v>
      </c>
      <c r="CB118" s="19"/>
      <c r="CC118" s="19"/>
      <c r="CD118" s="19"/>
      <c r="CE118" s="19">
        <v>0</v>
      </c>
      <c r="CF118" s="19">
        <v>0</v>
      </c>
      <c r="CG118" s="19">
        <v>693.22879999999998</v>
      </c>
      <c r="CH118" s="19">
        <v>2607.2476666666671</v>
      </c>
      <c r="CI118" s="19">
        <v>1700.4779999999998</v>
      </c>
      <c r="CJ118" s="19">
        <v>3379.4903999999997</v>
      </c>
      <c r="CK118" s="19"/>
      <c r="CL118" s="19"/>
      <c r="CM118" s="19"/>
      <c r="CN118" s="19">
        <v>0</v>
      </c>
      <c r="CO118" s="19">
        <v>0</v>
      </c>
      <c r="CP118" s="19">
        <v>693.22879999999998</v>
      </c>
      <c r="CQ118" s="19"/>
      <c r="CR118" s="19"/>
      <c r="CS118" s="19"/>
      <c r="CT118" s="19"/>
      <c r="CU118" s="11">
        <f>Tabelle58971121[[#This Row],[Mindestauslastung durch]]*Tabelle58971121[[#This Row],[installierte Leistung MW durch]]</f>
        <v>521.16</v>
      </c>
      <c r="CV118" s="11">
        <f>Tabelle58971121[[#This Row],[Mindestauslastung min]]*Tabelle58971121[[#This Row],[installierte Leistung MW min]]</f>
        <v>392.41799999999995</v>
      </c>
      <c r="CW118" s="11">
        <f>Tabelle58971121[[#This Row],[Mindestauslastung max]]*Tabelle58971121[[#This Row],[installierte Leistung MW max]]</f>
        <v>649.90200000000004</v>
      </c>
      <c r="CX118" s="9">
        <v>0.15</v>
      </c>
      <c r="CY118" s="9">
        <v>0.15</v>
      </c>
      <c r="CZ118" s="9">
        <v>0.15</v>
      </c>
      <c r="DA118" s="9"/>
      <c r="DB118" s="9">
        <v>0.22166666666666671</v>
      </c>
      <c r="DC118" s="9">
        <v>0.19</v>
      </c>
      <c r="DD118" s="9">
        <v>0.23</v>
      </c>
      <c r="DE118" s="9">
        <v>0.22166666666666671</v>
      </c>
      <c r="DF118" s="9">
        <v>0.19</v>
      </c>
      <c r="DG118" s="9">
        <v>0.23</v>
      </c>
      <c r="DH118" s="9">
        <v>0.22166666666666671</v>
      </c>
      <c r="DI118" s="9">
        <v>0.19</v>
      </c>
      <c r="DJ118" s="9">
        <v>0.23</v>
      </c>
      <c r="DK118" s="9">
        <v>0.43458333333333338</v>
      </c>
      <c r="DL118" s="9">
        <v>0.38</v>
      </c>
      <c r="DM118" s="9">
        <v>0.45</v>
      </c>
      <c r="DN118" s="9">
        <v>0.43458333333333338</v>
      </c>
      <c r="DO118" s="9">
        <v>0.38</v>
      </c>
      <c r="DP118" s="9">
        <v>0.45</v>
      </c>
      <c r="DQ118" s="9">
        <v>0.43458333333333338</v>
      </c>
      <c r="DR118" s="9">
        <v>0.38</v>
      </c>
      <c r="DS118" s="9">
        <v>0.45</v>
      </c>
      <c r="DT118" s="9">
        <v>0.75041666666666673</v>
      </c>
      <c r="DU118" s="9">
        <v>0.65</v>
      </c>
      <c r="DV118" s="9">
        <v>0.78</v>
      </c>
      <c r="DW118" s="9">
        <v>0.75041666666666673</v>
      </c>
      <c r="DX118" s="9">
        <v>0.65</v>
      </c>
      <c r="DY118" s="9">
        <v>0.78</v>
      </c>
      <c r="DZ118" s="9">
        <v>0.75041666666666673</v>
      </c>
      <c r="EA118" s="9">
        <v>0.65</v>
      </c>
      <c r="EB118" s="9">
        <v>0.78</v>
      </c>
      <c r="EC118" s="9"/>
      <c r="ED118" s="9"/>
      <c r="EE118" s="9"/>
      <c r="EF118" s="46">
        <f>Tabelle58971121[[#This Row],[Durchschnittsauslastung min]]*Tabelle58971121[[#This Row],[installierte Leistung MW min]]</f>
        <v>0</v>
      </c>
      <c r="EG118" s="46">
        <f>Tabelle58971121[[#This Row],[Durchschnittsauslastung durch]]*Tabelle58971121[[#This Row],[installierte Leistung MW durch]]</f>
        <v>0</v>
      </c>
      <c r="EH118" s="46">
        <f>Tabelle58971121[[#This Row],[Durchschnittsauslastung max]]*Tabelle58971121[[#This Row],[installierte Leistung MW max]]</f>
        <v>0</v>
      </c>
      <c r="EI118" s="83">
        <f>Tabelle58971121[[#This Row],[Maximalauslastung durch]]*Tabelle58971121[[#This Row],[installierte Leistung MW min]]</f>
        <v>1962.09</v>
      </c>
      <c r="EJ118" s="46">
        <f>Tabelle58971121[[#This Row],[Maximalauslastung durch]]*Tabelle58971121[[#This Row],[installierte Leistung MW durch]]</f>
        <v>2605.8000000000002</v>
      </c>
      <c r="EK118" s="19">
        <f>Tabelle58971121[[#This Row],[Maximalauslastung max]]*Tabelle58971121[[#This Row],[installierte Leistung MW durch]]</f>
        <v>2814.2640000000001</v>
      </c>
      <c r="EL118" s="9">
        <v>0.75</v>
      </c>
      <c r="EM118" s="9">
        <v>0.69</v>
      </c>
      <c r="EN118" s="9">
        <v>0.81</v>
      </c>
      <c r="EO118" s="1">
        <v>3474.4</v>
      </c>
      <c r="EP118" s="1">
        <v>2616.12</v>
      </c>
      <c r="EQ118" s="1">
        <v>4332.68</v>
      </c>
      <c r="ER118" s="19"/>
      <c r="ES118" s="19"/>
      <c r="EX118" s="1">
        <v>1.5</v>
      </c>
      <c r="EY118" s="1">
        <v>1</v>
      </c>
      <c r="EZ118" s="1">
        <v>2</v>
      </c>
      <c r="FD118" s="1">
        <v>1.5</v>
      </c>
      <c r="FE118" s="1">
        <v>1</v>
      </c>
      <c r="FF118" s="1">
        <v>2</v>
      </c>
      <c r="FG118" s="1">
        <v>3</v>
      </c>
      <c r="FH118" s="1">
        <v>2.4</v>
      </c>
      <c r="FI118" s="1">
        <v>3.6</v>
      </c>
      <c r="FJ118" s="1">
        <v>2.5</v>
      </c>
      <c r="FK118" s="1">
        <v>1.4</v>
      </c>
      <c r="FL118" s="1">
        <v>3.6</v>
      </c>
      <c r="FP118" s="1">
        <v>639</v>
      </c>
      <c r="FQ118" s="1">
        <v>575</v>
      </c>
      <c r="FR118" s="1">
        <v>703</v>
      </c>
      <c r="FS118" s="11"/>
      <c r="FT118" s="11"/>
      <c r="FU118" s="11"/>
      <c r="FV118" s="1">
        <v>639</v>
      </c>
      <c r="FW118" s="1">
        <v>575</v>
      </c>
      <c r="FX118" s="1">
        <v>703</v>
      </c>
      <c r="FY118" s="1">
        <v>0</v>
      </c>
      <c r="FZ118" s="19">
        <v>0</v>
      </c>
      <c r="GA118" s="19">
        <v>0</v>
      </c>
      <c r="GB118" s="19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>
        <v>90.977647058823536</v>
      </c>
      <c r="GO118" s="8">
        <v>45.488823529411768</v>
      </c>
      <c r="GP118" s="8">
        <v>136.46647058823527</v>
      </c>
      <c r="GS118" s="1">
        <v>67</v>
      </c>
      <c r="GT118" s="1">
        <v>67</v>
      </c>
      <c r="GU118" s="1">
        <v>67</v>
      </c>
      <c r="GV118" s="13" t="s">
        <v>806</v>
      </c>
      <c r="GW118" s="13" t="s">
        <v>806</v>
      </c>
      <c r="GX118" s="13" t="s">
        <v>806</v>
      </c>
      <c r="GY118" s="13"/>
      <c r="GZ118" s="13" t="s">
        <v>806</v>
      </c>
      <c r="HA118" s="13" t="s">
        <v>806</v>
      </c>
      <c r="HB118" s="13" t="s">
        <v>806</v>
      </c>
      <c r="HC118" s="13" t="s">
        <v>806</v>
      </c>
      <c r="HD118" s="13" t="s">
        <v>806</v>
      </c>
      <c r="HE118" s="13" t="s">
        <v>806</v>
      </c>
      <c r="HF118" s="13" t="s">
        <v>806</v>
      </c>
      <c r="HI118" s="13" t="s">
        <v>806</v>
      </c>
      <c r="HJ118" s="13" t="s">
        <v>806</v>
      </c>
      <c r="HL118" s="13" t="s">
        <v>806</v>
      </c>
    </row>
    <row r="119" spans="1:220" ht="12.75" customHeight="1" x14ac:dyDescent="0.25">
      <c r="A119" s="1" t="s">
        <v>134</v>
      </c>
      <c r="B119" s="1" t="s">
        <v>748</v>
      </c>
      <c r="E119" s="1" t="s">
        <v>139</v>
      </c>
      <c r="F119" s="1">
        <v>2</v>
      </c>
      <c r="G119" s="1">
        <v>2040</v>
      </c>
      <c r="H119" s="1">
        <v>1</v>
      </c>
      <c r="I119" s="1">
        <v>0</v>
      </c>
      <c r="J119" s="1">
        <v>0</v>
      </c>
      <c r="K119" s="19"/>
      <c r="L119" s="19"/>
      <c r="M119" s="19"/>
      <c r="N119" s="19"/>
      <c r="O119" s="19"/>
      <c r="P119" s="19"/>
      <c r="Q119" s="19">
        <v>837.32366666666678</v>
      </c>
      <c r="R119" s="19">
        <v>540.4113000000001</v>
      </c>
      <c r="S119" s="19">
        <v>1083.4219000000001</v>
      </c>
      <c r="T119" s="19"/>
      <c r="U119" s="19"/>
      <c r="V119" s="19"/>
      <c r="W119" s="19">
        <v>1995.7263333333326</v>
      </c>
      <c r="X119" s="19">
        <v>1308.3642</v>
      </c>
      <c r="Y119" s="19">
        <v>2920.5286000000001</v>
      </c>
      <c r="Z119" s="19">
        <v>837.32366666666678</v>
      </c>
      <c r="AA119" s="19">
        <v>540.4113000000001</v>
      </c>
      <c r="AB119" s="19">
        <v>1083.4219000000001</v>
      </c>
      <c r="AC119" s="19"/>
      <c r="AD119" s="19"/>
      <c r="AE119" s="19"/>
      <c r="AF119" s="19">
        <v>1995.7263333333326</v>
      </c>
      <c r="AG119" s="19">
        <v>1308.3642</v>
      </c>
      <c r="AH119" s="19">
        <v>2920.5286000000001</v>
      </c>
      <c r="AI119" s="19">
        <v>837.32366666666678</v>
      </c>
      <c r="AJ119" s="19">
        <v>540.4113000000001</v>
      </c>
      <c r="AK119" s="19">
        <v>1083.4219000000001</v>
      </c>
      <c r="AL119" s="19">
        <v>1995.7263333333326</v>
      </c>
      <c r="AM119" s="19">
        <v>1308.3642</v>
      </c>
      <c r="AN119" s="19">
        <v>2920.5286000000001</v>
      </c>
      <c r="AO119" s="19">
        <v>1641.5950833333336</v>
      </c>
      <c r="AP119" s="19">
        <v>1080.8226000000002</v>
      </c>
      <c r="AQ119" s="19">
        <v>2119.7384999999999</v>
      </c>
      <c r="AR119" s="19"/>
      <c r="AS119" s="19"/>
      <c r="AT119" s="19"/>
      <c r="AU119" s="19">
        <v>1191.4549166666668</v>
      </c>
      <c r="AV119" s="19">
        <v>682.62480000000005</v>
      </c>
      <c r="AW119" s="19">
        <v>2025.5279000000003</v>
      </c>
      <c r="AX119" s="19">
        <v>1641.5950833333336</v>
      </c>
      <c r="AY119" s="19">
        <v>1080.8226000000002</v>
      </c>
      <c r="AZ119" s="19">
        <v>2119.7384999999999</v>
      </c>
      <c r="BA119" s="19"/>
      <c r="BB119" s="19"/>
      <c r="BC119" s="19"/>
      <c r="BD119" s="19">
        <v>1191.4549166666668</v>
      </c>
      <c r="BE119" s="19">
        <v>682.62480000000005</v>
      </c>
      <c r="BF119" s="19">
        <v>2025.5279000000003</v>
      </c>
      <c r="BG119" s="19">
        <v>1641.5950833333336</v>
      </c>
      <c r="BH119" s="19">
        <v>1080.8226000000002</v>
      </c>
      <c r="BI119" s="19">
        <v>2119.7384999999999</v>
      </c>
      <c r="BJ119" s="19"/>
      <c r="BK119" s="19"/>
      <c r="BL119" s="19"/>
      <c r="BM119" s="19">
        <v>1191.4549166666668</v>
      </c>
      <c r="BN119" s="19">
        <v>682.62480000000005</v>
      </c>
      <c r="BO119" s="19">
        <v>2025.5279000000003</v>
      </c>
      <c r="BP119" s="19">
        <v>2834.6239166666674</v>
      </c>
      <c r="BQ119" s="19">
        <v>1848.7755</v>
      </c>
      <c r="BR119" s="19">
        <v>3674.2134000000001</v>
      </c>
      <c r="BS119" s="19"/>
      <c r="BT119" s="19"/>
      <c r="BU119" s="19"/>
      <c r="BV119" s="19">
        <v>0</v>
      </c>
      <c r="BW119" s="19">
        <v>0</v>
      </c>
      <c r="BX119" s="19">
        <v>753.68480000000011</v>
      </c>
      <c r="BY119" s="19">
        <v>2834.6239166666674</v>
      </c>
      <c r="BZ119" s="19">
        <v>1848.7755</v>
      </c>
      <c r="CA119" s="19">
        <v>3674.2134000000001</v>
      </c>
      <c r="CB119" s="19"/>
      <c r="CC119" s="19"/>
      <c r="CD119" s="19"/>
      <c r="CE119" s="19">
        <v>0</v>
      </c>
      <c r="CF119" s="19">
        <v>0</v>
      </c>
      <c r="CG119" s="19">
        <v>753.68480000000011</v>
      </c>
      <c r="CH119" s="19">
        <v>2834.6239166666674</v>
      </c>
      <c r="CI119" s="19">
        <v>1848.7755</v>
      </c>
      <c r="CJ119" s="19">
        <v>3674.2134000000001</v>
      </c>
      <c r="CK119" s="19"/>
      <c r="CL119" s="19"/>
      <c r="CM119" s="19"/>
      <c r="CN119" s="19">
        <v>0</v>
      </c>
      <c r="CO119" s="19">
        <v>0</v>
      </c>
      <c r="CP119" s="19">
        <v>753.68480000000011</v>
      </c>
      <c r="CQ119" s="19"/>
      <c r="CR119" s="19"/>
      <c r="CS119" s="19"/>
      <c r="CT119" s="19"/>
      <c r="CU119" s="11">
        <f>Tabelle58971121[[#This Row],[Mindestauslastung durch]]*Tabelle58971121[[#This Row],[installierte Leistung MW durch]]</f>
        <v>566.61</v>
      </c>
      <c r="CV119" s="11">
        <f>Tabelle58971121[[#This Row],[Mindestauslastung min]]*Tabelle58971121[[#This Row],[installierte Leistung MW min]]</f>
        <v>426.64049999999997</v>
      </c>
      <c r="CW119" s="11">
        <f>Tabelle58971121[[#This Row],[Mindestauslastung max]]*Tabelle58971121[[#This Row],[installierte Leistung MW max]]</f>
        <v>706.57949999999994</v>
      </c>
      <c r="CX119" s="9">
        <v>0.15</v>
      </c>
      <c r="CY119" s="9">
        <v>0.15</v>
      </c>
      <c r="CZ119" s="9">
        <v>0.15</v>
      </c>
      <c r="DA119" s="9"/>
      <c r="DB119" s="9">
        <v>0.22166666666666671</v>
      </c>
      <c r="DC119" s="9">
        <v>0.19</v>
      </c>
      <c r="DD119" s="9">
        <v>0.23</v>
      </c>
      <c r="DE119" s="9">
        <v>0.22166666666666671</v>
      </c>
      <c r="DF119" s="9">
        <v>0.19</v>
      </c>
      <c r="DG119" s="9">
        <v>0.23</v>
      </c>
      <c r="DH119" s="9">
        <v>0.22166666666666671</v>
      </c>
      <c r="DI119" s="9">
        <v>0.19</v>
      </c>
      <c r="DJ119" s="9">
        <v>0.23</v>
      </c>
      <c r="DK119" s="9">
        <v>0.43458333333333338</v>
      </c>
      <c r="DL119" s="9">
        <v>0.38</v>
      </c>
      <c r="DM119" s="9">
        <v>0.45</v>
      </c>
      <c r="DN119" s="9">
        <v>0.43458333333333338</v>
      </c>
      <c r="DO119" s="9">
        <v>0.38</v>
      </c>
      <c r="DP119" s="9">
        <v>0.45</v>
      </c>
      <c r="DQ119" s="9">
        <v>0.43458333333333338</v>
      </c>
      <c r="DR119" s="9">
        <v>0.38</v>
      </c>
      <c r="DS119" s="9">
        <v>0.45</v>
      </c>
      <c r="DT119" s="9">
        <v>0.75041666666666673</v>
      </c>
      <c r="DU119" s="9">
        <v>0.65</v>
      </c>
      <c r="DV119" s="9">
        <v>0.78</v>
      </c>
      <c r="DW119" s="9">
        <v>0.75041666666666673</v>
      </c>
      <c r="DX119" s="9">
        <v>0.65</v>
      </c>
      <c r="DY119" s="9">
        <v>0.78</v>
      </c>
      <c r="DZ119" s="9">
        <v>0.75041666666666673</v>
      </c>
      <c r="EA119" s="9">
        <v>0.65</v>
      </c>
      <c r="EB119" s="9">
        <v>0.78</v>
      </c>
      <c r="EC119" s="9"/>
      <c r="ED119" s="9"/>
      <c r="EE119" s="9"/>
      <c r="EF119" s="46">
        <f>Tabelle58971121[[#This Row],[Durchschnittsauslastung min]]*Tabelle58971121[[#This Row],[installierte Leistung MW min]]</f>
        <v>0</v>
      </c>
      <c r="EG119" s="46">
        <f>Tabelle58971121[[#This Row],[Durchschnittsauslastung durch]]*Tabelle58971121[[#This Row],[installierte Leistung MW durch]]</f>
        <v>0</v>
      </c>
      <c r="EH119" s="46">
        <f>Tabelle58971121[[#This Row],[Durchschnittsauslastung max]]*Tabelle58971121[[#This Row],[installierte Leistung MW max]]</f>
        <v>0</v>
      </c>
      <c r="EI119" s="83">
        <f>Tabelle58971121[[#This Row],[Maximalauslastung durch]]*Tabelle58971121[[#This Row],[installierte Leistung MW min]]</f>
        <v>2133.2024999999999</v>
      </c>
      <c r="EJ119" s="46">
        <f>Tabelle58971121[[#This Row],[Maximalauslastung durch]]*Tabelle58971121[[#This Row],[installierte Leistung MW durch]]</f>
        <v>2833.05</v>
      </c>
      <c r="EK119" s="19">
        <f>Tabelle58971121[[#This Row],[Maximalauslastung max]]*Tabelle58971121[[#This Row],[installierte Leistung MW durch]]</f>
        <v>3059.6940000000004</v>
      </c>
      <c r="EL119" s="9">
        <v>0.75</v>
      </c>
      <c r="EM119" s="9">
        <v>0.69</v>
      </c>
      <c r="EN119" s="9">
        <v>0.81</v>
      </c>
      <c r="EO119" s="1">
        <v>3777.4</v>
      </c>
      <c r="EP119" s="1">
        <v>2844.27</v>
      </c>
      <c r="EQ119" s="1">
        <v>4710.53</v>
      </c>
      <c r="ER119" s="19"/>
      <c r="ES119" s="19"/>
      <c r="EX119" s="1">
        <v>1.5</v>
      </c>
      <c r="EY119" s="1">
        <v>1</v>
      </c>
      <c r="EZ119" s="1">
        <v>2</v>
      </c>
      <c r="FD119" s="1">
        <v>1.5</v>
      </c>
      <c r="FE119" s="1">
        <v>1</v>
      </c>
      <c r="FF119" s="1">
        <v>2</v>
      </c>
      <c r="FG119" s="1">
        <v>3</v>
      </c>
      <c r="FH119" s="1">
        <v>2.4</v>
      </c>
      <c r="FI119" s="1">
        <v>3.6</v>
      </c>
      <c r="FJ119" s="1">
        <v>2.5</v>
      </c>
      <c r="FK119" s="1">
        <v>1.4</v>
      </c>
      <c r="FL119" s="1">
        <v>3.6</v>
      </c>
      <c r="FP119" s="1">
        <v>639</v>
      </c>
      <c r="FQ119" s="1">
        <v>575</v>
      </c>
      <c r="FR119" s="1">
        <v>703</v>
      </c>
      <c r="FS119" s="11"/>
      <c r="FT119" s="11"/>
      <c r="FU119" s="11"/>
      <c r="FV119" s="1">
        <v>639</v>
      </c>
      <c r="FW119" s="1">
        <v>575</v>
      </c>
      <c r="FX119" s="1">
        <v>703</v>
      </c>
      <c r="FY119" s="1">
        <v>0</v>
      </c>
      <c r="FZ119" s="19">
        <v>0</v>
      </c>
      <c r="GA119" s="19">
        <v>0</v>
      </c>
      <c r="GB119" s="19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>
        <v>90.977647058823536</v>
      </c>
      <c r="GO119" s="8">
        <v>45.488823529411768</v>
      </c>
      <c r="GP119" s="8">
        <v>136.46647058823527</v>
      </c>
      <c r="GS119" s="1">
        <v>67</v>
      </c>
      <c r="GT119" s="1">
        <v>67</v>
      </c>
      <c r="GU119" s="1">
        <v>67</v>
      </c>
      <c r="GV119" s="13" t="s">
        <v>806</v>
      </c>
      <c r="GW119" s="13" t="s">
        <v>806</v>
      </c>
      <c r="GX119" s="13" t="s">
        <v>806</v>
      </c>
      <c r="GY119" s="13"/>
      <c r="GZ119" s="13" t="s">
        <v>806</v>
      </c>
      <c r="HA119" s="13" t="s">
        <v>806</v>
      </c>
      <c r="HB119" s="13" t="s">
        <v>806</v>
      </c>
      <c r="HC119" s="13" t="s">
        <v>806</v>
      </c>
      <c r="HD119" s="13" t="s">
        <v>806</v>
      </c>
      <c r="HE119" s="13" t="s">
        <v>806</v>
      </c>
      <c r="HF119" s="13" t="s">
        <v>806</v>
      </c>
      <c r="HI119" s="13" t="s">
        <v>806</v>
      </c>
      <c r="HJ119" s="13" t="s">
        <v>806</v>
      </c>
      <c r="HL119" s="13" t="s">
        <v>806</v>
      </c>
    </row>
    <row r="120" spans="1:220" ht="12.75" customHeight="1" x14ac:dyDescent="0.25">
      <c r="A120" s="1" t="s">
        <v>134</v>
      </c>
      <c r="B120" s="1" t="s">
        <v>748</v>
      </c>
      <c r="E120" s="1" t="s">
        <v>139</v>
      </c>
      <c r="F120" s="1">
        <v>2</v>
      </c>
      <c r="G120" s="1">
        <v>2045</v>
      </c>
      <c r="H120" s="1">
        <v>1</v>
      </c>
      <c r="I120" s="1">
        <v>0</v>
      </c>
      <c r="J120" s="1">
        <v>0</v>
      </c>
      <c r="K120" s="19"/>
      <c r="L120" s="19"/>
      <c r="M120" s="19"/>
      <c r="N120" s="19"/>
      <c r="O120" s="19"/>
      <c r="P120" s="19"/>
      <c r="Q120" s="19">
        <v>926.87700000000007</v>
      </c>
      <c r="R120" s="19">
        <v>598.20929999999998</v>
      </c>
      <c r="S120" s="19">
        <v>1199.2958999999998</v>
      </c>
      <c r="T120" s="19"/>
      <c r="U120" s="19"/>
      <c r="V120" s="19"/>
      <c r="W120" s="19">
        <v>2209.1729999999989</v>
      </c>
      <c r="X120" s="19">
        <v>1448.2961999999998</v>
      </c>
      <c r="Y120" s="19">
        <v>3232.8845999999999</v>
      </c>
      <c r="Z120" s="19">
        <v>926.87700000000007</v>
      </c>
      <c r="AA120" s="19">
        <v>598.20929999999998</v>
      </c>
      <c r="AB120" s="19">
        <v>1199.2958999999998</v>
      </c>
      <c r="AC120" s="19"/>
      <c r="AD120" s="19"/>
      <c r="AE120" s="19"/>
      <c r="AF120" s="19">
        <v>2209.1729999999989</v>
      </c>
      <c r="AG120" s="19">
        <v>1448.2961999999998</v>
      </c>
      <c r="AH120" s="19">
        <v>3232.8845999999999</v>
      </c>
      <c r="AI120" s="19">
        <v>926.87700000000007</v>
      </c>
      <c r="AJ120" s="19">
        <v>598.20929999999998</v>
      </c>
      <c r="AK120" s="19">
        <v>1199.2958999999998</v>
      </c>
      <c r="AL120" s="19">
        <v>2209.1729999999989</v>
      </c>
      <c r="AM120" s="19">
        <v>1448.2961999999998</v>
      </c>
      <c r="AN120" s="19">
        <v>3232.8845999999999</v>
      </c>
      <c r="AO120" s="19">
        <v>1817.1667500000001</v>
      </c>
      <c r="AP120" s="19">
        <v>1196.4186</v>
      </c>
      <c r="AQ120" s="19">
        <v>2346.4484999999995</v>
      </c>
      <c r="AR120" s="19"/>
      <c r="AS120" s="19"/>
      <c r="AT120" s="19"/>
      <c r="AU120" s="19">
        <v>1318.8832499999999</v>
      </c>
      <c r="AV120" s="19">
        <v>755.63279999999997</v>
      </c>
      <c r="AW120" s="19">
        <v>2242.1619000000001</v>
      </c>
      <c r="AX120" s="19">
        <v>1817.1667500000001</v>
      </c>
      <c r="AY120" s="19">
        <v>1196.4186</v>
      </c>
      <c r="AZ120" s="19">
        <v>2346.4484999999995</v>
      </c>
      <c r="BA120" s="19"/>
      <c r="BB120" s="19"/>
      <c r="BC120" s="19"/>
      <c r="BD120" s="19">
        <v>1318.8832499999999</v>
      </c>
      <c r="BE120" s="19">
        <v>755.63279999999997</v>
      </c>
      <c r="BF120" s="19">
        <v>2242.1619000000001</v>
      </c>
      <c r="BG120" s="19">
        <v>1817.1667500000001</v>
      </c>
      <c r="BH120" s="19">
        <v>1196.4186</v>
      </c>
      <c r="BI120" s="19">
        <v>2346.4484999999995</v>
      </c>
      <c r="BJ120" s="19"/>
      <c r="BK120" s="19"/>
      <c r="BL120" s="19"/>
      <c r="BM120" s="19">
        <v>1318.8832499999999</v>
      </c>
      <c r="BN120" s="19">
        <v>755.63279999999997</v>
      </c>
      <c r="BO120" s="19">
        <v>2242.1619000000001</v>
      </c>
      <c r="BP120" s="19">
        <v>3137.7922500000004</v>
      </c>
      <c r="BQ120" s="19">
        <v>2046.5054999999998</v>
      </c>
      <c r="BR120" s="19">
        <v>4067.1773999999996</v>
      </c>
      <c r="BS120" s="19"/>
      <c r="BT120" s="19"/>
      <c r="BU120" s="19"/>
      <c r="BV120" s="19">
        <v>0</v>
      </c>
      <c r="BW120" s="19">
        <v>0</v>
      </c>
      <c r="BX120" s="19">
        <v>834.29279999999994</v>
      </c>
      <c r="BY120" s="19">
        <v>3137.7922500000004</v>
      </c>
      <c r="BZ120" s="19">
        <v>2046.5054999999998</v>
      </c>
      <c r="CA120" s="19">
        <v>4067.1773999999996</v>
      </c>
      <c r="CB120" s="19"/>
      <c r="CC120" s="19"/>
      <c r="CD120" s="19"/>
      <c r="CE120" s="19">
        <v>0</v>
      </c>
      <c r="CF120" s="19">
        <v>0</v>
      </c>
      <c r="CG120" s="19">
        <v>834.29279999999994</v>
      </c>
      <c r="CH120" s="19">
        <v>3137.7922500000004</v>
      </c>
      <c r="CI120" s="19">
        <v>2046.5054999999998</v>
      </c>
      <c r="CJ120" s="19">
        <v>4067.1773999999996</v>
      </c>
      <c r="CK120" s="19"/>
      <c r="CL120" s="19"/>
      <c r="CM120" s="19"/>
      <c r="CN120" s="19">
        <v>0</v>
      </c>
      <c r="CO120" s="19">
        <v>0</v>
      </c>
      <c r="CP120" s="19">
        <v>834.29279999999994</v>
      </c>
      <c r="CQ120" s="19"/>
      <c r="CR120" s="19"/>
      <c r="CS120" s="19"/>
      <c r="CT120" s="19"/>
      <c r="CU120" s="11">
        <f>Tabelle58971121[[#This Row],[Mindestauslastung durch]]*Tabelle58971121[[#This Row],[installierte Leistung MW durch]]</f>
        <v>627.20999999999992</v>
      </c>
      <c r="CV120" s="11">
        <f>Tabelle58971121[[#This Row],[Mindestauslastung min]]*Tabelle58971121[[#This Row],[installierte Leistung MW min]]</f>
        <v>472.27049999999997</v>
      </c>
      <c r="CW120" s="11">
        <f>Tabelle58971121[[#This Row],[Mindestauslastung max]]*Tabelle58971121[[#This Row],[installierte Leistung MW max]]</f>
        <v>782.14949999999999</v>
      </c>
      <c r="CX120" s="9">
        <v>0.15</v>
      </c>
      <c r="CY120" s="9">
        <v>0.15</v>
      </c>
      <c r="CZ120" s="9">
        <v>0.15</v>
      </c>
      <c r="DA120" s="9"/>
      <c r="DB120" s="9">
        <v>0.22166666666666671</v>
      </c>
      <c r="DC120" s="9">
        <v>0.19</v>
      </c>
      <c r="DD120" s="9">
        <v>0.23</v>
      </c>
      <c r="DE120" s="9">
        <v>0.22166666666666671</v>
      </c>
      <c r="DF120" s="9">
        <v>0.19</v>
      </c>
      <c r="DG120" s="9">
        <v>0.23</v>
      </c>
      <c r="DH120" s="9">
        <v>0.22166666666666671</v>
      </c>
      <c r="DI120" s="9">
        <v>0.19</v>
      </c>
      <c r="DJ120" s="9">
        <v>0.23</v>
      </c>
      <c r="DK120" s="9">
        <v>0.43458333333333338</v>
      </c>
      <c r="DL120" s="9">
        <v>0.38</v>
      </c>
      <c r="DM120" s="9">
        <v>0.45</v>
      </c>
      <c r="DN120" s="9">
        <v>0.43458333333333338</v>
      </c>
      <c r="DO120" s="9">
        <v>0.38</v>
      </c>
      <c r="DP120" s="9">
        <v>0.45</v>
      </c>
      <c r="DQ120" s="9">
        <v>0.43458333333333338</v>
      </c>
      <c r="DR120" s="9">
        <v>0.38</v>
      </c>
      <c r="DS120" s="9">
        <v>0.45</v>
      </c>
      <c r="DT120" s="9">
        <v>0.75041666666666673</v>
      </c>
      <c r="DU120" s="9">
        <v>0.65</v>
      </c>
      <c r="DV120" s="9">
        <v>0.78</v>
      </c>
      <c r="DW120" s="9">
        <v>0.75041666666666673</v>
      </c>
      <c r="DX120" s="9">
        <v>0.65</v>
      </c>
      <c r="DY120" s="9">
        <v>0.78</v>
      </c>
      <c r="DZ120" s="9">
        <v>0.75041666666666673</v>
      </c>
      <c r="EA120" s="9">
        <v>0.65</v>
      </c>
      <c r="EB120" s="9">
        <v>0.78</v>
      </c>
      <c r="EC120" s="9"/>
      <c r="ED120" s="9"/>
      <c r="EE120" s="9"/>
      <c r="EF120" s="46">
        <f>Tabelle58971121[[#This Row],[Durchschnittsauslastung min]]*Tabelle58971121[[#This Row],[installierte Leistung MW min]]</f>
        <v>0</v>
      </c>
      <c r="EG120" s="46">
        <f>Tabelle58971121[[#This Row],[Durchschnittsauslastung durch]]*Tabelle58971121[[#This Row],[installierte Leistung MW durch]]</f>
        <v>0</v>
      </c>
      <c r="EH120" s="46">
        <f>Tabelle58971121[[#This Row],[Durchschnittsauslastung max]]*Tabelle58971121[[#This Row],[installierte Leistung MW max]]</f>
        <v>0</v>
      </c>
      <c r="EI120" s="83">
        <f>Tabelle58971121[[#This Row],[Maximalauslastung durch]]*Tabelle58971121[[#This Row],[installierte Leistung MW min]]</f>
        <v>2361.3525</v>
      </c>
      <c r="EJ120" s="46">
        <f>Tabelle58971121[[#This Row],[Maximalauslastung durch]]*Tabelle58971121[[#This Row],[installierte Leistung MW durch]]</f>
        <v>3136.0499999999997</v>
      </c>
      <c r="EK120" s="19">
        <f>Tabelle58971121[[#This Row],[Maximalauslastung max]]*Tabelle58971121[[#This Row],[installierte Leistung MW durch]]</f>
        <v>3386.9339999999997</v>
      </c>
      <c r="EL120" s="9">
        <v>0.75</v>
      </c>
      <c r="EM120" s="9">
        <v>0.69</v>
      </c>
      <c r="EN120" s="9">
        <v>0.81</v>
      </c>
      <c r="EO120" s="1">
        <v>4181.3999999999996</v>
      </c>
      <c r="EP120" s="1">
        <v>3148.47</v>
      </c>
      <c r="EQ120" s="1">
        <v>5214.33</v>
      </c>
      <c r="ER120" s="19"/>
      <c r="ES120" s="19"/>
      <c r="EX120" s="1">
        <v>1.5</v>
      </c>
      <c r="EY120" s="1">
        <v>1</v>
      </c>
      <c r="EZ120" s="1">
        <v>2</v>
      </c>
      <c r="FD120" s="1">
        <v>1.5</v>
      </c>
      <c r="FE120" s="1">
        <v>1</v>
      </c>
      <c r="FF120" s="1">
        <v>2</v>
      </c>
      <c r="FG120" s="1">
        <v>3</v>
      </c>
      <c r="FH120" s="1">
        <v>2.4</v>
      </c>
      <c r="FI120" s="1">
        <v>3.6</v>
      </c>
      <c r="FJ120" s="1">
        <v>2.5</v>
      </c>
      <c r="FK120" s="1">
        <v>1.4</v>
      </c>
      <c r="FL120" s="1">
        <v>3.6</v>
      </c>
      <c r="FP120" s="1">
        <v>639</v>
      </c>
      <c r="FQ120" s="1">
        <v>575</v>
      </c>
      <c r="FR120" s="1">
        <v>703</v>
      </c>
      <c r="FS120" s="11"/>
      <c r="FT120" s="11"/>
      <c r="FU120" s="11"/>
      <c r="FV120" s="1">
        <v>639</v>
      </c>
      <c r="FW120" s="1">
        <v>575</v>
      </c>
      <c r="FX120" s="1">
        <v>703</v>
      </c>
      <c r="FY120" s="1">
        <v>0</v>
      </c>
      <c r="FZ120" s="19">
        <v>0</v>
      </c>
      <c r="GA120" s="19">
        <v>0</v>
      </c>
      <c r="GB120" s="19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>
        <v>90.977647058823536</v>
      </c>
      <c r="GO120" s="8">
        <v>45.488823529411768</v>
      </c>
      <c r="GP120" s="8">
        <v>136.46647058823527</v>
      </c>
      <c r="GS120" s="1">
        <v>67</v>
      </c>
      <c r="GT120" s="1">
        <v>67</v>
      </c>
      <c r="GU120" s="1">
        <v>67</v>
      </c>
      <c r="GV120" s="13" t="s">
        <v>806</v>
      </c>
      <c r="GW120" s="13" t="s">
        <v>806</v>
      </c>
      <c r="GX120" s="13" t="s">
        <v>806</v>
      </c>
      <c r="GY120" s="13"/>
      <c r="GZ120" s="13" t="s">
        <v>806</v>
      </c>
      <c r="HA120" s="13" t="s">
        <v>806</v>
      </c>
      <c r="HB120" s="13" t="s">
        <v>806</v>
      </c>
      <c r="HC120" s="13" t="s">
        <v>806</v>
      </c>
      <c r="HD120" s="13" t="s">
        <v>806</v>
      </c>
      <c r="HE120" s="13" t="s">
        <v>806</v>
      </c>
      <c r="HF120" s="13" t="s">
        <v>806</v>
      </c>
      <c r="HI120" s="13" t="s">
        <v>806</v>
      </c>
      <c r="HJ120" s="13" t="s">
        <v>806</v>
      </c>
      <c r="HL120" s="13" t="s">
        <v>806</v>
      </c>
    </row>
    <row r="121" spans="1:220" ht="12.75" customHeight="1" x14ac:dyDescent="0.25">
      <c r="A121" s="1" t="s">
        <v>134</v>
      </c>
      <c r="B121" s="1" t="s">
        <v>748</v>
      </c>
      <c r="E121" s="1" t="s">
        <v>139</v>
      </c>
      <c r="F121" s="1">
        <v>2</v>
      </c>
      <c r="G121" s="1">
        <v>2050</v>
      </c>
      <c r="H121" s="1">
        <v>1</v>
      </c>
      <c r="I121" s="1">
        <v>0</v>
      </c>
      <c r="J121" s="1">
        <v>0</v>
      </c>
      <c r="K121" s="19"/>
      <c r="L121" s="19"/>
      <c r="M121" s="19"/>
      <c r="N121" s="19"/>
      <c r="O121" s="19"/>
      <c r="P121" s="19"/>
      <c r="Q121" s="19">
        <v>1038.8186666666668</v>
      </c>
      <c r="R121" s="19">
        <v>670.45679999999993</v>
      </c>
      <c r="S121" s="19">
        <v>1344.1383999999998</v>
      </c>
      <c r="T121" s="19"/>
      <c r="U121" s="19"/>
      <c r="V121" s="19"/>
      <c r="W121" s="19">
        <v>2475.9813333333323</v>
      </c>
      <c r="X121" s="19">
        <v>1623.2111999999997</v>
      </c>
      <c r="Y121" s="19">
        <v>3623.3295999999996</v>
      </c>
      <c r="Z121" s="19">
        <v>1038.8186666666668</v>
      </c>
      <c r="AA121" s="19">
        <v>670.45679999999993</v>
      </c>
      <c r="AB121" s="19">
        <v>1344.1383999999998</v>
      </c>
      <c r="AC121" s="19"/>
      <c r="AD121" s="19"/>
      <c r="AE121" s="19"/>
      <c r="AF121" s="19">
        <v>2475.9813333333323</v>
      </c>
      <c r="AG121" s="19">
        <v>1623.2111999999997</v>
      </c>
      <c r="AH121" s="19">
        <v>3623.3295999999996</v>
      </c>
      <c r="AI121" s="19">
        <v>1038.8186666666668</v>
      </c>
      <c r="AJ121" s="19">
        <v>670.45679999999993</v>
      </c>
      <c r="AK121" s="19">
        <v>1344.1383999999998</v>
      </c>
      <c r="AL121" s="19">
        <v>2475.9813333333323</v>
      </c>
      <c r="AM121" s="19">
        <v>1623.2111999999997</v>
      </c>
      <c r="AN121" s="19">
        <v>3623.3295999999996</v>
      </c>
      <c r="AO121" s="19">
        <v>2036.6313333333335</v>
      </c>
      <c r="AP121" s="19">
        <v>1340.9135999999999</v>
      </c>
      <c r="AQ121" s="19">
        <v>2629.8359999999998</v>
      </c>
      <c r="AR121" s="19"/>
      <c r="AS121" s="19"/>
      <c r="AT121" s="19"/>
      <c r="AU121" s="19">
        <v>1478.1686666666665</v>
      </c>
      <c r="AV121" s="19">
        <v>846.89279999999997</v>
      </c>
      <c r="AW121" s="19">
        <v>2512.9544000000001</v>
      </c>
      <c r="AX121" s="19">
        <v>2036.6313333333335</v>
      </c>
      <c r="AY121" s="19">
        <v>1340.9135999999999</v>
      </c>
      <c r="AZ121" s="19">
        <v>2629.8359999999998</v>
      </c>
      <c r="BA121" s="19"/>
      <c r="BB121" s="19"/>
      <c r="BC121" s="19"/>
      <c r="BD121" s="19">
        <v>1478.1686666666665</v>
      </c>
      <c r="BE121" s="19">
        <v>846.89279999999997</v>
      </c>
      <c r="BF121" s="19">
        <v>2512.9544000000001</v>
      </c>
      <c r="BG121" s="19">
        <v>2036.6313333333335</v>
      </c>
      <c r="BH121" s="19">
        <v>1340.9135999999999</v>
      </c>
      <c r="BI121" s="19">
        <v>2629.8359999999998</v>
      </c>
      <c r="BJ121" s="19"/>
      <c r="BK121" s="19"/>
      <c r="BL121" s="19"/>
      <c r="BM121" s="19">
        <v>1478.1686666666665</v>
      </c>
      <c r="BN121" s="19">
        <v>846.89279999999997</v>
      </c>
      <c r="BO121" s="19">
        <v>2512.9544000000001</v>
      </c>
      <c r="BP121" s="19">
        <v>3516.7526666666672</v>
      </c>
      <c r="BQ121" s="19">
        <v>2293.6679999999997</v>
      </c>
      <c r="BR121" s="19">
        <v>4558.3823999999995</v>
      </c>
      <c r="BS121" s="19"/>
      <c r="BT121" s="19"/>
      <c r="BU121" s="19"/>
      <c r="BV121" s="19">
        <v>0</v>
      </c>
      <c r="BW121" s="19">
        <v>0</v>
      </c>
      <c r="BX121" s="19">
        <v>935.05279999999993</v>
      </c>
      <c r="BY121" s="19">
        <v>3516.7526666666672</v>
      </c>
      <c r="BZ121" s="19">
        <v>2293.6679999999997</v>
      </c>
      <c r="CA121" s="19">
        <v>4558.3823999999995</v>
      </c>
      <c r="CB121" s="19"/>
      <c r="CC121" s="19"/>
      <c r="CD121" s="19"/>
      <c r="CE121" s="19">
        <v>0</v>
      </c>
      <c r="CF121" s="19">
        <v>0</v>
      </c>
      <c r="CG121" s="19">
        <v>935.05279999999993</v>
      </c>
      <c r="CH121" s="19">
        <v>3516.7526666666672</v>
      </c>
      <c r="CI121" s="19">
        <v>2293.6679999999997</v>
      </c>
      <c r="CJ121" s="19">
        <v>4558.3823999999995</v>
      </c>
      <c r="CK121" s="19"/>
      <c r="CL121" s="19"/>
      <c r="CM121" s="19"/>
      <c r="CN121" s="19">
        <v>0</v>
      </c>
      <c r="CO121" s="19">
        <v>0</v>
      </c>
      <c r="CP121" s="19">
        <v>935.05279999999993</v>
      </c>
      <c r="CQ121" s="19"/>
      <c r="CR121" s="19"/>
      <c r="CS121" s="19"/>
      <c r="CT121" s="19"/>
      <c r="CU121" s="11">
        <f>Tabelle58971121[[#This Row],[Mindestauslastung durch]]*Tabelle58971121[[#This Row],[installierte Leistung MW durch]]</f>
        <v>702.95999999999992</v>
      </c>
      <c r="CV121" s="11">
        <f>Tabelle58971121[[#This Row],[Mindestauslastung min]]*Tabelle58971121[[#This Row],[installierte Leistung MW min]]</f>
        <v>529.30799999999999</v>
      </c>
      <c r="CW121" s="11">
        <f>Tabelle58971121[[#This Row],[Mindestauslastung max]]*Tabelle58971121[[#This Row],[installierte Leistung MW max]]</f>
        <v>876.61199999999997</v>
      </c>
      <c r="CX121" s="9">
        <v>0.15</v>
      </c>
      <c r="CY121" s="9">
        <v>0.15</v>
      </c>
      <c r="CZ121" s="9">
        <v>0.15</v>
      </c>
      <c r="DA121" s="9"/>
      <c r="DB121" s="9">
        <v>0.22166666666666671</v>
      </c>
      <c r="DC121" s="9">
        <v>0.19</v>
      </c>
      <c r="DD121" s="9">
        <v>0.23</v>
      </c>
      <c r="DE121" s="9">
        <v>0.22166666666666671</v>
      </c>
      <c r="DF121" s="9">
        <v>0.19</v>
      </c>
      <c r="DG121" s="9">
        <v>0.23</v>
      </c>
      <c r="DH121" s="9">
        <v>0.22166666666666671</v>
      </c>
      <c r="DI121" s="9">
        <v>0.19</v>
      </c>
      <c r="DJ121" s="9">
        <v>0.23</v>
      </c>
      <c r="DK121" s="9">
        <v>0.43458333333333338</v>
      </c>
      <c r="DL121" s="9">
        <v>0.38</v>
      </c>
      <c r="DM121" s="9">
        <v>0.45</v>
      </c>
      <c r="DN121" s="9">
        <v>0.43458333333333338</v>
      </c>
      <c r="DO121" s="9">
        <v>0.38</v>
      </c>
      <c r="DP121" s="9">
        <v>0.45</v>
      </c>
      <c r="DQ121" s="9">
        <v>0.43458333333333338</v>
      </c>
      <c r="DR121" s="9">
        <v>0.38</v>
      </c>
      <c r="DS121" s="9">
        <v>0.45</v>
      </c>
      <c r="DT121" s="9">
        <v>0.75041666666666673</v>
      </c>
      <c r="DU121" s="9">
        <v>0.65</v>
      </c>
      <c r="DV121" s="9">
        <v>0.78</v>
      </c>
      <c r="DW121" s="9">
        <v>0.75041666666666673</v>
      </c>
      <c r="DX121" s="9">
        <v>0.65</v>
      </c>
      <c r="DY121" s="9">
        <v>0.78</v>
      </c>
      <c r="DZ121" s="9">
        <v>0.75041666666666673</v>
      </c>
      <c r="EA121" s="9">
        <v>0.65</v>
      </c>
      <c r="EB121" s="9">
        <v>0.78</v>
      </c>
      <c r="EC121" s="9"/>
      <c r="ED121" s="9"/>
      <c r="EE121" s="9"/>
      <c r="EF121" s="46">
        <f>Tabelle58971121[[#This Row],[Durchschnittsauslastung min]]*Tabelle58971121[[#This Row],[installierte Leistung MW min]]</f>
        <v>0</v>
      </c>
      <c r="EG121" s="46">
        <f>Tabelle58971121[[#This Row],[Durchschnittsauslastung durch]]*Tabelle58971121[[#This Row],[installierte Leistung MW durch]]</f>
        <v>0</v>
      </c>
      <c r="EH121" s="46">
        <f>Tabelle58971121[[#This Row],[Durchschnittsauslastung max]]*Tabelle58971121[[#This Row],[installierte Leistung MW max]]</f>
        <v>0</v>
      </c>
      <c r="EI121" s="83">
        <f>Tabelle58971121[[#This Row],[Maximalauslastung durch]]*Tabelle58971121[[#This Row],[installierte Leistung MW min]]</f>
        <v>2646.54</v>
      </c>
      <c r="EJ121" s="46">
        <f>Tabelle58971121[[#This Row],[Maximalauslastung durch]]*Tabelle58971121[[#This Row],[installierte Leistung MW durch]]</f>
        <v>3514.7999999999997</v>
      </c>
      <c r="EK121" s="19">
        <f>Tabelle58971121[[#This Row],[Maximalauslastung max]]*Tabelle58971121[[#This Row],[installierte Leistung MW durch]]</f>
        <v>3795.9839999999999</v>
      </c>
      <c r="EL121" s="9">
        <v>0.75</v>
      </c>
      <c r="EM121" s="9">
        <v>0.69</v>
      </c>
      <c r="EN121" s="9">
        <v>0.81</v>
      </c>
      <c r="EO121" s="1">
        <v>4686.3999999999996</v>
      </c>
      <c r="EP121" s="1">
        <v>3528.72</v>
      </c>
      <c r="EQ121" s="1">
        <v>5844.08</v>
      </c>
      <c r="ER121" s="19"/>
      <c r="ES121" s="19"/>
      <c r="EX121" s="1">
        <v>1.5</v>
      </c>
      <c r="EY121" s="1">
        <v>1</v>
      </c>
      <c r="EZ121" s="1">
        <v>2</v>
      </c>
      <c r="FD121" s="1">
        <v>1.5</v>
      </c>
      <c r="FE121" s="1">
        <v>1</v>
      </c>
      <c r="FF121" s="1">
        <v>2</v>
      </c>
      <c r="FG121" s="1">
        <v>3</v>
      </c>
      <c r="FH121" s="1">
        <v>2.4</v>
      </c>
      <c r="FI121" s="1">
        <v>3.6</v>
      </c>
      <c r="FJ121" s="1">
        <v>2.5</v>
      </c>
      <c r="FK121" s="1">
        <v>1.4</v>
      </c>
      <c r="FL121" s="1">
        <v>3.6</v>
      </c>
      <c r="FP121" s="1">
        <v>639</v>
      </c>
      <c r="FQ121" s="1">
        <v>575</v>
      </c>
      <c r="FR121" s="1">
        <v>703</v>
      </c>
      <c r="FS121" s="11"/>
      <c r="FT121" s="11"/>
      <c r="FU121" s="11"/>
      <c r="FV121" s="1">
        <v>639</v>
      </c>
      <c r="FW121" s="1">
        <v>575</v>
      </c>
      <c r="FX121" s="1">
        <v>703</v>
      </c>
      <c r="FY121" s="1">
        <v>0</v>
      </c>
      <c r="FZ121" s="19">
        <v>0</v>
      </c>
      <c r="GA121" s="19">
        <v>0</v>
      </c>
      <c r="GB121" s="19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>
        <v>90.977647058823536</v>
      </c>
      <c r="GO121" s="8">
        <v>45.488823529411768</v>
      </c>
      <c r="GP121" s="8">
        <v>136.46647058823527</v>
      </c>
      <c r="GS121" s="1">
        <v>67</v>
      </c>
      <c r="GT121" s="1">
        <v>67</v>
      </c>
      <c r="GU121" s="1">
        <v>67</v>
      </c>
      <c r="GV121" s="13" t="s">
        <v>806</v>
      </c>
      <c r="GW121" s="13" t="s">
        <v>806</v>
      </c>
      <c r="GX121" s="13" t="s">
        <v>806</v>
      </c>
      <c r="GY121" s="13"/>
      <c r="GZ121" s="13" t="s">
        <v>806</v>
      </c>
      <c r="HA121" s="13" t="s">
        <v>806</v>
      </c>
      <c r="HB121" s="13" t="s">
        <v>806</v>
      </c>
      <c r="HC121" s="13" t="s">
        <v>806</v>
      </c>
      <c r="HD121" s="13" t="s">
        <v>806</v>
      </c>
      <c r="HE121" s="13" t="s">
        <v>806</v>
      </c>
      <c r="HF121" s="13" t="s">
        <v>806</v>
      </c>
      <c r="HI121" s="13" t="s">
        <v>806</v>
      </c>
      <c r="HJ121" s="13" t="s">
        <v>806</v>
      </c>
      <c r="HL121" s="13" t="s">
        <v>806</v>
      </c>
    </row>
    <row r="122" spans="1:220" ht="12.75" customHeight="1" x14ac:dyDescent="0.25">
      <c r="A122" s="1" t="s">
        <v>130</v>
      </c>
      <c r="B122" s="1" t="s">
        <v>749</v>
      </c>
      <c r="E122" s="1" t="s">
        <v>139</v>
      </c>
      <c r="F122" s="1">
        <v>2</v>
      </c>
      <c r="G122" s="1">
        <v>2015</v>
      </c>
      <c r="H122" s="1">
        <v>0</v>
      </c>
      <c r="I122" s="1">
        <v>0</v>
      </c>
      <c r="J122" s="1">
        <v>1</v>
      </c>
      <c r="K122" s="19"/>
      <c r="L122" s="19"/>
      <c r="M122" s="19"/>
      <c r="N122" s="19"/>
      <c r="O122" s="19"/>
      <c r="P122" s="19"/>
      <c r="Q122" s="19">
        <v>0</v>
      </c>
      <c r="R122" s="19">
        <v>0</v>
      </c>
      <c r="S122" s="19">
        <v>143.65199999999999</v>
      </c>
      <c r="T122" s="19"/>
      <c r="U122" s="19"/>
      <c r="V122" s="19"/>
      <c r="W122" s="19">
        <v>359.31599999999997</v>
      </c>
      <c r="X122" s="19">
        <v>0</v>
      </c>
      <c r="Y122" s="19">
        <v>1436.52</v>
      </c>
      <c r="Z122" s="19">
        <v>0</v>
      </c>
      <c r="AA122" s="19">
        <v>0</v>
      </c>
      <c r="AB122" s="19">
        <v>143.65199999999999</v>
      </c>
      <c r="AC122" s="19"/>
      <c r="AD122" s="19"/>
      <c r="AE122" s="19"/>
      <c r="AF122" s="19">
        <v>359.31599999999997</v>
      </c>
      <c r="AG122" s="19">
        <v>0</v>
      </c>
      <c r="AH122" s="19">
        <v>1436.52</v>
      </c>
      <c r="AI122" s="19">
        <v>0</v>
      </c>
      <c r="AJ122" s="19">
        <v>0</v>
      </c>
      <c r="AK122" s="19">
        <v>143.65199999999999</v>
      </c>
      <c r="AL122" s="19">
        <v>359.31599999999997</v>
      </c>
      <c r="AM122" s="19">
        <v>0</v>
      </c>
      <c r="AN122" s="19">
        <v>1436.52</v>
      </c>
      <c r="AO122" s="19">
        <v>0</v>
      </c>
      <c r="AP122" s="19">
        <v>0</v>
      </c>
      <c r="AQ122" s="19">
        <v>143.65199999999999</v>
      </c>
      <c r="AR122" s="19"/>
      <c r="AS122" s="19"/>
      <c r="AT122" s="19"/>
      <c r="AU122" s="19">
        <v>359.31599999999997</v>
      </c>
      <c r="AV122" s="19">
        <v>0</v>
      </c>
      <c r="AW122" s="19">
        <v>1436.52</v>
      </c>
      <c r="AX122" s="19">
        <v>0</v>
      </c>
      <c r="AY122" s="19">
        <v>0</v>
      </c>
      <c r="AZ122" s="19">
        <v>143.65199999999999</v>
      </c>
      <c r="BA122" s="19"/>
      <c r="BB122" s="19"/>
      <c r="BC122" s="19"/>
      <c r="BD122" s="19">
        <v>359.31599999999997</v>
      </c>
      <c r="BE122" s="19">
        <v>0</v>
      </c>
      <c r="BF122" s="19">
        <v>1436.52</v>
      </c>
      <c r="BG122" s="19">
        <v>0</v>
      </c>
      <c r="BH122" s="19">
        <v>0</v>
      </c>
      <c r="BI122" s="19">
        <v>143.65199999999999</v>
      </c>
      <c r="BJ122" s="19"/>
      <c r="BK122" s="19"/>
      <c r="BL122" s="19"/>
      <c r="BM122" s="19">
        <v>359.31599999999997</v>
      </c>
      <c r="BN122" s="19">
        <v>0</v>
      </c>
      <c r="BO122" s="19">
        <v>1436.52</v>
      </c>
      <c r="BP122" s="19">
        <v>0</v>
      </c>
      <c r="BQ122" s="19">
        <v>0</v>
      </c>
      <c r="BR122" s="19">
        <v>143.65199999999999</v>
      </c>
      <c r="BS122" s="19"/>
      <c r="BT122" s="19"/>
      <c r="BU122" s="19"/>
      <c r="BV122" s="19">
        <v>359.31599999999997</v>
      </c>
      <c r="BW122" s="19">
        <v>0</v>
      </c>
      <c r="BX122" s="19">
        <v>1436.52</v>
      </c>
      <c r="BY122" s="19">
        <v>0</v>
      </c>
      <c r="BZ122" s="19">
        <v>0</v>
      </c>
      <c r="CA122" s="19">
        <v>143.65199999999999</v>
      </c>
      <c r="CB122" s="19"/>
      <c r="CC122" s="19"/>
      <c r="CD122" s="19"/>
      <c r="CE122" s="19">
        <v>359.31599999999997</v>
      </c>
      <c r="CF122" s="19">
        <v>0</v>
      </c>
      <c r="CG122" s="19">
        <v>1436.52</v>
      </c>
      <c r="CH122" s="19">
        <v>0</v>
      </c>
      <c r="CI122" s="19">
        <v>0</v>
      </c>
      <c r="CJ122" s="19">
        <v>143.65199999999999</v>
      </c>
      <c r="CK122" s="19"/>
      <c r="CL122" s="19"/>
      <c r="CM122" s="19"/>
      <c r="CN122" s="19">
        <v>359.31599999999997</v>
      </c>
      <c r="CO122" s="19">
        <v>0</v>
      </c>
      <c r="CP122" s="19">
        <v>1436.52</v>
      </c>
      <c r="CQ122" s="19"/>
      <c r="CR122" s="19"/>
      <c r="CS122" s="19"/>
      <c r="CT122" s="19"/>
      <c r="CU122" s="11">
        <f>Tabelle58971121[[#This Row],[Mindestauslastung durch]]*Tabelle58971121[[#This Row],[installierte Leistung MW durch]]</f>
        <v>532.31999999999994</v>
      </c>
      <c r="CV122" s="11">
        <f>Tabelle58971121[[#This Row],[Mindestauslastung min]]*Tabelle58971121[[#This Row],[installierte Leistung MW min]]</f>
        <v>525.94499999999994</v>
      </c>
      <c r="CW122" s="11">
        <f>Tabelle58971121[[#This Row],[Mindestauslastung max]]*Tabelle58971121[[#This Row],[installierte Leistung MW max]]</f>
        <v>538.69499999999994</v>
      </c>
      <c r="CX122" s="9">
        <v>1.4999999999999999E-2</v>
      </c>
      <c r="CY122" s="9">
        <v>1.4999999999999999E-2</v>
      </c>
      <c r="CZ122" s="9">
        <v>1.4999999999999999E-2</v>
      </c>
      <c r="DA122" s="9"/>
      <c r="DB122" s="9">
        <v>1.2874999999999999E-2</v>
      </c>
      <c r="DC122" s="9">
        <v>3.0000000000000001E-3</v>
      </c>
      <c r="DD122" s="9">
        <v>1.9E-2</v>
      </c>
      <c r="DE122" s="9">
        <v>1.2874999999999999E-2</v>
      </c>
      <c r="DF122" s="9">
        <v>3.0000000000000001E-3</v>
      </c>
      <c r="DG122" s="9">
        <v>1.9E-2</v>
      </c>
      <c r="DH122" s="9">
        <v>1.2874999999999999E-2</v>
      </c>
      <c r="DI122" s="9">
        <v>3.0000000000000001E-3</v>
      </c>
      <c r="DJ122" s="9">
        <v>1.9E-2</v>
      </c>
      <c r="DK122" s="9">
        <v>1.2874999999999999E-2</v>
      </c>
      <c r="DL122" s="9">
        <v>3.0000000000000001E-3</v>
      </c>
      <c r="DM122" s="9">
        <v>1.9E-2</v>
      </c>
      <c r="DN122" s="9">
        <v>1.2874999999999999E-2</v>
      </c>
      <c r="DO122" s="9">
        <v>3.0000000000000001E-3</v>
      </c>
      <c r="DP122" s="9">
        <v>1.9E-2</v>
      </c>
      <c r="DQ122" s="9">
        <v>1.2874999999999999E-2</v>
      </c>
      <c r="DR122" s="9">
        <v>3.0000000000000001E-3</v>
      </c>
      <c r="DS122" s="9">
        <v>1.9E-2</v>
      </c>
      <c r="DT122" s="9">
        <v>1.2874999999999999E-2</v>
      </c>
      <c r="DU122" s="9">
        <v>3.0000000000000001E-3</v>
      </c>
      <c r="DV122" s="9">
        <v>1.9E-2</v>
      </c>
      <c r="DW122" s="9">
        <v>1.2874999999999999E-2</v>
      </c>
      <c r="DX122" s="9">
        <v>3.0000000000000001E-3</v>
      </c>
      <c r="DY122" s="9">
        <v>1.9E-2</v>
      </c>
      <c r="DZ122" s="9">
        <v>1.2874999999999999E-2</v>
      </c>
      <c r="EA122" s="9">
        <v>3.0000000000000001E-3</v>
      </c>
      <c r="EB122" s="9">
        <v>1.9E-2</v>
      </c>
      <c r="EC122" s="9"/>
      <c r="ED122" s="9"/>
      <c r="EE122" s="9"/>
      <c r="EF122" s="46">
        <f>Tabelle58971121[[#This Row],[Durchschnittsauslastung min]]*Tabelle58971121[[#This Row],[installierte Leistung MW min]]</f>
        <v>0</v>
      </c>
      <c r="EG122" s="46">
        <f>Tabelle58971121[[#This Row],[Durchschnittsauslastung durch]]*Tabelle58971121[[#This Row],[installierte Leistung MW durch]]</f>
        <v>0</v>
      </c>
      <c r="EH122" s="46">
        <f>Tabelle58971121[[#This Row],[Durchschnittsauslastung max]]*Tabelle58971121[[#This Row],[installierte Leistung MW max]]</f>
        <v>0</v>
      </c>
      <c r="EI122" s="83">
        <f>Tabelle58971121[[#This Row],[Maximalauslastung durch]]*Tabelle58971121[[#This Row],[installierte Leistung MW min]]</f>
        <v>806.44899999999996</v>
      </c>
      <c r="EJ122" s="46">
        <f>Tabelle58971121[[#This Row],[Maximalauslastung durch]]*Tabelle58971121[[#This Row],[installierte Leistung MW durch]]</f>
        <v>816.22399999999993</v>
      </c>
      <c r="EK122" s="19">
        <f>Tabelle58971121[[#This Row],[Maximalauslastung max]]*Tabelle58971121[[#This Row],[installierte Leistung MW durch]]</f>
        <v>1525.9839999999999</v>
      </c>
      <c r="EL122" s="9">
        <v>2.3E-2</v>
      </c>
      <c r="EM122" s="9">
        <v>2.9999999999999979E-3</v>
      </c>
      <c r="EN122" s="9">
        <v>4.2999999999999997E-2</v>
      </c>
      <c r="EO122" s="1">
        <v>35488</v>
      </c>
      <c r="EP122" s="1">
        <v>35063</v>
      </c>
      <c r="EQ122" s="1">
        <v>35913</v>
      </c>
      <c r="ER122" s="19"/>
      <c r="ES122" s="19"/>
      <c r="EX122" s="1">
        <v>1.75</v>
      </c>
      <c r="EY122" s="1">
        <v>1.1499999999999999</v>
      </c>
      <c r="EZ122" s="1">
        <v>2.35</v>
      </c>
      <c r="FD122" s="1">
        <v>1.75</v>
      </c>
      <c r="FE122" s="1">
        <v>0.5</v>
      </c>
      <c r="FF122" s="1">
        <v>3</v>
      </c>
      <c r="FG122" s="1">
        <v>3.5</v>
      </c>
      <c r="FH122" s="1">
        <v>2.2999999999999998</v>
      </c>
      <c r="FI122" s="1">
        <v>4.7</v>
      </c>
      <c r="FJ122" s="1">
        <v>3.5</v>
      </c>
      <c r="FK122" s="1">
        <v>3.5</v>
      </c>
      <c r="FL122" s="1">
        <v>3.5</v>
      </c>
      <c r="FP122" s="1" t="s">
        <v>1084</v>
      </c>
      <c r="FQ122" s="1" t="s">
        <v>1084</v>
      </c>
      <c r="FR122" s="1" t="s">
        <v>1084</v>
      </c>
      <c r="FS122" s="11"/>
      <c r="FT122" s="11"/>
      <c r="FU122" s="11"/>
      <c r="FV122" s="1">
        <v>160</v>
      </c>
      <c r="FW122" s="1">
        <v>144</v>
      </c>
      <c r="FX122" s="1">
        <v>176</v>
      </c>
      <c r="FY122" s="1">
        <v>92.50411764705882</v>
      </c>
      <c r="FZ122" s="19">
        <v>83.243529411764712</v>
      </c>
      <c r="GA122" s="19">
        <v>101.76470588235293</v>
      </c>
      <c r="GB122" s="19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>
        <v>753.05882352941171</v>
      </c>
      <c r="GO122" s="8">
        <v>745.52823529411762</v>
      </c>
      <c r="GP122" s="8">
        <v>760.5894117647058</v>
      </c>
      <c r="GS122" s="1">
        <v>67</v>
      </c>
      <c r="GT122" s="1">
        <v>67</v>
      </c>
      <c r="GU122" s="1">
        <v>67</v>
      </c>
      <c r="GV122" s="13" t="s">
        <v>806</v>
      </c>
      <c r="GW122" s="13" t="s">
        <v>806</v>
      </c>
      <c r="GX122" s="13" t="s">
        <v>806</v>
      </c>
      <c r="GY122" s="13"/>
      <c r="GZ122" s="13" t="s">
        <v>806</v>
      </c>
      <c r="HA122" s="13" t="s">
        <v>806</v>
      </c>
      <c r="HB122" s="13" t="s">
        <v>806</v>
      </c>
      <c r="HC122" s="13" t="s">
        <v>806</v>
      </c>
      <c r="HD122" s="13" t="s">
        <v>806</v>
      </c>
      <c r="HE122" s="13" t="s">
        <v>806</v>
      </c>
      <c r="HF122" s="13" t="s">
        <v>806</v>
      </c>
      <c r="HI122" s="13" t="s">
        <v>806</v>
      </c>
      <c r="HJ122" s="13" t="s">
        <v>806</v>
      </c>
      <c r="HL122" s="13" t="s">
        <v>806</v>
      </c>
    </row>
    <row r="123" spans="1:220" ht="12.75" customHeight="1" x14ac:dyDescent="0.25">
      <c r="A123" s="1" t="s">
        <v>130</v>
      </c>
      <c r="B123" s="1" t="s">
        <v>749</v>
      </c>
      <c r="E123" s="1" t="s">
        <v>139</v>
      </c>
      <c r="F123" s="1">
        <v>2</v>
      </c>
      <c r="G123" s="1">
        <v>2020</v>
      </c>
      <c r="H123" s="1">
        <v>0</v>
      </c>
      <c r="I123" s="1">
        <v>0</v>
      </c>
      <c r="J123" s="1">
        <v>1</v>
      </c>
      <c r="K123" s="19"/>
      <c r="L123" s="19"/>
      <c r="M123" s="19"/>
      <c r="N123" s="19"/>
      <c r="O123" s="19"/>
      <c r="P123" s="19"/>
      <c r="Q123" s="19">
        <v>0</v>
      </c>
      <c r="R123" s="19">
        <v>0</v>
      </c>
      <c r="S123" s="19">
        <v>124.97723999999999</v>
      </c>
      <c r="T123" s="19"/>
      <c r="U123" s="19"/>
      <c r="V123" s="19"/>
      <c r="W123" s="19">
        <v>312.60491999999999</v>
      </c>
      <c r="X123" s="19">
        <v>0</v>
      </c>
      <c r="Y123" s="19">
        <v>1249.7724000000001</v>
      </c>
      <c r="Z123" s="19">
        <v>0</v>
      </c>
      <c r="AA123" s="19">
        <v>0</v>
      </c>
      <c r="AB123" s="19">
        <v>124.97723999999999</v>
      </c>
      <c r="AC123" s="19"/>
      <c r="AD123" s="19"/>
      <c r="AE123" s="19"/>
      <c r="AF123" s="19">
        <v>312.60491999999999</v>
      </c>
      <c r="AG123" s="19">
        <v>0</v>
      </c>
      <c r="AH123" s="19">
        <v>1249.7724000000001</v>
      </c>
      <c r="AI123" s="19">
        <v>0</v>
      </c>
      <c r="AJ123" s="19">
        <v>0</v>
      </c>
      <c r="AK123" s="19">
        <v>124.97723999999999</v>
      </c>
      <c r="AL123" s="19">
        <v>312.60491999999999</v>
      </c>
      <c r="AM123" s="19">
        <v>0</v>
      </c>
      <c r="AN123" s="19">
        <v>1249.7724000000001</v>
      </c>
      <c r="AO123" s="19">
        <v>0</v>
      </c>
      <c r="AP123" s="19">
        <v>0</v>
      </c>
      <c r="AQ123" s="19">
        <v>124.97723999999999</v>
      </c>
      <c r="AR123" s="19"/>
      <c r="AS123" s="19"/>
      <c r="AT123" s="19"/>
      <c r="AU123" s="19">
        <v>312.60491999999999</v>
      </c>
      <c r="AV123" s="19">
        <v>0</v>
      </c>
      <c r="AW123" s="19">
        <v>1249.7724000000001</v>
      </c>
      <c r="AX123" s="19">
        <v>0</v>
      </c>
      <c r="AY123" s="19">
        <v>0</v>
      </c>
      <c r="AZ123" s="19">
        <v>124.97723999999999</v>
      </c>
      <c r="BA123" s="19"/>
      <c r="BB123" s="19"/>
      <c r="BC123" s="19"/>
      <c r="BD123" s="19">
        <v>312.60491999999999</v>
      </c>
      <c r="BE123" s="19">
        <v>0</v>
      </c>
      <c r="BF123" s="19">
        <v>1249.7724000000001</v>
      </c>
      <c r="BG123" s="19">
        <v>0</v>
      </c>
      <c r="BH123" s="19">
        <v>0</v>
      </c>
      <c r="BI123" s="19">
        <v>124.97723999999999</v>
      </c>
      <c r="BJ123" s="19"/>
      <c r="BK123" s="19"/>
      <c r="BL123" s="19"/>
      <c r="BM123" s="19">
        <v>312.60491999999999</v>
      </c>
      <c r="BN123" s="19">
        <v>0</v>
      </c>
      <c r="BO123" s="19">
        <v>1249.7724000000001</v>
      </c>
      <c r="BP123" s="19">
        <v>0</v>
      </c>
      <c r="BQ123" s="19">
        <v>0</v>
      </c>
      <c r="BR123" s="19">
        <v>124.97723999999999</v>
      </c>
      <c r="BS123" s="19"/>
      <c r="BT123" s="19"/>
      <c r="BU123" s="19"/>
      <c r="BV123" s="19">
        <v>312.60491999999999</v>
      </c>
      <c r="BW123" s="19">
        <v>0</v>
      </c>
      <c r="BX123" s="19">
        <v>1249.7724000000001</v>
      </c>
      <c r="BY123" s="19">
        <v>0</v>
      </c>
      <c r="BZ123" s="19">
        <v>0</v>
      </c>
      <c r="CA123" s="19">
        <v>124.97723999999999</v>
      </c>
      <c r="CB123" s="19"/>
      <c r="CC123" s="19"/>
      <c r="CD123" s="19"/>
      <c r="CE123" s="19">
        <v>312.60491999999999</v>
      </c>
      <c r="CF123" s="19">
        <v>0</v>
      </c>
      <c r="CG123" s="19">
        <v>1249.7724000000001</v>
      </c>
      <c r="CH123" s="19">
        <v>0</v>
      </c>
      <c r="CI123" s="19">
        <v>0</v>
      </c>
      <c r="CJ123" s="19">
        <v>124.97723999999999</v>
      </c>
      <c r="CK123" s="19"/>
      <c r="CL123" s="19"/>
      <c r="CM123" s="19"/>
      <c r="CN123" s="19">
        <v>312.60491999999999</v>
      </c>
      <c r="CO123" s="19">
        <v>0</v>
      </c>
      <c r="CP123" s="19">
        <v>1249.7724000000001</v>
      </c>
      <c r="CQ123" s="19"/>
      <c r="CR123" s="19"/>
      <c r="CS123" s="19"/>
      <c r="CT123" s="19"/>
      <c r="CU123" s="11">
        <f>Tabelle58971121[[#This Row],[Mindestauslastung durch]]*Tabelle58971121[[#This Row],[installierte Leistung MW durch]]</f>
        <v>463.11840000000001</v>
      </c>
      <c r="CV123" s="11">
        <f>Tabelle58971121[[#This Row],[Mindestauslastung min]]*Tabelle58971121[[#This Row],[installierte Leistung MW min]]</f>
        <v>457.57215000000002</v>
      </c>
      <c r="CW123" s="11">
        <f>Tabelle58971121[[#This Row],[Mindestauslastung max]]*Tabelle58971121[[#This Row],[installierte Leistung MW max]]</f>
        <v>468.66464999999999</v>
      </c>
      <c r="CX123" s="9">
        <v>1.4999999999999999E-2</v>
      </c>
      <c r="CY123" s="9">
        <v>1.4999999999999999E-2</v>
      </c>
      <c r="CZ123" s="9">
        <v>1.4999999999999999E-2</v>
      </c>
      <c r="DA123" s="9"/>
      <c r="DB123" s="9">
        <v>1.2874999999999999E-2</v>
      </c>
      <c r="DC123" s="9">
        <v>3.0000000000000001E-3</v>
      </c>
      <c r="DD123" s="9">
        <v>1.9E-2</v>
      </c>
      <c r="DE123" s="9">
        <v>1.2874999999999999E-2</v>
      </c>
      <c r="DF123" s="9">
        <v>3.0000000000000001E-3</v>
      </c>
      <c r="DG123" s="9">
        <v>1.9E-2</v>
      </c>
      <c r="DH123" s="9">
        <v>1.2874999999999999E-2</v>
      </c>
      <c r="DI123" s="9">
        <v>3.0000000000000001E-3</v>
      </c>
      <c r="DJ123" s="9">
        <v>1.9E-2</v>
      </c>
      <c r="DK123" s="9">
        <v>1.2874999999999999E-2</v>
      </c>
      <c r="DL123" s="9">
        <v>3.0000000000000001E-3</v>
      </c>
      <c r="DM123" s="9">
        <v>1.9E-2</v>
      </c>
      <c r="DN123" s="9">
        <v>1.2874999999999999E-2</v>
      </c>
      <c r="DO123" s="9">
        <v>3.0000000000000001E-3</v>
      </c>
      <c r="DP123" s="9">
        <v>1.9E-2</v>
      </c>
      <c r="DQ123" s="9">
        <v>1.2874999999999999E-2</v>
      </c>
      <c r="DR123" s="9">
        <v>3.0000000000000001E-3</v>
      </c>
      <c r="DS123" s="9">
        <v>1.9E-2</v>
      </c>
      <c r="DT123" s="9">
        <v>1.2874999999999999E-2</v>
      </c>
      <c r="DU123" s="9">
        <v>3.0000000000000001E-3</v>
      </c>
      <c r="DV123" s="9">
        <v>1.9E-2</v>
      </c>
      <c r="DW123" s="9">
        <v>1.2874999999999999E-2</v>
      </c>
      <c r="DX123" s="9">
        <v>3.0000000000000001E-3</v>
      </c>
      <c r="DY123" s="9">
        <v>1.9E-2</v>
      </c>
      <c r="DZ123" s="9">
        <v>1.2874999999999999E-2</v>
      </c>
      <c r="EA123" s="9">
        <v>3.0000000000000001E-3</v>
      </c>
      <c r="EB123" s="9">
        <v>1.9E-2</v>
      </c>
      <c r="EC123" s="9"/>
      <c r="ED123" s="9"/>
      <c r="EE123" s="9"/>
      <c r="EF123" s="46">
        <f>Tabelle58971121[[#This Row],[Durchschnittsauslastung min]]*Tabelle58971121[[#This Row],[installierte Leistung MW min]]</f>
        <v>0</v>
      </c>
      <c r="EG123" s="46">
        <f>Tabelle58971121[[#This Row],[Durchschnittsauslastung durch]]*Tabelle58971121[[#This Row],[installierte Leistung MW durch]]</f>
        <v>0</v>
      </c>
      <c r="EH123" s="46">
        <f>Tabelle58971121[[#This Row],[Durchschnittsauslastung max]]*Tabelle58971121[[#This Row],[installierte Leistung MW max]]</f>
        <v>0</v>
      </c>
      <c r="EI123" s="83">
        <f>Tabelle58971121[[#This Row],[Maximalauslastung durch]]*Tabelle58971121[[#This Row],[installierte Leistung MW min]]</f>
        <v>701.61063000000001</v>
      </c>
      <c r="EJ123" s="46">
        <f>Tabelle58971121[[#This Row],[Maximalauslastung durch]]*Tabelle58971121[[#This Row],[installierte Leistung MW durch]]</f>
        <v>710.11487999999997</v>
      </c>
      <c r="EK123" s="19">
        <f>Tabelle58971121[[#This Row],[Maximalauslastung max]]*Tabelle58971121[[#This Row],[installierte Leistung MW durch]]</f>
        <v>1327.60608</v>
      </c>
      <c r="EL123" s="9">
        <v>2.3E-2</v>
      </c>
      <c r="EM123" s="9">
        <v>2.9999999999999979E-3</v>
      </c>
      <c r="EN123" s="9">
        <v>4.2999999999999997E-2</v>
      </c>
      <c r="EO123" s="1">
        <v>30874.560000000001</v>
      </c>
      <c r="EP123" s="1">
        <v>30504.81</v>
      </c>
      <c r="EQ123" s="1">
        <v>31244.31</v>
      </c>
      <c r="ER123" s="19"/>
      <c r="ES123" s="19"/>
      <c r="EX123" s="1">
        <v>1.75</v>
      </c>
      <c r="EY123" s="1">
        <v>1.1499999999999999</v>
      </c>
      <c r="EZ123" s="1">
        <v>2.35</v>
      </c>
      <c r="FD123" s="1">
        <v>1.75</v>
      </c>
      <c r="FE123" s="1">
        <v>0.5</v>
      </c>
      <c r="FF123" s="1">
        <v>3</v>
      </c>
      <c r="FG123" s="1">
        <v>3.5</v>
      </c>
      <c r="FH123" s="1">
        <v>2.2999999999999998</v>
      </c>
      <c r="FI123" s="1">
        <v>4.7</v>
      </c>
      <c r="FJ123" s="1">
        <v>3.5</v>
      </c>
      <c r="FK123" s="1">
        <v>3.5</v>
      </c>
      <c r="FL123" s="1">
        <v>3.5</v>
      </c>
      <c r="FP123" s="1" t="s">
        <v>1084</v>
      </c>
      <c r="FQ123" s="1" t="s">
        <v>1084</v>
      </c>
      <c r="FR123" s="1" t="s">
        <v>1084</v>
      </c>
      <c r="FS123" s="11"/>
      <c r="FT123" s="11"/>
      <c r="FU123" s="11"/>
      <c r="FV123" s="1">
        <v>160</v>
      </c>
      <c r="FW123" s="1">
        <v>144</v>
      </c>
      <c r="FX123" s="1">
        <v>176</v>
      </c>
      <c r="FY123" s="1">
        <v>92.50411764705882</v>
      </c>
      <c r="FZ123" s="19">
        <v>83.243529411764712</v>
      </c>
      <c r="GA123" s="19">
        <v>101.76470588235293</v>
      </c>
      <c r="GB123" s="19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>
        <v>753.05882352941171</v>
      </c>
      <c r="GO123" s="8">
        <v>745.52823529411762</v>
      </c>
      <c r="GP123" s="8">
        <v>760.5894117647058</v>
      </c>
      <c r="GS123" s="1">
        <v>67</v>
      </c>
      <c r="GT123" s="1">
        <v>67</v>
      </c>
      <c r="GU123" s="1">
        <v>67</v>
      </c>
      <c r="GV123" s="13" t="s">
        <v>806</v>
      </c>
      <c r="GW123" s="13" t="s">
        <v>806</v>
      </c>
      <c r="GX123" s="13" t="s">
        <v>806</v>
      </c>
      <c r="GY123" s="13"/>
      <c r="GZ123" s="13" t="s">
        <v>806</v>
      </c>
      <c r="HA123" s="13" t="s">
        <v>806</v>
      </c>
      <c r="HB123" s="13" t="s">
        <v>806</v>
      </c>
      <c r="HC123" s="13" t="s">
        <v>806</v>
      </c>
      <c r="HD123" s="13" t="s">
        <v>806</v>
      </c>
      <c r="HE123" s="13" t="s">
        <v>806</v>
      </c>
      <c r="HF123" s="13" t="s">
        <v>806</v>
      </c>
      <c r="HI123" s="13" t="s">
        <v>806</v>
      </c>
      <c r="HJ123" s="13" t="s">
        <v>806</v>
      </c>
      <c r="HL123" s="13" t="s">
        <v>806</v>
      </c>
    </row>
    <row r="124" spans="1:220" ht="12.75" customHeight="1" x14ac:dyDescent="0.25">
      <c r="A124" s="1" t="s">
        <v>130</v>
      </c>
      <c r="B124" s="1" t="s">
        <v>749</v>
      </c>
      <c r="E124" s="1" t="s">
        <v>139</v>
      </c>
      <c r="F124" s="1">
        <v>2</v>
      </c>
      <c r="G124" s="1">
        <v>2025</v>
      </c>
      <c r="H124" s="1">
        <v>0</v>
      </c>
      <c r="I124" s="1">
        <v>0</v>
      </c>
      <c r="J124" s="1">
        <v>1</v>
      </c>
      <c r="K124" s="19"/>
      <c r="L124" s="19"/>
      <c r="M124" s="19"/>
      <c r="N124" s="19"/>
      <c r="O124" s="19"/>
      <c r="P124" s="19"/>
      <c r="Q124" s="19">
        <v>0</v>
      </c>
      <c r="R124" s="19">
        <v>0</v>
      </c>
      <c r="S124" s="19">
        <v>109.17551999999999</v>
      </c>
      <c r="T124" s="19"/>
      <c r="U124" s="19"/>
      <c r="V124" s="19"/>
      <c r="W124" s="19">
        <v>273.08015999999998</v>
      </c>
      <c r="X124" s="19">
        <v>0</v>
      </c>
      <c r="Y124" s="19">
        <v>1091.7552000000001</v>
      </c>
      <c r="Z124" s="19">
        <v>0</v>
      </c>
      <c r="AA124" s="19">
        <v>0</v>
      </c>
      <c r="AB124" s="19">
        <v>109.17551999999999</v>
      </c>
      <c r="AC124" s="19"/>
      <c r="AD124" s="19"/>
      <c r="AE124" s="19"/>
      <c r="AF124" s="19">
        <v>273.08015999999998</v>
      </c>
      <c r="AG124" s="19">
        <v>0</v>
      </c>
      <c r="AH124" s="19">
        <v>1091.7552000000001</v>
      </c>
      <c r="AI124" s="19">
        <v>0</v>
      </c>
      <c r="AJ124" s="19">
        <v>0</v>
      </c>
      <c r="AK124" s="19">
        <v>109.17551999999999</v>
      </c>
      <c r="AL124" s="19">
        <v>273.08015999999998</v>
      </c>
      <c r="AM124" s="19">
        <v>0</v>
      </c>
      <c r="AN124" s="19">
        <v>1091.7552000000001</v>
      </c>
      <c r="AO124" s="19">
        <v>0</v>
      </c>
      <c r="AP124" s="19">
        <v>0</v>
      </c>
      <c r="AQ124" s="19">
        <v>109.17551999999999</v>
      </c>
      <c r="AR124" s="19"/>
      <c r="AS124" s="19"/>
      <c r="AT124" s="19"/>
      <c r="AU124" s="19">
        <v>273.08015999999998</v>
      </c>
      <c r="AV124" s="19">
        <v>0</v>
      </c>
      <c r="AW124" s="19">
        <v>1091.7552000000001</v>
      </c>
      <c r="AX124" s="19">
        <v>0</v>
      </c>
      <c r="AY124" s="19">
        <v>0</v>
      </c>
      <c r="AZ124" s="19">
        <v>109.17551999999999</v>
      </c>
      <c r="BA124" s="19"/>
      <c r="BB124" s="19"/>
      <c r="BC124" s="19"/>
      <c r="BD124" s="19">
        <v>273.08015999999998</v>
      </c>
      <c r="BE124" s="19">
        <v>0</v>
      </c>
      <c r="BF124" s="19">
        <v>1091.7552000000001</v>
      </c>
      <c r="BG124" s="19">
        <v>0</v>
      </c>
      <c r="BH124" s="19">
        <v>0</v>
      </c>
      <c r="BI124" s="19">
        <v>109.17551999999999</v>
      </c>
      <c r="BJ124" s="19"/>
      <c r="BK124" s="19"/>
      <c r="BL124" s="19"/>
      <c r="BM124" s="19">
        <v>273.08015999999998</v>
      </c>
      <c r="BN124" s="19">
        <v>0</v>
      </c>
      <c r="BO124" s="19">
        <v>1091.7552000000001</v>
      </c>
      <c r="BP124" s="19">
        <v>0</v>
      </c>
      <c r="BQ124" s="19">
        <v>0</v>
      </c>
      <c r="BR124" s="19">
        <v>109.17551999999999</v>
      </c>
      <c r="BS124" s="19"/>
      <c r="BT124" s="19"/>
      <c r="BU124" s="19"/>
      <c r="BV124" s="19">
        <v>273.08015999999998</v>
      </c>
      <c r="BW124" s="19">
        <v>0</v>
      </c>
      <c r="BX124" s="19">
        <v>1091.7552000000001</v>
      </c>
      <c r="BY124" s="19">
        <v>0</v>
      </c>
      <c r="BZ124" s="19">
        <v>0</v>
      </c>
      <c r="CA124" s="19">
        <v>109.17551999999999</v>
      </c>
      <c r="CB124" s="19"/>
      <c r="CC124" s="19"/>
      <c r="CD124" s="19"/>
      <c r="CE124" s="19">
        <v>273.08015999999998</v>
      </c>
      <c r="CF124" s="19">
        <v>0</v>
      </c>
      <c r="CG124" s="19">
        <v>1091.7552000000001</v>
      </c>
      <c r="CH124" s="19">
        <v>0</v>
      </c>
      <c r="CI124" s="19">
        <v>0</v>
      </c>
      <c r="CJ124" s="19">
        <v>109.17551999999999</v>
      </c>
      <c r="CK124" s="19"/>
      <c r="CL124" s="19"/>
      <c r="CM124" s="19"/>
      <c r="CN124" s="19">
        <v>273.08015999999998</v>
      </c>
      <c r="CO124" s="19">
        <v>0</v>
      </c>
      <c r="CP124" s="19">
        <v>1091.7552000000001</v>
      </c>
      <c r="CQ124" s="19"/>
      <c r="CR124" s="19"/>
      <c r="CS124" s="19"/>
      <c r="CT124" s="19"/>
      <c r="CU124" s="11">
        <f>Tabelle58971121[[#This Row],[Mindestauslastung durch]]*Tabelle58971121[[#This Row],[installierte Leistung MW durch]]</f>
        <v>404.56319999999999</v>
      </c>
      <c r="CV124" s="11">
        <f>Tabelle58971121[[#This Row],[Mindestauslastung min]]*Tabelle58971121[[#This Row],[installierte Leistung MW min]]</f>
        <v>399.71820000000002</v>
      </c>
      <c r="CW124" s="11">
        <f>Tabelle58971121[[#This Row],[Mindestauslastung max]]*Tabelle58971121[[#This Row],[installierte Leistung MW max]]</f>
        <v>409.40820000000002</v>
      </c>
      <c r="CX124" s="9">
        <v>1.4999999999999999E-2</v>
      </c>
      <c r="CY124" s="9">
        <v>1.4999999999999999E-2</v>
      </c>
      <c r="CZ124" s="9">
        <v>1.4999999999999999E-2</v>
      </c>
      <c r="DA124" s="9"/>
      <c r="DB124" s="9">
        <v>1.2874999999999999E-2</v>
      </c>
      <c r="DC124" s="9">
        <v>3.0000000000000001E-3</v>
      </c>
      <c r="DD124" s="9">
        <v>1.9E-2</v>
      </c>
      <c r="DE124" s="9">
        <v>1.2874999999999999E-2</v>
      </c>
      <c r="DF124" s="9">
        <v>3.0000000000000001E-3</v>
      </c>
      <c r="DG124" s="9">
        <v>1.9E-2</v>
      </c>
      <c r="DH124" s="9">
        <v>1.2874999999999999E-2</v>
      </c>
      <c r="DI124" s="9">
        <v>3.0000000000000001E-3</v>
      </c>
      <c r="DJ124" s="9">
        <v>1.9E-2</v>
      </c>
      <c r="DK124" s="9">
        <v>1.2874999999999999E-2</v>
      </c>
      <c r="DL124" s="9">
        <v>3.0000000000000001E-3</v>
      </c>
      <c r="DM124" s="9">
        <v>1.9E-2</v>
      </c>
      <c r="DN124" s="9">
        <v>1.2874999999999999E-2</v>
      </c>
      <c r="DO124" s="9">
        <v>3.0000000000000001E-3</v>
      </c>
      <c r="DP124" s="9">
        <v>1.9E-2</v>
      </c>
      <c r="DQ124" s="9">
        <v>1.2874999999999999E-2</v>
      </c>
      <c r="DR124" s="9">
        <v>3.0000000000000001E-3</v>
      </c>
      <c r="DS124" s="9">
        <v>1.9E-2</v>
      </c>
      <c r="DT124" s="9">
        <v>1.2874999999999999E-2</v>
      </c>
      <c r="DU124" s="9">
        <v>3.0000000000000001E-3</v>
      </c>
      <c r="DV124" s="9">
        <v>1.9E-2</v>
      </c>
      <c r="DW124" s="9">
        <v>1.2874999999999999E-2</v>
      </c>
      <c r="DX124" s="9">
        <v>3.0000000000000001E-3</v>
      </c>
      <c r="DY124" s="9">
        <v>1.9E-2</v>
      </c>
      <c r="DZ124" s="9">
        <v>1.2874999999999999E-2</v>
      </c>
      <c r="EA124" s="9">
        <v>3.0000000000000001E-3</v>
      </c>
      <c r="EB124" s="9">
        <v>1.9E-2</v>
      </c>
      <c r="EC124" s="9"/>
      <c r="ED124" s="9"/>
      <c r="EE124" s="9"/>
      <c r="EF124" s="46">
        <f>Tabelle58971121[[#This Row],[Durchschnittsauslastung min]]*Tabelle58971121[[#This Row],[installierte Leistung MW min]]</f>
        <v>0</v>
      </c>
      <c r="EG124" s="46">
        <f>Tabelle58971121[[#This Row],[Durchschnittsauslastung durch]]*Tabelle58971121[[#This Row],[installierte Leistung MW durch]]</f>
        <v>0</v>
      </c>
      <c r="EH124" s="46">
        <f>Tabelle58971121[[#This Row],[Durchschnittsauslastung max]]*Tabelle58971121[[#This Row],[installierte Leistung MW max]]</f>
        <v>0</v>
      </c>
      <c r="EI124" s="83">
        <f>Tabelle58971121[[#This Row],[Maximalauslastung durch]]*Tabelle58971121[[#This Row],[installierte Leistung MW min]]</f>
        <v>612.90124000000003</v>
      </c>
      <c r="EJ124" s="46">
        <f>Tabelle58971121[[#This Row],[Maximalauslastung durch]]*Tabelle58971121[[#This Row],[installierte Leistung MW durch]]</f>
        <v>620.33024</v>
      </c>
      <c r="EK124" s="19">
        <f>Tabelle58971121[[#This Row],[Maximalauslastung max]]*Tabelle58971121[[#This Row],[installierte Leistung MW durch]]</f>
        <v>1159.74784</v>
      </c>
      <c r="EL124" s="9">
        <v>2.3E-2</v>
      </c>
      <c r="EM124" s="9">
        <v>2.9999999999999979E-3</v>
      </c>
      <c r="EN124" s="9">
        <v>4.2999999999999997E-2</v>
      </c>
      <c r="EO124" s="1">
        <v>26970.880000000001</v>
      </c>
      <c r="EP124" s="1">
        <v>26647.88</v>
      </c>
      <c r="EQ124" s="1">
        <v>27293.88</v>
      </c>
      <c r="ER124" s="19"/>
      <c r="ES124" s="19"/>
      <c r="EX124" s="1">
        <v>1.75</v>
      </c>
      <c r="EY124" s="1">
        <v>1.1499999999999999</v>
      </c>
      <c r="EZ124" s="1">
        <v>2.35</v>
      </c>
      <c r="FD124" s="1">
        <v>1.75</v>
      </c>
      <c r="FE124" s="1">
        <v>0.5</v>
      </c>
      <c r="FF124" s="1">
        <v>3</v>
      </c>
      <c r="FG124" s="1">
        <v>3.5</v>
      </c>
      <c r="FH124" s="1">
        <v>2.2999999999999998</v>
      </c>
      <c r="FI124" s="1">
        <v>4.7</v>
      </c>
      <c r="FJ124" s="1">
        <v>3.5</v>
      </c>
      <c r="FK124" s="1">
        <v>3.5</v>
      </c>
      <c r="FL124" s="1">
        <v>3.5</v>
      </c>
      <c r="FP124" s="1" t="s">
        <v>1084</v>
      </c>
      <c r="FQ124" s="1" t="s">
        <v>1084</v>
      </c>
      <c r="FR124" s="1" t="s">
        <v>1084</v>
      </c>
      <c r="FS124" s="11"/>
      <c r="FT124" s="11"/>
      <c r="FU124" s="11"/>
      <c r="FV124" s="1">
        <v>160</v>
      </c>
      <c r="FW124" s="1">
        <v>144</v>
      </c>
      <c r="FX124" s="1">
        <v>176</v>
      </c>
      <c r="FY124" s="1">
        <v>92.50411764705882</v>
      </c>
      <c r="FZ124" s="19">
        <v>83.243529411764712</v>
      </c>
      <c r="GA124" s="19">
        <v>101.76470588235293</v>
      </c>
      <c r="GB124" s="19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>
        <v>753.05882352941171</v>
      </c>
      <c r="GO124" s="8">
        <v>745.52823529411762</v>
      </c>
      <c r="GP124" s="8">
        <v>760.5894117647058</v>
      </c>
      <c r="GS124" s="1">
        <v>67</v>
      </c>
      <c r="GT124" s="1">
        <v>67</v>
      </c>
      <c r="GU124" s="1">
        <v>67</v>
      </c>
      <c r="GV124" s="13" t="s">
        <v>806</v>
      </c>
      <c r="GW124" s="13" t="s">
        <v>806</v>
      </c>
      <c r="GX124" s="13" t="s">
        <v>806</v>
      </c>
      <c r="GY124" s="13"/>
      <c r="GZ124" s="13" t="s">
        <v>806</v>
      </c>
      <c r="HA124" s="13" t="s">
        <v>806</v>
      </c>
      <c r="HB124" s="13" t="s">
        <v>806</v>
      </c>
      <c r="HC124" s="13" t="s">
        <v>806</v>
      </c>
      <c r="HD124" s="13" t="s">
        <v>806</v>
      </c>
      <c r="HE124" s="13" t="s">
        <v>806</v>
      </c>
      <c r="HF124" s="13" t="s">
        <v>806</v>
      </c>
      <c r="HI124" s="13" t="s">
        <v>806</v>
      </c>
      <c r="HJ124" s="13" t="s">
        <v>806</v>
      </c>
      <c r="HL124" s="13" t="s">
        <v>806</v>
      </c>
    </row>
    <row r="125" spans="1:220" ht="12.75" customHeight="1" x14ac:dyDescent="0.25">
      <c r="A125" s="1" t="s">
        <v>130</v>
      </c>
      <c r="B125" s="1" t="s">
        <v>749</v>
      </c>
      <c r="E125" s="1" t="s">
        <v>139</v>
      </c>
      <c r="F125" s="1">
        <v>2</v>
      </c>
      <c r="G125" s="1">
        <v>2030</v>
      </c>
      <c r="H125" s="1">
        <v>0</v>
      </c>
      <c r="I125" s="1">
        <v>0</v>
      </c>
      <c r="J125" s="1">
        <v>1</v>
      </c>
      <c r="K125" s="19"/>
      <c r="L125" s="19"/>
      <c r="M125" s="19"/>
      <c r="N125" s="19"/>
      <c r="O125" s="19"/>
      <c r="P125" s="19"/>
      <c r="Q125" s="19">
        <v>0</v>
      </c>
      <c r="R125" s="19">
        <v>0</v>
      </c>
      <c r="S125" s="19">
        <v>96.246839999999992</v>
      </c>
      <c r="T125" s="19"/>
      <c r="U125" s="19"/>
      <c r="V125" s="19"/>
      <c r="W125" s="19">
        <v>240.74171999999999</v>
      </c>
      <c r="X125" s="19">
        <v>0</v>
      </c>
      <c r="Y125" s="19">
        <v>962.46840000000009</v>
      </c>
      <c r="Z125" s="19">
        <v>0</v>
      </c>
      <c r="AA125" s="19">
        <v>0</v>
      </c>
      <c r="AB125" s="19">
        <v>96.246839999999992</v>
      </c>
      <c r="AC125" s="19"/>
      <c r="AD125" s="19"/>
      <c r="AE125" s="19"/>
      <c r="AF125" s="19">
        <v>240.74171999999999</v>
      </c>
      <c r="AG125" s="19">
        <v>0</v>
      </c>
      <c r="AH125" s="19">
        <v>962.46840000000009</v>
      </c>
      <c r="AI125" s="19">
        <v>0</v>
      </c>
      <c r="AJ125" s="19">
        <v>0</v>
      </c>
      <c r="AK125" s="19">
        <v>96.246839999999992</v>
      </c>
      <c r="AL125" s="19">
        <v>240.74171999999999</v>
      </c>
      <c r="AM125" s="19">
        <v>0</v>
      </c>
      <c r="AN125" s="19">
        <v>962.46840000000009</v>
      </c>
      <c r="AO125" s="19">
        <v>0</v>
      </c>
      <c r="AP125" s="19">
        <v>0</v>
      </c>
      <c r="AQ125" s="19">
        <v>96.246839999999992</v>
      </c>
      <c r="AR125" s="19"/>
      <c r="AS125" s="19"/>
      <c r="AT125" s="19"/>
      <c r="AU125" s="19">
        <v>240.74171999999999</v>
      </c>
      <c r="AV125" s="19">
        <v>0</v>
      </c>
      <c r="AW125" s="19">
        <v>962.46840000000009</v>
      </c>
      <c r="AX125" s="19">
        <v>0</v>
      </c>
      <c r="AY125" s="19">
        <v>0</v>
      </c>
      <c r="AZ125" s="19">
        <v>96.246839999999992</v>
      </c>
      <c r="BA125" s="19"/>
      <c r="BB125" s="19"/>
      <c r="BC125" s="19"/>
      <c r="BD125" s="19">
        <v>240.74171999999999</v>
      </c>
      <c r="BE125" s="19">
        <v>0</v>
      </c>
      <c r="BF125" s="19">
        <v>962.46840000000009</v>
      </c>
      <c r="BG125" s="19">
        <v>0</v>
      </c>
      <c r="BH125" s="19">
        <v>0</v>
      </c>
      <c r="BI125" s="19">
        <v>96.246839999999992</v>
      </c>
      <c r="BJ125" s="19"/>
      <c r="BK125" s="19"/>
      <c r="BL125" s="19"/>
      <c r="BM125" s="19">
        <v>240.74171999999999</v>
      </c>
      <c r="BN125" s="19">
        <v>0</v>
      </c>
      <c r="BO125" s="19">
        <v>962.46840000000009</v>
      </c>
      <c r="BP125" s="19">
        <v>0</v>
      </c>
      <c r="BQ125" s="19">
        <v>0</v>
      </c>
      <c r="BR125" s="19">
        <v>96.246839999999992</v>
      </c>
      <c r="BS125" s="19"/>
      <c r="BT125" s="19"/>
      <c r="BU125" s="19"/>
      <c r="BV125" s="19">
        <v>240.74171999999999</v>
      </c>
      <c r="BW125" s="19">
        <v>0</v>
      </c>
      <c r="BX125" s="19">
        <v>962.46840000000009</v>
      </c>
      <c r="BY125" s="19">
        <v>0</v>
      </c>
      <c r="BZ125" s="19">
        <v>0</v>
      </c>
      <c r="CA125" s="19">
        <v>96.246839999999992</v>
      </c>
      <c r="CB125" s="19"/>
      <c r="CC125" s="19"/>
      <c r="CD125" s="19"/>
      <c r="CE125" s="19">
        <v>240.74171999999999</v>
      </c>
      <c r="CF125" s="19">
        <v>0</v>
      </c>
      <c r="CG125" s="19">
        <v>962.46840000000009</v>
      </c>
      <c r="CH125" s="19">
        <v>0</v>
      </c>
      <c r="CI125" s="19">
        <v>0</v>
      </c>
      <c r="CJ125" s="19">
        <v>96.246839999999992</v>
      </c>
      <c r="CK125" s="19"/>
      <c r="CL125" s="19"/>
      <c r="CM125" s="19"/>
      <c r="CN125" s="19">
        <v>240.74171999999999</v>
      </c>
      <c r="CO125" s="19">
        <v>0</v>
      </c>
      <c r="CP125" s="19">
        <v>962.46840000000009</v>
      </c>
      <c r="CQ125" s="19"/>
      <c r="CR125" s="19"/>
      <c r="CS125" s="19"/>
      <c r="CT125" s="19"/>
      <c r="CU125" s="11">
        <f>Tabelle58971121[[#This Row],[Mindestauslastung durch]]*Tabelle58971121[[#This Row],[installierte Leistung MW durch]]</f>
        <v>356.65439999999995</v>
      </c>
      <c r="CV125" s="11">
        <f>Tabelle58971121[[#This Row],[Mindestauslastung min]]*Tabelle58971121[[#This Row],[installierte Leistung MW min]]</f>
        <v>352.38315</v>
      </c>
      <c r="CW125" s="11">
        <f>Tabelle58971121[[#This Row],[Mindestauslastung max]]*Tabelle58971121[[#This Row],[installierte Leistung MW max]]</f>
        <v>360.92564999999996</v>
      </c>
      <c r="CX125" s="9">
        <v>1.4999999999999999E-2</v>
      </c>
      <c r="CY125" s="9">
        <v>1.4999999999999999E-2</v>
      </c>
      <c r="CZ125" s="9">
        <v>1.4999999999999999E-2</v>
      </c>
      <c r="DA125" s="9"/>
      <c r="DB125" s="9">
        <v>1.2874999999999999E-2</v>
      </c>
      <c r="DC125" s="9">
        <v>3.0000000000000001E-3</v>
      </c>
      <c r="DD125" s="9">
        <v>1.9E-2</v>
      </c>
      <c r="DE125" s="9">
        <v>1.2874999999999999E-2</v>
      </c>
      <c r="DF125" s="9">
        <v>3.0000000000000001E-3</v>
      </c>
      <c r="DG125" s="9">
        <v>1.9E-2</v>
      </c>
      <c r="DH125" s="9">
        <v>1.2874999999999999E-2</v>
      </c>
      <c r="DI125" s="9">
        <v>3.0000000000000001E-3</v>
      </c>
      <c r="DJ125" s="9">
        <v>1.9E-2</v>
      </c>
      <c r="DK125" s="9">
        <v>1.2874999999999999E-2</v>
      </c>
      <c r="DL125" s="9">
        <v>3.0000000000000001E-3</v>
      </c>
      <c r="DM125" s="9">
        <v>1.9E-2</v>
      </c>
      <c r="DN125" s="9">
        <v>1.2874999999999999E-2</v>
      </c>
      <c r="DO125" s="9">
        <v>3.0000000000000001E-3</v>
      </c>
      <c r="DP125" s="9">
        <v>1.9E-2</v>
      </c>
      <c r="DQ125" s="9">
        <v>1.2874999999999999E-2</v>
      </c>
      <c r="DR125" s="9">
        <v>3.0000000000000001E-3</v>
      </c>
      <c r="DS125" s="9">
        <v>1.9E-2</v>
      </c>
      <c r="DT125" s="9">
        <v>1.2874999999999999E-2</v>
      </c>
      <c r="DU125" s="9">
        <v>3.0000000000000001E-3</v>
      </c>
      <c r="DV125" s="9">
        <v>1.9E-2</v>
      </c>
      <c r="DW125" s="9">
        <v>1.2874999999999999E-2</v>
      </c>
      <c r="DX125" s="9">
        <v>3.0000000000000001E-3</v>
      </c>
      <c r="DY125" s="9">
        <v>1.9E-2</v>
      </c>
      <c r="DZ125" s="9">
        <v>1.2874999999999999E-2</v>
      </c>
      <c r="EA125" s="9">
        <v>3.0000000000000001E-3</v>
      </c>
      <c r="EB125" s="9">
        <v>1.9E-2</v>
      </c>
      <c r="EC125" s="9"/>
      <c r="ED125" s="9"/>
      <c r="EE125" s="9"/>
      <c r="EF125" s="46">
        <f>Tabelle58971121[[#This Row],[Durchschnittsauslastung min]]*Tabelle58971121[[#This Row],[installierte Leistung MW min]]</f>
        <v>0</v>
      </c>
      <c r="EG125" s="46">
        <f>Tabelle58971121[[#This Row],[Durchschnittsauslastung durch]]*Tabelle58971121[[#This Row],[installierte Leistung MW durch]]</f>
        <v>0</v>
      </c>
      <c r="EH125" s="46">
        <f>Tabelle58971121[[#This Row],[Durchschnittsauslastung max]]*Tabelle58971121[[#This Row],[installierte Leistung MW max]]</f>
        <v>0</v>
      </c>
      <c r="EI125" s="83">
        <f>Tabelle58971121[[#This Row],[Maximalauslastung durch]]*Tabelle58971121[[#This Row],[installierte Leistung MW min]]</f>
        <v>540.32083</v>
      </c>
      <c r="EJ125" s="46">
        <f>Tabelle58971121[[#This Row],[Maximalauslastung durch]]*Tabelle58971121[[#This Row],[installierte Leistung MW durch]]</f>
        <v>546.87007999999992</v>
      </c>
      <c r="EK125" s="19">
        <f>Tabelle58971121[[#This Row],[Maximalauslastung max]]*Tabelle58971121[[#This Row],[installierte Leistung MW durch]]</f>
        <v>1022.4092799999999</v>
      </c>
      <c r="EL125" s="9">
        <v>2.3E-2</v>
      </c>
      <c r="EM125" s="9">
        <v>2.9999999999999979E-3</v>
      </c>
      <c r="EN125" s="9">
        <v>4.2999999999999997E-2</v>
      </c>
      <c r="EO125" s="1">
        <v>23776.959999999999</v>
      </c>
      <c r="EP125" s="1">
        <v>23492.21</v>
      </c>
      <c r="EQ125" s="1">
        <v>24061.71</v>
      </c>
      <c r="ER125" s="19"/>
      <c r="ES125" s="19"/>
      <c r="EX125" s="1">
        <v>1.75</v>
      </c>
      <c r="EY125" s="1">
        <v>1.1499999999999999</v>
      </c>
      <c r="EZ125" s="1">
        <v>2.35</v>
      </c>
      <c r="FD125" s="1">
        <v>1.75</v>
      </c>
      <c r="FE125" s="1">
        <v>0.5</v>
      </c>
      <c r="FF125" s="1">
        <v>3</v>
      </c>
      <c r="FG125" s="1">
        <v>3.5</v>
      </c>
      <c r="FH125" s="1">
        <v>2.2999999999999998</v>
      </c>
      <c r="FI125" s="1">
        <v>4.7</v>
      </c>
      <c r="FJ125" s="1">
        <v>3.5</v>
      </c>
      <c r="FK125" s="1">
        <v>3.5</v>
      </c>
      <c r="FL125" s="1">
        <v>3.5</v>
      </c>
      <c r="FP125" s="1" t="s">
        <v>1084</v>
      </c>
      <c r="FQ125" s="1" t="s">
        <v>1084</v>
      </c>
      <c r="FR125" s="1" t="s">
        <v>1084</v>
      </c>
      <c r="FS125" s="11"/>
      <c r="FT125" s="11"/>
      <c r="FU125" s="11"/>
      <c r="FV125" s="1">
        <v>160</v>
      </c>
      <c r="FW125" s="1">
        <v>144</v>
      </c>
      <c r="FX125" s="1">
        <v>176</v>
      </c>
      <c r="FY125" s="1">
        <v>92.50411764705882</v>
      </c>
      <c r="FZ125" s="19">
        <v>83.243529411764712</v>
      </c>
      <c r="GA125" s="19">
        <v>101.76470588235293</v>
      </c>
      <c r="GB125" s="19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>
        <v>753.05882352941171</v>
      </c>
      <c r="GO125" s="8">
        <v>745.52823529411762</v>
      </c>
      <c r="GP125" s="8">
        <v>760.5894117647058</v>
      </c>
      <c r="GS125" s="1">
        <v>67</v>
      </c>
      <c r="GT125" s="1">
        <v>67</v>
      </c>
      <c r="GU125" s="1">
        <v>67</v>
      </c>
      <c r="GV125" s="13" t="s">
        <v>806</v>
      </c>
      <c r="GW125" s="13" t="s">
        <v>806</v>
      </c>
      <c r="GX125" s="13" t="s">
        <v>806</v>
      </c>
      <c r="GY125" s="13"/>
      <c r="GZ125" s="13" t="s">
        <v>806</v>
      </c>
      <c r="HA125" s="13" t="s">
        <v>806</v>
      </c>
      <c r="HB125" s="13" t="s">
        <v>806</v>
      </c>
      <c r="HC125" s="13" t="s">
        <v>806</v>
      </c>
      <c r="HD125" s="13" t="s">
        <v>806</v>
      </c>
      <c r="HE125" s="13" t="s">
        <v>806</v>
      </c>
      <c r="HF125" s="13" t="s">
        <v>806</v>
      </c>
      <c r="HI125" s="13" t="s">
        <v>806</v>
      </c>
      <c r="HJ125" s="13" t="s">
        <v>806</v>
      </c>
      <c r="HL125" s="13" t="s">
        <v>806</v>
      </c>
    </row>
    <row r="126" spans="1:220" ht="12.75" customHeight="1" x14ac:dyDescent="0.25">
      <c r="A126" s="1" t="s">
        <v>130</v>
      </c>
      <c r="B126" s="1" t="s">
        <v>749</v>
      </c>
      <c r="E126" s="1" t="s">
        <v>139</v>
      </c>
      <c r="F126" s="1">
        <v>2</v>
      </c>
      <c r="G126" s="1">
        <v>2035</v>
      </c>
      <c r="H126" s="1">
        <v>0</v>
      </c>
      <c r="I126" s="1">
        <v>0</v>
      </c>
      <c r="J126" s="1">
        <v>1</v>
      </c>
      <c r="K126" s="19"/>
      <c r="L126" s="19"/>
      <c r="M126" s="19"/>
      <c r="N126" s="19"/>
      <c r="O126" s="19"/>
      <c r="P126" s="19"/>
      <c r="Q126" s="19">
        <v>0</v>
      </c>
      <c r="R126" s="19">
        <v>0</v>
      </c>
      <c r="S126" s="19">
        <v>89.064239999999998</v>
      </c>
      <c r="T126" s="19"/>
      <c r="U126" s="19"/>
      <c r="V126" s="19"/>
      <c r="W126" s="19">
        <v>222.77591999999999</v>
      </c>
      <c r="X126" s="19">
        <v>0</v>
      </c>
      <c r="Y126" s="19">
        <v>890.64239999999995</v>
      </c>
      <c r="Z126" s="19">
        <v>0</v>
      </c>
      <c r="AA126" s="19">
        <v>0</v>
      </c>
      <c r="AB126" s="19">
        <v>89.064239999999998</v>
      </c>
      <c r="AC126" s="19"/>
      <c r="AD126" s="19"/>
      <c r="AE126" s="19"/>
      <c r="AF126" s="19">
        <v>222.77591999999999</v>
      </c>
      <c r="AG126" s="19">
        <v>0</v>
      </c>
      <c r="AH126" s="19">
        <v>890.64239999999995</v>
      </c>
      <c r="AI126" s="19">
        <v>0</v>
      </c>
      <c r="AJ126" s="19">
        <v>0</v>
      </c>
      <c r="AK126" s="19">
        <v>89.064239999999998</v>
      </c>
      <c r="AL126" s="19">
        <v>222.77591999999999</v>
      </c>
      <c r="AM126" s="19">
        <v>0</v>
      </c>
      <c r="AN126" s="19">
        <v>890.64239999999995</v>
      </c>
      <c r="AO126" s="19">
        <v>0</v>
      </c>
      <c r="AP126" s="19">
        <v>0</v>
      </c>
      <c r="AQ126" s="19">
        <v>89.064239999999998</v>
      </c>
      <c r="AR126" s="19"/>
      <c r="AS126" s="19"/>
      <c r="AT126" s="19"/>
      <c r="AU126" s="19">
        <v>222.77591999999999</v>
      </c>
      <c r="AV126" s="19">
        <v>0</v>
      </c>
      <c r="AW126" s="19">
        <v>890.64239999999995</v>
      </c>
      <c r="AX126" s="19">
        <v>0</v>
      </c>
      <c r="AY126" s="19">
        <v>0</v>
      </c>
      <c r="AZ126" s="19">
        <v>89.064239999999998</v>
      </c>
      <c r="BA126" s="19"/>
      <c r="BB126" s="19"/>
      <c r="BC126" s="19"/>
      <c r="BD126" s="19">
        <v>222.77591999999999</v>
      </c>
      <c r="BE126" s="19">
        <v>0</v>
      </c>
      <c r="BF126" s="19">
        <v>890.64239999999995</v>
      </c>
      <c r="BG126" s="19">
        <v>0</v>
      </c>
      <c r="BH126" s="19">
        <v>0</v>
      </c>
      <c r="BI126" s="19">
        <v>89.064239999999998</v>
      </c>
      <c r="BJ126" s="19"/>
      <c r="BK126" s="19"/>
      <c r="BL126" s="19"/>
      <c r="BM126" s="19">
        <v>222.77591999999999</v>
      </c>
      <c r="BN126" s="19">
        <v>0</v>
      </c>
      <c r="BO126" s="19">
        <v>890.64239999999995</v>
      </c>
      <c r="BP126" s="19">
        <v>0</v>
      </c>
      <c r="BQ126" s="19">
        <v>0</v>
      </c>
      <c r="BR126" s="19">
        <v>89.064239999999998</v>
      </c>
      <c r="BS126" s="19"/>
      <c r="BT126" s="19"/>
      <c r="BU126" s="19"/>
      <c r="BV126" s="19">
        <v>222.77591999999999</v>
      </c>
      <c r="BW126" s="19">
        <v>0</v>
      </c>
      <c r="BX126" s="19">
        <v>890.64239999999995</v>
      </c>
      <c r="BY126" s="19">
        <v>0</v>
      </c>
      <c r="BZ126" s="19">
        <v>0</v>
      </c>
      <c r="CA126" s="19">
        <v>89.064239999999998</v>
      </c>
      <c r="CB126" s="19"/>
      <c r="CC126" s="19"/>
      <c r="CD126" s="19"/>
      <c r="CE126" s="19">
        <v>222.77591999999999</v>
      </c>
      <c r="CF126" s="19">
        <v>0</v>
      </c>
      <c r="CG126" s="19">
        <v>890.64239999999995</v>
      </c>
      <c r="CH126" s="19">
        <v>0</v>
      </c>
      <c r="CI126" s="19">
        <v>0</v>
      </c>
      <c r="CJ126" s="19">
        <v>89.064239999999998</v>
      </c>
      <c r="CK126" s="19"/>
      <c r="CL126" s="19"/>
      <c r="CM126" s="19"/>
      <c r="CN126" s="19">
        <v>222.77591999999999</v>
      </c>
      <c r="CO126" s="19">
        <v>0</v>
      </c>
      <c r="CP126" s="19">
        <v>890.64239999999995</v>
      </c>
      <c r="CQ126" s="19"/>
      <c r="CR126" s="19"/>
      <c r="CS126" s="19"/>
      <c r="CT126" s="19"/>
      <c r="CU126" s="11">
        <f>Tabelle58971121[[#This Row],[Mindestauslastung durch]]*Tabelle58971121[[#This Row],[installierte Leistung MW durch]]</f>
        <v>330.03840000000002</v>
      </c>
      <c r="CV126" s="11">
        <f>Tabelle58971121[[#This Row],[Mindestauslastung min]]*Tabelle58971121[[#This Row],[installierte Leistung MW min]]</f>
        <v>326.08589999999998</v>
      </c>
      <c r="CW126" s="11">
        <f>Tabelle58971121[[#This Row],[Mindestauslastung max]]*Tabelle58971121[[#This Row],[installierte Leistung MW max]]</f>
        <v>333.99090000000001</v>
      </c>
      <c r="CX126" s="9">
        <v>1.4999999999999999E-2</v>
      </c>
      <c r="CY126" s="9">
        <v>1.4999999999999999E-2</v>
      </c>
      <c r="CZ126" s="9">
        <v>1.4999999999999999E-2</v>
      </c>
      <c r="DA126" s="9"/>
      <c r="DB126" s="9">
        <v>1.2874999999999999E-2</v>
      </c>
      <c r="DC126" s="9">
        <v>3.0000000000000001E-3</v>
      </c>
      <c r="DD126" s="9">
        <v>1.9E-2</v>
      </c>
      <c r="DE126" s="9">
        <v>1.2874999999999999E-2</v>
      </c>
      <c r="DF126" s="9">
        <v>3.0000000000000001E-3</v>
      </c>
      <c r="DG126" s="9">
        <v>1.9E-2</v>
      </c>
      <c r="DH126" s="9">
        <v>1.2874999999999999E-2</v>
      </c>
      <c r="DI126" s="9">
        <v>3.0000000000000001E-3</v>
      </c>
      <c r="DJ126" s="9">
        <v>1.9E-2</v>
      </c>
      <c r="DK126" s="9">
        <v>1.2874999999999999E-2</v>
      </c>
      <c r="DL126" s="9">
        <v>3.0000000000000001E-3</v>
      </c>
      <c r="DM126" s="9">
        <v>1.9E-2</v>
      </c>
      <c r="DN126" s="9">
        <v>1.2874999999999999E-2</v>
      </c>
      <c r="DO126" s="9">
        <v>3.0000000000000001E-3</v>
      </c>
      <c r="DP126" s="9">
        <v>1.9E-2</v>
      </c>
      <c r="DQ126" s="9">
        <v>1.2874999999999999E-2</v>
      </c>
      <c r="DR126" s="9">
        <v>3.0000000000000001E-3</v>
      </c>
      <c r="DS126" s="9">
        <v>1.9E-2</v>
      </c>
      <c r="DT126" s="9">
        <v>1.2874999999999999E-2</v>
      </c>
      <c r="DU126" s="9">
        <v>3.0000000000000001E-3</v>
      </c>
      <c r="DV126" s="9">
        <v>1.9E-2</v>
      </c>
      <c r="DW126" s="9">
        <v>1.2874999999999999E-2</v>
      </c>
      <c r="DX126" s="9">
        <v>3.0000000000000001E-3</v>
      </c>
      <c r="DY126" s="9">
        <v>1.9E-2</v>
      </c>
      <c r="DZ126" s="9">
        <v>1.2874999999999999E-2</v>
      </c>
      <c r="EA126" s="9">
        <v>3.0000000000000001E-3</v>
      </c>
      <c r="EB126" s="9">
        <v>1.9E-2</v>
      </c>
      <c r="EC126" s="9"/>
      <c r="ED126" s="9"/>
      <c r="EE126" s="9"/>
      <c r="EF126" s="46">
        <f>Tabelle58971121[[#This Row],[Durchschnittsauslastung min]]*Tabelle58971121[[#This Row],[installierte Leistung MW min]]</f>
        <v>0</v>
      </c>
      <c r="EG126" s="46">
        <f>Tabelle58971121[[#This Row],[Durchschnittsauslastung durch]]*Tabelle58971121[[#This Row],[installierte Leistung MW durch]]</f>
        <v>0</v>
      </c>
      <c r="EH126" s="46">
        <f>Tabelle58971121[[#This Row],[Durchschnittsauslastung max]]*Tabelle58971121[[#This Row],[installierte Leistung MW max]]</f>
        <v>0</v>
      </c>
      <c r="EI126" s="83">
        <f>Tabelle58971121[[#This Row],[Maximalauslastung durch]]*Tabelle58971121[[#This Row],[installierte Leistung MW min]]</f>
        <v>499.99838</v>
      </c>
      <c r="EJ126" s="46">
        <f>Tabelle58971121[[#This Row],[Maximalauslastung durch]]*Tabelle58971121[[#This Row],[installierte Leistung MW durch]]</f>
        <v>506.05888000000004</v>
      </c>
      <c r="EK126" s="19">
        <f>Tabelle58971121[[#This Row],[Maximalauslastung max]]*Tabelle58971121[[#This Row],[installierte Leistung MW durch]]</f>
        <v>946.11007999999993</v>
      </c>
      <c r="EL126" s="9">
        <v>2.3E-2</v>
      </c>
      <c r="EM126" s="9">
        <v>2.9999999999999979E-3</v>
      </c>
      <c r="EN126" s="9">
        <v>4.2999999999999997E-2</v>
      </c>
      <c r="EO126" s="1">
        <v>22002.560000000001</v>
      </c>
      <c r="EP126" s="1">
        <v>21739.06</v>
      </c>
      <c r="EQ126" s="1">
        <v>22266.06</v>
      </c>
      <c r="ER126" s="19"/>
      <c r="ES126" s="19"/>
      <c r="EX126" s="1">
        <v>1.75</v>
      </c>
      <c r="EY126" s="1">
        <v>1.1499999999999999</v>
      </c>
      <c r="EZ126" s="1">
        <v>2.35</v>
      </c>
      <c r="FD126" s="1">
        <v>1.75</v>
      </c>
      <c r="FE126" s="1">
        <v>0.5</v>
      </c>
      <c r="FF126" s="1">
        <v>3</v>
      </c>
      <c r="FG126" s="1">
        <v>3.5</v>
      </c>
      <c r="FH126" s="1">
        <v>2.2999999999999998</v>
      </c>
      <c r="FI126" s="1">
        <v>4.7</v>
      </c>
      <c r="FJ126" s="1">
        <v>3.5</v>
      </c>
      <c r="FK126" s="1">
        <v>3.5</v>
      </c>
      <c r="FL126" s="1">
        <v>3.5</v>
      </c>
      <c r="FP126" s="1" t="s">
        <v>1084</v>
      </c>
      <c r="FQ126" s="1" t="s">
        <v>1084</v>
      </c>
      <c r="FR126" s="1" t="s">
        <v>1084</v>
      </c>
      <c r="FS126" s="11"/>
      <c r="FT126" s="11"/>
      <c r="FU126" s="11"/>
      <c r="FV126" s="1">
        <v>160</v>
      </c>
      <c r="FW126" s="1">
        <v>144</v>
      </c>
      <c r="FX126" s="1">
        <v>176</v>
      </c>
      <c r="FY126" s="1">
        <v>92.50411764705882</v>
      </c>
      <c r="FZ126" s="19">
        <v>83.243529411764712</v>
      </c>
      <c r="GA126" s="19">
        <v>101.76470588235293</v>
      </c>
      <c r="GB126" s="19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>
        <v>753.05882352941171</v>
      </c>
      <c r="GO126" s="8">
        <v>745.52823529411762</v>
      </c>
      <c r="GP126" s="8">
        <v>760.5894117647058</v>
      </c>
      <c r="GS126" s="1">
        <v>67</v>
      </c>
      <c r="GT126" s="1">
        <v>67</v>
      </c>
      <c r="GU126" s="1">
        <v>67</v>
      </c>
      <c r="GV126" s="13" t="s">
        <v>806</v>
      </c>
      <c r="GW126" s="13" t="s">
        <v>806</v>
      </c>
      <c r="GX126" s="13" t="s">
        <v>806</v>
      </c>
      <c r="GY126" s="13"/>
      <c r="GZ126" s="13" t="s">
        <v>806</v>
      </c>
      <c r="HA126" s="13" t="s">
        <v>806</v>
      </c>
      <c r="HB126" s="13" t="s">
        <v>806</v>
      </c>
      <c r="HC126" s="13" t="s">
        <v>806</v>
      </c>
      <c r="HD126" s="13" t="s">
        <v>806</v>
      </c>
      <c r="HE126" s="13" t="s">
        <v>806</v>
      </c>
      <c r="HF126" s="13" t="s">
        <v>806</v>
      </c>
      <c r="HI126" s="13" t="s">
        <v>806</v>
      </c>
      <c r="HJ126" s="13" t="s">
        <v>806</v>
      </c>
      <c r="HL126" s="13" t="s">
        <v>806</v>
      </c>
    </row>
    <row r="127" spans="1:220" ht="12.75" customHeight="1" x14ac:dyDescent="0.25">
      <c r="A127" s="1" t="s">
        <v>130</v>
      </c>
      <c r="B127" s="1" t="s">
        <v>749</v>
      </c>
      <c r="E127" s="1" t="s">
        <v>139</v>
      </c>
      <c r="F127" s="1">
        <v>2</v>
      </c>
      <c r="G127" s="1">
        <v>2040</v>
      </c>
      <c r="H127" s="1">
        <v>0</v>
      </c>
      <c r="I127" s="1">
        <v>0</v>
      </c>
      <c r="J127" s="1">
        <v>1</v>
      </c>
      <c r="K127" s="19"/>
      <c r="L127" s="19"/>
      <c r="M127" s="19"/>
      <c r="N127" s="19"/>
      <c r="O127" s="19"/>
      <c r="P127" s="19"/>
      <c r="Q127" s="19">
        <v>0</v>
      </c>
      <c r="R127" s="19">
        <v>0</v>
      </c>
      <c r="S127" s="19">
        <v>83.318159999999992</v>
      </c>
      <c r="T127" s="19"/>
      <c r="U127" s="19"/>
      <c r="V127" s="19"/>
      <c r="W127" s="19">
        <v>208.40327999999997</v>
      </c>
      <c r="X127" s="19">
        <v>0</v>
      </c>
      <c r="Y127" s="19">
        <v>833.18159999999989</v>
      </c>
      <c r="Z127" s="19">
        <v>0</v>
      </c>
      <c r="AA127" s="19">
        <v>0</v>
      </c>
      <c r="AB127" s="19">
        <v>83.318159999999992</v>
      </c>
      <c r="AC127" s="19"/>
      <c r="AD127" s="19"/>
      <c r="AE127" s="19"/>
      <c r="AF127" s="19">
        <v>208.40327999999997</v>
      </c>
      <c r="AG127" s="19">
        <v>0</v>
      </c>
      <c r="AH127" s="19">
        <v>833.18159999999989</v>
      </c>
      <c r="AI127" s="19">
        <v>0</v>
      </c>
      <c r="AJ127" s="19">
        <v>0</v>
      </c>
      <c r="AK127" s="19">
        <v>83.318159999999992</v>
      </c>
      <c r="AL127" s="19">
        <v>208.40327999999997</v>
      </c>
      <c r="AM127" s="19">
        <v>0</v>
      </c>
      <c r="AN127" s="19">
        <v>833.18159999999989</v>
      </c>
      <c r="AO127" s="19">
        <v>0</v>
      </c>
      <c r="AP127" s="19">
        <v>0</v>
      </c>
      <c r="AQ127" s="19">
        <v>83.318159999999992</v>
      </c>
      <c r="AR127" s="19"/>
      <c r="AS127" s="19"/>
      <c r="AT127" s="19"/>
      <c r="AU127" s="19">
        <v>208.40327999999997</v>
      </c>
      <c r="AV127" s="19">
        <v>0</v>
      </c>
      <c r="AW127" s="19">
        <v>833.18159999999989</v>
      </c>
      <c r="AX127" s="19">
        <v>0</v>
      </c>
      <c r="AY127" s="19">
        <v>0</v>
      </c>
      <c r="AZ127" s="19">
        <v>83.318159999999992</v>
      </c>
      <c r="BA127" s="19"/>
      <c r="BB127" s="19"/>
      <c r="BC127" s="19"/>
      <c r="BD127" s="19">
        <v>208.40327999999997</v>
      </c>
      <c r="BE127" s="19">
        <v>0</v>
      </c>
      <c r="BF127" s="19">
        <v>833.18159999999989</v>
      </c>
      <c r="BG127" s="19">
        <v>0</v>
      </c>
      <c r="BH127" s="19">
        <v>0</v>
      </c>
      <c r="BI127" s="19">
        <v>83.318159999999992</v>
      </c>
      <c r="BJ127" s="19"/>
      <c r="BK127" s="19"/>
      <c r="BL127" s="19"/>
      <c r="BM127" s="19">
        <v>208.40327999999997</v>
      </c>
      <c r="BN127" s="19">
        <v>0</v>
      </c>
      <c r="BO127" s="19">
        <v>833.18159999999989</v>
      </c>
      <c r="BP127" s="19">
        <v>0</v>
      </c>
      <c r="BQ127" s="19">
        <v>0</v>
      </c>
      <c r="BR127" s="19">
        <v>83.318159999999992</v>
      </c>
      <c r="BS127" s="19"/>
      <c r="BT127" s="19"/>
      <c r="BU127" s="19"/>
      <c r="BV127" s="19">
        <v>208.40327999999997</v>
      </c>
      <c r="BW127" s="19">
        <v>0</v>
      </c>
      <c r="BX127" s="19">
        <v>833.18159999999989</v>
      </c>
      <c r="BY127" s="19">
        <v>0</v>
      </c>
      <c r="BZ127" s="19">
        <v>0</v>
      </c>
      <c r="CA127" s="19">
        <v>83.318159999999992</v>
      </c>
      <c r="CB127" s="19"/>
      <c r="CC127" s="19"/>
      <c r="CD127" s="19"/>
      <c r="CE127" s="19">
        <v>208.40327999999997</v>
      </c>
      <c r="CF127" s="19">
        <v>0</v>
      </c>
      <c r="CG127" s="19">
        <v>833.18159999999989</v>
      </c>
      <c r="CH127" s="19">
        <v>0</v>
      </c>
      <c r="CI127" s="19">
        <v>0</v>
      </c>
      <c r="CJ127" s="19">
        <v>83.318159999999992</v>
      </c>
      <c r="CK127" s="19"/>
      <c r="CL127" s="19"/>
      <c r="CM127" s="19"/>
      <c r="CN127" s="19">
        <v>208.40327999999997</v>
      </c>
      <c r="CO127" s="19">
        <v>0</v>
      </c>
      <c r="CP127" s="19">
        <v>833.18159999999989</v>
      </c>
      <c r="CQ127" s="19"/>
      <c r="CR127" s="19"/>
      <c r="CS127" s="19"/>
      <c r="CT127" s="19"/>
      <c r="CU127" s="11">
        <f>Tabelle58971121[[#This Row],[Mindestauslastung durch]]*Tabelle58971121[[#This Row],[installierte Leistung MW durch]]</f>
        <v>308.74560000000002</v>
      </c>
      <c r="CV127" s="11">
        <f>Tabelle58971121[[#This Row],[Mindestauslastung min]]*Tabelle58971121[[#This Row],[installierte Leistung MW min]]</f>
        <v>305.04809999999998</v>
      </c>
      <c r="CW127" s="11">
        <f>Tabelle58971121[[#This Row],[Mindestauslastung max]]*Tabelle58971121[[#This Row],[installierte Leistung MW max]]</f>
        <v>312.44310000000002</v>
      </c>
      <c r="CX127" s="9">
        <v>1.4999999999999999E-2</v>
      </c>
      <c r="CY127" s="9">
        <v>1.4999999999999999E-2</v>
      </c>
      <c r="CZ127" s="9">
        <v>1.4999999999999999E-2</v>
      </c>
      <c r="DA127" s="9"/>
      <c r="DB127" s="9">
        <v>1.2874999999999999E-2</v>
      </c>
      <c r="DC127" s="9">
        <v>3.0000000000000001E-3</v>
      </c>
      <c r="DD127" s="9">
        <v>1.9E-2</v>
      </c>
      <c r="DE127" s="9">
        <v>1.2874999999999999E-2</v>
      </c>
      <c r="DF127" s="9">
        <v>3.0000000000000001E-3</v>
      </c>
      <c r="DG127" s="9">
        <v>1.9E-2</v>
      </c>
      <c r="DH127" s="9">
        <v>1.2874999999999999E-2</v>
      </c>
      <c r="DI127" s="9">
        <v>3.0000000000000001E-3</v>
      </c>
      <c r="DJ127" s="9">
        <v>1.9E-2</v>
      </c>
      <c r="DK127" s="9">
        <v>1.2874999999999999E-2</v>
      </c>
      <c r="DL127" s="9">
        <v>3.0000000000000001E-3</v>
      </c>
      <c r="DM127" s="9">
        <v>1.9E-2</v>
      </c>
      <c r="DN127" s="9">
        <v>1.2874999999999999E-2</v>
      </c>
      <c r="DO127" s="9">
        <v>3.0000000000000001E-3</v>
      </c>
      <c r="DP127" s="9">
        <v>1.9E-2</v>
      </c>
      <c r="DQ127" s="9">
        <v>1.2874999999999999E-2</v>
      </c>
      <c r="DR127" s="9">
        <v>3.0000000000000001E-3</v>
      </c>
      <c r="DS127" s="9">
        <v>1.9E-2</v>
      </c>
      <c r="DT127" s="9">
        <v>1.2874999999999999E-2</v>
      </c>
      <c r="DU127" s="9">
        <v>3.0000000000000001E-3</v>
      </c>
      <c r="DV127" s="9">
        <v>1.9E-2</v>
      </c>
      <c r="DW127" s="9">
        <v>1.2874999999999999E-2</v>
      </c>
      <c r="DX127" s="9">
        <v>3.0000000000000001E-3</v>
      </c>
      <c r="DY127" s="9">
        <v>1.9E-2</v>
      </c>
      <c r="DZ127" s="9">
        <v>1.2874999999999999E-2</v>
      </c>
      <c r="EA127" s="9">
        <v>3.0000000000000001E-3</v>
      </c>
      <c r="EB127" s="9">
        <v>1.9E-2</v>
      </c>
      <c r="EC127" s="9"/>
      <c r="ED127" s="9"/>
      <c r="EE127" s="9"/>
      <c r="EF127" s="46">
        <f>Tabelle58971121[[#This Row],[Durchschnittsauslastung min]]*Tabelle58971121[[#This Row],[installierte Leistung MW min]]</f>
        <v>0</v>
      </c>
      <c r="EG127" s="46">
        <f>Tabelle58971121[[#This Row],[Durchschnittsauslastung durch]]*Tabelle58971121[[#This Row],[installierte Leistung MW durch]]</f>
        <v>0</v>
      </c>
      <c r="EH127" s="46">
        <f>Tabelle58971121[[#This Row],[Durchschnittsauslastung max]]*Tabelle58971121[[#This Row],[installierte Leistung MW max]]</f>
        <v>0</v>
      </c>
      <c r="EI127" s="83">
        <f>Tabelle58971121[[#This Row],[Maximalauslastung durch]]*Tabelle58971121[[#This Row],[installierte Leistung MW min]]</f>
        <v>467.74042000000003</v>
      </c>
      <c r="EJ127" s="46">
        <f>Tabelle58971121[[#This Row],[Maximalauslastung durch]]*Tabelle58971121[[#This Row],[installierte Leistung MW durch]]</f>
        <v>473.40992</v>
      </c>
      <c r="EK127" s="19">
        <f>Tabelle58971121[[#This Row],[Maximalauslastung max]]*Tabelle58971121[[#This Row],[installierte Leistung MW durch]]</f>
        <v>885.07071999999994</v>
      </c>
      <c r="EL127" s="9">
        <v>2.3E-2</v>
      </c>
      <c r="EM127" s="9">
        <v>2.9999999999999979E-3</v>
      </c>
      <c r="EN127" s="9">
        <v>4.2999999999999997E-2</v>
      </c>
      <c r="EO127" s="1">
        <v>20583.04</v>
      </c>
      <c r="EP127" s="1">
        <v>20336.54</v>
      </c>
      <c r="EQ127" s="1">
        <v>20829.54</v>
      </c>
      <c r="ER127" s="19"/>
      <c r="ES127" s="19"/>
      <c r="EX127" s="1">
        <v>1.75</v>
      </c>
      <c r="EY127" s="1">
        <v>1.1499999999999999</v>
      </c>
      <c r="EZ127" s="1">
        <v>2.35</v>
      </c>
      <c r="FD127" s="1">
        <v>1.75</v>
      </c>
      <c r="FE127" s="1">
        <v>0.5</v>
      </c>
      <c r="FF127" s="1">
        <v>3</v>
      </c>
      <c r="FG127" s="1">
        <v>3.5</v>
      </c>
      <c r="FH127" s="1">
        <v>2.2999999999999998</v>
      </c>
      <c r="FI127" s="1">
        <v>4.7</v>
      </c>
      <c r="FJ127" s="1">
        <v>3.5</v>
      </c>
      <c r="FK127" s="1">
        <v>3.5</v>
      </c>
      <c r="FL127" s="1">
        <v>3.5</v>
      </c>
      <c r="FP127" s="1" t="s">
        <v>1084</v>
      </c>
      <c r="FQ127" s="1" t="s">
        <v>1084</v>
      </c>
      <c r="FR127" s="1" t="s">
        <v>1084</v>
      </c>
      <c r="FS127" s="11"/>
      <c r="FT127" s="11"/>
      <c r="FU127" s="11"/>
      <c r="FV127" s="1">
        <v>160</v>
      </c>
      <c r="FW127" s="1">
        <v>144</v>
      </c>
      <c r="FX127" s="1">
        <v>176</v>
      </c>
      <c r="FY127" s="1">
        <v>92.50411764705882</v>
      </c>
      <c r="FZ127" s="19">
        <v>83.243529411764712</v>
      </c>
      <c r="GA127" s="19">
        <v>101.76470588235293</v>
      </c>
      <c r="GB127" s="19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>
        <v>753.05882352941171</v>
      </c>
      <c r="GO127" s="8">
        <v>745.52823529411762</v>
      </c>
      <c r="GP127" s="8">
        <v>760.5894117647058</v>
      </c>
      <c r="GS127" s="1">
        <v>67</v>
      </c>
      <c r="GT127" s="1">
        <v>67</v>
      </c>
      <c r="GU127" s="1">
        <v>67</v>
      </c>
      <c r="GV127" s="13" t="s">
        <v>806</v>
      </c>
      <c r="GW127" s="13" t="s">
        <v>806</v>
      </c>
      <c r="GX127" s="13" t="s">
        <v>806</v>
      </c>
      <c r="GY127" s="13"/>
      <c r="GZ127" s="13" t="s">
        <v>806</v>
      </c>
      <c r="HA127" s="13" t="s">
        <v>806</v>
      </c>
      <c r="HB127" s="13" t="s">
        <v>806</v>
      </c>
      <c r="HC127" s="13" t="s">
        <v>806</v>
      </c>
      <c r="HD127" s="13" t="s">
        <v>806</v>
      </c>
      <c r="HE127" s="13" t="s">
        <v>806</v>
      </c>
      <c r="HF127" s="13" t="s">
        <v>806</v>
      </c>
      <c r="HI127" s="13" t="s">
        <v>806</v>
      </c>
      <c r="HJ127" s="13" t="s">
        <v>806</v>
      </c>
      <c r="HL127" s="13" t="s">
        <v>806</v>
      </c>
    </row>
    <row r="128" spans="1:220" ht="12.75" customHeight="1" x14ac:dyDescent="0.25">
      <c r="A128" s="1" t="s">
        <v>130</v>
      </c>
      <c r="B128" s="1" t="s">
        <v>749</v>
      </c>
      <c r="E128" s="1" t="s">
        <v>139</v>
      </c>
      <c r="F128" s="1">
        <v>2</v>
      </c>
      <c r="G128" s="1">
        <v>2045</v>
      </c>
      <c r="H128" s="1">
        <v>0</v>
      </c>
      <c r="I128" s="1">
        <v>0</v>
      </c>
      <c r="J128" s="1">
        <v>1</v>
      </c>
      <c r="K128" s="19"/>
      <c r="L128" s="19"/>
      <c r="M128" s="19"/>
      <c r="N128" s="19"/>
      <c r="O128" s="19"/>
      <c r="P128" s="19"/>
      <c r="Q128" s="19">
        <v>0</v>
      </c>
      <c r="R128" s="19">
        <v>0</v>
      </c>
      <c r="S128" s="19">
        <v>77.57208</v>
      </c>
      <c r="T128" s="19"/>
      <c r="U128" s="19"/>
      <c r="V128" s="19"/>
      <c r="W128" s="19">
        <v>194.03064000000001</v>
      </c>
      <c r="X128" s="19">
        <v>0</v>
      </c>
      <c r="Y128" s="19">
        <v>775.72080000000005</v>
      </c>
      <c r="Z128" s="19">
        <v>0</v>
      </c>
      <c r="AA128" s="19">
        <v>0</v>
      </c>
      <c r="AB128" s="19">
        <v>77.57208</v>
      </c>
      <c r="AC128" s="19"/>
      <c r="AD128" s="19"/>
      <c r="AE128" s="19"/>
      <c r="AF128" s="19">
        <v>194.03064000000001</v>
      </c>
      <c r="AG128" s="19">
        <v>0</v>
      </c>
      <c r="AH128" s="19">
        <v>775.72080000000005</v>
      </c>
      <c r="AI128" s="19">
        <v>0</v>
      </c>
      <c r="AJ128" s="19">
        <v>0</v>
      </c>
      <c r="AK128" s="19">
        <v>77.57208</v>
      </c>
      <c r="AL128" s="19">
        <v>194.03064000000001</v>
      </c>
      <c r="AM128" s="19">
        <v>0</v>
      </c>
      <c r="AN128" s="19">
        <v>775.72080000000005</v>
      </c>
      <c r="AO128" s="19">
        <v>0</v>
      </c>
      <c r="AP128" s="19">
        <v>0</v>
      </c>
      <c r="AQ128" s="19">
        <v>77.57208</v>
      </c>
      <c r="AR128" s="19"/>
      <c r="AS128" s="19"/>
      <c r="AT128" s="19"/>
      <c r="AU128" s="19">
        <v>194.03064000000001</v>
      </c>
      <c r="AV128" s="19">
        <v>0</v>
      </c>
      <c r="AW128" s="19">
        <v>775.72080000000005</v>
      </c>
      <c r="AX128" s="19">
        <v>0</v>
      </c>
      <c r="AY128" s="19">
        <v>0</v>
      </c>
      <c r="AZ128" s="19">
        <v>77.57208</v>
      </c>
      <c r="BA128" s="19"/>
      <c r="BB128" s="19"/>
      <c r="BC128" s="19"/>
      <c r="BD128" s="19">
        <v>194.03064000000001</v>
      </c>
      <c r="BE128" s="19">
        <v>0</v>
      </c>
      <c r="BF128" s="19">
        <v>775.72080000000005</v>
      </c>
      <c r="BG128" s="19">
        <v>0</v>
      </c>
      <c r="BH128" s="19">
        <v>0</v>
      </c>
      <c r="BI128" s="19">
        <v>77.57208</v>
      </c>
      <c r="BJ128" s="19"/>
      <c r="BK128" s="19"/>
      <c r="BL128" s="19"/>
      <c r="BM128" s="19">
        <v>194.03064000000001</v>
      </c>
      <c r="BN128" s="19">
        <v>0</v>
      </c>
      <c r="BO128" s="19">
        <v>775.72080000000005</v>
      </c>
      <c r="BP128" s="19">
        <v>0</v>
      </c>
      <c r="BQ128" s="19">
        <v>0</v>
      </c>
      <c r="BR128" s="19">
        <v>77.57208</v>
      </c>
      <c r="BS128" s="19"/>
      <c r="BT128" s="19"/>
      <c r="BU128" s="19"/>
      <c r="BV128" s="19">
        <v>194.03064000000001</v>
      </c>
      <c r="BW128" s="19">
        <v>0</v>
      </c>
      <c r="BX128" s="19">
        <v>775.72080000000005</v>
      </c>
      <c r="BY128" s="19">
        <v>0</v>
      </c>
      <c r="BZ128" s="19">
        <v>0</v>
      </c>
      <c r="CA128" s="19">
        <v>77.57208</v>
      </c>
      <c r="CB128" s="19"/>
      <c r="CC128" s="19"/>
      <c r="CD128" s="19"/>
      <c r="CE128" s="19">
        <v>194.03064000000001</v>
      </c>
      <c r="CF128" s="19">
        <v>0</v>
      </c>
      <c r="CG128" s="19">
        <v>775.72080000000005</v>
      </c>
      <c r="CH128" s="19">
        <v>0</v>
      </c>
      <c r="CI128" s="19">
        <v>0</v>
      </c>
      <c r="CJ128" s="19">
        <v>77.57208</v>
      </c>
      <c r="CK128" s="19"/>
      <c r="CL128" s="19"/>
      <c r="CM128" s="19"/>
      <c r="CN128" s="19">
        <v>194.03064000000001</v>
      </c>
      <c r="CO128" s="19">
        <v>0</v>
      </c>
      <c r="CP128" s="19">
        <v>775.72080000000005</v>
      </c>
      <c r="CQ128" s="19"/>
      <c r="CR128" s="19"/>
      <c r="CS128" s="19"/>
      <c r="CT128" s="19"/>
      <c r="CU128" s="11">
        <f>Tabelle58971121[[#This Row],[Mindestauslastung durch]]*Tabelle58971121[[#This Row],[installierte Leistung MW durch]]</f>
        <v>287.45279999999997</v>
      </c>
      <c r="CV128" s="11">
        <f>Tabelle58971121[[#This Row],[Mindestauslastung min]]*Tabelle58971121[[#This Row],[installierte Leistung MW min]]</f>
        <v>284.01029999999997</v>
      </c>
      <c r="CW128" s="11">
        <f>Tabelle58971121[[#This Row],[Mindestauslastung max]]*Tabelle58971121[[#This Row],[installierte Leistung MW max]]</f>
        <v>290.89530000000002</v>
      </c>
      <c r="CX128" s="9">
        <v>1.4999999999999999E-2</v>
      </c>
      <c r="CY128" s="9">
        <v>1.4999999999999999E-2</v>
      </c>
      <c r="CZ128" s="9">
        <v>1.4999999999999999E-2</v>
      </c>
      <c r="DA128" s="9"/>
      <c r="DB128" s="9">
        <v>1.2874999999999999E-2</v>
      </c>
      <c r="DC128" s="9">
        <v>3.0000000000000001E-3</v>
      </c>
      <c r="DD128" s="9">
        <v>1.9E-2</v>
      </c>
      <c r="DE128" s="9">
        <v>1.2874999999999999E-2</v>
      </c>
      <c r="DF128" s="9">
        <v>3.0000000000000001E-3</v>
      </c>
      <c r="DG128" s="9">
        <v>1.9E-2</v>
      </c>
      <c r="DH128" s="9">
        <v>1.2874999999999999E-2</v>
      </c>
      <c r="DI128" s="9">
        <v>3.0000000000000001E-3</v>
      </c>
      <c r="DJ128" s="9">
        <v>1.9E-2</v>
      </c>
      <c r="DK128" s="9">
        <v>1.2874999999999999E-2</v>
      </c>
      <c r="DL128" s="9">
        <v>3.0000000000000001E-3</v>
      </c>
      <c r="DM128" s="9">
        <v>1.9E-2</v>
      </c>
      <c r="DN128" s="9">
        <v>1.2874999999999999E-2</v>
      </c>
      <c r="DO128" s="9">
        <v>3.0000000000000001E-3</v>
      </c>
      <c r="DP128" s="9">
        <v>1.9E-2</v>
      </c>
      <c r="DQ128" s="9">
        <v>1.2874999999999999E-2</v>
      </c>
      <c r="DR128" s="9">
        <v>3.0000000000000001E-3</v>
      </c>
      <c r="DS128" s="9">
        <v>1.9E-2</v>
      </c>
      <c r="DT128" s="9">
        <v>1.2874999999999999E-2</v>
      </c>
      <c r="DU128" s="9">
        <v>3.0000000000000001E-3</v>
      </c>
      <c r="DV128" s="9">
        <v>1.9E-2</v>
      </c>
      <c r="DW128" s="9">
        <v>1.2874999999999999E-2</v>
      </c>
      <c r="DX128" s="9">
        <v>3.0000000000000001E-3</v>
      </c>
      <c r="DY128" s="9">
        <v>1.9E-2</v>
      </c>
      <c r="DZ128" s="9">
        <v>1.2874999999999999E-2</v>
      </c>
      <c r="EA128" s="9">
        <v>3.0000000000000001E-3</v>
      </c>
      <c r="EB128" s="9">
        <v>1.9E-2</v>
      </c>
      <c r="EC128" s="9"/>
      <c r="ED128" s="9"/>
      <c r="EE128" s="9"/>
      <c r="EF128" s="46">
        <f>Tabelle58971121[[#This Row],[Durchschnittsauslastung min]]*Tabelle58971121[[#This Row],[installierte Leistung MW min]]</f>
        <v>0</v>
      </c>
      <c r="EG128" s="46">
        <f>Tabelle58971121[[#This Row],[Durchschnittsauslastung durch]]*Tabelle58971121[[#This Row],[installierte Leistung MW durch]]</f>
        <v>0</v>
      </c>
      <c r="EH128" s="46">
        <f>Tabelle58971121[[#This Row],[Durchschnittsauslastung max]]*Tabelle58971121[[#This Row],[installierte Leistung MW max]]</f>
        <v>0</v>
      </c>
      <c r="EI128" s="83">
        <f>Tabelle58971121[[#This Row],[Maximalauslastung durch]]*Tabelle58971121[[#This Row],[installierte Leistung MW min]]</f>
        <v>435.48246</v>
      </c>
      <c r="EJ128" s="46">
        <f>Tabelle58971121[[#This Row],[Maximalauslastung durch]]*Tabelle58971121[[#This Row],[installierte Leistung MW durch]]</f>
        <v>440.76096000000001</v>
      </c>
      <c r="EK128" s="19">
        <f>Tabelle58971121[[#This Row],[Maximalauslastung max]]*Tabelle58971121[[#This Row],[installierte Leistung MW durch]]</f>
        <v>824.03135999999995</v>
      </c>
      <c r="EL128" s="9">
        <v>2.3E-2</v>
      </c>
      <c r="EM128" s="9">
        <v>2.9999999999999979E-3</v>
      </c>
      <c r="EN128" s="9">
        <v>4.2999999999999997E-2</v>
      </c>
      <c r="EO128" s="1">
        <v>19163.52</v>
      </c>
      <c r="EP128" s="1">
        <v>18934.02</v>
      </c>
      <c r="EQ128" s="1">
        <v>19393.02</v>
      </c>
      <c r="ER128" s="19"/>
      <c r="ES128" s="19"/>
      <c r="EX128" s="1">
        <v>1.75</v>
      </c>
      <c r="EY128" s="1">
        <v>1.1499999999999999</v>
      </c>
      <c r="EZ128" s="1">
        <v>2.35</v>
      </c>
      <c r="FD128" s="1">
        <v>1.75</v>
      </c>
      <c r="FE128" s="1">
        <v>0.5</v>
      </c>
      <c r="FF128" s="1">
        <v>3</v>
      </c>
      <c r="FG128" s="1">
        <v>3.5</v>
      </c>
      <c r="FH128" s="1">
        <v>2.2999999999999998</v>
      </c>
      <c r="FI128" s="1">
        <v>4.7</v>
      </c>
      <c r="FJ128" s="1">
        <v>3.5</v>
      </c>
      <c r="FK128" s="1">
        <v>3.5</v>
      </c>
      <c r="FL128" s="1">
        <v>3.5</v>
      </c>
      <c r="FP128" s="1" t="s">
        <v>1084</v>
      </c>
      <c r="FQ128" s="1" t="s">
        <v>1084</v>
      </c>
      <c r="FR128" s="1" t="s">
        <v>1084</v>
      </c>
      <c r="FS128" s="11"/>
      <c r="FT128" s="11"/>
      <c r="FU128" s="11"/>
      <c r="FV128" s="1">
        <v>160</v>
      </c>
      <c r="FW128" s="1">
        <v>144</v>
      </c>
      <c r="FX128" s="1">
        <v>176</v>
      </c>
      <c r="FY128" s="1">
        <v>92.50411764705882</v>
      </c>
      <c r="FZ128" s="19">
        <v>83.243529411764712</v>
      </c>
      <c r="GA128" s="19">
        <v>101.76470588235293</v>
      </c>
      <c r="GB128" s="19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>
        <v>753.05882352941171</v>
      </c>
      <c r="GO128" s="8">
        <v>745.52823529411762</v>
      </c>
      <c r="GP128" s="8">
        <v>760.5894117647058</v>
      </c>
      <c r="GS128" s="1">
        <v>67</v>
      </c>
      <c r="GT128" s="1">
        <v>67</v>
      </c>
      <c r="GU128" s="1">
        <v>67</v>
      </c>
      <c r="GV128" s="13" t="s">
        <v>806</v>
      </c>
      <c r="GW128" s="13" t="s">
        <v>806</v>
      </c>
      <c r="GX128" s="13" t="s">
        <v>806</v>
      </c>
      <c r="GY128" s="13"/>
      <c r="GZ128" s="13" t="s">
        <v>806</v>
      </c>
      <c r="HA128" s="13" t="s">
        <v>806</v>
      </c>
      <c r="HB128" s="13" t="s">
        <v>806</v>
      </c>
      <c r="HC128" s="13" t="s">
        <v>806</v>
      </c>
      <c r="HD128" s="13" t="s">
        <v>806</v>
      </c>
      <c r="HE128" s="13" t="s">
        <v>806</v>
      </c>
      <c r="HF128" s="13" t="s">
        <v>806</v>
      </c>
      <c r="HI128" s="13" t="s">
        <v>806</v>
      </c>
      <c r="HJ128" s="13" t="s">
        <v>806</v>
      </c>
      <c r="HL128" s="13" t="s">
        <v>806</v>
      </c>
    </row>
    <row r="129" spans="1:220" ht="12.75" customHeight="1" x14ac:dyDescent="0.25">
      <c r="A129" s="1" t="s">
        <v>130</v>
      </c>
      <c r="B129" s="1" t="s">
        <v>749</v>
      </c>
      <c r="E129" s="1" t="s">
        <v>139</v>
      </c>
      <c r="F129" s="1">
        <v>2</v>
      </c>
      <c r="G129" s="1">
        <v>2050</v>
      </c>
      <c r="H129" s="1">
        <v>0</v>
      </c>
      <c r="I129" s="1">
        <v>0</v>
      </c>
      <c r="J129" s="1">
        <v>1</v>
      </c>
      <c r="K129" s="19"/>
      <c r="L129" s="19"/>
      <c r="M129" s="19"/>
      <c r="N129" s="19"/>
      <c r="O129" s="19"/>
      <c r="P129" s="19"/>
      <c r="Q129" s="19">
        <v>0</v>
      </c>
      <c r="R129" s="19">
        <v>0</v>
      </c>
      <c r="S129" s="19">
        <v>70.389479999999992</v>
      </c>
      <c r="T129" s="19"/>
      <c r="U129" s="19"/>
      <c r="V129" s="19"/>
      <c r="W129" s="19">
        <v>176.06483999999998</v>
      </c>
      <c r="X129" s="19">
        <v>0</v>
      </c>
      <c r="Y129" s="19">
        <v>703.89480000000003</v>
      </c>
      <c r="Z129" s="19">
        <v>0</v>
      </c>
      <c r="AA129" s="19">
        <v>0</v>
      </c>
      <c r="AB129" s="19">
        <v>70.389479999999992</v>
      </c>
      <c r="AC129" s="19"/>
      <c r="AD129" s="19"/>
      <c r="AE129" s="19"/>
      <c r="AF129" s="19">
        <v>176.06483999999998</v>
      </c>
      <c r="AG129" s="19">
        <v>0</v>
      </c>
      <c r="AH129" s="19">
        <v>703.89480000000003</v>
      </c>
      <c r="AI129" s="19">
        <v>0</v>
      </c>
      <c r="AJ129" s="19">
        <v>0</v>
      </c>
      <c r="AK129" s="19">
        <v>70.389479999999992</v>
      </c>
      <c r="AL129" s="19">
        <v>176.06483999999998</v>
      </c>
      <c r="AM129" s="19">
        <v>0</v>
      </c>
      <c r="AN129" s="19">
        <v>703.89480000000003</v>
      </c>
      <c r="AO129" s="19">
        <v>0</v>
      </c>
      <c r="AP129" s="19">
        <v>0</v>
      </c>
      <c r="AQ129" s="19">
        <v>70.389479999999992</v>
      </c>
      <c r="AR129" s="19"/>
      <c r="AS129" s="19"/>
      <c r="AT129" s="19"/>
      <c r="AU129" s="19">
        <v>176.06483999999998</v>
      </c>
      <c r="AV129" s="19">
        <v>0</v>
      </c>
      <c r="AW129" s="19">
        <v>703.89480000000003</v>
      </c>
      <c r="AX129" s="19">
        <v>0</v>
      </c>
      <c r="AY129" s="19">
        <v>0</v>
      </c>
      <c r="AZ129" s="19">
        <v>70.389479999999992</v>
      </c>
      <c r="BA129" s="19"/>
      <c r="BB129" s="19"/>
      <c r="BC129" s="19"/>
      <c r="BD129" s="19">
        <v>176.06483999999998</v>
      </c>
      <c r="BE129" s="19">
        <v>0</v>
      </c>
      <c r="BF129" s="19">
        <v>703.89480000000003</v>
      </c>
      <c r="BG129" s="19">
        <v>0</v>
      </c>
      <c r="BH129" s="19">
        <v>0</v>
      </c>
      <c r="BI129" s="19">
        <v>70.389479999999992</v>
      </c>
      <c r="BJ129" s="19"/>
      <c r="BK129" s="19"/>
      <c r="BL129" s="19"/>
      <c r="BM129" s="19">
        <v>176.06483999999998</v>
      </c>
      <c r="BN129" s="19">
        <v>0</v>
      </c>
      <c r="BO129" s="19">
        <v>703.89480000000003</v>
      </c>
      <c r="BP129" s="19">
        <v>0</v>
      </c>
      <c r="BQ129" s="19">
        <v>0</v>
      </c>
      <c r="BR129" s="19">
        <v>70.389479999999992</v>
      </c>
      <c r="BS129" s="19"/>
      <c r="BT129" s="19"/>
      <c r="BU129" s="19"/>
      <c r="BV129" s="19">
        <v>176.06483999999998</v>
      </c>
      <c r="BW129" s="19">
        <v>0</v>
      </c>
      <c r="BX129" s="19">
        <v>703.89480000000003</v>
      </c>
      <c r="BY129" s="19">
        <v>0</v>
      </c>
      <c r="BZ129" s="19">
        <v>0</v>
      </c>
      <c r="CA129" s="19">
        <v>70.389479999999992</v>
      </c>
      <c r="CB129" s="19"/>
      <c r="CC129" s="19"/>
      <c r="CD129" s="19"/>
      <c r="CE129" s="19">
        <v>176.06483999999998</v>
      </c>
      <c r="CF129" s="19">
        <v>0</v>
      </c>
      <c r="CG129" s="19">
        <v>703.89480000000003</v>
      </c>
      <c r="CH129" s="19">
        <v>0</v>
      </c>
      <c r="CI129" s="19">
        <v>0</v>
      </c>
      <c r="CJ129" s="19">
        <v>70.389479999999992</v>
      </c>
      <c r="CK129" s="19"/>
      <c r="CL129" s="19"/>
      <c r="CM129" s="19"/>
      <c r="CN129" s="19">
        <v>176.06483999999998</v>
      </c>
      <c r="CO129" s="19">
        <v>0</v>
      </c>
      <c r="CP129" s="19">
        <v>703.89480000000003</v>
      </c>
      <c r="CQ129" s="19"/>
      <c r="CR129" s="19"/>
      <c r="CS129" s="19"/>
      <c r="CT129" s="19"/>
      <c r="CU129" s="11">
        <f>Tabelle58971121[[#This Row],[Mindestauslastung durch]]*Tabelle58971121[[#This Row],[installierte Leistung MW durch]]</f>
        <v>260.83679999999998</v>
      </c>
      <c r="CV129" s="11">
        <f>Tabelle58971121[[#This Row],[Mindestauslastung min]]*Tabelle58971121[[#This Row],[installierte Leistung MW min]]</f>
        <v>257.71304999999995</v>
      </c>
      <c r="CW129" s="11">
        <f>Tabelle58971121[[#This Row],[Mindestauslastung max]]*Tabelle58971121[[#This Row],[installierte Leistung MW max]]</f>
        <v>263.96054999999996</v>
      </c>
      <c r="CX129" s="9">
        <v>1.4999999999999999E-2</v>
      </c>
      <c r="CY129" s="9">
        <v>1.4999999999999999E-2</v>
      </c>
      <c r="CZ129" s="9">
        <v>1.4999999999999999E-2</v>
      </c>
      <c r="DA129" s="9"/>
      <c r="DB129" s="9">
        <v>1.2874999999999999E-2</v>
      </c>
      <c r="DC129" s="9">
        <v>3.0000000000000001E-3</v>
      </c>
      <c r="DD129" s="9">
        <v>1.9E-2</v>
      </c>
      <c r="DE129" s="9">
        <v>1.2874999999999999E-2</v>
      </c>
      <c r="DF129" s="9">
        <v>3.0000000000000001E-3</v>
      </c>
      <c r="DG129" s="9">
        <v>1.9E-2</v>
      </c>
      <c r="DH129" s="9">
        <v>1.2874999999999999E-2</v>
      </c>
      <c r="DI129" s="9">
        <v>3.0000000000000001E-3</v>
      </c>
      <c r="DJ129" s="9">
        <v>1.9E-2</v>
      </c>
      <c r="DK129" s="9">
        <v>1.2874999999999999E-2</v>
      </c>
      <c r="DL129" s="9">
        <v>3.0000000000000001E-3</v>
      </c>
      <c r="DM129" s="9">
        <v>1.9E-2</v>
      </c>
      <c r="DN129" s="9">
        <v>1.2874999999999999E-2</v>
      </c>
      <c r="DO129" s="9">
        <v>3.0000000000000001E-3</v>
      </c>
      <c r="DP129" s="9">
        <v>1.9E-2</v>
      </c>
      <c r="DQ129" s="9">
        <v>1.2874999999999999E-2</v>
      </c>
      <c r="DR129" s="9">
        <v>3.0000000000000001E-3</v>
      </c>
      <c r="DS129" s="9">
        <v>1.9E-2</v>
      </c>
      <c r="DT129" s="9">
        <v>1.2874999999999999E-2</v>
      </c>
      <c r="DU129" s="9">
        <v>3.0000000000000001E-3</v>
      </c>
      <c r="DV129" s="9">
        <v>1.9E-2</v>
      </c>
      <c r="DW129" s="9">
        <v>1.2874999999999999E-2</v>
      </c>
      <c r="DX129" s="9">
        <v>3.0000000000000001E-3</v>
      </c>
      <c r="DY129" s="9">
        <v>1.9E-2</v>
      </c>
      <c r="DZ129" s="9">
        <v>1.2874999999999999E-2</v>
      </c>
      <c r="EA129" s="9">
        <v>3.0000000000000001E-3</v>
      </c>
      <c r="EB129" s="9">
        <v>1.9E-2</v>
      </c>
      <c r="EC129" s="9"/>
      <c r="ED129" s="9"/>
      <c r="EE129" s="9"/>
      <c r="EF129" s="46">
        <f>Tabelle58971121[[#This Row],[Durchschnittsauslastung min]]*Tabelle58971121[[#This Row],[installierte Leistung MW min]]</f>
        <v>0</v>
      </c>
      <c r="EG129" s="46">
        <f>Tabelle58971121[[#This Row],[Durchschnittsauslastung durch]]*Tabelle58971121[[#This Row],[installierte Leistung MW durch]]</f>
        <v>0</v>
      </c>
      <c r="EH129" s="46">
        <f>Tabelle58971121[[#This Row],[Durchschnittsauslastung max]]*Tabelle58971121[[#This Row],[installierte Leistung MW max]]</f>
        <v>0</v>
      </c>
      <c r="EI129" s="83">
        <f>Tabelle58971121[[#This Row],[Maximalauslastung durch]]*Tabelle58971121[[#This Row],[installierte Leistung MW min]]</f>
        <v>395.16000999999994</v>
      </c>
      <c r="EJ129" s="46">
        <f>Tabelle58971121[[#This Row],[Maximalauslastung durch]]*Tabelle58971121[[#This Row],[installierte Leistung MW durch]]</f>
        <v>399.94975999999997</v>
      </c>
      <c r="EK129" s="19">
        <f>Tabelle58971121[[#This Row],[Maximalauslastung max]]*Tabelle58971121[[#This Row],[installierte Leistung MW durch]]</f>
        <v>747.73215999999991</v>
      </c>
      <c r="EL129" s="9">
        <v>2.3E-2</v>
      </c>
      <c r="EM129" s="9">
        <v>2.9999999999999979E-3</v>
      </c>
      <c r="EN129" s="9">
        <v>4.2999999999999997E-2</v>
      </c>
      <c r="EO129" s="1">
        <v>17389.12</v>
      </c>
      <c r="EP129" s="1">
        <v>17180.87</v>
      </c>
      <c r="EQ129" s="1">
        <v>17597.37</v>
      </c>
      <c r="ER129" s="19"/>
      <c r="ES129" s="19"/>
      <c r="EX129" s="1">
        <v>1.75</v>
      </c>
      <c r="EY129" s="1">
        <v>1.1499999999999999</v>
      </c>
      <c r="EZ129" s="1">
        <v>2.35</v>
      </c>
      <c r="FD129" s="1">
        <v>1.75</v>
      </c>
      <c r="FE129" s="1">
        <v>0.5</v>
      </c>
      <c r="FF129" s="1">
        <v>3</v>
      </c>
      <c r="FG129" s="1">
        <v>3.5</v>
      </c>
      <c r="FH129" s="1">
        <v>2.2999999999999998</v>
      </c>
      <c r="FI129" s="1">
        <v>4.7</v>
      </c>
      <c r="FJ129" s="1">
        <v>3.5</v>
      </c>
      <c r="FK129" s="1">
        <v>3.5</v>
      </c>
      <c r="FL129" s="1">
        <v>3.5</v>
      </c>
      <c r="FP129" s="1" t="s">
        <v>1084</v>
      </c>
      <c r="FQ129" s="1" t="s">
        <v>1084</v>
      </c>
      <c r="FR129" s="1" t="s">
        <v>1084</v>
      </c>
      <c r="FS129" s="11"/>
      <c r="FT129" s="11"/>
      <c r="FU129" s="11"/>
      <c r="FV129" s="1">
        <v>160</v>
      </c>
      <c r="FW129" s="1">
        <v>144</v>
      </c>
      <c r="FX129" s="1">
        <v>176</v>
      </c>
      <c r="FY129" s="1">
        <v>92.50411764705882</v>
      </c>
      <c r="FZ129" s="19">
        <v>83.243529411764712</v>
      </c>
      <c r="GA129" s="19">
        <v>101.76470588235293</v>
      </c>
      <c r="GB129" s="19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>
        <v>753.05882352941171</v>
      </c>
      <c r="GO129" s="8">
        <v>745.52823529411762</v>
      </c>
      <c r="GP129" s="8">
        <v>760.5894117647058</v>
      </c>
      <c r="GS129" s="1">
        <v>67</v>
      </c>
      <c r="GT129" s="1">
        <v>67</v>
      </c>
      <c r="GU129" s="1">
        <v>67</v>
      </c>
      <c r="GV129" s="13" t="s">
        <v>806</v>
      </c>
      <c r="GW129" s="13" t="s">
        <v>806</v>
      </c>
      <c r="GX129" s="13" t="s">
        <v>806</v>
      </c>
      <c r="GY129" s="13"/>
      <c r="GZ129" s="13" t="s">
        <v>806</v>
      </c>
      <c r="HA129" s="13" t="s">
        <v>806</v>
      </c>
      <c r="HB129" s="13" t="s">
        <v>806</v>
      </c>
      <c r="HC129" s="13" t="s">
        <v>806</v>
      </c>
      <c r="HD129" s="13" t="s">
        <v>806</v>
      </c>
      <c r="HE129" s="13" t="s">
        <v>806</v>
      </c>
      <c r="HF129" s="13" t="s">
        <v>806</v>
      </c>
      <c r="HI129" s="13" t="s">
        <v>806</v>
      </c>
      <c r="HJ129" s="13" t="s">
        <v>806</v>
      </c>
      <c r="HL129" s="13" t="s">
        <v>806</v>
      </c>
    </row>
    <row r="130" spans="1:220" ht="12.75" customHeight="1" x14ac:dyDescent="0.25">
      <c r="A130" s="1" t="s">
        <v>362</v>
      </c>
      <c r="B130" s="1" t="s">
        <v>650</v>
      </c>
      <c r="E130" s="1" t="s">
        <v>126</v>
      </c>
      <c r="F130" s="1">
        <v>2</v>
      </c>
      <c r="G130" s="1">
        <v>2015</v>
      </c>
      <c r="H130" s="1">
        <v>1</v>
      </c>
      <c r="I130" s="1">
        <v>0</v>
      </c>
      <c r="J130" s="1">
        <v>0</v>
      </c>
      <c r="K130" s="19"/>
      <c r="L130" s="19"/>
      <c r="M130" s="19"/>
      <c r="N130" s="19"/>
      <c r="O130" s="19"/>
      <c r="P130" s="19"/>
      <c r="Q130" s="19">
        <v>98.606000000000009</v>
      </c>
      <c r="R130" s="19">
        <v>56.387999999999998</v>
      </c>
      <c r="S130" s="19">
        <v>152.304</v>
      </c>
      <c r="T130" s="19"/>
      <c r="U130" s="19"/>
      <c r="V130" s="19"/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/>
      <c r="AD130" s="19"/>
      <c r="AE130" s="19"/>
      <c r="AF130" s="19">
        <v>50.351999999999997</v>
      </c>
      <c r="AG130" s="19">
        <v>33.527999999999999</v>
      </c>
      <c r="AH130" s="19">
        <v>69.472000000000008</v>
      </c>
      <c r="AI130" s="19">
        <v>0</v>
      </c>
      <c r="AJ130" s="19">
        <v>0</v>
      </c>
      <c r="AK130" s="19">
        <v>0</v>
      </c>
      <c r="AL130" s="19">
        <v>50.351999999999997</v>
      </c>
      <c r="AM130" s="19">
        <v>33.527999999999999</v>
      </c>
      <c r="AN130" s="19">
        <v>69.472000000000008</v>
      </c>
      <c r="AO130" s="19">
        <v>20.98</v>
      </c>
      <c r="AP130" s="19">
        <v>0</v>
      </c>
      <c r="AQ130" s="19">
        <v>53.44</v>
      </c>
      <c r="AR130" s="19"/>
      <c r="AS130" s="19"/>
      <c r="AT130" s="19"/>
      <c r="AU130" s="19">
        <v>29.372</v>
      </c>
      <c r="AV130" s="19">
        <v>3.048</v>
      </c>
      <c r="AW130" s="19">
        <v>69.472000000000008</v>
      </c>
      <c r="AX130" s="19">
        <v>0</v>
      </c>
      <c r="AY130" s="19">
        <v>0</v>
      </c>
      <c r="AZ130" s="19">
        <v>0</v>
      </c>
      <c r="BA130" s="19"/>
      <c r="BB130" s="19"/>
      <c r="BC130" s="19"/>
      <c r="BD130" s="19">
        <v>50.351999999999997</v>
      </c>
      <c r="BE130" s="19">
        <v>33.527999999999999</v>
      </c>
      <c r="BF130" s="19">
        <v>69.472000000000008</v>
      </c>
      <c r="BG130" s="19">
        <v>0</v>
      </c>
      <c r="BH130" s="19">
        <v>0</v>
      </c>
      <c r="BI130" s="19">
        <v>0</v>
      </c>
      <c r="BJ130" s="19"/>
      <c r="BK130" s="19"/>
      <c r="BL130" s="19"/>
      <c r="BM130" s="19">
        <v>50.351999999999997</v>
      </c>
      <c r="BN130" s="19">
        <v>33.527999999999999</v>
      </c>
      <c r="BO130" s="19">
        <v>69.472000000000008</v>
      </c>
      <c r="BP130" s="19">
        <v>0</v>
      </c>
      <c r="BQ130" s="19">
        <v>0</v>
      </c>
      <c r="BR130" s="19">
        <v>0</v>
      </c>
      <c r="BS130" s="19"/>
      <c r="BT130" s="19"/>
      <c r="BU130" s="19"/>
      <c r="BV130" s="19">
        <v>50.351999999999997</v>
      </c>
      <c r="BW130" s="19">
        <v>33.527999999999999</v>
      </c>
      <c r="BX130" s="19">
        <v>69.472000000000008</v>
      </c>
      <c r="BY130" s="19">
        <v>0</v>
      </c>
      <c r="BZ130" s="19">
        <v>0</v>
      </c>
      <c r="CA130" s="19">
        <v>0</v>
      </c>
      <c r="CB130" s="19"/>
      <c r="CC130" s="19"/>
      <c r="CD130" s="19"/>
      <c r="CE130" s="19">
        <v>50.351999999999997</v>
      </c>
      <c r="CF130" s="19">
        <v>33.527999999999999</v>
      </c>
      <c r="CG130" s="19">
        <v>69.472000000000008</v>
      </c>
      <c r="CH130" s="19">
        <v>0</v>
      </c>
      <c r="CI130" s="19">
        <v>0</v>
      </c>
      <c r="CJ130" s="19">
        <v>0</v>
      </c>
      <c r="CK130" s="19"/>
      <c r="CL130" s="19"/>
      <c r="CM130" s="19"/>
      <c r="CN130" s="19">
        <v>50.351999999999997</v>
      </c>
      <c r="CO130" s="19">
        <v>33.527999999999999</v>
      </c>
      <c r="CP130" s="19">
        <v>69.472000000000008</v>
      </c>
      <c r="CQ130" s="19"/>
      <c r="CR130" s="19"/>
      <c r="CS130" s="19"/>
      <c r="CT130" s="19"/>
      <c r="CU130" s="11">
        <f>Tabelle58971121[[#This Row],[Mindestauslastung durch]]*Tabelle58971121[[#This Row],[installierte Leistung MW durch]]</f>
        <v>0</v>
      </c>
      <c r="CV130" s="11">
        <f>Tabelle58971121[[#This Row],[Mindestauslastung min]]*Tabelle58971121[[#This Row],[installierte Leistung MW min]]</f>
        <v>0</v>
      </c>
      <c r="CW130" s="11">
        <f>Tabelle58971121[[#This Row],[Mindestauslastung max]]*Tabelle58971121[[#This Row],[installierte Leistung MW max]]</f>
        <v>0</v>
      </c>
      <c r="CX130" s="9">
        <v>0</v>
      </c>
      <c r="CY130" s="9">
        <v>0</v>
      </c>
      <c r="CZ130" s="9">
        <v>0</v>
      </c>
      <c r="DA130" s="9"/>
      <c r="DB130" s="9">
        <v>0.47</v>
      </c>
      <c r="DC130" s="9">
        <v>0.37</v>
      </c>
      <c r="DD130" s="9">
        <v>0.56999999999999995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0</v>
      </c>
      <c r="DK130" s="9">
        <v>0.1</v>
      </c>
      <c r="DL130" s="9">
        <v>0</v>
      </c>
      <c r="DM130" s="9">
        <v>0.2</v>
      </c>
      <c r="DN130" s="9">
        <v>0</v>
      </c>
      <c r="DO130" s="9">
        <v>0</v>
      </c>
      <c r="DP130" s="9">
        <v>0</v>
      </c>
      <c r="DQ130" s="9">
        <v>0</v>
      </c>
      <c r="DR130" s="9">
        <v>0</v>
      </c>
      <c r="DS130" s="9">
        <v>0</v>
      </c>
      <c r="DT130" s="9">
        <v>0</v>
      </c>
      <c r="DU130" s="9">
        <v>0</v>
      </c>
      <c r="DV130" s="9">
        <v>0</v>
      </c>
      <c r="DW130" s="9">
        <v>0</v>
      </c>
      <c r="DX130" s="9">
        <v>0</v>
      </c>
      <c r="DY130" s="9">
        <v>0</v>
      </c>
      <c r="DZ130" s="9">
        <v>0</v>
      </c>
      <c r="EA130" s="9">
        <v>0</v>
      </c>
      <c r="EB130" s="9">
        <v>0</v>
      </c>
      <c r="EC130" s="9"/>
      <c r="ED130" s="9"/>
      <c r="EE130" s="9"/>
      <c r="EF130" s="46">
        <f>Tabelle58971121[[#This Row],[Durchschnittsauslastung min]]*Tabelle58971121[[#This Row],[installierte Leistung MW min]]</f>
        <v>0</v>
      </c>
      <c r="EG130" s="46">
        <f>Tabelle58971121[[#This Row],[Durchschnittsauslastung durch]]*Tabelle58971121[[#This Row],[installierte Leistung MW durch]]</f>
        <v>0</v>
      </c>
      <c r="EH130" s="46">
        <f>Tabelle58971121[[#This Row],[Durchschnittsauslastung max]]*Tabelle58971121[[#This Row],[installierte Leistung MW max]]</f>
        <v>0</v>
      </c>
      <c r="EI130" s="83">
        <f>Tabelle58971121[[#This Row],[Maximalauslastung durch]]*Tabelle58971121[[#This Row],[installierte Leistung MW min]]</f>
        <v>182.88</v>
      </c>
      <c r="EJ130" s="46">
        <f>Tabelle58971121[[#This Row],[Maximalauslastung durch]]*Tabelle58971121[[#This Row],[installierte Leistung MW durch]]</f>
        <v>251.76</v>
      </c>
      <c r="EK130" s="19">
        <f>Tabelle58971121[[#This Row],[Maximalauslastung max]]*Tabelle58971121[[#This Row],[installierte Leistung MW durch]]</f>
        <v>272.74</v>
      </c>
      <c r="EL130" s="9">
        <v>0.24</v>
      </c>
      <c r="EM130" s="9">
        <v>0.22</v>
      </c>
      <c r="EN130" s="9">
        <v>0.26</v>
      </c>
      <c r="EO130" s="1">
        <v>1049</v>
      </c>
      <c r="EP130" s="1">
        <v>762</v>
      </c>
      <c r="EQ130" s="1">
        <v>1336</v>
      </c>
      <c r="ER130" s="19"/>
      <c r="ES130" s="19"/>
      <c r="FP130" s="1">
        <v>365</v>
      </c>
      <c r="FQ130" s="1">
        <v>292</v>
      </c>
      <c r="FR130" s="1">
        <v>438</v>
      </c>
      <c r="FS130" s="11"/>
      <c r="FT130" s="11"/>
      <c r="FU130" s="11"/>
      <c r="FV130" s="1">
        <v>365</v>
      </c>
      <c r="FW130" s="1">
        <v>292</v>
      </c>
      <c r="FX130" s="1">
        <v>438</v>
      </c>
      <c r="FZ130" s="19"/>
      <c r="GA130" s="19"/>
      <c r="GB130" s="19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S130" s="1">
        <v>67</v>
      </c>
      <c r="GT130" s="1">
        <v>67</v>
      </c>
      <c r="GU130" s="1">
        <v>67</v>
      </c>
      <c r="GV130" s="13" t="s">
        <v>806</v>
      </c>
      <c r="GW130" s="13" t="s">
        <v>806</v>
      </c>
      <c r="GX130" s="13" t="s">
        <v>806</v>
      </c>
      <c r="GY130" s="13"/>
      <c r="GZ130" s="13" t="s">
        <v>806</v>
      </c>
      <c r="HA130" s="13" t="s">
        <v>806</v>
      </c>
      <c r="HB130" s="13" t="s">
        <v>806</v>
      </c>
      <c r="HC130" s="13" t="s">
        <v>806</v>
      </c>
      <c r="HD130" s="13" t="s">
        <v>806</v>
      </c>
      <c r="HE130" s="13" t="s">
        <v>806</v>
      </c>
      <c r="HF130" s="13" t="s">
        <v>806</v>
      </c>
      <c r="HI130" s="13" t="s">
        <v>806</v>
      </c>
      <c r="HJ130" s="13" t="s">
        <v>806</v>
      </c>
      <c r="HL130" s="13" t="s">
        <v>806</v>
      </c>
    </row>
    <row r="131" spans="1:220" ht="12.75" customHeight="1" x14ac:dyDescent="0.25">
      <c r="A131" s="1" t="s">
        <v>362</v>
      </c>
      <c r="B131" s="1" t="s">
        <v>650</v>
      </c>
      <c r="E131" s="1" t="s">
        <v>126</v>
      </c>
      <c r="F131" s="1">
        <v>2</v>
      </c>
      <c r="G131" s="1">
        <v>2020</v>
      </c>
      <c r="H131" s="1">
        <v>1</v>
      </c>
      <c r="I131" s="1">
        <v>0</v>
      </c>
      <c r="J131" s="1">
        <v>0</v>
      </c>
      <c r="K131" s="19"/>
      <c r="L131" s="19"/>
      <c r="M131" s="19"/>
      <c r="N131" s="19"/>
      <c r="O131" s="19"/>
      <c r="P131" s="19"/>
      <c r="Q131" s="19">
        <v>100.57812000000001</v>
      </c>
      <c r="R131" s="19">
        <v>57.51576</v>
      </c>
      <c r="S131" s="19">
        <v>155.35007999999999</v>
      </c>
      <c r="T131" s="19"/>
      <c r="U131" s="19"/>
      <c r="V131" s="19"/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/>
      <c r="AD131" s="19"/>
      <c r="AE131" s="19"/>
      <c r="AF131" s="19">
        <v>51.35904</v>
      </c>
      <c r="AG131" s="19">
        <v>34.198560000000001</v>
      </c>
      <c r="AH131" s="19">
        <v>70.861440000000016</v>
      </c>
      <c r="AI131" s="19">
        <v>0</v>
      </c>
      <c r="AJ131" s="19">
        <v>0</v>
      </c>
      <c r="AK131" s="19">
        <v>0</v>
      </c>
      <c r="AL131" s="19">
        <v>51.35904</v>
      </c>
      <c r="AM131" s="19">
        <v>34.198560000000001</v>
      </c>
      <c r="AN131" s="19">
        <v>70.861440000000016</v>
      </c>
      <c r="AO131" s="19">
        <v>21.3996</v>
      </c>
      <c r="AP131" s="19">
        <v>0</v>
      </c>
      <c r="AQ131" s="19">
        <v>54.508800000000001</v>
      </c>
      <c r="AR131" s="19"/>
      <c r="AS131" s="19"/>
      <c r="AT131" s="19"/>
      <c r="AU131" s="19">
        <v>29.959440000000001</v>
      </c>
      <c r="AV131" s="19">
        <v>3.1089600000000002</v>
      </c>
      <c r="AW131" s="19">
        <v>70.861440000000016</v>
      </c>
      <c r="AX131" s="19">
        <v>0</v>
      </c>
      <c r="AY131" s="19">
        <v>0</v>
      </c>
      <c r="AZ131" s="19">
        <v>0</v>
      </c>
      <c r="BA131" s="19"/>
      <c r="BB131" s="19"/>
      <c r="BC131" s="19"/>
      <c r="BD131" s="19">
        <v>51.35904</v>
      </c>
      <c r="BE131" s="19">
        <v>34.198560000000001</v>
      </c>
      <c r="BF131" s="19">
        <v>70.861440000000016</v>
      </c>
      <c r="BG131" s="19">
        <v>0</v>
      </c>
      <c r="BH131" s="19">
        <v>0</v>
      </c>
      <c r="BI131" s="19">
        <v>0</v>
      </c>
      <c r="BJ131" s="19"/>
      <c r="BK131" s="19"/>
      <c r="BL131" s="19"/>
      <c r="BM131" s="19">
        <v>51.35904</v>
      </c>
      <c r="BN131" s="19">
        <v>34.198560000000001</v>
      </c>
      <c r="BO131" s="19">
        <v>70.861440000000016</v>
      </c>
      <c r="BP131" s="19">
        <v>0</v>
      </c>
      <c r="BQ131" s="19">
        <v>0</v>
      </c>
      <c r="BR131" s="19">
        <v>0</v>
      </c>
      <c r="BS131" s="19"/>
      <c r="BT131" s="19"/>
      <c r="BU131" s="19"/>
      <c r="BV131" s="19">
        <v>51.35904</v>
      </c>
      <c r="BW131" s="19">
        <v>34.198560000000001</v>
      </c>
      <c r="BX131" s="19">
        <v>70.861440000000016</v>
      </c>
      <c r="BY131" s="19">
        <v>0</v>
      </c>
      <c r="BZ131" s="19">
        <v>0</v>
      </c>
      <c r="CA131" s="19">
        <v>0</v>
      </c>
      <c r="CB131" s="19"/>
      <c r="CC131" s="19"/>
      <c r="CD131" s="19"/>
      <c r="CE131" s="19">
        <v>51.35904</v>
      </c>
      <c r="CF131" s="19">
        <v>34.198560000000001</v>
      </c>
      <c r="CG131" s="19">
        <v>70.861440000000016</v>
      </c>
      <c r="CH131" s="19">
        <v>0</v>
      </c>
      <c r="CI131" s="19">
        <v>0</v>
      </c>
      <c r="CJ131" s="19">
        <v>0</v>
      </c>
      <c r="CK131" s="19"/>
      <c r="CL131" s="19"/>
      <c r="CM131" s="19"/>
      <c r="CN131" s="19">
        <v>51.35904</v>
      </c>
      <c r="CO131" s="19">
        <v>34.198560000000001</v>
      </c>
      <c r="CP131" s="19">
        <v>70.861440000000016</v>
      </c>
      <c r="CQ131" s="19"/>
      <c r="CR131" s="19"/>
      <c r="CS131" s="19"/>
      <c r="CT131" s="19"/>
      <c r="CU131" s="11">
        <f>Tabelle58971121[[#This Row],[Mindestauslastung durch]]*Tabelle58971121[[#This Row],[installierte Leistung MW durch]]</f>
        <v>0</v>
      </c>
      <c r="CV131" s="11">
        <f>Tabelle58971121[[#This Row],[Mindestauslastung min]]*Tabelle58971121[[#This Row],[installierte Leistung MW min]]</f>
        <v>0</v>
      </c>
      <c r="CW131" s="11">
        <f>Tabelle58971121[[#This Row],[Mindestauslastung max]]*Tabelle58971121[[#This Row],[installierte Leistung MW max]]</f>
        <v>0</v>
      </c>
      <c r="CX131" s="9">
        <v>0</v>
      </c>
      <c r="CY131" s="9">
        <v>0</v>
      </c>
      <c r="CZ131" s="9">
        <v>0</v>
      </c>
      <c r="DA131" s="9"/>
      <c r="DB131" s="9">
        <v>0.47</v>
      </c>
      <c r="DC131" s="9">
        <v>0.37</v>
      </c>
      <c r="DD131" s="9">
        <v>0.56999999999999995</v>
      </c>
      <c r="DE131" s="9">
        <v>0</v>
      </c>
      <c r="DF131" s="9">
        <v>0</v>
      </c>
      <c r="DG131" s="9">
        <v>0</v>
      </c>
      <c r="DH131" s="9">
        <v>0</v>
      </c>
      <c r="DI131" s="9">
        <v>0</v>
      </c>
      <c r="DJ131" s="9">
        <v>0</v>
      </c>
      <c r="DK131" s="9">
        <v>0.1</v>
      </c>
      <c r="DL131" s="9">
        <v>0</v>
      </c>
      <c r="DM131" s="9">
        <v>0.2</v>
      </c>
      <c r="DN131" s="9">
        <v>0</v>
      </c>
      <c r="DO131" s="9">
        <v>0</v>
      </c>
      <c r="DP131" s="9">
        <v>0</v>
      </c>
      <c r="DQ131" s="9">
        <v>0</v>
      </c>
      <c r="DR131" s="9">
        <v>0</v>
      </c>
      <c r="DS131" s="9">
        <v>0</v>
      </c>
      <c r="DT131" s="9">
        <v>0</v>
      </c>
      <c r="DU131" s="9">
        <v>0</v>
      </c>
      <c r="DV131" s="9">
        <v>0</v>
      </c>
      <c r="DW131" s="9">
        <v>0</v>
      </c>
      <c r="DX131" s="9">
        <v>0</v>
      </c>
      <c r="DY131" s="9">
        <v>0</v>
      </c>
      <c r="DZ131" s="9">
        <v>0</v>
      </c>
      <c r="EA131" s="9">
        <v>0</v>
      </c>
      <c r="EB131" s="9">
        <v>0</v>
      </c>
      <c r="EC131" s="9"/>
      <c r="ED131" s="9"/>
      <c r="EE131" s="9"/>
      <c r="EF131" s="46">
        <f>Tabelle58971121[[#This Row],[Durchschnittsauslastung min]]*Tabelle58971121[[#This Row],[installierte Leistung MW min]]</f>
        <v>0</v>
      </c>
      <c r="EG131" s="46">
        <f>Tabelle58971121[[#This Row],[Durchschnittsauslastung durch]]*Tabelle58971121[[#This Row],[installierte Leistung MW durch]]</f>
        <v>0</v>
      </c>
      <c r="EH131" s="46">
        <f>Tabelle58971121[[#This Row],[Durchschnittsauslastung max]]*Tabelle58971121[[#This Row],[installierte Leistung MW max]]</f>
        <v>0</v>
      </c>
      <c r="EI131" s="83">
        <f>Tabelle58971121[[#This Row],[Maximalauslastung durch]]*Tabelle58971121[[#This Row],[installierte Leistung MW min]]</f>
        <v>188.00880000000001</v>
      </c>
      <c r="EJ131" s="46">
        <f>Tabelle58971121[[#This Row],[Maximalauslastung durch]]*Tabelle58971121[[#This Row],[installierte Leistung MW durch]]</f>
        <v>258.77519999999998</v>
      </c>
      <c r="EK131" s="19">
        <f>Tabelle58971121[[#This Row],[Maximalauslastung max]]*Tabelle58971121[[#This Row],[installierte Leistung MW durch]]</f>
        <v>280.33980000000003</v>
      </c>
      <c r="EL131" s="9">
        <v>0.24</v>
      </c>
      <c r="EM131" s="9">
        <v>0.22</v>
      </c>
      <c r="EN131" s="9">
        <v>0.26</v>
      </c>
      <c r="EO131" s="1">
        <v>1078.23</v>
      </c>
      <c r="EP131" s="1">
        <v>783.37</v>
      </c>
      <c r="EQ131" s="1">
        <v>1373.09</v>
      </c>
      <c r="ER131" s="19"/>
      <c r="ES131" s="19"/>
      <c r="FP131" s="1">
        <v>365</v>
      </c>
      <c r="FQ131" s="1">
        <v>292</v>
      </c>
      <c r="FR131" s="1">
        <v>438</v>
      </c>
      <c r="FS131" s="11"/>
      <c r="FT131" s="11"/>
      <c r="FU131" s="11"/>
      <c r="FV131" s="1">
        <v>365</v>
      </c>
      <c r="FW131" s="1">
        <v>292</v>
      </c>
      <c r="FX131" s="1">
        <v>438</v>
      </c>
      <c r="FZ131" s="19"/>
      <c r="GA131" s="19"/>
      <c r="GB131" s="19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S131" s="1">
        <v>67</v>
      </c>
      <c r="GT131" s="1">
        <v>67</v>
      </c>
      <c r="GU131" s="1">
        <v>67</v>
      </c>
      <c r="GV131" s="13" t="s">
        <v>806</v>
      </c>
      <c r="GW131" s="13" t="s">
        <v>806</v>
      </c>
      <c r="GX131" s="13" t="s">
        <v>806</v>
      </c>
      <c r="GY131" s="13"/>
      <c r="GZ131" s="13" t="s">
        <v>806</v>
      </c>
      <c r="HA131" s="13" t="s">
        <v>806</v>
      </c>
      <c r="HB131" s="13" t="s">
        <v>806</v>
      </c>
      <c r="HC131" s="13" t="s">
        <v>806</v>
      </c>
      <c r="HD131" s="13" t="s">
        <v>806</v>
      </c>
      <c r="HE131" s="13" t="s">
        <v>806</v>
      </c>
      <c r="HF131" s="13" t="s">
        <v>806</v>
      </c>
      <c r="HI131" s="13" t="s">
        <v>806</v>
      </c>
      <c r="HJ131" s="13" t="s">
        <v>806</v>
      </c>
      <c r="HL131" s="13" t="s">
        <v>806</v>
      </c>
    </row>
    <row r="132" spans="1:220" ht="12.75" customHeight="1" x14ac:dyDescent="0.25">
      <c r="A132" s="1" t="s">
        <v>362</v>
      </c>
      <c r="B132" s="1" t="s">
        <v>650</v>
      </c>
      <c r="E132" s="1" t="s">
        <v>126</v>
      </c>
      <c r="F132" s="1">
        <v>2</v>
      </c>
      <c r="G132" s="1">
        <v>2025</v>
      </c>
      <c r="H132" s="1">
        <v>1</v>
      </c>
      <c r="I132" s="1">
        <v>0</v>
      </c>
      <c r="J132" s="1">
        <v>0</v>
      </c>
      <c r="K132" s="19"/>
      <c r="L132" s="19"/>
      <c r="M132" s="19"/>
      <c r="N132" s="19"/>
      <c r="O132" s="19"/>
      <c r="P132" s="19"/>
      <c r="Q132" s="19">
        <v>102.35302800000001</v>
      </c>
      <c r="R132" s="19">
        <v>58.530743999999999</v>
      </c>
      <c r="S132" s="19">
        <v>158.09155200000001</v>
      </c>
      <c r="T132" s="19"/>
      <c r="U132" s="19"/>
      <c r="V132" s="19"/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/>
      <c r="AD132" s="19"/>
      <c r="AE132" s="19"/>
      <c r="AF132" s="19">
        <v>52.265375999999996</v>
      </c>
      <c r="AG132" s="19">
        <v>34.802064000000001</v>
      </c>
      <c r="AH132" s="19">
        <v>72.111936000000014</v>
      </c>
      <c r="AI132" s="19">
        <v>0</v>
      </c>
      <c r="AJ132" s="19">
        <v>0</v>
      </c>
      <c r="AK132" s="19">
        <v>0</v>
      </c>
      <c r="AL132" s="19">
        <v>52.265375999999996</v>
      </c>
      <c r="AM132" s="19">
        <v>34.802064000000001</v>
      </c>
      <c r="AN132" s="19">
        <v>72.111936000000014</v>
      </c>
      <c r="AO132" s="19">
        <v>21.777240000000003</v>
      </c>
      <c r="AP132" s="19">
        <v>0</v>
      </c>
      <c r="AQ132" s="19">
        <v>55.47072</v>
      </c>
      <c r="AR132" s="19"/>
      <c r="AS132" s="19"/>
      <c r="AT132" s="19"/>
      <c r="AU132" s="19">
        <v>30.488136000000001</v>
      </c>
      <c r="AV132" s="19">
        <v>3.163824</v>
      </c>
      <c r="AW132" s="19">
        <v>72.111936000000014</v>
      </c>
      <c r="AX132" s="19">
        <v>0</v>
      </c>
      <c r="AY132" s="19">
        <v>0</v>
      </c>
      <c r="AZ132" s="19">
        <v>0</v>
      </c>
      <c r="BA132" s="19"/>
      <c r="BB132" s="19"/>
      <c r="BC132" s="19"/>
      <c r="BD132" s="19">
        <v>52.265375999999996</v>
      </c>
      <c r="BE132" s="19">
        <v>34.802064000000001</v>
      </c>
      <c r="BF132" s="19">
        <v>72.111936000000014</v>
      </c>
      <c r="BG132" s="19">
        <v>0</v>
      </c>
      <c r="BH132" s="19">
        <v>0</v>
      </c>
      <c r="BI132" s="19">
        <v>0</v>
      </c>
      <c r="BJ132" s="19"/>
      <c r="BK132" s="19"/>
      <c r="BL132" s="19"/>
      <c r="BM132" s="19">
        <v>52.265375999999996</v>
      </c>
      <c r="BN132" s="19">
        <v>34.802064000000001</v>
      </c>
      <c r="BO132" s="19">
        <v>72.111936000000014</v>
      </c>
      <c r="BP132" s="19">
        <v>0</v>
      </c>
      <c r="BQ132" s="19">
        <v>0</v>
      </c>
      <c r="BR132" s="19">
        <v>0</v>
      </c>
      <c r="BS132" s="19"/>
      <c r="BT132" s="19"/>
      <c r="BU132" s="19"/>
      <c r="BV132" s="19">
        <v>52.265375999999996</v>
      </c>
      <c r="BW132" s="19">
        <v>34.802064000000001</v>
      </c>
      <c r="BX132" s="19">
        <v>72.111936000000014</v>
      </c>
      <c r="BY132" s="19">
        <v>0</v>
      </c>
      <c r="BZ132" s="19">
        <v>0</v>
      </c>
      <c r="CA132" s="19">
        <v>0</v>
      </c>
      <c r="CB132" s="19"/>
      <c r="CC132" s="19"/>
      <c r="CD132" s="19"/>
      <c r="CE132" s="19">
        <v>52.265375999999996</v>
      </c>
      <c r="CF132" s="19">
        <v>34.802064000000001</v>
      </c>
      <c r="CG132" s="19">
        <v>72.111936000000014</v>
      </c>
      <c r="CH132" s="19">
        <v>0</v>
      </c>
      <c r="CI132" s="19">
        <v>0</v>
      </c>
      <c r="CJ132" s="19">
        <v>0</v>
      </c>
      <c r="CK132" s="19"/>
      <c r="CL132" s="19"/>
      <c r="CM132" s="19"/>
      <c r="CN132" s="19">
        <v>52.265375999999996</v>
      </c>
      <c r="CO132" s="19">
        <v>34.802064000000001</v>
      </c>
      <c r="CP132" s="19">
        <v>72.111936000000014</v>
      </c>
      <c r="CQ132" s="19"/>
      <c r="CR132" s="19"/>
      <c r="CS132" s="19"/>
      <c r="CT132" s="19"/>
      <c r="CU132" s="11">
        <f>Tabelle58971121[[#This Row],[Mindestauslastung durch]]*Tabelle58971121[[#This Row],[installierte Leistung MW durch]]</f>
        <v>0</v>
      </c>
      <c r="CV132" s="11">
        <f>Tabelle58971121[[#This Row],[Mindestauslastung min]]*Tabelle58971121[[#This Row],[installierte Leistung MW min]]</f>
        <v>0</v>
      </c>
      <c r="CW132" s="11">
        <f>Tabelle58971121[[#This Row],[Mindestauslastung max]]*Tabelle58971121[[#This Row],[installierte Leistung MW max]]</f>
        <v>0</v>
      </c>
      <c r="CX132" s="9">
        <v>0</v>
      </c>
      <c r="CY132" s="9">
        <v>0</v>
      </c>
      <c r="CZ132" s="9">
        <v>0</v>
      </c>
      <c r="DA132" s="9"/>
      <c r="DB132" s="9">
        <v>0.47</v>
      </c>
      <c r="DC132" s="9">
        <v>0.37</v>
      </c>
      <c r="DD132" s="9">
        <v>0.56999999999999995</v>
      </c>
      <c r="DE132" s="9">
        <v>0</v>
      </c>
      <c r="DF132" s="9">
        <v>0</v>
      </c>
      <c r="DG132" s="9">
        <v>0</v>
      </c>
      <c r="DH132" s="9">
        <v>0</v>
      </c>
      <c r="DI132" s="9">
        <v>0</v>
      </c>
      <c r="DJ132" s="9">
        <v>0</v>
      </c>
      <c r="DK132" s="9">
        <v>0.1</v>
      </c>
      <c r="DL132" s="9">
        <v>0</v>
      </c>
      <c r="DM132" s="9">
        <v>0.2</v>
      </c>
      <c r="DN132" s="9">
        <v>0</v>
      </c>
      <c r="DO132" s="9">
        <v>0</v>
      </c>
      <c r="DP132" s="9">
        <v>0</v>
      </c>
      <c r="DQ132" s="9">
        <v>0</v>
      </c>
      <c r="DR132" s="9">
        <v>0</v>
      </c>
      <c r="DS132" s="9">
        <v>0</v>
      </c>
      <c r="DT132" s="9">
        <v>0</v>
      </c>
      <c r="DU132" s="9">
        <v>0</v>
      </c>
      <c r="DV132" s="9">
        <v>0</v>
      </c>
      <c r="DW132" s="9">
        <v>0</v>
      </c>
      <c r="DX132" s="9">
        <v>0</v>
      </c>
      <c r="DY132" s="9">
        <v>0</v>
      </c>
      <c r="DZ132" s="9">
        <v>0</v>
      </c>
      <c r="EA132" s="9">
        <v>0</v>
      </c>
      <c r="EB132" s="9">
        <v>0</v>
      </c>
      <c r="EC132" s="9"/>
      <c r="ED132" s="9"/>
      <c r="EE132" s="9"/>
      <c r="EF132" s="46">
        <f>Tabelle58971121[[#This Row],[Durchschnittsauslastung min]]*Tabelle58971121[[#This Row],[installierte Leistung MW min]]</f>
        <v>0</v>
      </c>
      <c r="EG132" s="46">
        <f>Tabelle58971121[[#This Row],[Durchschnittsauslastung durch]]*Tabelle58971121[[#This Row],[installierte Leistung MW durch]]</f>
        <v>0</v>
      </c>
      <c r="EH132" s="46">
        <f>Tabelle58971121[[#This Row],[Durchschnittsauslastung max]]*Tabelle58971121[[#This Row],[installierte Leistung MW max]]</f>
        <v>0</v>
      </c>
      <c r="EI132" s="83">
        <f>Tabelle58971121[[#This Row],[Maximalauslastung durch]]*Tabelle58971121[[#This Row],[installierte Leistung MW min]]</f>
        <v>192.4776</v>
      </c>
      <c r="EJ132" s="46">
        <f>Tabelle58971121[[#This Row],[Maximalauslastung durch]]*Tabelle58971121[[#This Row],[installierte Leistung MW durch]]</f>
        <v>264.89280000000002</v>
      </c>
      <c r="EK132" s="19">
        <f>Tabelle58971121[[#This Row],[Maximalauslastung max]]*Tabelle58971121[[#This Row],[installierte Leistung MW durch]]</f>
        <v>286.96719999999999</v>
      </c>
      <c r="EL132" s="9">
        <v>0.24</v>
      </c>
      <c r="EM132" s="9">
        <v>0.22</v>
      </c>
      <c r="EN132" s="9">
        <v>0.26</v>
      </c>
      <c r="EO132" s="1">
        <v>1103.72</v>
      </c>
      <c r="EP132" s="1">
        <v>801.99</v>
      </c>
      <c r="EQ132" s="1">
        <v>1405.45</v>
      </c>
      <c r="ER132" s="19"/>
      <c r="ES132" s="19"/>
      <c r="FP132" s="1">
        <v>365</v>
      </c>
      <c r="FQ132" s="1">
        <v>292</v>
      </c>
      <c r="FR132" s="1">
        <v>438</v>
      </c>
      <c r="FS132" s="11"/>
      <c r="FT132" s="11"/>
      <c r="FU132" s="11"/>
      <c r="FV132" s="1">
        <v>365</v>
      </c>
      <c r="FW132" s="1">
        <v>292</v>
      </c>
      <c r="FX132" s="1">
        <v>438</v>
      </c>
      <c r="FZ132" s="19"/>
      <c r="GA132" s="19"/>
      <c r="GB132" s="19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S132" s="1">
        <v>67</v>
      </c>
      <c r="GT132" s="1">
        <v>67</v>
      </c>
      <c r="GU132" s="1">
        <v>67</v>
      </c>
      <c r="GV132" s="13" t="s">
        <v>806</v>
      </c>
      <c r="GW132" s="13" t="s">
        <v>806</v>
      </c>
      <c r="GX132" s="13" t="s">
        <v>806</v>
      </c>
      <c r="GY132" s="13"/>
      <c r="GZ132" s="13" t="s">
        <v>806</v>
      </c>
      <c r="HA132" s="13" t="s">
        <v>806</v>
      </c>
      <c r="HB132" s="13" t="s">
        <v>806</v>
      </c>
      <c r="HC132" s="13" t="s">
        <v>806</v>
      </c>
      <c r="HD132" s="13" t="s">
        <v>806</v>
      </c>
      <c r="HE132" s="13" t="s">
        <v>806</v>
      </c>
      <c r="HF132" s="13" t="s">
        <v>806</v>
      </c>
      <c r="HI132" s="13" t="s">
        <v>806</v>
      </c>
      <c r="HJ132" s="13" t="s">
        <v>806</v>
      </c>
      <c r="HL132" s="13" t="s">
        <v>806</v>
      </c>
    </row>
    <row r="133" spans="1:220" ht="12.75" customHeight="1" x14ac:dyDescent="0.25">
      <c r="A133" s="1" t="s">
        <v>362</v>
      </c>
      <c r="B133" s="1" t="s">
        <v>650</v>
      </c>
      <c r="E133" s="1" t="s">
        <v>126</v>
      </c>
      <c r="F133" s="1">
        <v>2</v>
      </c>
      <c r="G133" s="1">
        <v>2030</v>
      </c>
      <c r="H133" s="1">
        <v>1</v>
      </c>
      <c r="I133" s="1">
        <v>0</v>
      </c>
      <c r="J133" s="1">
        <v>0</v>
      </c>
      <c r="K133" s="19"/>
      <c r="L133" s="19"/>
      <c r="M133" s="19"/>
      <c r="N133" s="19"/>
      <c r="O133" s="19"/>
      <c r="P133" s="19"/>
      <c r="Q133" s="19">
        <v>104.71957200000001</v>
      </c>
      <c r="R133" s="19">
        <v>59.884056000000001</v>
      </c>
      <c r="S133" s="19">
        <v>161.746848</v>
      </c>
      <c r="T133" s="19"/>
      <c r="U133" s="19"/>
      <c r="V133" s="19"/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/>
      <c r="AD133" s="19"/>
      <c r="AE133" s="19"/>
      <c r="AF133" s="19">
        <v>53.473824</v>
      </c>
      <c r="AG133" s="19">
        <v>35.606735999999998</v>
      </c>
      <c r="AH133" s="19">
        <v>73.779264000000012</v>
      </c>
      <c r="AI133" s="19">
        <v>0</v>
      </c>
      <c r="AJ133" s="19">
        <v>0</v>
      </c>
      <c r="AK133" s="19">
        <v>0</v>
      </c>
      <c r="AL133" s="19">
        <v>53.473824</v>
      </c>
      <c r="AM133" s="19">
        <v>35.606735999999998</v>
      </c>
      <c r="AN133" s="19">
        <v>73.779264000000012</v>
      </c>
      <c r="AO133" s="19">
        <v>22.280760000000001</v>
      </c>
      <c r="AP133" s="19">
        <v>0</v>
      </c>
      <c r="AQ133" s="19">
        <v>56.753280000000004</v>
      </c>
      <c r="AR133" s="19"/>
      <c r="AS133" s="19"/>
      <c r="AT133" s="19"/>
      <c r="AU133" s="19">
        <v>31.193064000000003</v>
      </c>
      <c r="AV133" s="19">
        <v>3.2369760000000003</v>
      </c>
      <c r="AW133" s="19">
        <v>73.779264000000012</v>
      </c>
      <c r="AX133" s="19">
        <v>0</v>
      </c>
      <c r="AY133" s="19">
        <v>0</v>
      </c>
      <c r="AZ133" s="19">
        <v>0</v>
      </c>
      <c r="BA133" s="19"/>
      <c r="BB133" s="19"/>
      <c r="BC133" s="19"/>
      <c r="BD133" s="19">
        <v>53.473824</v>
      </c>
      <c r="BE133" s="19">
        <v>35.606735999999998</v>
      </c>
      <c r="BF133" s="19">
        <v>73.779264000000012</v>
      </c>
      <c r="BG133" s="19">
        <v>0</v>
      </c>
      <c r="BH133" s="19">
        <v>0</v>
      </c>
      <c r="BI133" s="19">
        <v>0</v>
      </c>
      <c r="BJ133" s="19"/>
      <c r="BK133" s="19"/>
      <c r="BL133" s="19"/>
      <c r="BM133" s="19">
        <v>53.473824</v>
      </c>
      <c r="BN133" s="19">
        <v>35.606735999999998</v>
      </c>
      <c r="BO133" s="19">
        <v>73.779264000000012</v>
      </c>
      <c r="BP133" s="19">
        <v>0</v>
      </c>
      <c r="BQ133" s="19">
        <v>0</v>
      </c>
      <c r="BR133" s="19">
        <v>0</v>
      </c>
      <c r="BS133" s="19"/>
      <c r="BT133" s="19"/>
      <c r="BU133" s="19"/>
      <c r="BV133" s="19">
        <v>53.473824</v>
      </c>
      <c r="BW133" s="19">
        <v>35.606735999999998</v>
      </c>
      <c r="BX133" s="19">
        <v>73.779264000000012</v>
      </c>
      <c r="BY133" s="19">
        <v>0</v>
      </c>
      <c r="BZ133" s="19">
        <v>0</v>
      </c>
      <c r="CA133" s="19">
        <v>0</v>
      </c>
      <c r="CB133" s="19"/>
      <c r="CC133" s="19"/>
      <c r="CD133" s="19"/>
      <c r="CE133" s="19">
        <v>53.473824</v>
      </c>
      <c r="CF133" s="19">
        <v>35.606735999999998</v>
      </c>
      <c r="CG133" s="19">
        <v>73.779264000000012</v>
      </c>
      <c r="CH133" s="19">
        <v>0</v>
      </c>
      <c r="CI133" s="19">
        <v>0</v>
      </c>
      <c r="CJ133" s="19">
        <v>0</v>
      </c>
      <c r="CK133" s="19"/>
      <c r="CL133" s="19"/>
      <c r="CM133" s="19"/>
      <c r="CN133" s="19">
        <v>53.473824</v>
      </c>
      <c r="CO133" s="19">
        <v>35.606735999999998</v>
      </c>
      <c r="CP133" s="19">
        <v>73.779264000000012</v>
      </c>
      <c r="CQ133" s="19"/>
      <c r="CR133" s="19"/>
      <c r="CS133" s="19"/>
      <c r="CT133" s="19"/>
      <c r="CU133" s="11">
        <f>Tabelle58971121[[#This Row],[Mindestauslastung durch]]*Tabelle58971121[[#This Row],[installierte Leistung MW durch]]</f>
        <v>0</v>
      </c>
      <c r="CV133" s="11">
        <f>Tabelle58971121[[#This Row],[Mindestauslastung min]]*Tabelle58971121[[#This Row],[installierte Leistung MW min]]</f>
        <v>0</v>
      </c>
      <c r="CW133" s="11">
        <f>Tabelle58971121[[#This Row],[Mindestauslastung max]]*Tabelle58971121[[#This Row],[installierte Leistung MW max]]</f>
        <v>0</v>
      </c>
      <c r="CX133" s="9">
        <v>0</v>
      </c>
      <c r="CY133" s="9">
        <v>0</v>
      </c>
      <c r="CZ133" s="9">
        <v>0</v>
      </c>
      <c r="DA133" s="9"/>
      <c r="DB133" s="9">
        <v>0.47</v>
      </c>
      <c r="DC133" s="9">
        <v>0.37</v>
      </c>
      <c r="DD133" s="9">
        <v>0.56999999999999995</v>
      </c>
      <c r="DE133" s="9">
        <v>0</v>
      </c>
      <c r="DF133" s="9">
        <v>0</v>
      </c>
      <c r="DG133" s="9">
        <v>0</v>
      </c>
      <c r="DH133" s="9">
        <v>0</v>
      </c>
      <c r="DI133" s="9">
        <v>0</v>
      </c>
      <c r="DJ133" s="9">
        <v>0</v>
      </c>
      <c r="DK133" s="9">
        <v>0.1</v>
      </c>
      <c r="DL133" s="9">
        <v>0</v>
      </c>
      <c r="DM133" s="9">
        <v>0.2</v>
      </c>
      <c r="DN133" s="9">
        <v>0</v>
      </c>
      <c r="DO133" s="9">
        <v>0</v>
      </c>
      <c r="DP133" s="9">
        <v>0</v>
      </c>
      <c r="DQ133" s="9">
        <v>0</v>
      </c>
      <c r="DR133" s="9">
        <v>0</v>
      </c>
      <c r="DS133" s="9">
        <v>0</v>
      </c>
      <c r="DT133" s="9">
        <v>0</v>
      </c>
      <c r="DU133" s="9">
        <v>0</v>
      </c>
      <c r="DV133" s="9">
        <v>0</v>
      </c>
      <c r="DW133" s="9">
        <v>0</v>
      </c>
      <c r="DX133" s="9">
        <v>0</v>
      </c>
      <c r="DY133" s="9">
        <v>0</v>
      </c>
      <c r="DZ133" s="9">
        <v>0</v>
      </c>
      <c r="EA133" s="9">
        <v>0</v>
      </c>
      <c r="EB133" s="9">
        <v>0</v>
      </c>
      <c r="EC133" s="9"/>
      <c r="ED133" s="9"/>
      <c r="EE133" s="9"/>
      <c r="EF133" s="46">
        <f>Tabelle58971121[[#This Row],[Durchschnittsauslastung min]]*Tabelle58971121[[#This Row],[installierte Leistung MW min]]</f>
        <v>0</v>
      </c>
      <c r="EG133" s="46">
        <f>Tabelle58971121[[#This Row],[Durchschnittsauslastung durch]]*Tabelle58971121[[#This Row],[installierte Leistung MW durch]]</f>
        <v>0</v>
      </c>
      <c r="EH133" s="46">
        <f>Tabelle58971121[[#This Row],[Durchschnittsauslastung max]]*Tabelle58971121[[#This Row],[installierte Leistung MW max]]</f>
        <v>0</v>
      </c>
      <c r="EI133" s="83">
        <f>Tabelle58971121[[#This Row],[Maximalauslastung durch]]*Tabelle58971121[[#This Row],[installierte Leistung MW min]]</f>
        <v>198.42479999999998</v>
      </c>
      <c r="EJ133" s="46">
        <f>Tabelle58971121[[#This Row],[Maximalauslastung durch]]*Tabelle58971121[[#This Row],[installierte Leistung MW durch]]</f>
        <v>273.02639999999997</v>
      </c>
      <c r="EK133" s="19">
        <f>Tabelle58971121[[#This Row],[Maximalauslastung max]]*Tabelle58971121[[#This Row],[installierte Leistung MW durch]]</f>
        <v>295.77859999999998</v>
      </c>
      <c r="EL133" s="9">
        <v>0.24</v>
      </c>
      <c r="EM133" s="9">
        <v>0.22</v>
      </c>
      <c r="EN133" s="9">
        <v>0.26</v>
      </c>
      <c r="EO133" s="1">
        <v>1137.6099999999999</v>
      </c>
      <c r="EP133" s="1">
        <v>826.77</v>
      </c>
      <c r="EQ133" s="1">
        <v>1448.45</v>
      </c>
      <c r="ER133" s="19"/>
      <c r="ES133" s="19"/>
      <c r="FP133" s="1">
        <v>365</v>
      </c>
      <c r="FQ133" s="1">
        <v>292</v>
      </c>
      <c r="FR133" s="1">
        <v>438</v>
      </c>
      <c r="FS133" s="11"/>
      <c r="FT133" s="11"/>
      <c r="FU133" s="11"/>
      <c r="FV133" s="1">
        <v>365</v>
      </c>
      <c r="FW133" s="1">
        <v>292</v>
      </c>
      <c r="FX133" s="1">
        <v>438</v>
      </c>
      <c r="FZ133" s="19"/>
      <c r="GA133" s="19"/>
      <c r="GB133" s="19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S133" s="1">
        <v>67</v>
      </c>
      <c r="GT133" s="1">
        <v>67</v>
      </c>
      <c r="GU133" s="1">
        <v>67</v>
      </c>
      <c r="GV133" s="13" t="s">
        <v>806</v>
      </c>
      <c r="GW133" s="13" t="s">
        <v>806</v>
      </c>
      <c r="GX133" s="13" t="s">
        <v>806</v>
      </c>
      <c r="GY133" s="13"/>
      <c r="GZ133" s="13" t="s">
        <v>806</v>
      </c>
      <c r="HA133" s="13" t="s">
        <v>806</v>
      </c>
      <c r="HB133" s="13" t="s">
        <v>806</v>
      </c>
      <c r="HC133" s="13" t="s">
        <v>806</v>
      </c>
      <c r="HD133" s="13" t="s">
        <v>806</v>
      </c>
      <c r="HE133" s="13" t="s">
        <v>806</v>
      </c>
      <c r="HF133" s="13" t="s">
        <v>806</v>
      </c>
      <c r="HI133" s="13" t="s">
        <v>806</v>
      </c>
      <c r="HJ133" s="13" t="s">
        <v>806</v>
      </c>
      <c r="HL133" s="13" t="s">
        <v>806</v>
      </c>
    </row>
    <row r="134" spans="1:220" ht="12.75" customHeight="1" x14ac:dyDescent="0.25">
      <c r="A134" s="1" t="s">
        <v>362</v>
      </c>
      <c r="B134" s="1" t="s">
        <v>650</v>
      </c>
      <c r="E134" s="1" t="s">
        <v>126</v>
      </c>
      <c r="F134" s="1">
        <v>2</v>
      </c>
      <c r="G134" s="1">
        <v>2035</v>
      </c>
      <c r="H134" s="1">
        <v>1</v>
      </c>
      <c r="I134" s="1">
        <v>0</v>
      </c>
      <c r="J134" s="1">
        <v>0</v>
      </c>
      <c r="K134" s="19"/>
      <c r="L134" s="19"/>
      <c r="M134" s="19"/>
      <c r="N134" s="19"/>
      <c r="O134" s="19"/>
      <c r="P134" s="19"/>
      <c r="Q134" s="19">
        <v>107.08611600000002</v>
      </c>
      <c r="R134" s="19">
        <v>61.237368000000004</v>
      </c>
      <c r="S134" s="19">
        <v>165.40214400000002</v>
      </c>
      <c r="T134" s="19"/>
      <c r="U134" s="19"/>
      <c r="V134" s="19"/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/>
      <c r="AD134" s="19"/>
      <c r="AE134" s="19"/>
      <c r="AF134" s="19">
        <v>54.682271999999998</v>
      </c>
      <c r="AG134" s="19">
        <v>36.411408000000002</v>
      </c>
      <c r="AH134" s="19">
        <v>75.44659200000001</v>
      </c>
      <c r="AI134" s="19">
        <v>0</v>
      </c>
      <c r="AJ134" s="19">
        <v>0</v>
      </c>
      <c r="AK134" s="19">
        <v>0</v>
      </c>
      <c r="AL134" s="19">
        <v>54.682271999999998</v>
      </c>
      <c r="AM134" s="19">
        <v>36.411408000000002</v>
      </c>
      <c r="AN134" s="19">
        <v>75.44659200000001</v>
      </c>
      <c r="AO134" s="19">
        <v>22.784280000000003</v>
      </c>
      <c r="AP134" s="19">
        <v>0</v>
      </c>
      <c r="AQ134" s="19">
        <v>58.03584</v>
      </c>
      <c r="AR134" s="19"/>
      <c r="AS134" s="19"/>
      <c r="AT134" s="19"/>
      <c r="AU134" s="19">
        <v>31.897992000000002</v>
      </c>
      <c r="AV134" s="19">
        <v>3.3101280000000002</v>
      </c>
      <c r="AW134" s="19">
        <v>75.44659200000001</v>
      </c>
      <c r="AX134" s="19">
        <v>0</v>
      </c>
      <c r="AY134" s="19">
        <v>0</v>
      </c>
      <c r="AZ134" s="19">
        <v>0</v>
      </c>
      <c r="BA134" s="19"/>
      <c r="BB134" s="19"/>
      <c r="BC134" s="19"/>
      <c r="BD134" s="19">
        <v>54.682271999999998</v>
      </c>
      <c r="BE134" s="19">
        <v>36.411408000000002</v>
      </c>
      <c r="BF134" s="19">
        <v>75.44659200000001</v>
      </c>
      <c r="BG134" s="19">
        <v>0</v>
      </c>
      <c r="BH134" s="19">
        <v>0</v>
      </c>
      <c r="BI134" s="19">
        <v>0</v>
      </c>
      <c r="BJ134" s="19"/>
      <c r="BK134" s="19"/>
      <c r="BL134" s="19"/>
      <c r="BM134" s="19">
        <v>54.682271999999998</v>
      </c>
      <c r="BN134" s="19">
        <v>36.411408000000002</v>
      </c>
      <c r="BO134" s="19">
        <v>75.44659200000001</v>
      </c>
      <c r="BP134" s="19">
        <v>0</v>
      </c>
      <c r="BQ134" s="19">
        <v>0</v>
      </c>
      <c r="BR134" s="19">
        <v>0</v>
      </c>
      <c r="BS134" s="19"/>
      <c r="BT134" s="19"/>
      <c r="BU134" s="19"/>
      <c r="BV134" s="19">
        <v>54.682271999999998</v>
      </c>
      <c r="BW134" s="19">
        <v>36.411408000000002</v>
      </c>
      <c r="BX134" s="19">
        <v>75.44659200000001</v>
      </c>
      <c r="BY134" s="19">
        <v>0</v>
      </c>
      <c r="BZ134" s="19">
        <v>0</v>
      </c>
      <c r="CA134" s="19">
        <v>0</v>
      </c>
      <c r="CB134" s="19"/>
      <c r="CC134" s="19"/>
      <c r="CD134" s="19"/>
      <c r="CE134" s="19">
        <v>54.682271999999998</v>
      </c>
      <c r="CF134" s="19">
        <v>36.411408000000002</v>
      </c>
      <c r="CG134" s="19">
        <v>75.44659200000001</v>
      </c>
      <c r="CH134" s="19">
        <v>0</v>
      </c>
      <c r="CI134" s="19">
        <v>0</v>
      </c>
      <c r="CJ134" s="19">
        <v>0</v>
      </c>
      <c r="CK134" s="19"/>
      <c r="CL134" s="19"/>
      <c r="CM134" s="19"/>
      <c r="CN134" s="19">
        <v>54.682271999999998</v>
      </c>
      <c r="CO134" s="19">
        <v>36.411408000000002</v>
      </c>
      <c r="CP134" s="19">
        <v>75.44659200000001</v>
      </c>
      <c r="CQ134" s="19"/>
      <c r="CR134" s="19"/>
      <c r="CS134" s="19"/>
      <c r="CT134" s="19"/>
      <c r="CU134" s="11">
        <f>Tabelle58971121[[#This Row],[Mindestauslastung durch]]*Tabelle58971121[[#This Row],[installierte Leistung MW durch]]</f>
        <v>0</v>
      </c>
      <c r="CV134" s="11">
        <f>Tabelle58971121[[#This Row],[Mindestauslastung min]]*Tabelle58971121[[#This Row],[installierte Leistung MW min]]</f>
        <v>0</v>
      </c>
      <c r="CW134" s="11">
        <f>Tabelle58971121[[#This Row],[Mindestauslastung max]]*Tabelle58971121[[#This Row],[installierte Leistung MW max]]</f>
        <v>0</v>
      </c>
      <c r="CX134" s="9">
        <v>0</v>
      </c>
      <c r="CY134" s="9">
        <v>0</v>
      </c>
      <c r="CZ134" s="9">
        <v>0</v>
      </c>
      <c r="DA134" s="9"/>
      <c r="DB134" s="9">
        <v>0.47</v>
      </c>
      <c r="DC134" s="9">
        <v>0.37</v>
      </c>
      <c r="DD134" s="9">
        <v>0.56999999999999995</v>
      </c>
      <c r="DE134" s="9">
        <v>0</v>
      </c>
      <c r="DF134" s="9">
        <v>0</v>
      </c>
      <c r="DG134" s="9">
        <v>0</v>
      </c>
      <c r="DH134" s="9">
        <v>0</v>
      </c>
      <c r="DI134" s="9">
        <v>0</v>
      </c>
      <c r="DJ134" s="9">
        <v>0</v>
      </c>
      <c r="DK134" s="9">
        <v>0.1</v>
      </c>
      <c r="DL134" s="9">
        <v>0</v>
      </c>
      <c r="DM134" s="9">
        <v>0.2</v>
      </c>
      <c r="DN134" s="9">
        <v>0</v>
      </c>
      <c r="DO134" s="9">
        <v>0</v>
      </c>
      <c r="DP134" s="9">
        <v>0</v>
      </c>
      <c r="DQ134" s="9">
        <v>0</v>
      </c>
      <c r="DR134" s="9">
        <v>0</v>
      </c>
      <c r="DS134" s="9">
        <v>0</v>
      </c>
      <c r="DT134" s="9">
        <v>0</v>
      </c>
      <c r="DU134" s="9">
        <v>0</v>
      </c>
      <c r="DV134" s="9">
        <v>0</v>
      </c>
      <c r="DW134" s="9">
        <v>0</v>
      </c>
      <c r="DX134" s="9">
        <v>0</v>
      </c>
      <c r="DY134" s="9">
        <v>0</v>
      </c>
      <c r="DZ134" s="9">
        <v>0</v>
      </c>
      <c r="EA134" s="9">
        <v>0</v>
      </c>
      <c r="EB134" s="9">
        <v>0</v>
      </c>
      <c r="EC134" s="9"/>
      <c r="ED134" s="9"/>
      <c r="EE134" s="9"/>
      <c r="EF134" s="46">
        <f>Tabelle58971121[[#This Row],[Durchschnittsauslastung min]]*Tabelle58971121[[#This Row],[installierte Leistung MW min]]</f>
        <v>0</v>
      </c>
      <c r="EG134" s="46">
        <f>Tabelle58971121[[#This Row],[Durchschnittsauslastung durch]]*Tabelle58971121[[#This Row],[installierte Leistung MW durch]]</f>
        <v>0</v>
      </c>
      <c r="EH134" s="46">
        <f>Tabelle58971121[[#This Row],[Durchschnittsauslastung max]]*Tabelle58971121[[#This Row],[installierte Leistung MW max]]</f>
        <v>0</v>
      </c>
      <c r="EI134" s="83">
        <f>Tabelle58971121[[#This Row],[Maximalauslastung durch]]*Tabelle58971121[[#This Row],[installierte Leistung MW min]]</f>
        <v>204.2664</v>
      </c>
      <c r="EJ134" s="46">
        <f>Tabelle58971121[[#This Row],[Maximalauslastung durch]]*Tabelle58971121[[#This Row],[installierte Leistung MW durch]]</f>
        <v>281.03280000000001</v>
      </c>
      <c r="EK134" s="19">
        <f>Tabelle58971121[[#This Row],[Maximalauslastung max]]*Tabelle58971121[[#This Row],[installierte Leistung MW durch]]</f>
        <v>304.4522</v>
      </c>
      <c r="EL134" s="9">
        <v>0.24</v>
      </c>
      <c r="EM134" s="9">
        <v>0.22</v>
      </c>
      <c r="EN134" s="9">
        <v>0.26</v>
      </c>
      <c r="EO134" s="1">
        <v>1170.97</v>
      </c>
      <c r="EP134" s="1">
        <v>851.11</v>
      </c>
      <c r="EQ134" s="1">
        <v>1490.83</v>
      </c>
      <c r="ER134" s="19"/>
      <c r="ES134" s="19"/>
      <c r="FP134" s="1">
        <v>365</v>
      </c>
      <c r="FQ134" s="1">
        <v>292</v>
      </c>
      <c r="FR134" s="1">
        <v>438</v>
      </c>
      <c r="FS134" s="11"/>
      <c r="FT134" s="11"/>
      <c r="FU134" s="11"/>
      <c r="FV134" s="1">
        <v>365</v>
      </c>
      <c r="FW134" s="1">
        <v>292</v>
      </c>
      <c r="FX134" s="1">
        <v>438</v>
      </c>
      <c r="FZ134" s="19"/>
      <c r="GA134" s="19"/>
      <c r="GB134" s="19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S134" s="1">
        <v>67</v>
      </c>
      <c r="GT134" s="1">
        <v>67</v>
      </c>
      <c r="GU134" s="1">
        <v>67</v>
      </c>
      <c r="GV134" s="13" t="s">
        <v>806</v>
      </c>
      <c r="GW134" s="13" t="s">
        <v>806</v>
      </c>
      <c r="GX134" s="13" t="s">
        <v>806</v>
      </c>
      <c r="GY134" s="13"/>
      <c r="GZ134" s="13" t="s">
        <v>806</v>
      </c>
      <c r="HA134" s="13" t="s">
        <v>806</v>
      </c>
      <c r="HB134" s="13" t="s">
        <v>806</v>
      </c>
      <c r="HC134" s="13" t="s">
        <v>806</v>
      </c>
      <c r="HD134" s="13" t="s">
        <v>806</v>
      </c>
      <c r="HE134" s="13" t="s">
        <v>806</v>
      </c>
      <c r="HF134" s="13" t="s">
        <v>806</v>
      </c>
      <c r="HI134" s="13" t="s">
        <v>806</v>
      </c>
      <c r="HJ134" s="13" t="s">
        <v>806</v>
      </c>
      <c r="HL134" s="13" t="s">
        <v>806</v>
      </c>
    </row>
    <row r="135" spans="1:220" ht="12.75" customHeight="1" x14ac:dyDescent="0.25">
      <c r="A135" s="1" t="s">
        <v>362</v>
      </c>
      <c r="B135" s="1" t="s">
        <v>650</v>
      </c>
      <c r="E135" s="1" t="s">
        <v>126</v>
      </c>
      <c r="F135" s="1">
        <v>2</v>
      </c>
      <c r="G135" s="1">
        <v>2040</v>
      </c>
      <c r="H135" s="1">
        <v>1</v>
      </c>
      <c r="I135" s="1">
        <v>0</v>
      </c>
      <c r="J135" s="1">
        <v>0</v>
      </c>
      <c r="K135" s="19"/>
      <c r="L135" s="19"/>
      <c r="M135" s="19"/>
      <c r="N135" s="19"/>
      <c r="O135" s="19"/>
      <c r="P135" s="19"/>
      <c r="Q135" s="19">
        <v>109.45266000000002</v>
      </c>
      <c r="R135" s="19">
        <v>62.590680000000006</v>
      </c>
      <c r="S135" s="19">
        <v>169.05744000000001</v>
      </c>
      <c r="T135" s="19"/>
      <c r="U135" s="19"/>
      <c r="V135" s="19"/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/>
      <c r="AD135" s="19"/>
      <c r="AE135" s="19"/>
      <c r="AF135" s="19">
        <v>55.890720000000002</v>
      </c>
      <c r="AG135" s="19">
        <v>37.216080000000005</v>
      </c>
      <c r="AH135" s="19">
        <v>77.113920000000022</v>
      </c>
      <c r="AI135" s="19">
        <v>0</v>
      </c>
      <c r="AJ135" s="19">
        <v>0</v>
      </c>
      <c r="AK135" s="19">
        <v>0</v>
      </c>
      <c r="AL135" s="19">
        <v>55.890720000000002</v>
      </c>
      <c r="AM135" s="19">
        <v>37.216080000000005</v>
      </c>
      <c r="AN135" s="19">
        <v>77.113920000000022</v>
      </c>
      <c r="AO135" s="19">
        <v>23.287800000000004</v>
      </c>
      <c r="AP135" s="19">
        <v>0</v>
      </c>
      <c r="AQ135" s="19">
        <v>59.318400000000004</v>
      </c>
      <c r="AR135" s="19"/>
      <c r="AS135" s="19"/>
      <c r="AT135" s="19"/>
      <c r="AU135" s="19">
        <v>32.602920000000005</v>
      </c>
      <c r="AV135" s="19">
        <v>3.3832800000000005</v>
      </c>
      <c r="AW135" s="19">
        <v>77.113920000000022</v>
      </c>
      <c r="AX135" s="19">
        <v>0</v>
      </c>
      <c r="AY135" s="19">
        <v>0</v>
      </c>
      <c r="AZ135" s="19">
        <v>0</v>
      </c>
      <c r="BA135" s="19"/>
      <c r="BB135" s="19"/>
      <c r="BC135" s="19"/>
      <c r="BD135" s="19">
        <v>55.890720000000002</v>
      </c>
      <c r="BE135" s="19">
        <v>37.216080000000005</v>
      </c>
      <c r="BF135" s="19">
        <v>77.113920000000022</v>
      </c>
      <c r="BG135" s="19">
        <v>0</v>
      </c>
      <c r="BH135" s="19">
        <v>0</v>
      </c>
      <c r="BI135" s="19">
        <v>0</v>
      </c>
      <c r="BJ135" s="19"/>
      <c r="BK135" s="19"/>
      <c r="BL135" s="19"/>
      <c r="BM135" s="19">
        <v>55.890720000000002</v>
      </c>
      <c r="BN135" s="19">
        <v>37.216080000000005</v>
      </c>
      <c r="BO135" s="19">
        <v>77.113920000000022</v>
      </c>
      <c r="BP135" s="19">
        <v>0</v>
      </c>
      <c r="BQ135" s="19">
        <v>0</v>
      </c>
      <c r="BR135" s="19">
        <v>0</v>
      </c>
      <c r="BS135" s="19"/>
      <c r="BT135" s="19"/>
      <c r="BU135" s="19"/>
      <c r="BV135" s="19">
        <v>55.890720000000002</v>
      </c>
      <c r="BW135" s="19">
        <v>37.216080000000005</v>
      </c>
      <c r="BX135" s="19">
        <v>77.113920000000022</v>
      </c>
      <c r="BY135" s="19">
        <v>0</v>
      </c>
      <c r="BZ135" s="19">
        <v>0</v>
      </c>
      <c r="CA135" s="19">
        <v>0</v>
      </c>
      <c r="CB135" s="19"/>
      <c r="CC135" s="19"/>
      <c r="CD135" s="19"/>
      <c r="CE135" s="19">
        <v>55.890720000000002</v>
      </c>
      <c r="CF135" s="19">
        <v>37.216080000000005</v>
      </c>
      <c r="CG135" s="19">
        <v>77.113920000000022</v>
      </c>
      <c r="CH135" s="19">
        <v>0</v>
      </c>
      <c r="CI135" s="19">
        <v>0</v>
      </c>
      <c r="CJ135" s="19">
        <v>0</v>
      </c>
      <c r="CK135" s="19"/>
      <c r="CL135" s="19"/>
      <c r="CM135" s="19"/>
      <c r="CN135" s="19">
        <v>55.890720000000002</v>
      </c>
      <c r="CO135" s="19">
        <v>37.216080000000005</v>
      </c>
      <c r="CP135" s="19">
        <v>77.113920000000022</v>
      </c>
      <c r="CQ135" s="19"/>
      <c r="CR135" s="19"/>
      <c r="CS135" s="19"/>
      <c r="CT135" s="19"/>
      <c r="CU135" s="11">
        <f>Tabelle58971121[[#This Row],[Mindestauslastung durch]]*Tabelle58971121[[#This Row],[installierte Leistung MW durch]]</f>
        <v>0</v>
      </c>
      <c r="CV135" s="11">
        <f>Tabelle58971121[[#This Row],[Mindestauslastung min]]*Tabelle58971121[[#This Row],[installierte Leistung MW min]]</f>
        <v>0</v>
      </c>
      <c r="CW135" s="11">
        <f>Tabelle58971121[[#This Row],[Mindestauslastung max]]*Tabelle58971121[[#This Row],[installierte Leistung MW max]]</f>
        <v>0</v>
      </c>
      <c r="CX135" s="9">
        <v>0</v>
      </c>
      <c r="CY135" s="9">
        <v>0</v>
      </c>
      <c r="CZ135" s="9">
        <v>0</v>
      </c>
      <c r="DA135" s="9"/>
      <c r="DB135" s="9">
        <v>0.47</v>
      </c>
      <c r="DC135" s="9">
        <v>0.37</v>
      </c>
      <c r="DD135" s="9">
        <v>0.56999999999999995</v>
      </c>
      <c r="DE135" s="9">
        <v>0</v>
      </c>
      <c r="DF135" s="9">
        <v>0</v>
      </c>
      <c r="DG135" s="9">
        <v>0</v>
      </c>
      <c r="DH135" s="9">
        <v>0</v>
      </c>
      <c r="DI135" s="9">
        <v>0</v>
      </c>
      <c r="DJ135" s="9">
        <v>0</v>
      </c>
      <c r="DK135" s="9">
        <v>0.1</v>
      </c>
      <c r="DL135" s="9">
        <v>0</v>
      </c>
      <c r="DM135" s="9">
        <v>0.2</v>
      </c>
      <c r="DN135" s="9">
        <v>0</v>
      </c>
      <c r="DO135" s="9">
        <v>0</v>
      </c>
      <c r="DP135" s="9">
        <v>0</v>
      </c>
      <c r="DQ135" s="9">
        <v>0</v>
      </c>
      <c r="DR135" s="9">
        <v>0</v>
      </c>
      <c r="DS135" s="9">
        <v>0</v>
      </c>
      <c r="DT135" s="9">
        <v>0</v>
      </c>
      <c r="DU135" s="9">
        <v>0</v>
      </c>
      <c r="DV135" s="9">
        <v>0</v>
      </c>
      <c r="DW135" s="9">
        <v>0</v>
      </c>
      <c r="DX135" s="9">
        <v>0</v>
      </c>
      <c r="DY135" s="9">
        <v>0</v>
      </c>
      <c r="DZ135" s="9">
        <v>0</v>
      </c>
      <c r="EA135" s="9">
        <v>0</v>
      </c>
      <c r="EB135" s="9">
        <v>0</v>
      </c>
      <c r="EC135" s="9"/>
      <c r="ED135" s="9"/>
      <c r="EE135" s="9"/>
      <c r="EF135" s="46">
        <f>Tabelle58971121[[#This Row],[Durchschnittsauslastung min]]*Tabelle58971121[[#This Row],[installierte Leistung MW min]]</f>
        <v>0</v>
      </c>
      <c r="EG135" s="46">
        <f>Tabelle58971121[[#This Row],[Durchschnittsauslastung durch]]*Tabelle58971121[[#This Row],[installierte Leistung MW durch]]</f>
        <v>0</v>
      </c>
      <c r="EH135" s="46">
        <f>Tabelle58971121[[#This Row],[Durchschnittsauslastung max]]*Tabelle58971121[[#This Row],[installierte Leistung MW max]]</f>
        <v>0</v>
      </c>
      <c r="EI135" s="83">
        <f>Tabelle58971121[[#This Row],[Maximalauslastung durch]]*Tabelle58971121[[#This Row],[installierte Leistung MW min]]</f>
        <v>210.21359999999999</v>
      </c>
      <c r="EJ135" s="46">
        <f>Tabelle58971121[[#This Row],[Maximalauslastung durch]]*Tabelle58971121[[#This Row],[installierte Leistung MW durch]]</f>
        <v>289.16639999999995</v>
      </c>
      <c r="EK135" s="19">
        <f>Tabelle58971121[[#This Row],[Maximalauslastung max]]*Tabelle58971121[[#This Row],[installierte Leistung MW durch]]</f>
        <v>313.2636</v>
      </c>
      <c r="EL135" s="9">
        <v>0.24</v>
      </c>
      <c r="EM135" s="9">
        <v>0.22</v>
      </c>
      <c r="EN135" s="9">
        <v>0.26</v>
      </c>
      <c r="EO135" s="1">
        <v>1204.8599999999999</v>
      </c>
      <c r="EP135" s="1">
        <v>875.89</v>
      </c>
      <c r="EQ135" s="1">
        <v>1533.83</v>
      </c>
      <c r="ER135" s="19"/>
      <c r="ES135" s="19"/>
      <c r="FP135" s="1">
        <v>365</v>
      </c>
      <c r="FQ135" s="1">
        <v>292</v>
      </c>
      <c r="FR135" s="1">
        <v>438</v>
      </c>
      <c r="FS135" s="11"/>
      <c r="FT135" s="11"/>
      <c r="FU135" s="11"/>
      <c r="FV135" s="1">
        <v>365</v>
      </c>
      <c r="FW135" s="1">
        <v>292</v>
      </c>
      <c r="FX135" s="1">
        <v>438</v>
      </c>
      <c r="FZ135" s="19"/>
      <c r="GA135" s="19"/>
      <c r="GB135" s="19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S135" s="1">
        <v>67</v>
      </c>
      <c r="GT135" s="1">
        <v>67</v>
      </c>
      <c r="GU135" s="1">
        <v>67</v>
      </c>
      <c r="GV135" s="13" t="s">
        <v>806</v>
      </c>
      <c r="GW135" s="13" t="s">
        <v>806</v>
      </c>
      <c r="GX135" s="13" t="s">
        <v>806</v>
      </c>
      <c r="GY135" s="13"/>
      <c r="GZ135" s="13" t="s">
        <v>806</v>
      </c>
      <c r="HA135" s="13" t="s">
        <v>806</v>
      </c>
      <c r="HB135" s="13" t="s">
        <v>806</v>
      </c>
      <c r="HC135" s="13" t="s">
        <v>806</v>
      </c>
      <c r="HD135" s="13" t="s">
        <v>806</v>
      </c>
      <c r="HE135" s="13" t="s">
        <v>806</v>
      </c>
      <c r="HF135" s="13" t="s">
        <v>806</v>
      </c>
      <c r="HI135" s="13" t="s">
        <v>806</v>
      </c>
      <c r="HJ135" s="13" t="s">
        <v>806</v>
      </c>
      <c r="HL135" s="13" t="s">
        <v>806</v>
      </c>
    </row>
    <row r="136" spans="1:220" ht="12.75" customHeight="1" x14ac:dyDescent="0.25">
      <c r="A136" s="1" t="s">
        <v>362</v>
      </c>
      <c r="B136" s="1" t="s">
        <v>650</v>
      </c>
      <c r="E136" s="1" t="s">
        <v>126</v>
      </c>
      <c r="F136" s="1">
        <v>2</v>
      </c>
      <c r="G136" s="1">
        <v>2045</v>
      </c>
      <c r="H136" s="1">
        <v>1</v>
      </c>
      <c r="I136" s="1">
        <v>0</v>
      </c>
      <c r="J136" s="1">
        <v>0</v>
      </c>
      <c r="K136" s="19"/>
      <c r="L136" s="19"/>
      <c r="M136" s="19"/>
      <c r="N136" s="19"/>
      <c r="O136" s="19"/>
      <c r="P136" s="19"/>
      <c r="Q136" s="19">
        <v>112.213628</v>
      </c>
      <c r="R136" s="19">
        <v>64.169543999999988</v>
      </c>
      <c r="S136" s="19">
        <v>173.32195199999998</v>
      </c>
      <c r="T136" s="19"/>
      <c r="U136" s="19"/>
      <c r="V136" s="19"/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/>
      <c r="AD136" s="19"/>
      <c r="AE136" s="19"/>
      <c r="AF136" s="19">
        <v>57.300575999999992</v>
      </c>
      <c r="AG136" s="19">
        <v>38.154863999999996</v>
      </c>
      <c r="AH136" s="19">
        <v>79.059136000000009</v>
      </c>
      <c r="AI136" s="19">
        <v>0</v>
      </c>
      <c r="AJ136" s="19">
        <v>0</v>
      </c>
      <c r="AK136" s="19">
        <v>0</v>
      </c>
      <c r="AL136" s="19">
        <v>57.300575999999992</v>
      </c>
      <c r="AM136" s="19">
        <v>38.154863999999996</v>
      </c>
      <c r="AN136" s="19">
        <v>79.059136000000009</v>
      </c>
      <c r="AO136" s="19">
        <v>23.875239999999998</v>
      </c>
      <c r="AP136" s="19">
        <v>0</v>
      </c>
      <c r="AQ136" s="19">
        <v>60.814719999999994</v>
      </c>
      <c r="AR136" s="19"/>
      <c r="AS136" s="19"/>
      <c r="AT136" s="19"/>
      <c r="AU136" s="19">
        <v>33.425335999999994</v>
      </c>
      <c r="AV136" s="19">
        <v>3.4686239999999997</v>
      </c>
      <c r="AW136" s="19">
        <v>79.059136000000009</v>
      </c>
      <c r="AX136" s="19">
        <v>0</v>
      </c>
      <c r="AY136" s="19">
        <v>0</v>
      </c>
      <c r="AZ136" s="19">
        <v>0</v>
      </c>
      <c r="BA136" s="19"/>
      <c r="BB136" s="19"/>
      <c r="BC136" s="19"/>
      <c r="BD136" s="19">
        <v>57.300575999999992</v>
      </c>
      <c r="BE136" s="19">
        <v>38.154863999999996</v>
      </c>
      <c r="BF136" s="19">
        <v>79.059136000000009</v>
      </c>
      <c r="BG136" s="19">
        <v>0</v>
      </c>
      <c r="BH136" s="19">
        <v>0</v>
      </c>
      <c r="BI136" s="19">
        <v>0</v>
      </c>
      <c r="BJ136" s="19"/>
      <c r="BK136" s="19"/>
      <c r="BL136" s="19"/>
      <c r="BM136" s="19">
        <v>57.300575999999992</v>
      </c>
      <c r="BN136" s="19">
        <v>38.154863999999996</v>
      </c>
      <c r="BO136" s="19">
        <v>79.059136000000009</v>
      </c>
      <c r="BP136" s="19">
        <v>0</v>
      </c>
      <c r="BQ136" s="19">
        <v>0</v>
      </c>
      <c r="BR136" s="19">
        <v>0</v>
      </c>
      <c r="BS136" s="19"/>
      <c r="BT136" s="19"/>
      <c r="BU136" s="19"/>
      <c r="BV136" s="19">
        <v>57.300575999999992</v>
      </c>
      <c r="BW136" s="19">
        <v>38.154863999999996</v>
      </c>
      <c r="BX136" s="19">
        <v>79.059136000000009</v>
      </c>
      <c r="BY136" s="19">
        <v>0</v>
      </c>
      <c r="BZ136" s="19">
        <v>0</v>
      </c>
      <c r="CA136" s="19">
        <v>0</v>
      </c>
      <c r="CB136" s="19"/>
      <c r="CC136" s="19"/>
      <c r="CD136" s="19"/>
      <c r="CE136" s="19">
        <v>57.300575999999992</v>
      </c>
      <c r="CF136" s="19">
        <v>38.154863999999996</v>
      </c>
      <c r="CG136" s="19">
        <v>79.059136000000009</v>
      </c>
      <c r="CH136" s="19">
        <v>0</v>
      </c>
      <c r="CI136" s="19">
        <v>0</v>
      </c>
      <c r="CJ136" s="19">
        <v>0</v>
      </c>
      <c r="CK136" s="19"/>
      <c r="CL136" s="19"/>
      <c r="CM136" s="19"/>
      <c r="CN136" s="19">
        <v>57.300575999999992</v>
      </c>
      <c r="CO136" s="19">
        <v>38.154863999999996</v>
      </c>
      <c r="CP136" s="19">
        <v>79.059136000000009</v>
      </c>
      <c r="CQ136" s="19"/>
      <c r="CR136" s="19"/>
      <c r="CS136" s="19"/>
      <c r="CT136" s="19"/>
      <c r="CU136" s="11">
        <f>Tabelle58971121[[#This Row],[Mindestauslastung durch]]*Tabelle58971121[[#This Row],[installierte Leistung MW durch]]</f>
        <v>0</v>
      </c>
      <c r="CV136" s="11">
        <f>Tabelle58971121[[#This Row],[Mindestauslastung min]]*Tabelle58971121[[#This Row],[installierte Leistung MW min]]</f>
        <v>0</v>
      </c>
      <c r="CW136" s="11">
        <f>Tabelle58971121[[#This Row],[Mindestauslastung max]]*Tabelle58971121[[#This Row],[installierte Leistung MW max]]</f>
        <v>0</v>
      </c>
      <c r="CX136" s="9">
        <v>0</v>
      </c>
      <c r="CY136" s="9">
        <v>0</v>
      </c>
      <c r="CZ136" s="9">
        <v>0</v>
      </c>
      <c r="DA136" s="9"/>
      <c r="DB136" s="9">
        <v>0.47</v>
      </c>
      <c r="DC136" s="9">
        <v>0.37</v>
      </c>
      <c r="DD136" s="9">
        <v>0.56999999999999995</v>
      </c>
      <c r="DE136" s="9">
        <v>0</v>
      </c>
      <c r="DF136" s="9">
        <v>0</v>
      </c>
      <c r="DG136" s="9">
        <v>0</v>
      </c>
      <c r="DH136" s="9">
        <v>0</v>
      </c>
      <c r="DI136" s="9">
        <v>0</v>
      </c>
      <c r="DJ136" s="9">
        <v>0</v>
      </c>
      <c r="DK136" s="9">
        <v>0.1</v>
      </c>
      <c r="DL136" s="9">
        <v>0</v>
      </c>
      <c r="DM136" s="9">
        <v>0.2</v>
      </c>
      <c r="DN136" s="9">
        <v>0</v>
      </c>
      <c r="DO136" s="9">
        <v>0</v>
      </c>
      <c r="DP136" s="9">
        <v>0</v>
      </c>
      <c r="DQ136" s="9">
        <v>0</v>
      </c>
      <c r="DR136" s="9">
        <v>0</v>
      </c>
      <c r="DS136" s="9">
        <v>0</v>
      </c>
      <c r="DT136" s="9">
        <v>0</v>
      </c>
      <c r="DU136" s="9">
        <v>0</v>
      </c>
      <c r="DV136" s="9">
        <v>0</v>
      </c>
      <c r="DW136" s="9">
        <v>0</v>
      </c>
      <c r="DX136" s="9">
        <v>0</v>
      </c>
      <c r="DY136" s="9">
        <v>0</v>
      </c>
      <c r="DZ136" s="9">
        <v>0</v>
      </c>
      <c r="EA136" s="9">
        <v>0</v>
      </c>
      <c r="EB136" s="9">
        <v>0</v>
      </c>
      <c r="EC136" s="9"/>
      <c r="ED136" s="9"/>
      <c r="EE136" s="9"/>
      <c r="EF136" s="46">
        <f>Tabelle58971121[[#This Row],[Durchschnittsauslastung min]]*Tabelle58971121[[#This Row],[installierte Leistung MW min]]</f>
        <v>0</v>
      </c>
      <c r="EG136" s="46">
        <f>Tabelle58971121[[#This Row],[Durchschnittsauslastung durch]]*Tabelle58971121[[#This Row],[installierte Leistung MW durch]]</f>
        <v>0</v>
      </c>
      <c r="EH136" s="46">
        <f>Tabelle58971121[[#This Row],[Durchschnittsauslastung max]]*Tabelle58971121[[#This Row],[installierte Leistung MW max]]</f>
        <v>0</v>
      </c>
      <c r="EI136" s="83">
        <f>Tabelle58971121[[#This Row],[Maximalauslastung durch]]*Tabelle58971121[[#This Row],[installierte Leistung MW min]]</f>
        <v>217.39679999999998</v>
      </c>
      <c r="EJ136" s="46">
        <f>Tabelle58971121[[#This Row],[Maximalauslastung durch]]*Tabelle58971121[[#This Row],[installierte Leistung MW durch]]</f>
        <v>298.9896</v>
      </c>
      <c r="EK136" s="19">
        <f>Tabelle58971121[[#This Row],[Maximalauslastung max]]*Tabelle58971121[[#This Row],[installierte Leistung MW durch]]</f>
        <v>323.90539999999999</v>
      </c>
      <c r="EL136" s="9">
        <v>0.24</v>
      </c>
      <c r="EM136" s="9">
        <v>0.22</v>
      </c>
      <c r="EN136" s="9">
        <v>0.26</v>
      </c>
      <c r="EO136" s="1">
        <v>1245.79</v>
      </c>
      <c r="EP136" s="1">
        <v>905.81999999999994</v>
      </c>
      <c r="EQ136" s="1">
        <v>1585.76</v>
      </c>
      <c r="ER136" s="19"/>
      <c r="ES136" s="19"/>
      <c r="FP136" s="1">
        <v>365</v>
      </c>
      <c r="FQ136" s="1">
        <v>292</v>
      </c>
      <c r="FR136" s="1">
        <v>438</v>
      </c>
      <c r="FS136" s="11"/>
      <c r="FT136" s="11"/>
      <c r="FU136" s="11"/>
      <c r="FV136" s="1">
        <v>365</v>
      </c>
      <c r="FW136" s="1">
        <v>292</v>
      </c>
      <c r="FX136" s="1">
        <v>438</v>
      </c>
      <c r="FZ136" s="19"/>
      <c r="GA136" s="19"/>
      <c r="GB136" s="19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S136" s="1">
        <v>67</v>
      </c>
      <c r="GT136" s="1">
        <v>67</v>
      </c>
      <c r="GU136" s="1">
        <v>67</v>
      </c>
      <c r="GV136" s="13" t="s">
        <v>806</v>
      </c>
      <c r="GW136" s="13" t="s">
        <v>806</v>
      </c>
      <c r="GX136" s="13" t="s">
        <v>806</v>
      </c>
      <c r="GY136" s="13"/>
      <c r="GZ136" s="13" t="s">
        <v>806</v>
      </c>
      <c r="HA136" s="13" t="s">
        <v>806</v>
      </c>
      <c r="HB136" s="13" t="s">
        <v>806</v>
      </c>
      <c r="HC136" s="13" t="s">
        <v>806</v>
      </c>
      <c r="HD136" s="13" t="s">
        <v>806</v>
      </c>
      <c r="HE136" s="13" t="s">
        <v>806</v>
      </c>
      <c r="HF136" s="13" t="s">
        <v>806</v>
      </c>
      <c r="HI136" s="13" t="s">
        <v>806</v>
      </c>
      <c r="HJ136" s="13" t="s">
        <v>806</v>
      </c>
      <c r="HL136" s="13" t="s">
        <v>806</v>
      </c>
    </row>
    <row r="137" spans="1:220" ht="12.75" customHeight="1" x14ac:dyDescent="0.25">
      <c r="A137" s="1" t="s">
        <v>362</v>
      </c>
      <c r="B137" s="1" t="s">
        <v>650</v>
      </c>
      <c r="E137" s="1" t="s">
        <v>126</v>
      </c>
      <c r="F137" s="1">
        <v>2</v>
      </c>
      <c r="G137" s="1">
        <v>2050</v>
      </c>
      <c r="H137" s="1">
        <v>1</v>
      </c>
      <c r="I137" s="1">
        <v>0</v>
      </c>
      <c r="J137" s="1">
        <v>0</v>
      </c>
      <c r="K137" s="19"/>
      <c r="L137" s="19"/>
      <c r="M137" s="19"/>
      <c r="N137" s="19"/>
      <c r="O137" s="19"/>
      <c r="P137" s="19"/>
      <c r="Q137" s="19">
        <v>114.97459600000001</v>
      </c>
      <c r="R137" s="19">
        <v>65.748407999999998</v>
      </c>
      <c r="S137" s="19">
        <v>177.58646399999998</v>
      </c>
      <c r="T137" s="19"/>
      <c r="U137" s="19"/>
      <c r="V137" s="19"/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/>
      <c r="AD137" s="19"/>
      <c r="AE137" s="19"/>
      <c r="AF137" s="19">
        <v>58.71043199999999</v>
      </c>
      <c r="AG137" s="19">
        <v>39.093647999999995</v>
      </c>
      <c r="AH137" s="19">
        <v>81.004352000000011</v>
      </c>
      <c r="AI137" s="19">
        <v>0</v>
      </c>
      <c r="AJ137" s="19">
        <v>0</v>
      </c>
      <c r="AK137" s="19">
        <v>0</v>
      </c>
      <c r="AL137" s="19">
        <v>58.71043199999999</v>
      </c>
      <c r="AM137" s="19">
        <v>39.093647999999995</v>
      </c>
      <c r="AN137" s="19">
        <v>81.004352000000011</v>
      </c>
      <c r="AO137" s="19">
        <v>24.462679999999999</v>
      </c>
      <c r="AP137" s="19">
        <v>0</v>
      </c>
      <c r="AQ137" s="19">
        <v>62.311039999999991</v>
      </c>
      <c r="AR137" s="19"/>
      <c r="AS137" s="19"/>
      <c r="AT137" s="19"/>
      <c r="AU137" s="19">
        <v>34.247751999999998</v>
      </c>
      <c r="AV137" s="19">
        <v>3.5539679999999998</v>
      </c>
      <c r="AW137" s="19">
        <v>81.004352000000011</v>
      </c>
      <c r="AX137" s="19">
        <v>0</v>
      </c>
      <c r="AY137" s="19">
        <v>0</v>
      </c>
      <c r="AZ137" s="19">
        <v>0</v>
      </c>
      <c r="BA137" s="19"/>
      <c r="BB137" s="19"/>
      <c r="BC137" s="19"/>
      <c r="BD137" s="19">
        <v>58.71043199999999</v>
      </c>
      <c r="BE137" s="19">
        <v>39.093647999999995</v>
      </c>
      <c r="BF137" s="19">
        <v>81.004352000000011</v>
      </c>
      <c r="BG137" s="19">
        <v>0</v>
      </c>
      <c r="BH137" s="19">
        <v>0</v>
      </c>
      <c r="BI137" s="19">
        <v>0</v>
      </c>
      <c r="BJ137" s="19"/>
      <c r="BK137" s="19"/>
      <c r="BL137" s="19"/>
      <c r="BM137" s="19">
        <v>58.71043199999999</v>
      </c>
      <c r="BN137" s="19">
        <v>39.093647999999995</v>
      </c>
      <c r="BO137" s="19">
        <v>81.004352000000011</v>
      </c>
      <c r="BP137" s="19">
        <v>0</v>
      </c>
      <c r="BQ137" s="19">
        <v>0</v>
      </c>
      <c r="BR137" s="19">
        <v>0</v>
      </c>
      <c r="BS137" s="19"/>
      <c r="BT137" s="19"/>
      <c r="BU137" s="19"/>
      <c r="BV137" s="19">
        <v>58.71043199999999</v>
      </c>
      <c r="BW137" s="19">
        <v>39.093647999999995</v>
      </c>
      <c r="BX137" s="19">
        <v>81.004352000000011</v>
      </c>
      <c r="BY137" s="19">
        <v>0</v>
      </c>
      <c r="BZ137" s="19">
        <v>0</v>
      </c>
      <c r="CA137" s="19">
        <v>0</v>
      </c>
      <c r="CB137" s="19"/>
      <c r="CC137" s="19"/>
      <c r="CD137" s="19"/>
      <c r="CE137" s="19">
        <v>58.71043199999999</v>
      </c>
      <c r="CF137" s="19">
        <v>39.093647999999995</v>
      </c>
      <c r="CG137" s="19">
        <v>81.004352000000011</v>
      </c>
      <c r="CH137" s="19">
        <v>0</v>
      </c>
      <c r="CI137" s="19">
        <v>0</v>
      </c>
      <c r="CJ137" s="19">
        <v>0</v>
      </c>
      <c r="CK137" s="19"/>
      <c r="CL137" s="19"/>
      <c r="CM137" s="19"/>
      <c r="CN137" s="19">
        <v>58.71043199999999</v>
      </c>
      <c r="CO137" s="19">
        <v>39.093647999999995</v>
      </c>
      <c r="CP137" s="19">
        <v>81.004352000000011</v>
      </c>
      <c r="CQ137" s="19"/>
      <c r="CR137" s="19"/>
      <c r="CS137" s="19"/>
      <c r="CT137" s="19"/>
      <c r="CU137" s="11">
        <f>Tabelle58971121[[#This Row],[Mindestauslastung durch]]*Tabelle58971121[[#This Row],[installierte Leistung MW durch]]</f>
        <v>0</v>
      </c>
      <c r="CV137" s="11">
        <f>Tabelle58971121[[#This Row],[Mindestauslastung min]]*Tabelle58971121[[#This Row],[installierte Leistung MW min]]</f>
        <v>0</v>
      </c>
      <c r="CW137" s="11">
        <f>Tabelle58971121[[#This Row],[Mindestauslastung max]]*Tabelle58971121[[#This Row],[installierte Leistung MW max]]</f>
        <v>0</v>
      </c>
      <c r="CX137" s="9">
        <v>0</v>
      </c>
      <c r="CY137" s="9">
        <v>0</v>
      </c>
      <c r="CZ137" s="9">
        <v>0</v>
      </c>
      <c r="DA137" s="9"/>
      <c r="DB137" s="9">
        <v>0.47</v>
      </c>
      <c r="DC137" s="9">
        <v>0.37</v>
      </c>
      <c r="DD137" s="9">
        <v>0.56999999999999995</v>
      </c>
      <c r="DE137" s="9">
        <v>0</v>
      </c>
      <c r="DF137" s="9">
        <v>0</v>
      </c>
      <c r="DG137" s="9">
        <v>0</v>
      </c>
      <c r="DH137" s="9">
        <v>0</v>
      </c>
      <c r="DI137" s="9">
        <v>0</v>
      </c>
      <c r="DJ137" s="9">
        <v>0</v>
      </c>
      <c r="DK137" s="9">
        <v>0.1</v>
      </c>
      <c r="DL137" s="9">
        <v>0</v>
      </c>
      <c r="DM137" s="9">
        <v>0.2</v>
      </c>
      <c r="DN137" s="9">
        <v>0</v>
      </c>
      <c r="DO137" s="9">
        <v>0</v>
      </c>
      <c r="DP137" s="9">
        <v>0</v>
      </c>
      <c r="DQ137" s="9">
        <v>0</v>
      </c>
      <c r="DR137" s="9">
        <v>0</v>
      </c>
      <c r="DS137" s="9">
        <v>0</v>
      </c>
      <c r="DT137" s="9">
        <v>0</v>
      </c>
      <c r="DU137" s="9">
        <v>0</v>
      </c>
      <c r="DV137" s="9">
        <v>0</v>
      </c>
      <c r="DW137" s="9">
        <v>0</v>
      </c>
      <c r="DX137" s="9">
        <v>0</v>
      </c>
      <c r="DY137" s="9">
        <v>0</v>
      </c>
      <c r="DZ137" s="9">
        <v>0</v>
      </c>
      <c r="EA137" s="9">
        <v>0</v>
      </c>
      <c r="EB137" s="9">
        <v>0</v>
      </c>
      <c r="EC137" s="9"/>
      <c r="ED137" s="9"/>
      <c r="EE137" s="9"/>
      <c r="EF137" s="46">
        <f>Tabelle58971121[[#This Row],[Durchschnittsauslastung min]]*Tabelle58971121[[#This Row],[installierte Leistung MW min]]</f>
        <v>0</v>
      </c>
      <c r="EG137" s="46">
        <f>Tabelle58971121[[#This Row],[Durchschnittsauslastung durch]]*Tabelle58971121[[#This Row],[installierte Leistung MW durch]]</f>
        <v>0</v>
      </c>
      <c r="EH137" s="46">
        <f>Tabelle58971121[[#This Row],[Durchschnittsauslastung max]]*Tabelle58971121[[#This Row],[installierte Leistung MW max]]</f>
        <v>0</v>
      </c>
      <c r="EI137" s="83">
        <f>Tabelle58971121[[#This Row],[Maximalauslastung durch]]*Tabelle58971121[[#This Row],[installierte Leistung MW min]]</f>
        <v>224.28</v>
      </c>
      <c r="EJ137" s="46">
        <f>Tabelle58971121[[#This Row],[Maximalauslastung durch]]*Tabelle58971121[[#This Row],[installierte Leistung MW durch]]</f>
        <v>308.40719999999999</v>
      </c>
      <c r="EK137" s="19">
        <f>Tabelle58971121[[#This Row],[Maximalauslastung max]]*Tabelle58971121[[#This Row],[installierte Leistung MW durch]]</f>
        <v>334.1078</v>
      </c>
      <c r="EL137" s="9">
        <v>0.24</v>
      </c>
      <c r="EM137" s="9">
        <v>0.22</v>
      </c>
      <c r="EN137" s="9">
        <v>0.26</v>
      </c>
      <c r="EO137" s="1">
        <v>1285.03</v>
      </c>
      <c r="EP137" s="1">
        <v>934.5</v>
      </c>
      <c r="EQ137" s="1">
        <v>1635.56</v>
      </c>
      <c r="ER137" s="19"/>
      <c r="ES137" s="19"/>
      <c r="FP137" s="1">
        <v>365</v>
      </c>
      <c r="FQ137" s="1">
        <v>292</v>
      </c>
      <c r="FR137" s="1">
        <v>438</v>
      </c>
      <c r="FS137" s="11"/>
      <c r="FT137" s="11"/>
      <c r="FU137" s="11"/>
      <c r="FV137" s="1">
        <v>365</v>
      </c>
      <c r="FW137" s="1">
        <v>292</v>
      </c>
      <c r="FX137" s="1">
        <v>438</v>
      </c>
      <c r="FZ137" s="19"/>
      <c r="GA137" s="19"/>
      <c r="GB137" s="19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S137" s="1">
        <v>67</v>
      </c>
      <c r="GT137" s="1">
        <v>67</v>
      </c>
      <c r="GU137" s="1">
        <v>67</v>
      </c>
      <c r="GV137" s="13" t="s">
        <v>806</v>
      </c>
      <c r="GW137" s="13" t="s">
        <v>806</v>
      </c>
      <c r="GX137" s="13" t="s">
        <v>806</v>
      </c>
      <c r="GY137" s="13"/>
      <c r="GZ137" s="13" t="s">
        <v>806</v>
      </c>
      <c r="HA137" s="13" t="s">
        <v>806</v>
      </c>
      <c r="HB137" s="13" t="s">
        <v>806</v>
      </c>
      <c r="HC137" s="13" t="s">
        <v>806</v>
      </c>
      <c r="HD137" s="13" t="s">
        <v>806</v>
      </c>
      <c r="HE137" s="13" t="s">
        <v>806</v>
      </c>
      <c r="HF137" s="13" t="s">
        <v>806</v>
      </c>
      <c r="HI137" s="13" t="s">
        <v>806</v>
      </c>
      <c r="HJ137" s="13" t="s">
        <v>806</v>
      </c>
      <c r="HL137" s="13" t="s">
        <v>806</v>
      </c>
    </row>
    <row r="138" spans="1:220" ht="12.75" customHeight="1" x14ac:dyDescent="0.25">
      <c r="A138" s="1" t="s">
        <v>206</v>
      </c>
      <c r="B138" s="1" t="s">
        <v>747</v>
      </c>
      <c r="E138" s="1" t="s">
        <v>126</v>
      </c>
      <c r="F138" s="1">
        <v>2</v>
      </c>
      <c r="G138" s="1">
        <v>2015</v>
      </c>
      <c r="H138" s="1">
        <v>1</v>
      </c>
      <c r="I138" s="1">
        <v>0</v>
      </c>
      <c r="J138" s="1">
        <v>0</v>
      </c>
      <c r="K138" s="19"/>
      <c r="L138" s="19"/>
      <c r="M138" s="19"/>
      <c r="N138" s="19"/>
      <c r="O138" s="19"/>
      <c r="P138" s="19"/>
      <c r="Q138" s="19">
        <v>325.95999999999998</v>
      </c>
      <c r="R138" s="19">
        <v>266.8</v>
      </c>
      <c r="S138" s="19">
        <v>385.12</v>
      </c>
      <c r="T138" s="19"/>
      <c r="U138" s="19"/>
      <c r="V138" s="19"/>
      <c r="W138" s="19">
        <v>236.04</v>
      </c>
      <c r="X138" s="19">
        <v>193.2</v>
      </c>
      <c r="Y138" s="19">
        <v>278.88</v>
      </c>
      <c r="Z138" s="19">
        <v>325.95999999999998</v>
      </c>
      <c r="AA138" s="19">
        <v>266.8</v>
      </c>
      <c r="AB138" s="19">
        <v>385.12</v>
      </c>
      <c r="AC138" s="19"/>
      <c r="AD138" s="19"/>
      <c r="AE138" s="19"/>
      <c r="AF138" s="19">
        <v>236.04</v>
      </c>
      <c r="AG138" s="19">
        <v>193.2</v>
      </c>
      <c r="AH138" s="19">
        <v>278.88</v>
      </c>
      <c r="AI138" s="19">
        <v>432.74</v>
      </c>
      <c r="AJ138" s="19">
        <v>354.2</v>
      </c>
      <c r="AK138" s="19">
        <v>511.28</v>
      </c>
      <c r="AL138" s="19">
        <v>129.26</v>
      </c>
      <c r="AM138" s="19">
        <v>105.8</v>
      </c>
      <c r="AN138" s="19">
        <v>152.72</v>
      </c>
      <c r="AO138" s="19">
        <v>269.76</v>
      </c>
      <c r="AP138" s="19">
        <v>220.8</v>
      </c>
      <c r="AQ138" s="19">
        <v>318.72000000000003</v>
      </c>
      <c r="AR138" s="19"/>
      <c r="AS138" s="19"/>
      <c r="AT138" s="19"/>
      <c r="AU138" s="19">
        <v>292.24</v>
      </c>
      <c r="AV138" s="19">
        <v>239.2</v>
      </c>
      <c r="AW138" s="19">
        <v>345.28</v>
      </c>
      <c r="AX138" s="19">
        <v>269.76</v>
      </c>
      <c r="AY138" s="19">
        <v>220.8</v>
      </c>
      <c r="AZ138" s="19">
        <v>318.72000000000003</v>
      </c>
      <c r="BA138" s="19"/>
      <c r="BB138" s="19"/>
      <c r="BC138" s="19"/>
      <c r="BD138" s="19">
        <v>292.24</v>
      </c>
      <c r="BE138" s="19">
        <v>239.2</v>
      </c>
      <c r="BF138" s="19">
        <v>345.28</v>
      </c>
      <c r="BG138" s="19">
        <v>359.68</v>
      </c>
      <c r="BH138" s="19">
        <v>294.39999999999998</v>
      </c>
      <c r="BI138" s="19">
        <v>424.96</v>
      </c>
      <c r="BJ138" s="19"/>
      <c r="BK138" s="19"/>
      <c r="BL138" s="19"/>
      <c r="BM138" s="19">
        <v>202.32</v>
      </c>
      <c r="BN138" s="19">
        <v>165.6</v>
      </c>
      <c r="BO138" s="19">
        <v>239.04</v>
      </c>
      <c r="BP138" s="19">
        <v>325.95999999999998</v>
      </c>
      <c r="BQ138" s="19">
        <v>266.8</v>
      </c>
      <c r="BR138" s="19">
        <v>385.12</v>
      </c>
      <c r="BS138" s="19"/>
      <c r="BT138" s="19"/>
      <c r="BU138" s="19"/>
      <c r="BV138" s="19">
        <v>236.04</v>
      </c>
      <c r="BW138" s="19">
        <v>193.2</v>
      </c>
      <c r="BX138" s="19">
        <v>278.88</v>
      </c>
      <c r="BY138" s="19">
        <v>213.56</v>
      </c>
      <c r="BZ138" s="19">
        <v>174.8</v>
      </c>
      <c r="CA138" s="19">
        <v>252.32</v>
      </c>
      <c r="CB138" s="19"/>
      <c r="CC138" s="19"/>
      <c r="CD138" s="19"/>
      <c r="CE138" s="19">
        <v>348.44</v>
      </c>
      <c r="CF138" s="19">
        <v>285.2</v>
      </c>
      <c r="CG138" s="19">
        <v>411.68</v>
      </c>
      <c r="CH138" s="19">
        <v>281</v>
      </c>
      <c r="CI138" s="19">
        <v>230</v>
      </c>
      <c r="CJ138" s="19">
        <v>332</v>
      </c>
      <c r="CK138" s="19"/>
      <c r="CL138" s="19"/>
      <c r="CM138" s="19"/>
      <c r="CN138" s="19">
        <v>281</v>
      </c>
      <c r="CO138" s="19">
        <v>230</v>
      </c>
      <c r="CP138" s="19">
        <v>332</v>
      </c>
      <c r="CQ138" s="19"/>
      <c r="CR138" s="19"/>
      <c r="CS138" s="19"/>
      <c r="CT138" s="19"/>
      <c r="CU138" s="11">
        <f>Tabelle58971121[[#This Row],[Mindestauslastung durch]]*Tabelle58971121[[#This Row],[installierte Leistung MW durch]]</f>
        <v>0</v>
      </c>
      <c r="CV138" s="11">
        <f>Tabelle58971121[[#This Row],[Mindestauslastung min]]*Tabelle58971121[[#This Row],[installierte Leistung MW min]]</f>
        <v>0</v>
      </c>
      <c r="CW138" s="11">
        <f>Tabelle58971121[[#This Row],[Mindestauslastung max]]*Tabelle58971121[[#This Row],[installierte Leistung MW max]]</f>
        <v>0</v>
      </c>
      <c r="CX138" s="9">
        <v>0</v>
      </c>
      <c r="CY138" s="9">
        <v>0</v>
      </c>
      <c r="CZ138" s="9">
        <v>0</v>
      </c>
      <c r="DA138" s="9"/>
      <c r="DB138" s="9">
        <v>0.57999999999999996</v>
      </c>
      <c r="DC138" s="9">
        <v>0.57999999999999996</v>
      </c>
      <c r="DD138" s="9">
        <v>0.57999999999999996</v>
      </c>
      <c r="DE138" s="9">
        <v>0.57999999999999996</v>
      </c>
      <c r="DF138" s="9">
        <v>0.57999999999999996</v>
      </c>
      <c r="DG138" s="9">
        <v>0.57999999999999996</v>
      </c>
      <c r="DH138" s="9">
        <v>0.77</v>
      </c>
      <c r="DI138" s="9">
        <v>0.77</v>
      </c>
      <c r="DJ138" s="9">
        <v>0.77</v>
      </c>
      <c r="DK138" s="9">
        <v>0.48</v>
      </c>
      <c r="DL138" s="9">
        <v>0.48</v>
      </c>
      <c r="DM138" s="9">
        <v>0.48</v>
      </c>
      <c r="DN138" s="9">
        <v>0.48</v>
      </c>
      <c r="DO138" s="9">
        <v>0.48</v>
      </c>
      <c r="DP138" s="9">
        <v>0.48</v>
      </c>
      <c r="DQ138" s="9">
        <v>0.64</v>
      </c>
      <c r="DR138" s="9">
        <v>0.64</v>
      </c>
      <c r="DS138" s="9">
        <v>0.64</v>
      </c>
      <c r="DT138" s="9">
        <v>0.57999999999999996</v>
      </c>
      <c r="DU138" s="9">
        <v>0.57999999999999996</v>
      </c>
      <c r="DV138" s="9">
        <v>0.57999999999999996</v>
      </c>
      <c r="DW138" s="9">
        <v>0.38</v>
      </c>
      <c r="DX138" s="9">
        <v>0.38</v>
      </c>
      <c r="DY138" s="9">
        <v>0.38</v>
      </c>
      <c r="DZ138" s="9">
        <v>0.5</v>
      </c>
      <c r="EA138" s="9">
        <v>0.5</v>
      </c>
      <c r="EB138" s="9">
        <v>0.5</v>
      </c>
      <c r="EC138" s="9"/>
      <c r="ED138" s="9"/>
      <c r="EE138" s="9"/>
      <c r="EF138" s="46">
        <f>Tabelle58971121[[#This Row],[Durchschnittsauslastung min]]*Tabelle58971121[[#This Row],[installierte Leistung MW min]]</f>
        <v>0</v>
      </c>
      <c r="EG138" s="46">
        <f>Tabelle58971121[[#This Row],[Durchschnittsauslastung durch]]*Tabelle58971121[[#This Row],[installierte Leistung MW durch]]</f>
        <v>0</v>
      </c>
      <c r="EH138" s="46">
        <f>Tabelle58971121[[#This Row],[Durchschnittsauslastung max]]*Tabelle58971121[[#This Row],[installierte Leistung MW max]]</f>
        <v>0</v>
      </c>
      <c r="EI138" s="83">
        <f>Tabelle58971121[[#This Row],[Maximalauslastung durch]]*Tabelle58971121[[#This Row],[installierte Leistung MW min]]</f>
        <v>460</v>
      </c>
      <c r="EJ138" s="46">
        <f>Tabelle58971121[[#This Row],[Maximalauslastung durch]]*Tabelle58971121[[#This Row],[installierte Leistung MW durch]]</f>
        <v>562</v>
      </c>
      <c r="EK138" s="19">
        <f>Tabelle58971121[[#This Row],[Maximalauslastung max]]*Tabelle58971121[[#This Row],[installierte Leistung MW durch]]</f>
        <v>562</v>
      </c>
      <c r="EL138" s="9">
        <v>1</v>
      </c>
      <c r="EM138" s="9">
        <v>1</v>
      </c>
      <c r="EN138" s="9">
        <v>1</v>
      </c>
      <c r="EO138" s="1">
        <v>562</v>
      </c>
      <c r="EP138" s="1">
        <v>460</v>
      </c>
      <c r="EQ138" s="1">
        <v>664</v>
      </c>
      <c r="ER138" s="19"/>
      <c r="ES138" s="19"/>
      <c r="EX138" s="1">
        <v>2.9874999999999998</v>
      </c>
      <c r="EY138" s="1">
        <v>1.2</v>
      </c>
      <c r="EZ138" s="1">
        <v>5.8</v>
      </c>
      <c r="FP138" s="1">
        <v>365</v>
      </c>
      <c r="FQ138" s="1">
        <v>292</v>
      </c>
      <c r="FR138" s="1">
        <v>438</v>
      </c>
      <c r="FS138" s="11"/>
      <c r="FT138" s="11"/>
      <c r="FU138" s="11"/>
      <c r="FV138" s="1">
        <v>365</v>
      </c>
      <c r="FW138" s="1">
        <v>292</v>
      </c>
      <c r="FX138" s="1">
        <v>438</v>
      </c>
      <c r="FZ138" s="19"/>
      <c r="GA138" s="19"/>
      <c r="GB138" s="19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S138" s="1">
        <v>67</v>
      </c>
      <c r="GT138" s="1">
        <v>67</v>
      </c>
      <c r="GU138" s="1">
        <v>67</v>
      </c>
      <c r="GV138" s="13" t="s">
        <v>806</v>
      </c>
      <c r="GW138" s="13" t="s">
        <v>806</v>
      </c>
      <c r="GX138" s="13" t="s">
        <v>806</v>
      </c>
      <c r="GY138" s="13"/>
      <c r="GZ138" s="13" t="s">
        <v>806</v>
      </c>
      <c r="HA138" s="13" t="s">
        <v>806</v>
      </c>
      <c r="HB138" s="13" t="s">
        <v>806</v>
      </c>
      <c r="HC138" s="13" t="s">
        <v>806</v>
      </c>
      <c r="HD138" s="13" t="s">
        <v>806</v>
      </c>
      <c r="HE138" s="13" t="s">
        <v>806</v>
      </c>
      <c r="HF138" s="13" t="s">
        <v>806</v>
      </c>
      <c r="HI138" s="13" t="s">
        <v>806</v>
      </c>
      <c r="HJ138" s="13" t="s">
        <v>806</v>
      </c>
      <c r="HL138" s="13" t="s">
        <v>806</v>
      </c>
    </row>
    <row r="139" spans="1:220" ht="12.75" customHeight="1" x14ac:dyDescent="0.25">
      <c r="A139" s="1" t="s">
        <v>206</v>
      </c>
      <c r="B139" s="1" t="s">
        <v>747</v>
      </c>
      <c r="E139" s="1" t="s">
        <v>126</v>
      </c>
      <c r="F139" s="1">
        <v>2</v>
      </c>
      <c r="G139" s="1">
        <v>2020</v>
      </c>
      <c r="H139" s="1">
        <v>1</v>
      </c>
      <c r="I139" s="1">
        <v>0</v>
      </c>
      <c r="J139" s="1">
        <v>0</v>
      </c>
      <c r="K139" s="19"/>
      <c r="L139" s="19"/>
      <c r="M139" s="19"/>
      <c r="N139" s="19"/>
      <c r="O139" s="19"/>
      <c r="P139" s="19"/>
      <c r="Q139" s="19">
        <v>322.7004</v>
      </c>
      <c r="R139" s="19">
        <v>264.13200000000001</v>
      </c>
      <c r="S139" s="19">
        <v>381.2688</v>
      </c>
      <c r="T139" s="19"/>
      <c r="U139" s="19"/>
      <c r="V139" s="19"/>
      <c r="W139" s="19">
        <v>233.67959999999999</v>
      </c>
      <c r="X139" s="19">
        <v>191.268</v>
      </c>
      <c r="Y139" s="19">
        <v>276.09120000000001</v>
      </c>
      <c r="Z139" s="19">
        <v>322.7004</v>
      </c>
      <c r="AA139" s="19">
        <v>264.13200000000001</v>
      </c>
      <c r="AB139" s="19">
        <v>381.2688</v>
      </c>
      <c r="AC139" s="19"/>
      <c r="AD139" s="19"/>
      <c r="AE139" s="19"/>
      <c r="AF139" s="19">
        <v>233.67959999999999</v>
      </c>
      <c r="AG139" s="19">
        <v>191.268</v>
      </c>
      <c r="AH139" s="19">
        <v>276.09120000000001</v>
      </c>
      <c r="AI139" s="19">
        <v>428.4126</v>
      </c>
      <c r="AJ139" s="19">
        <v>350.65799999999996</v>
      </c>
      <c r="AK139" s="19">
        <v>506.16719999999998</v>
      </c>
      <c r="AL139" s="19">
        <v>127.96739999999998</v>
      </c>
      <c r="AM139" s="19">
        <v>104.74199999999999</v>
      </c>
      <c r="AN139" s="19">
        <v>151.19280000000001</v>
      </c>
      <c r="AO139" s="19">
        <v>267.06239999999997</v>
      </c>
      <c r="AP139" s="19">
        <v>218.59200000000001</v>
      </c>
      <c r="AQ139" s="19">
        <v>315.53280000000001</v>
      </c>
      <c r="AR139" s="19"/>
      <c r="AS139" s="19"/>
      <c r="AT139" s="19"/>
      <c r="AU139" s="19">
        <v>289.31760000000003</v>
      </c>
      <c r="AV139" s="19">
        <v>236.80799999999999</v>
      </c>
      <c r="AW139" s="19">
        <v>341.82719999999995</v>
      </c>
      <c r="AX139" s="19">
        <v>267.06239999999997</v>
      </c>
      <c r="AY139" s="19">
        <v>218.59200000000001</v>
      </c>
      <c r="AZ139" s="19">
        <v>315.53280000000001</v>
      </c>
      <c r="BA139" s="19"/>
      <c r="BB139" s="19"/>
      <c r="BC139" s="19"/>
      <c r="BD139" s="19">
        <v>289.31760000000003</v>
      </c>
      <c r="BE139" s="19">
        <v>236.80799999999999</v>
      </c>
      <c r="BF139" s="19">
        <v>341.82719999999995</v>
      </c>
      <c r="BG139" s="19">
        <v>356.08319999999998</v>
      </c>
      <c r="BH139" s="19">
        <v>291.45599999999996</v>
      </c>
      <c r="BI139" s="19">
        <v>420.71039999999999</v>
      </c>
      <c r="BJ139" s="19"/>
      <c r="BK139" s="19"/>
      <c r="BL139" s="19"/>
      <c r="BM139" s="19">
        <v>200.29679999999999</v>
      </c>
      <c r="BN139" s="19">
        <v>163.94399999999999</v>
      </c>
      <c r="BO139" s="19">
        <v>236.64959999999999</v>
      </c>
      <c r="BP139" s="19">
        <v>322.7004</v>
      </c>
      <c r="BQ139" s="19">
        <v>264.13200000000001</v>
      </c>
      <c r="BR139" s="19">
        <v>381.2688</v>
      </c>
      <c r="BS139" s="19"/>
      <c r="BT139" s="19"/>
      <c r="BU139" s="19"/>
      <c r="BV139" s="19">
        <v>233.67959999999999</v>
      </c>
      <c r="BW139" s="19">
        <v>191.268</v>
      </c>
      <c r="BX139" s="19">
        <v>276.09120000000001</v>
      </c>
      <c r="BY139" s="19">
        <v>211.42439999999999</v>
      </c>
      <c r="BZ139" s="19">
        <v>173.05200000000002</v>
      </c>
      <c r="CA139" s="19">
        <v>249.79679999999999</v>
      </c>
      <c r="CB139" s="19"/>
      <c r="CC139" s="19"/>
      <c r="CD139" s="19"/>
      <c r="CE139" s="19">
        <v>344.9556</v>
      </c>
      <c r="CF139" s="19">
        <v>282.34800000000001</v>
      </c>
      <c r="CG139" s="19">
        <v>407.56319999999999</v>
      </c>
      <c r="CH139" s="19">
        <v>278.19</v>
      </c>
      <c r="CI139" s="19">
        <v>227.7</v>
      </c>
      <c r="CJ139" s="19">
        <v>328.68</v>
      </c>
      <c r="CK139" s="19"/>
      <c r="CL139" s="19"/>
      <c r="CM139" s="19"/>
      <c r="CN139" s="19">
        <v>278.19</v>
      </c>
      <c r="CO139" s="19">
        <v>227.7</v>
      </c>
      <c r="CP139" s="19">
        <v>328.68</v>
      </c>
      <c r="CQ139" s="19"/>
      <c r="CR139" s="19"/>
      <c r="CS139" s="19"/>
      <c r="CT139" s="19"/>
      <c r="CU139" s="11">
        <f>Tabelle58971121[[#This Row],[Mindestauslastung durch]]*Tabelle58971121[[#This Row],[installierte Leistung MW durch]]</f>
        <v>0</v>
      </c>
      <c r="CV139" s="11">
        <f>Tabelle58971121[[#This Row],[Mindestauslastung min]]*Tabelle58971121[[#This Row],[installierte Leistung MW min]]</f>
        <v>0</v>
      </c>
      <c r="CW139" s="11">
        <f>Tabelle58971121[[#This Row],[Mindestauslastung max]]*Tabelle58971121[[#This Row],[installierte Leistung MW max]]</f>
        <v>0</v>
      </c>
      <c r="CX139" s="9">
        <v>0</v>
      </c>
      <c r="CY139" s="9">
        <v>0</v>
      </c>
      <c r="CZ139" s="9">
        <v>0</v>
      </c>
      <c r="DA139" s="9"/>
      <c r="DB139" s="9">
        <v>0.57999999999999996</v>
      </c>
      <c r="DC139" s="9">
        <v>0.57999999999999996</v>
      </c>
      <c r="DD139" s="9">
        <v>0.57999999999999996</v>
      </c>
      <c r="DE139" s="9">
        <v>0.57999999999999996</v>
      </c>
      <c r="DF139" s="9">
        <v>0.57999999999999996</v>
      </c>
      <c r="DG139" s="9">
        <v>0.57999999999999996</v>
      </c>
      <c r="DH139" s="9">
        <v>0.77</v>
      </c>
      <c r="DI139" s="9">
        <v>0.77</v>
      </c>
      <c r="DJ139" s="9">
        <v>0.77</v>
      </c>
      <c r="DK139" s="9">
        <v>0.48</v>
      </c>
      <c r="DL139" s="9">
        <v>0.48</v>
      </c>
      <c r="DM139" s="9">
        <v>0.48</v>
      </c>
      <c r="DN139" s="9">
        <v>0.48</v>
      </c>
      <c r="DO139" s="9">
        <v>0.48</v>
      </c>
      <c r="DP139" s="9">
        <v>0.48</v>
      </c>
      <c r="DQ139" s="9">
        <v>0.64</v>
      </c>
      <c r="DR139" s="9">
        <v>0.64</v>
      </c>
      <c r="DS139" s="9">
        <v>0.64</v>
      </c>
      <c r="DT139" s="9">
        <v>0.57999999999999996</v>
      </c>
      <c r="DU139" s="9">
        <v>0.57999999999999996</v>
      </c>
      <c r="DV139" s="9">
        <v>0.57999999999999996</v>
      </c>
      <c r="DW139" s="9">
        <v>0.38</v>
      </c>
      <c r="DX139" s="9">
        <v>0.38</v>
      </c>
      <c r="DY139" s="9">
        <v>0.38</v>
      </c>
      <c r="DZ139" s="9">
        <v>0.5</v>
      </c>
      <c r="EA139" s="9">
        <v>0.5</v>
      </c>
      <c r="EB139" s="9">
        <v>0.5</v>
      </c>
      <c r="EC139" s="9"/>
      <c r="ED139" s="9"/>
      <c r="EE139" s="9"/>
      <c r="EF139" s="46">
        <f>Tabelle58971121[[#This Row],[Durchschnittsauslastung min]]*Tabelle58971121[[#This Row],[installierte Leistung MW min]]</f>
        <v>0</v>
      </c>
      <c r="EG139" s="46">
        <f>Tabelle58971121[[#This Row],[Durchschnittsauslastung durch]]*Tabelle58971121[[#This Row],[installierte Leistung MW durch]]</f>
        <v>0</v>
      </c>
      <c r="EH139" s="46">
        <f>Tabelle58971121[[#This Row],[Durchschnittsauslastung max]]*Tabelle58971121[[#This Row],[installierte Leistung MW max]]</f>
        <v>0</v>
      </c>
      <c r="EI139" s="83">
        <f>Tabelle58971121[[#This Row],[Maximalauslastung durch]]*Tabelle58971121[[#This Row],[installierte Leistung MW min]]</f>
        <v>455.4</v>
      </c>
      <c r="EJ139" s="46">
        <f>Tabelle58971121[[#This Row],[Maximalauslastung durch]]*Tabelle58971121[[#This Row],[installierte Leistung MW durch]]</f>
        <v>556.38</v>
      </c>
      <c r="EK139" s="19">
        <f>Tabelle58971121[[#This Row],[Maximalauslastung max]]*Tabelle58971121[[#This Row],[installierte Leistung MW durch]]</f>
        <v>556.38</v>
      </c>
      <c r="EL139" s="9">
        <v>1</v>
      </c>
      <c r="EM139" s="9">
        <v>1</v>
      </c>
      <c r="EN139" s="9">
        <v>1</v>
      </c>
      <c r="EO139" s="1">
        <v>556.38</v>
      </c>
      <c r="EP139" s="1">
        <v>455.4</v>
      </c>
      <c r="EQ139" s="1">
        <v>657.36</v>
      </c>
      <c r="ER139" s="19"/>
      <c r="ES139" s="19"/>
      <c r="EX139" s="1">
        <v>2.9874999999999998</v>
      </c>
      <c r="EY139" s="1">
        <v>1.2</v>
      </c>
      <c r="EZ139" s="1">
        <v>5.8</v>
      </c>
      <c r="FP139" s="1">
        <v>365</v>
      </c>
      <c r="FQ139" s="1">
        <v>292</v>
      </c>
      <c r="FR139" s="1">
        <v>438</v>
      </c>
      <c r="FS139" s="11"/>
      <c r="FT139" s="11"/>
      <c r="FU139" s="11"/>
      <c r="FV139" s="1">
        <v>365</v>
      </c>
      <c r="FW139" s="1">
        <v>292</v>
      </c>
      <c r="FX139" s="1">
        <v>438</v>
      </c>
      <c r="FZ139" s="19"/>
      <c r="GA139" s="19"/>
      <c r="GB139" s="19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S139" s="1">
        <v>67</v>
      </c>
      <c r="GT139" s="1">
        <v>67</v>
      </c>
      <c r="GU139" s="1">
        <v>67</v>
      </c>
      <c r="GV139" s="13" t="s">
        <v>806</v>
      </c>
      <c r="GW139" s="13" t="s">
        <v>806</v>
      </c>
      <c r="GX139" s="13" t="s">
        <v>806</v>
      </c>
      <c r="GY139" s="13"/>
      <c r="GZ139" s="13" t="s">
        <v>806</v>
      </c>
      <c r="HA139" s="13" t="s">
        <v>806</v>
      </c>
      <c r="HB139" s="13" t="s">
        <v>806</v>
      </c>
      <c r="HC139" s="13" t="s">
        <v>806</v>
      </c>
      <c r="HD139" s="13" t="s">
        <v>806</v>
      </c>
      <c r="HE139" s="13" t="s">
        <v>806</v>
      </c>
      <c r="HF139" s="13" t="s">
        <v>806</v>
      </c>
      <c r="HI139" s="13" t="s">
        <v>806</v>
      </c>
      <c r="HJ139" s="13" t="s">
        <v>806</v>
      </c>
      <c r="HL139" s="13" t="s">
        <v>806</v>
      </c>
    </row>
    <row r="140" spans="1:220" ht="12.75" customHeight="1" x14ac:dyDescent="0.25">
      <c r="A140" s="1" t="s">
        <v>206</v>
      </c>
      <c r="B140" s="1" t="s">
        <v>747</v>
      </c>
      <c r="E140" s="1" t="s">
        <v>126</v>
      </c>
      <c r="F140" s="1">
        <v>2</v>
      </c>
      <c r="G140" s="1">
        <v>2025</v>
      </c>
      <c r="H140" s="1">
        <v>1</v>
      </c>
      <c r="I140" s="1">
        <v>0</v>
      </c>
      <c r="J140" s="1">
        <v>0</v>
      </c>
      <c r="K140" s="19"/>
      <c r="L140" s="19"/>
      <c r="M140" s="19"/>
      <c r="N140" s="19"/>
      <c r="O140" s="19"/>
      <c r="P140" s="19"/>
      <c r="Q140" s="19">
        <v>319.44079999999997</v>
      </c>
      <c r="R140" s="19">
        <v>261.464</v>
      </c>
      <c r="S140" s="19">
        <v>377.41759999999999</v>
      </c>
      <c r="T140" s="19"/>
      <c r="U140" s="19"/>
      <c r="V140" s="19"/>
      <c r="W140" s="19">
        <v>231.3192</v>
      </c>
      <c r="X140" s="19">
        <v>189.33599999999998</v>
      </c>
      <c r="Y140" s="19">
        <v>273.30239999999998</v>
      </c>
      <c r="Z140" s="19">
        <v>319.44079999999997</v>
      </c>
      <c r="AA140" s="19">
        <v>261.464</v>
      </c>
      <c r="AB140" s="19">
        <v>377.41759999999999</v>
      </c>
      <c r="AC140" s="19"/>
      <c r="AD140" s="19"/>
      <c r="AE140" s="19"/>
      <c r="AF140" s="19">
        <v>231.3192</v>
      </c>
      <c r="AG140" s="19">
        <v>189.33599999999998</v>
      </c>
      <c r="AH140" s="19">
        <v>273.30239999999998</v>
      </c>
      <c r="AI140" s="19">
        <v>424.08519999999999</v>
      </c>
      <c r="AJ140" s="19">
        <v>347.11599999999999</v>
      </c>
      <c r="AK140" s="19">
        <v>501.05439999999999</v>
      </c>
      <c r="AL140" s="19">
        <v>126.67479999999999</v>
      </c>
      <c r="AM140" s="19">
        <v>103.684</v>
      </c>
      <c r="AN140" s="19">
        <v>149.66559999999998</v>
      </c>
      <c r="AO140" s="19">
        <v>264.3648</v>
      </c>
      <c r="AP140" s="19">
        <v>216.38400000000001</v>
      </c>
      <c r="AQ140" s="19">
        <v>312.34560000000005</v>
      </c>
      <c r="AR140" s="19"/>
      <c r="AS140" s="19"/>
      <c r="AT140" s="19"/>
      <c r="AU140" s="19">
        <v>286.39519999999999</v>
      </c>
      <c r="AV140" s="19">
        <v>234.416</v>
      </c>
      <c r="AW140" s="19">
        <v>338.37439999999998</v>
      </c>
      <c r="AX140" s="19">
        <v>264.3648</v>
      </c>
      <c r="AY140" s="19">
        <v>216.38400000000001</v>
      </c>
      <c r="AZ140" s="19">
        <v>312.34560000000005</v>
      </c>
      <c r="BA140" s="19"/>
      <c r="BB140" s="19"/>
      <c r="BC140" s="19"/>
      <c r="BD140" s="19">
        <v>286.39519999999999</v>
      </c>
      <c r="BE140" s="19">
        <v>234.416</v>
      </c>
      <c r="BF140" s="19">
        <v>338.37439999999998</v>
      </c>
      <c r="BG140" s="19">
        <v>352.4864</v>
      </c>
      <c r="BH140" s="19">
        <v>288.512</v>
      </c>
      <c r="BI140" s="19">
        <v>416.46079999999995</v>
      </c>
      <c r="BJ140" s="19"/>
      <c r="BK140" s="19"/>
      <c r="BL140" s="19"/>
      <c r="BM140" s="19">
        <v>198.27359999999999</v>
      </c>
      <c r="BN140" s="19">
        <v>162.28799999999998</v>
      </c>
      <c r="BO140" s="19">
        <v>234.25919999999999</v>
      </c>
      <c r="BP140" s="19">
        <v>319.44079999999997</v>
      </c>
      <c r="BQ140" s="19">
        <v>261.464</v>
      </c>
      <c r="BR140" s="19">
        <v>377.41759999999999</v>
      </c>
      <c r="BS140" s="19"/>
      <c r="BT140" s="19"/>
      <c r="BU140" s="19"/>
      <c r="BV140" s="19">
        <v>231.3192</v>
      </c>
      <c r="BW140" s="19">
        <v>189.33599999999998</v>
      </c>
      <c r="BX140" s="19">
        <v>273.30239999999998</v>
      </c>
      <c r="BY140" s="19">
        <v>209.28880000000001</v>
      </c>
      <c r="BZ140" s="19">
        <v>171.304</v>
      </c>
      <c r="CA140" s="19">
        <v>247.27359999999999</v>
      </c>
      <c r="CB140" s="19"/>
      <c r="CC140" s="19"/>
      <c r="CD140" s="19"/>
      <c r="CE140" s="19">
        <v>341.47120000000001</v>
      </c>
      <c r="CF140" s="19">
        <v>279.49599999999998</v>
      </c>
      <c r="CG140" s="19">
        <v>403.44639999999998</v>
      </c>
      <c r="CH140" s="19">
        <v>275.38</v>
      </c>
      <c r="CI140" s="19">
        <v>225.4</v>
      </c>
      <c r="CJ140" s="19">
        <v>325.36</v>
      </c>
      <c r="CK140" s="19"/>
      <c r="CL140" s="19"/>
      <c r="CM140" s="19"/>
      <c r="CN140" s="19">
        <v>275.38</v>
      </c>
      <c r="CO140" s="19">
        <v>225.4</v>
      </c>
      <c r="CP140" s="19">
        <v>325.36</v>
      </c>
      <c r="CQ140" s="19"/>
      <c r="CR140" s="19"/>
      <c r="CS140" s="19"/>
      <c r="CT140" s="19"/>
      <c r="CU140" s="11">
        <f>Tabelle58971121[[#This Row],[Mindestauslastung durch]]*Tabelle58971121[[#This Row],[installierte Leistung MW durch]]</f>
        <v>0</v>
      </c>
      <c r="CV140" s="11">
        <f>Tabelle58971121[[#This Row],[Mindestauslastung min]]*Tabelle58971121[[#This Row],[installierte Leistung MW min]]</f>
        <v>0</v>
      </c>
      <c r="CW140" s="11">
        <f>Tabelle58971121[[#This Row],[Mindestauslastung max]]*Tabelle58971121[[#This Row],[installierte Leistung MW max]]</f>
        <v>0</v>
      </c>
      <c r="CX140" s="9">
        <v>0</v>
      </c>
      <c r="CY140" s="9">
        <v>0</v>
      </c>
      <c r="CZ140" s="9">
        <v>0</v>
      </c>
      <c r="DA140" s="9"/>
      <c r="DB140" s="9">
        <v>0.57999999999999996</v>
      </c>
      <c r="DC140" s="9">
        <v>0.57999999999999996</v>
      </c>
      <c r="DD140" s="9">
        <v>0.57999999999999996</v>
      </c>
      <c r="DE140" s="9">
        <v>0.57999999999999996</v>
      </c>
      <c r="DF140" s="9">
        <v>0.57999999999999996</v>
      </c>
      <c r="DG140" s="9">
        <v>0.57999999999999996</v>
      </c>
      <c r="DH140" s="9">
        <v>0.77</v>
      </c>
      <c r="DI140" s="9">
        <v>0.77</v>
      </c>
      <c r="DJ140" s="9">
        <v>0.77</v>
      </c>
      <c r="DK140" s="9">
        <v>0.48</v>
      </c>
      <c r="DL140" s="9">
        <v>0.48</v>
      </c>
      <c r="DM140" s="9">
        <v>0.48</v>
      </c>
      <c r="DN140" s="9">
        <v>0.48</v>
      </c>
      <c r="DO140" s="9">
        <v>0.48</v>
      </c>
      <c r="DP140" s="9">
        <v>0.48</v>
      </c>
      <c r="DQ140" s="9">
        <v>0.64</v>
      </c>
      <c r="DR140" s="9">
        <v>0.64</v>
      </c>
      <c r="DS140" s="9">
        <v>0.64</v>
      </c>
      <c r="DT140" s="9">
        <v>0.57999999999999996</v>
      </c>
      <c r="DU140" s="9">
        <v>0.57999999999999996</v>
      </c>
      <c r="DV140" s="9">
        <v>0.57999999999999996</v>
      </c>
      <c r="DW140" s="9">
        <v>0.38</v>
      </c>
      <c r="DX140" s="9">
        <v>0.38</v>
      </c>
      <c r="DY140" s="9">
        <v>0.38</v>
      </c>
      <c r="DZ140" s="9">
        <v>0.5</v>
      </c>
      <c r="EA140" s="9">
        <v>0.5</v>
      </c>
      <c r="EB140" s="9">
        <v>0.5</v>
      </c>
      <c r="EC140" s="9"/>
      <c r="ED140" s="9"/>
      <c r="EE140" s="9"/>
      <c r="EF140" s="46">
        <f>Tabelle58971121[[#This Row],[Durchschnittsauslastung min]]*Tabelle58971121[[#This Row],[installierte Leistung MW min]]</f>
        <v>0</v>
      </c>
      <c r="EG140" s="46">
        <f>Tabelle58971121[[#This Row],[Durchschnittsauslastung durch]]*Tabelle58971121[[#This Row],[installierte Leistung MW durch]]</f>
        <v>0</v>
      </c>
      <c r="EH140" s="46">
        <f>Tabelle58971121[[#This Row],[Durchschnittsauslastung max]]*Tabelle58971121[[#This Row],[installierte Leistung MW max]]</f>
        <v>0</v>
      </c>
      <c r="EI140" s="83">
        <f>Tabelle58971121[[#This Row],[Maximalauslastung durch]]*Tabelle58971121[[#This Row],[installierte Leistung MW min]]</f>
        <v>450.8</v>
      </c>
      <c r="EJ140" s="46">
        <f>Tabelle58971121[[#This Row],[Maximalauslastung durch]]*Tabelle58971121[[#This Row],[installierte Leistung MW durch]]</f>
        <v>550.76</v>
      </c>
      <c r="EK140" s="19">
        <f>Tabelle58971121[[#This Row],[Maximalauslastung max]]*Tabelle58971121[[#This Row],[installierte Leistung MW durch]]</f>
        <v>550.76</v>
      </c>
      <c r="EL140" s="9">
        <v>1</v>
      </c>
      <c r="EM140" s="9">
        <v>1</v>
      </c>
      <c r="EN140" s="9">
        <v>1</v>
      </c>
      <c r="EO140" s="1">
        <v>550.76</v>
      </c>
      <c r="EP140" s="1">
        <v>450.8</v>
      </c>
      <c r="EQ140" s="1">
        <v>650.72</v>
      </c>
      <c r="ER140" s="19"/>
      <c r="ES140" s="19"/>
      <c r="EX140" s="1">
        <v>2.9874999999999998</v>
      </c>
      <c r="EY140" s="1">
        <v>1.2</v>
      </c>
      <c r="EZ140" s="1">
        <v>5.8</v>
      </c>
      <c r="FP140" s="1">
        <v>365</v>
      </c>
      <c r="FQ140" s="1">
        <v>292</v>
      </c>
      <c r="FR140" s="1">
        <v>438</v>
      </c>
      <c r="FS140" s="11"/>
      <c r="FT140" s="11"/>
      <c r="FU140" s="11"/>
      <c r="FV140" s="1">
        <v>365</v>
      </c>
      <c r="FW140" s="1">
        <v>292</v>
      </c>
      <c r="FX140" s="1">
        <v>438</v>
      </c>
      <c r="FZ140" s="19"/>
      <c r="GA140" s="19"/>
      <c r="GB140" s="19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S140" s="1">
        <v>67</v>
      </c>
      <c r="GT140" s="1">
        <v>67</v>
      </c>
      <c r="GU140" s="1">
        <v>67</v>
      </c>
      <c r="GV140" s="13" t="s">
        <v>806</v>
      </c>
      <c r="GW140" s="13" t="s">
        <v>806</v>
      </c>
      <c r="GX140" s="13" t="s">
        <v>806</v>
      </c>
      <c r="GY140" s="13"/>
      <c r="GZ140" s="13" t="s">
        <v>806</v>
      </c>
      <c r="HA140" s="13" t="s">
        <v>806</v>
      </c>
      <c r="HB140" s="13" t="s">
        <v>806</v>
      </c>
      <c r="HC140" s="13" t="s">
        <v>806</v>
      </c>
      <c r="HD140" s="13" t="s">
        <v>806</v>
      </c>
      <c r="HE140" s="13" t="s">
        <v>806</v>
      </c>
      <c r="HF140" s="13" t="s">
        <v>806</v>
      </c>
      <c r="HI140" s="13" t="s">
        <v>806</v>
      </c>
      <c r="HJ140" s="13" t="s">
        <v>806</v>
      </c>
      <c r="HL140" s="13" t="s">
        <v>806</v>
      </c>
    </row>
    <row r="141" spans="1:220" ht="12.75" customHeight="1" x14ac:dyDescent="0.25">
      <c r="A141" s="1" t="s">
        <v>206</v>
      </c>
      <c r="B141" s="1" t="s">
        <v>747</v>
      </c>
      <c r="E141" s="1" t="s">
        <v>126</v>
      </c>
      <c r="F141" s="1">
        <v>2</v>
      </c>
      <c r="G141" s="1">
        <v>2030</v>
      </c>
      <c r="H141" s="1">
        <v>1</v>
      </c>
      <c r="I141" s="1">
        <v>0</v>
      </c>
      <c r="J141" s="1">
        <v>0</v>
      </c>
      <c r="K141" s="19"/>
      <c r="L141" s="19"/>
      <c r="M141" s="19"/>
      <c r="N141" s="19"/>
      <c r="O141" s="19"/>
      <c r="P141" s="19"/>
      <c r="Q141" s="19">
        <v>316.18119999999999</v>
      </c>
      <c r="R141" s="19">
        <v>258.79599999999999</v>
      </c>
      <c r="S141" s="19">
        <v>373.56639999999999</v>
      </c>
      <c r="T141" s="19"/>
      <c r="U141" s="19"/>
      <c r="V141" s="19"/>
      <c r="W141" s="19">
        <v>228.9588</v>
      </c>
      <c r="X141" s="19">
        <v>187.404</v>
      </c>
      <c r="Y141" s="19">
        <v>270.5136</v>
      </c>
      <c r="Z141" s="19">
        <v>316.18119999999999</v>
      </c>
      <c r="AA141" s="19">
        <v>258.79599999999999</v>
      </c>
      <c r="AB141" s="19">
        <v>373.56639999999999</v>
      </c>
      <c r="AC141" s="19"/>
      <c r="AD141" s="19"/>
      <c r="AE141" s="19"/>
      <c r="AF141" s="19">
        <v>228.9588</v>
      </c>
      <c r="AG141" s="19">
        <v>187.404</v>
      </c>
      <c r="AH141" s="19">
        <v>270.5136</v>
      </c>
      <c r="AI141" s="19">
        <v>419.75779999999997</v>
      </c>
      <c r="AJ141" s="19">
        <v>343.57399999999996</v>
      </c>
      <c r="AK141" s="19">
        <v>495.94159999999994</v>
      </c>
      <c r="AL141" s="19">
        <v>125.38219999999998</v>
      </c>
      <c r="AM141" s="19">
        <v>102.62599999999999</v>
      </c>
      <c r="AN141" s="19">
        <v>148.13839999999999</v>
      </c>
      <c r="AO141" s="19">
        <v>261.66719999999998</v>
      </c>
      <c r="AP141" s="19">
        <v>214.17600000000002</v>
      </c>
      <c r="AQ141" s="19">
        <v>309.15840000000003</v>
      </c>
      <c r="AR141" s="19"/>
      <c r="AS141" s="19"/>
      <c r="AT141" s="19"/>
      <c r="AU141" s="19">
        <v>283.47280000000001</v>
      </c>
      <c r="AV141" s="19">
        <v>232.02399999999997</v>
      </c>
      <c r="AW141" s="19">
        <v>334.92159999999996</v>
      </c>
      <c r="AX141" s="19">
        <v>261.66719999999998</v>
      </c>
      <c r="AY141" s="19">
        <v>214.17600000000002</v>
      </c>
      <c r="AZ141" s="19">
        <v>309.15840000000003</v>
      </c>
      <c r="BA141" s="19"/>
      <c r="BB141" s="19"/>
      <c r="BC141" s="19"/>
      <c r="BD141" s="19">
        <v>283.47280000000001</v>
      </c>
      <c r="BE141" s="19">
        <v>232.02399999999997</v>
      </c>
      <c r="BF141" s="19">
        <v>334.92159999999996</v>
      </c>
      <c r="BG141" s="19">
        <v>348.88959999999997</v>
      </c>
      <c r="BH141" s="19">
        <v>285.56799999999998</v>
      </c>
      <c r="BI141" s="19">
        <v>412.21119999999996</v>
      </c>
      <c r="BJ141" s="19"/>
      <c r="BK141" s="19"/>
      <c r="BL141" s="19"/>
      <c r="BM141" s="19">
        <v>196.25039999999998</v>
      </c>
      <c r="BN141" s="19">
        <v>160.63199999999998</v>
      </c>
      <c r="BO141" s="19">
        <v>231.86879999999999</v>
      </c>
      <c r="BP141" s="19">
        <v>316.18119999999999</v>
      </c>
      <c r="BQ141" s="19">
        <v>258.79599999999999</v>
      </c>
      <c r="BR141" s="19">
        <v>373.56639999999999</v>
      </c>
      <c r="BS141" s="19"/>
      <c r="BT141" s="19"/>
      <c r="BU141" s="19"/>
      <c r="BV141" s="19">
        <v>228.9588</v>
      </c>
      <c r="BW141" s="19">
        <v>187.404</v>
      </c>
      <c r="BX141" s="19">
        <v>270.5136</v>
      </c>
      <c r="BY141" s="19">
        <v>207.1532</v>
      </c>
      <c r="BZ141" s="19">
        <v>169.55600000000001</v>
      </c>
      <c r="CA141" s="19">
        <v>244.75039999999998</v>
      </c>
      <c r="CB141" s="19"/>
      <c r="CC141" s="19"/>
      <c r="CD141" s="19"/>
      <c r="CE141" s="19">
        <v>337.98680000000002</v>
      </c>
      <c r="CF141" s="19">
        <v>276.64400000000001</v>
      </c>
      <c r="CG141" s="19">
        <v>399.32959999999997</v>
      </c>
      <c r="CH141" s="19">
        <v>272.57</v>
      </c>
      <c r="CI141" s="19">
        <v>223.1</v>
      </c>
      <c r="CJ141" s="19">
        <v>322.03999999999996</v>
      </c>
      <c r="CK141" s="19"/>
      <c r="CL141" s="19"/>
      <c r="CM141" s="19"/>
      <c r="CN141" s="19">
        <v>272.57</v>
      </c>
      <c r="CO141" s="19">
        <v>223.1</v>
      </c>
      <c r="CP141" s="19">
        <v>322.03999999999996</v>
      </c>
      <c r="CQ141" s="19"/>
      <c r="CR141" s="19"/>
      <c r="CS141" s="19"/>
      <c r="CT141" s="19"/>
      <c r="CU141" s="11">
        <f>Tabelle58971121[[#This Row],[Mindestauslastung durch]]*Tabelle58971121[[#This Row],[installierte Leistung MW durch]]</f>
        <v>0</v>
      </c>
      <c r="CV141" s="11">
        <f>Tabelle58971121[[#This Row],[Mindestauslastung min]]*Tabelle58971121[[#This Row],[installierte Leistung MW min]]</f>
        <v>0</v>
      </c>
      <c r="CW141" s="11">
        <f>Tabelle58971121[[#This Row],[Mindestauslastung max]]*Tabelle58971121[[#This Row],[installierte Leistung MW max]]</f>
        <v>0</v>
      </c>
      <c r="CX141" s="9">
        <v>0</v>
      </c>
      <c r="CY141" s="9">
        <v>0</v>
      </c>
      <c r="CZ141" s="9">
        <v>0</v>
      </c>
      <c r="DA141" s="9"/>
      <c r="DB141" s="9">
        <v>0.57999999999999996</v>
      </c>
      <c r="DC141" s="9">
        <v>0.57999999999999996</v>
      </c>
      <c r="DD141" s="9">
        <v>0.57999999999999996</v>
      </c>
      <c r="DE141" s="9">
        <v>0.57999999999999996</v>
      </c>
      <c r="DF141" s="9">
        <v>0.57999999999999996</v>
      </c>
      <c r="DG141" s="9">
        <v>0.57999999999999996</v>
      </c>
      <c r="DH141" s="9">
        <v>0.77</v>
      </c>
      <c r="DI141" s="9">
        <v>0.77</v>
      </c>
      <c r="DJ141" s="9">
        <v>0.77</v>
      </c>
      <c r="DK141" s="9">
        <v>0.48</v>
      </c>
      <c r="DL141" s="9">
        <v>0.48</v>
      </c>
      <c r="DM141" s="9">
        <v>0.48</v>
      </c>
      <c r="DN141" s="9">
        <v>0.48</v>
      </c>
      <c r="DO141" s="9">
        <v>0.48</v>
      </c>
      <c r="DP141" s="9">
        <v>0.48</v>
      </c>
      <c r="DQ141" s="9">
        <v>0.64</v>
      </c>
      <c r="DR141" s="9">
        <v>0.64</v>
      </c>
      <c r="DS141" s="9">
        <v>0.64</v>
      </c>
      <c r="DT141" s="9">
        <v>0.57999999999999996</v>
      </c>
      <c r="DU141" s="9">
        <v>0.57999999999999996</v>
      </c>
      <c r="DV141" s="9">
        <v>0.57999999999999996</v>
      </c>
      <c r="DW141" s="9">
        <v>0.38</v>
      </c>
      <c r="DX141" s="9">
        <v>0.38</v>
      </c>
      <c r="DY141" s="9">
        <v>0.38</v>
      </c>
      <c r="DZ141" s="9">
        <v>0.5</v>
      </c>
      <c r="EA141" s="9">
        <v>0.5</v>
      </c>
      <c r="EB141" s="9">
        <v>0.5</v>
      </c>
      <c r="EC141" s="9"/>
      <c r="ED141" s="9"/>
      <c r="EE141" s="9"/>
      <c r="EF141" s="46">
        <f>Tabelle58971121[[#This Row],[Durchschnittsauslastung min]]*Tabelle58971121[[#This Row],[installierte Leistung MW min]]</f>
        <v>0</v>
      </c>
      <c r="EG141" s="46">
        <f>Tabelle58971121[[#This Row],[Durchschnittsauslastung durch]]*Tabelle58971121[[#This Row],[installierte Leistung MW durch]]</f>
        <v>0</v>
      </c>
      <c r="EH141" s="46">
        <f>Tabelle58971121[[#This Row],[Durchschnittsauslastung max]]*Tabelle58971121[[#This Row],[installierte Leistung MW max]]</f>
        <v>0</v>
      </c>
      <c r="EI141" s="83">
        <f>Tabelle58971121[[#This Row],[Maximalauslastung durch]]*Tabelle58971121[[#This Row],[installierte Leistung MW min]]</f>
        <v>446.2</v>
      </c>
      <c r="EJ141" s="46">
        <f>Tabelle58971121[[#This Row],[Maximalauslastung durch]]*Tabelle58971121[[#This Row],[installierte Leistung MW durch]]</f>
        <v>545.14</v>
      </c>
      <c r="EK141" s="19">
        <f>Tabelle58971121[[#This Row],[Maximalauslastung max]]*Tabelle58971121[[#This Row],[installierte Leistung MW durch]]</f>
        <v>545.14</v>
      </c>
      <c r="EL141" s="9">
        <v>1</v>
      </c>
      <c r="EM141" s="9">
        <v>1</v>
      </c>
      <c r="EN141" s="9">
        <v>1</v>
      </c>
      <c r="EO141" s="1">
        <v>545.14</v>
      </c>
      <c r="EP141" s="1">
        <v>446.2</v>
      </c>
      <c r="EQ141" s="1">
        <v>644.08000000000004</v>
      </c>
      <c r="ER141" s="19"/>
      <c r="ES141" s="19"/>
      <c r="EX141" s="1">
        <v>2.9874999999999998</v>
      </c>
      <c r="EY141" s="1">
        <v>1.2</v>
      </c>
      <c r="EZ141" s="1">
        <v>5.8</v>
      </c>
      <c r="FP141" s="1">
        <v>365</v>
      </c>
      <c r="FQ141" s="1">
        <v>292</v>
      </c>
      <c r="FR141" s="1">
        <v>438</v>
      </c>
      <c r="FS141" s="11"/>
      <c r="FT141" s="11"/>
      <c r="FU141" s="11"/>
      <c r="FV141" s="1">
        <v>365</v>
      </c>
      <c r="FW141" s="1">
        <v>292</v>
      </c>
      <c r="FX141" s="1">
        <v>438</v>
      </c>
      <c r="FZ141" s="19"/>
      <c r="GA141" s="19"/>
      <c r="GB141" s="19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S141" s="1">
        <v>67</v>
      </c>
      <c r="GT141" s="1">
        <v>67</v>
      </c>
      <c r="GU141" s="1">
        <v>67</v>
      </c>
      <c r="GV141" s="13" t="s">
        <v>806</v>
      </c>
      <c r="GW141" s="13" t="s">
        <v>806</v>
      </c>
      <c r="GX141" s="13" t="s">
        <v>806</v>
      </c>
      <c r="GY141" s="13"/>
      <c r="GZ141" s="13" t="s">
        <v>806</v>
      </c>
      <c r="HA141" s="13" t="s">
        <v>806</v>
      </c>
      <c r="HB141" s="13" t="s">
        <v>806</v>
      </c>
      <c r="HC141" s="13" t="s">
        <v>806</v>
      </c>
      <c r="HD141" s="13" t="s">
        <v>806</v>
      </c>
      <c r="HE141" s="13" t="s">
        <v>806</v>
      </c>
      <c r="HF141" s="13" t="s">
        <v>806</v>
      </c>
      <c r="HI141" s="13" t="s">
        <v>806</v>
      </c>
      <c r="HJ141" s="13" t="s">
        <v>806</v>
      </c>
      <c r="HL141" s="13" t="s">
        <v>806</v>
      </c>
    </row>
    <row r="142" spans="1:220" ht="12.75" customHeight="1" x14ac:dyDescent="0.25">
      <c r="A142" s="1" t="s">
        <v>206</v>
      </c>
      <c r="B142" s="1" t="s">
        <v>747</v>
      </c>
      <c r="E142" s="1" t="s">
        <v>126</v>
      </c>
      <c r="F142" s="1">
        <v>2</v>
      </c>
      <c r="G142" s="1">
        <v>2035</v>
      </c>
      <c r="H142" s="1">
        <v>1</v>
      </c>
      <c r="I142" s="1">
        <v>0</v>
      </c>
      <c r="J142" s="1">
        <v>0</v>
      </c>
      <c r="K142" s="19"/>
      <c r="L142" s="19"/>
      <c r="M142" s="19"/>
      <c r="N142" s="19"/>
      <c r="O142" s="19"/>
      <c r="P142" s="19"/>
      <c r="Q142" s="19">
        <v>312.92159999999996</v>
      </c>
      <c r="R142" s="19">
        <v>256.12799999999999</v>
      </c>
      <c r="S142" s="19">
        <v>369.71519999999998</v>
      </c>
      <c r="T142" s="19"/>
      <c r="U142" s="19"/>
      <c r="V142" s="19"/>
      <c r="W142" s="19">
        <v>226.5984</v>
      </c>
      <c r="X142" s="19">
        <v>185.47199999999998</v>
      </c>
      <c r="Y142" s="19">
        <v>267.72479999999996</v>
      </c>
      <c r="Z142" s="19">
        <v>312.92159999999996</v>
      </c>
      <c r="AA142" s="19">
        <v>256.12799999999999</v>
      </c>
      <c r="AB142" s="19">
        <v>369.71519999999998</v>
      </c>
      <c r="AC142" s="19"/>
      <c r="AD142" s="19"/>
      <c r="AE142" s="19"/>
      <c r="AF142" s="19">
        <v>226.5984</v>
      </c>
      <c r="AG142" s="19">
        <v>185.47199999999998</v>
      </c>
      <c r="AH142" s="19">
        <v>267.72479999999996</v>
      </c>
      <c r="AI142" s="19">
        <v>415.43040000000002</v>
      </c>
      <c r="AJ142" s="19">
        <v>340.03199999999998</v>
      </c>
      <c r="AK142" s="19">
        <v>490.82879999999994</v>
      </c>
      <c r="AL142" s="19">
        <v>124.08959999999999</v>
      </c>
      <c r="AM142" s="19">
        <v>101.568</v>
      </c>
      <c r="AN142" s="19">
        <v>146.6112</v>
      </c>
      <c r="AO142" s="19">
        <v>258.96959999999996</v>
      </c>
      <c r="AP142" s="19">
        <v>211.96799999999999</v>
      </c>
      <c r="AQ142" s="19">
        <v>305.97120000000001</v>
      </c>
      <c r="AR142" s="19"/>
      <c r="AS142" s="19"/>
      <c r="AT142" s="19"/>
      <c r="AU142" s="19">
        <v>280.55040000000002</v>
      </c>
      <c r="AV142" s="19">
        <v>229.63199999999998</v>
      </c>
      <c r="AW142" s="19">
        <v>331.46879999999999</v>
      </c>
      <c r="AX142" s="19">
        <v>258.96959999999996</v>
      </c>
      <c r="AY142" s="19">
        <v>211.96799999999999</v>
      </c>
      <c r="AZ142" s="19">
        <v>305.97120000000001</v>
      </c>
      <c r="BA142" s="19"/>
      <c r="BB142" s="19"/>
      <c r="BC142" s="19"/>
      <c r="BD142" s="19">
        <v>280.55040000000002</v>
      </c>
      <c r="BE142" s="19">
        <v>229.63199999999998</v>
      </c>
      <c r="BF142" s="19">
        <v>331.46879999999999</v>
      </c>
      <c r="BG142" s="19">
        <v>345.2928</v>
      </c>
      <c r="BH142" s="19">
        <v>282.62399999999997</v>
      </c>
      <c r="BI142" s="19">
        <v>407.96159999999998</v>
      </c>
      <c r="BJ142" s="19"/>
      <c r="BK142" s="19"/>
      <c r="BL142" s="19"/>
      <c r="BM142" s="19">
        <v>194.22719999999998</v>
      </c>
      <c r="BN142" s="19">
        <v>158.976</v>
      </c>
      <c r="BO142" s="19">
        <v>229.47839999999999</v>
      </c>
      <c r="BP142" s="19">
        <v>312.92159999999996</v>
      </c>
      <c r="BQ142" s="19">
        <v>256.12799999999999</v>
      </c>
      <c r="BR142" s="19">
        <v>369.71519999999998</v>
      </c>
      <c r="BS142" s="19"/>
      <c r="BT142" s="19"/>
      <c r="BU142" s="19"/>
      <c r="BV142" s="19">
        <v>226.5984</v>
      </c>
      <c r="BW142" s="19">
        <v>185.47199999999998</v>
      </c>
      <c r="BX142" s="19">
        <v>267.72479999999996</v>
      </c>
      <c r="BY142" s="19">
        <v>205.01759999999999</v>
      </c>
      <c r="BZ142" s="19">
        <v>167.80799999999999</v>
      </c>
      <c r="CA142" s="19">
        <v>242.22719999999998</v>
      </c>
      <c r="CB142" s="19"/>
      <c r="CC142" s="19"/>
      <c r="CD142" s="19"/>
      <c r="CE142" s="19">
        <v>334.50239999999997</v>
      </c>
      <c r="CF142" s="19">
        <v>273.79199999999997</v>
      </c>
      <c r="CG142" s="19">
        <v>395.21280000000002</v>
      </c>
      <c r="CH142" s="19">
        <v>269.76</v>
      </c>
      <c r="CI142" s="19">
        <v>220.79999999999998</v>
      </c>
      <c r="CJ142" s="19">
        <v>318.71999999999997</v>
      </c>
      <c r="CK142" s="19"/>
      <c r="CL142" s="19"/>
      <c r="CM142" s="19"/>
      <c r="CN142" s="19">
        <v>269.76</v>
      </c>
      <c r="CO142" s="19">
        <v>220.79999999999998</v>
      </c>
      <c r="CP142" s="19">
        <v>318.71999999999997</v>
      </c>
      <c r="CQ142" s="19"/>
      <c r="CR142" s="19"/>
      <c r="CS142" s="19"/>
      <c r="CT142" s="19"/>
      <c r="CU142" s="11">
        <f>Tabelle58971121[[#This Row],[Mindestauslastung durch]]*Tabelle58971121[[#This Row],[installierte Leistung MW durch]]</f>
        <v>0</v>
      </c>
      <c r="CV142" s="11">
        <f>Tabelle58971121[[#This Row],[Mindestauslastung min]]*Tabelle58971121[[#This Row],[installierte Leistung MW min]]</f>
        <v>0</v>
      </c>
      <c r="CW142" s="11">
        <f>Tabelle58971121[[#This Row],[Mindestauslastung max]]*Tabelle58971121[[#This Row],[installierte Leistung MW max]]</f>
        <v>0</v>
      </c>
      <c r="CX142" s="9">
        <v>0</v>
      </c>
      <c r="CY142" s="9">
        <v>0</v>
      </c>
      <c r="CZ142" s="9">
        <v>0</v>
      </c>
      <c r="DA142" s="9"/>
      <c r="DB142" s="9">
        <v>0.57999999999999996</v>
      </c>
      <c r="DC142" s="9">
        <v>0.57999999999999996</v>
      </c>
      <c r="DD142" s="9">
        <v>0.57999999999999996</v>
      </c>
      <c r="DE142" s="9">
        <v>0.57999999999999996</v>
      </c>
      <c r="DF142" s="9">
        <v>0.57999999999999996</v>
      </c>
      <c r="DG142" s="9">
        <v>0.57999999999999996</v>
      </c>
      <c r="DH142" s="9">
        <v>0.77</v>
      </c>
      <c r="DI142" s="9">
        <v>0.77</v>
      </c>
      <c r="DJ142" s="9">
        <v>0.77</v>
      </c>
      <c r="DK142" s="9">
        <v>0.48</v>
      </c>
      <c r="DL142" s="9">
        <v>0.48</v>
      </c>
      <c r="DM142" s="9">
        <v>0.48</v>
      </c>
      <c r="DN142" s="9">
        <v>0.48</v>
      </c>
      <c r="DO142" s="9">
        <v>0.48</v>
      </c>
      <c r="DP142" s="9">
        <v>0.48</v>
      </c>
      <c r="DQ142" s="9">
        <v>0.64</v>
      </c>
      <c r="DR142" s="9">
        <v>0.64</v>
      </c>
      <c r="DS142" s="9">
        <v>0.64</v>
      </c>
      <c r="DT142" s="9">
        <v>0.57999999999999996</v>
      </c>
      <c r="DU142" s="9">
        <v>0.57999999999999996</v>
      </c>
      <c r="DV142" s="9">
        <v>0.57999999999999996</v>
      </c>
      <c r="DW142" s="9">
        <v>0.38</v>
      </c>
      <c r="DX142" s="9">
        <v>0.38</v>
      </c>
      <c r="DY142" s="9">
        <v>0.38</v>
      </c>
      <c r="DZ142" s="9">
        <v>0.5</v>
      </c>
      <c r="EA142" s="9">
        <v>0.5</v>
      </c>
      <c r="EB142" s="9">
        <v>0.5</v>
      </c>
      <c r="EC142" s="9"/>
      <c r="ED142" s="9"/>
      <c r="EE142" s="9"/>
      <c r="EF142" s="46">
        <f>Tabelle58971121[[#This Row],[Durchschnittsauslastung min]]*Tabelle58971121[[#This Row],[installierte Leistung MW min]]</f>
        <v>0</v>
      </c>
      <c r="EG142" s="46">
        <f>Tabelle58971121[[#This Row],[Durchschnittsauslastung durch]]*Tabelle58971121[[#This Row],[installierte Leistung MW durch]]</f>
        <v>0</v>
      </c>
      <c r="EH142" s="46">
        <f>Tabelle58971121[[#This Row],[Durchschnittsauslastung max]]*Tabelle58971121[[#This Row],[installierte Leistung MW max]]</f>
        <v>0</v>
      </c>
      <c r="EI142" s="83">
        <f>Tabelle58971121[[#This Row],[Maximalauslastung durch]]*Tabelle58971121[[#This Row],[installierte Leistung MW min]]</f>
        <v>441.6</v>
      </c>
      <c r="EJ142" s="46">
        <f>Tabelle58971121[[#This Row],[Maximalauslastung durch]]*Tabelle58971121[[#This Row],[installierte Leistung MW durch]]</f>
        <v>539.52</v>
      </c>
      <c r="EK142" s="19">
        <f>Tabelle58971121[[#This Row],[Maximalauslastung max]]*Tabelle58971121[[#This Row],[installierte Leistung MW durch]]</f>
        <v>539.52</v>
      </c>
      <c r="EL142" s="9">
        <v>1</v>
      </c>
      <c r="EM142" s="9">
        <v>1</v>
      </c>
      <c r="EN142" s="9">
        <v>1</v>
      </c>
      <c r="EO142" s="1">
        <v>539.52</v>
      </c>
      <c r="EP142" s="1">
        <v>441.6</v>
      </c>
      <c r="EQ142" s="1">
        <v>637.44000000000005</v>
      </c>
      <c r="ER142" s="19"/>
      <c r="ES142" s="19"/>
      <c r="EX142" s="1">
        <v>2.9874999999999998</v>
      </c>
      <c r="EY142" s="1">
        <v>1.2</v>
      </c>
      <c r="EZ142" s="1">
        <v>5.8</v>
      </c>
      <c r="FP142" s="1">
        <v>365</v>
      </c>
      <c r="FQ142" s="1">
        <v>292</v>
      </c>
      <c r="FR142" s="1">
        <v>438</v>
      </c>
      <c r="FS142" s="11"/>
      <c r="FT142" s="11"/>
      <c r="FU142" s="11"/>
      <c r="FV142" s="1">
        <v>365</v>
      </c>
      <c r="FW142" s="1">
        <v>292</v>
      </c>
      <c r="FX142" s="1">
        <v>438</v>
      </c>
      <c r="FZ142" s="19"/>
      <c r="GA142" s="19"/>
      <c r="GB142" s="19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S142" s="1">
        <v>67</v>
      </c>
      <c r="GT142" s="1">
        <v>67</v>
      </c>
      <c r="GU142" s="1">
        <v>67</v>
      </c>
      <c r="GV142" s="13" t="s">
        <v>806</v>
      </c>
      <c r="GW142" s="13" t="s">
        <v>806</v>
      </c>
      <c r="GX142" s="13" t="s">
        <v>806</v>
      </c>
      <c r="GY142" s="13"/>
      <c r="GZ142" s="13" t="s">
        <v>806</v>
      </c>
      <c r="HA142" s="13" t="s">
        <v>806</v>
      </c>
      <c r="HB142" s="13" t="s">
        <v>806</v>
      </c>
      <c r="HC142" s="13" t="s">
        <v>806</v>
      </c>
      <c r="HD142" s="13" t="s">
        <v>806</v>
      </c>
      <c r="HE142" s="13" t="s">
        <v>806</v>
      </c>
      <c r="HF142" s="13" t="s">
        <v>806</v>
      </c>
      <c r="HI142" s="13" t="s">
        <v>806</v>
      </c>
      <c r="HJ142" s="13" t="s">
        <v>806</v>
      </c>
      <c r="HL142" s="13" t="s">
        <v>806</v>
      </c>
    </row>
    <row r="143" spans="1:220" ht="12.75" customHeight="1" x14ac:dyDescent="0.25">
      <c r="A143" s="1" t="s">
        <v>206</v>
      </c>
      <c r="B143" s="1" t="s">
        <v>747</v>
      </c>
      <c r="E143" s="1" t="s">
        <v>126</v>
      </c>
      <c r="F143" s="1">
        <v>2</v>
      </c>
      <c r="G143" s="1">
        <v>2040</v>
      </c>
      <c r="H143" s="1">
        <v>1</v>
      </c>
      <c r="I143" s="1">
        <v>0</v>
      </c>
      <c r="J143" s="1">
        <v>0</v>
      </c>
      <c r="K143" s="19"/>
      <c r="L143" s="19"/>
      <c r="M143" s="19"/>
      <c r="N143" s="19"/>
      <c r="O143" s="19"/>
      <c r="P143" s="19"/>
      <c r="Q143" s="19">
        <v>309.66199999999998</v>
      </c>
      <c r="R143" s="19">
        <v>253.46</v>
      </c>
      <c r="S143" s="19">
        <v>365.86399999999998</v>
      </c>
      <c r="T143" s="19"/>
      <c r="U143" s="19"/>
      <c r="V143" s="19"/>
      <c r="W143" s="19">
        <v>224.23799999999997</v>
      </c>
      <c r="X143" s="19">
        <v>183.54</v>
      </c>
      <c r="Y143" s="19">
        <v>264.93599999999998</v>
      </c>
      <c r="Z143" s="19">
        <v>309.66199999999998</v>
      </c>
      <c r="AA143" s="19">
        <v>253.46</v>
      </c>
      <c r="AB143" s="19">
        <v>365.86399999999998</v>
      </c>
      <c r="AC143" s="19"/>
      <c r="AD143" s="19"/>
      <c r="AE143" s="19"/>
      <c r="AF143" s="19">
        <v>224.23799999999997</v>
      </c>
      <c r="AG143" s="19">
        <v>183.54</v>
      </c>
      <c r="AH143" s="19">
        <v>264.93599999999998</v>
      </c>
      <c r="AI143" s="19">
        <v>411.10300000000001</v>
      </c>
      <c r="AJ143" s="19">
        <v>336.48999999999995</v>
      </c>
      <c r="AK143" s="19">
        <v>485.71599999999995</v>
      </c>
      <c r="AL143" s="19">
        <v>122.79699999999998</v>
      </c>
      <c r="AM143" s="19">
        <v>100.50999999999999</v>
      </c>
      <c r="AN143" s="19">
        <v>145.084</v>
      </c>
      <c r="AO143" s="19">
        <v>256.27199999999999</v>
      </c>
      <c r="AP143" s="19">
        <v>209.76</v>
      </c>
      <c r="AQ143" s="19">
        <v>302.78399999999999</v>
      </c>
      <c r="AR143" s="19"/>
      <c r="AS143" s="19"/>
      <c r="AT143" s="19"/>
      <c r="AU143" s="19">
        <v>277.62799999999999</v>
      </c>
      <c r="AV143" s="19">
        <v>227.23999999999998</v>
      </c>
      <c r="AW143" s="19">
        <v>328.01599999999996</v>
      </c>
      <c r="AX143" s="19">
        <v>256.27199999999999</v>
      </c>
      <c r="AY143" s="19">
        <v>209.76</v>
      </c>
      <c r="AZ143" s="19">
        <v>302.78399999999999</v>
      </c>
      <c r="BA143" s="19"/>
      <c r="BB143" s="19"/>
      <c r="BC143" s="19"/>
      <c r="BD143" s="19">
        <v>277.62799999999999</v>
      </c>
      <c r="BE143" s="19">
        <v>227.23999999999998</v>
      </c>
      <c r="BF143" s="19">
        <v>328.01599999999996</v>
      </c>
      <c r="BG143" s="19">
        <v>341.69599999999997</v>
      </c>
      <c r="BH143" s="19">
        <v>279.67999999999995</v>
      </c>
      <c r="BI143" s="19">
        <v>403.71199999999999</v>
      </c>
      <c r="BJ143" s="19"/>
      <c r="BK143" s="19"/>
      <c r="BL143" s="19"/>
      <c r="BM143" s="19">
        <v>192.20399999999998</v>
      </c>
      <c r="BN143" s="19">
        <v>157.32</v>
      </c>
      <c r="BO143" s="19">
        <v>227.08799999999999</v>
      </c>
      <c r="BP143" s="19">
        <v>309.66199999999998</v>
      </c>
      <c r="BQ143" s="19">
        <v>253.46</v>
      </c>
      <c r="BR143" s="19">
        <v>365.86399999999998</v>
      </c>
      <c r="BS143" s="19"/>
      <c r="BT143" s="19"/>
      <c r="BU143" s="19"/>
      <c r="BV143" s="19">
        <v>224.23799999999997</v>
      </c>
      <c r="BW143" s="19">
        <v>183.54</v>
      </c>
      <c r="BX143" s="19">
        <v>264.93599999999998</v>
      </c>
      <c r="BY143" s="19">
        <v>202.88200000000001</v>
      </c>
      <c r="BZ143" s="19">
        <v>166.06</v>
      </c>
      <c r="CA143" s="19">
        <v>239.70399999999998</v>
      </c>
      <c r="CB143" s="19"/>
      <c r="CC143" s="19"/>
      <c r="CD143" s="19"/>
      <c r="CE143" s="19">
        <v>331.01799999999997</v>
      </c>
      <c r="CF143" s="19">
        <v>270.94</v>
      </c>
      <c r="CG143" s="19">
        <v>391.096</v>
      </c>
      <c r="CH143" s="19">
        <v>266.95</v>
      </c>
      <c r="CI143" s="19">
        <v>218.5</v>
      </c>
      <c r="CJ143" s="19">
        <v>315.39999999999998</v>
      </c>
      <c r="CK143" s="19"/>
      <c r="CL143" s="19"/>
      <c r="CM143" s="19"/>
      <c r="CN143" s="19">
        <v>266.95</v>
      </c>
      <c r="CO143" s="19">
        <v>218.5</v>
      </c>
      <c r="CP143" s="19">
        <v>315.39999999999998</v>
      </c>
      <c r="CQ143" s="19"/>
      <c r="CR143" s="19"/>
      <c r="CS143" s="19"/>
      <c r="CT143" s="19"/>
      <c r="CU143" s="11">
        <f>Tabelle58971121[[#This Row],[Mindestauslastung durch]]*Tabelle58971121[[#This Row],[installierte Leistung MW durch]]</f>
        <v>0</v>
      </c>
      <c r="CV143" s="11">
        <f>Tabelle58971121[[#This Row],[Mindestauslastung min]]*Tabelle58971121[[#This Row],[installierte Leistung MW min]]</f>
        <v>0</v>
      </c>
      <c r="CW143" s="11">
        <f>Tabelle58971121[[#This Row],[Mindestauslastung max]]*Tabelle58971121[[#This Row],[installierte Leistung MW max]]</f>
        <v>0</v>
      </c>
      <c r="CX143" s="9">
        <v>0</v>
      </c>
      <c r="CY143" s="9">
        <v>0</v>
      </c>
      <c r="CZ143" s="9">
        <v>0</v>
      </c>
      <c r="DA143" s="9"/>
      <c r="DB143" s="9">
        <v>0.57999999999999996</v>
      </c>
      <c r="DC143" s="9">
        <v>0.57999999999999996</v>
      </c>
      <c r="DD143" s="9">
        <v>0.57999999999999996</v>
      </c>
      <c r="DE143" s="9">
        <v>0.57999999999999996</v>
      </c>
      <c r="DF143" s="9">
        <v>0.57999999999999996</v>
      </c>
      <c r="DG143" s="9">
        <v>0.57999999999999996</v>
      </c>
      <c r="DH143" s="9">
        <v>0.77</v>
      </c>
      <c r="DI143" s="9">
        <v>0.77</v>
      </c>
      <c r="DJ143" s="9">
        <v>0.77</v>
      </c>
      <c r="DK143" s="9">
        <v>0.48</v>
      </c>
      <c r="DL143" s="9">
        <v>0.48</v>
      </c>
      <c r="DM143" s="9">
        <v>0.48</v>
      </c>
      <c r="DN143" s="9">
        <v>0.48</v>
      </c>
      <c r="DO143" s="9">
        <v>0.48</v>
      </c>
      <c r="DP143" s="9">
        <v>0.48</v>
      </c>
      <c r="DQ143" s="9">
        <v>0.64</v>
      </c>
      <c r="DR143" s="9">
        <v>0.64</v>
      </c>
      <c r="DS143" s="9">
        <v>0.64</v>
      </c>
      <c r="DT143" s="9">
        <v>0.57999999999999996</v>
      </c>
      <c r="DU143" s="9">
        <v>0.57999999999999996</v>
      </c>
      <c r="DV143" s="9">
        <v>0.57999999999999996</v>
      </c>
      <c r="DW143" s="9">
        <v>0.38</v>
      </c>
      <c r="DX143" s="9">
        <v>0.38</v>
      </c>
      <c r="DY143" s="9">
        <v>0.38</v>
      </c>
      <c r="DZ143" s="9">
        <v>0.5</v>
      </c>
      <c r="EA143" s="9">
        <v>0.5</v>
      </c>
      <c r="EB143" s="9">
        <v>0.5</v>
      </c>
      <c r="EC143" s="9"/>
      <c r="ED143" s="9"/>
      <c r="EE143" s="9"/>
      <c r="EF143" s="46">
        <f>Tabelle58971121[[#This Row],[Durchschnittsauslastung min]]*Tabelle58971121[[#This Row],[installierte Leistung MW min]]</f>
        <v>0</v>
      </c>
      <c r="EG143" s="46">
        <f>Tabelle58971121[[#This Row],[Durchschnittsauslastung durch]]*Tabelle58971121[[#This Row],[installierte Leistung MW durch]]</f>
        <v>0</v>
      </c>
      <c r="EH143" s="46">
        <f>Tabelle58971121[[#This Row],[Durchschnittsauslastung max]]*Tabelle58971121[[#This Row],[installierte Leistung MW max]]</f>
        <v>0</v>
      </c>
      <c r="EI143" s="83">
        <f>Tabelle58971121[[#This Row],[Maximalauslastung durch]]*Tabelle58971121[[#This Row],[installierte Leistung MW min]]</f>
        <v>437</v>
      </c>
      <c r="EJ143" s="46">
        <f>Tabelle58971121[[#This Row],[Maximalauslastung durch]]*Tabelle58971121[[#This Row],[installierte Leistung MW durch]]</f>
        <v>533.9</v>
      </c>
      <c r="EK143" s="19">
        <f>Tabelle58971121[[#This Row],[Maximalauslastung max]]*Tabelle58971121[[#This Row],[installierte Leistung MW durch]]</f>
        <v>533.9</v>
      </c>
      <c r="EL143" s="9">
        <v>1</v>
      </c>
      <c r="EM143" s="9">
        <v>1</v>
      </c>
      <c r="EN143" s="9">
        <v>1</v>
      </c>
      <c r="EO143" s="1">
        <v>533.9</v>
      </c>
      <c r="EP143" s="1">
        <v>437</v>
      </c>
      <c r="EQ143" s="1">
        <v>630.79999999999995</v>
      </c>
      <c r="ER143" s="19"/>
      <c r="ES143" s="19"/>
      <c r="EX143" s="1">
        <v>2.9874999999999998</v>
      </c>
      <c r="EY143" s="1">
        <v>1.2</v>
      </c>
      <c r="EZ143" s="1">
        <v>5.8</v>
      </c>
      <c r="FP143" s="1">
        <v>365</v>
      </c>
      <c r="FQ143" s="1">
        <v>292</v>
      </c>
      <c r="FR143" s="1">
        <v>438</v>
      </c>
      <c r="FS143" s="11"/>
      <c r="FT143" s="11"/>
      <c r="FU143" s="11"/>
      <c r="FV143" s="1">
        <v>365</v>
      </c>
      <c r="FW143" s="1">
        <v>292</v>
      </c>
      <c r="FX143" s="1">
        <v>438</v>
      </c>
      <c r="FZ143" s="19"/>
      <c r="GA143" s="19"/>
      <c r="GB143" s="19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S143" s="1">
        <v>67</v>
      </c>
      <c r="GT143" s="1">
        <v>67</v>
      </c>
      <c r="GU143" s="1">
        <v>67</v>
      </c>
      <c r="GV143" s="13" t="s">
        <v>806</v>
      </c>
      <c r="GW143" s="13" t="s">
        <v>806</v>
      </c>
      <c r="GX143" s="13" t="s">
        <v>806</v>
      </c>
      <c r="GY143" s="13"/>
      <c r="GZ143" s="13" t="s">
        <v>806</v>
      </c>
      <c r="HA143" s="13" t="s">
        <v>806</v>
      </c>
      <c r="HB143" s="13" t="s">
        <v>806</v>
      </c>
      <c r="HC143" s="13" t="s">
        <v>806</v>
      </c>
      <c r="HD143" s="13" t="s">
        <v>806</v>
      </c>
      <c r="HE143" s="13" t="s">
        <v>806</v>
      </c>
      <c r="HF143" s="13" t="s">
        <v>806</v>
      </c>
      <c r="HI143" s="13" t="s">
        <v>806</v>
      </c>
      <c r="HJ143" s="13" t="s">
        <v>806</v>
      </c>
      <c r="HL143" s="13" t="s">
        <v>806</v>
      </c>
    </row>
    <row r="144" spans="1:220" ht="12.75" customHeight="1" x14ac:dyDescent="0.25">
      <c r="A144" s="1" t="s">
        <v>206</v>
      </c>
      <c r="B144" s="1" t="s">
        <v>747</v>
      </c>
      <c r="E144" s="1" t="s">
        <v>126</v>
      </c>
      <c r="F144" s="1">
        <v>2</v>
      </c>
      <c r="G144" s="1">
        <v>2045</v>
      </c>
      <c r="H144" s="1">
        <v>1</v>
      </c>
      <c r="I144" s="1">
        <v>0</v>
      </c>
      <c r="J144" s="1">
        <v>0</v>
      </c>
      <c r="K144" s="19"/>
      <c r="L144" s="19"/>
      <c r="M144" s="19"/>
      <c r="N144" s="19"/>
      <c r="O144" s="19"/>
      <c r="P144" s="19"/>
      <c r="Q144" s="19">
        <v>309.66199999999998</v>
      </c>
      <c r="R144" s="19">
        <v>253.46</v>
      </c>
      <c r="S144" s="19">
        <v>365.86399999999998</v>
      </c>
      <c r="T144" s="19"/>
      <c r="U144" s="19"/>
      <c r="V144" s="19"/>
      <c r="W144" s="19">
        <v>224.23799999999997</v>
      </c>
      <c r="X144" s="19">
        <v>183.54</v>
      </c>
      <c r="Y144" s="19">
        <v>264.93599999999998</v>
      </c>
      <c r="Z144" s="19">
        <v>309.66199999999998</v>
      </c>
      <c r="AA144" s="19">
        <v>253.46</v>
      </c>
      <c r="AB144" s="19">
        <v>365.86399999999998</v>
      </c>
      <c r="AC144" s="19"/>
      <c r="AD144" s="19"/>
      <c r="AE144" s="19"/>
      <c r="AF144" s="19">
        <v>224.23799999999997</v>
      </c>
      <c r="AG144" s="19">
        <v>183.54</v>
      </c>
      <c r="AH144" s="19">
        <v>264.93599999999998</v>
      </c>
      <c r="AI144" s="19">
        <v>411.10300000000001</v>
      </c>
      <c r="AJ144" s="19">
        <v>336.48999999999995</v>
      </c>
      <c r="AK144" s="19">
        <v>485.71599999999995</v>
      </c>
      <c r="AL144" s="19">
        <v>122.79699999999998</v>
      </c>
      <c r="AM144" s="19">
        <v>100.50999999999999</v>
      </c>
      <c r="AN144" s="19">
        <v>145.084</v>
      </c>
      <c r="AO144" s="19">
        <v>256.27199999999999</v>
      </c>
      <c r="AP144" s="19">
        <v>209.76</v>
      </c>
      <c r="AQ144" s="19">
        <v>302.78399999999999</v>
      </c>
      <c r="AR144" s="19"/>
      <c r="AS144" s="19"/>
      <c r="AT144" s="19"/>
      <c r="AU144" s="19">
        <v>277.62799999999999</v>
      </c>
      <c r="AV144" s="19">
        <v>227.23999999999998</v>
      </c>
      <c r="AW144" s="19">
        <v>328.01599999999996</v>
      </c>
      <c r="AX144" s="19">
        <v>256.27199999999999</v>
      </c>
      <c r="AY144" s="19">
        <v>209.76</v>
      </c>
      <c r="AZ144" s="19">
        <v>302.78399999999999</v>
      </c>
      <c r="BA144" s="19"/>
      <c r="BB144" s="19"/>
      <c r="BC144" s="19"/>
      <c r="BD144" s="19">
        <v>277.62799999999999</v>
      </c>
      <c r="BE144" s="19">
        <v>227.23999999999998</v>
      </c>
      <c r="BF144" s="19">
        <v>328.01599999999996</v>
      </c>
      <c r="BG144" s="19">
        <v>341.69599999999997</v>
      </c>
      <c r="BH144" s="19">
        <v>279.67999999999995</v>
      </c>
      <c r="BI144" s="19">
        <v>403.71199999999999</v>
      </c>
      <c r="BJ144" s="19"/>
      <c r="BK144" s="19"/>
      <c r="BL144" s="19"/>
      <c r="BM144" s="19">
        <v>192.20399999999998</v>
      </c>
      <c r="BN144" s="19">
        <v>157.32</v>
      </c>
      <c r="BO144" s="19">
        <v>227.08799999999999</v>
      </c>
      <c r="BP144" s="19">
        <v>309.66199999999998</v>
      </c>
      <c r="BQ144" s="19">
        <v>253.46</v>
      </c>
      <c r="BR144" s="19">
        <v>365.86399999999998</v>
      </c>
      <c r="BS144" s="19"/>
      <c r="BT144" s="19"/>
      <c r="BU144" s="19"/>
      <c r="BV144" s="19">
        <v>224.23799999999997</v>
      </c>
      <c r="BW144" s="19">
        <v>183.54</v>
      </c>
      <c r="BX144" s="19">
        <v>264.93599999999998</v>
      </c>
      <c r="BY144" s="19">
        <v>202.88200000000001</v>
      </c>
      <c r="BZ144" s="19">
        <v>166.06</v>
      </c>
      <c r="CA144" s="19">
        <v>239.70399999999998</v>
      </c>
      <c r="CB144" s="19"/>
      <c r="CC144" s="19"/>
      <c r="CD144" s="19"/>
      <c r="CE144" s="19">
        <v>331.01799999999997</v>
      </c>
      <c r="CF144" s="19">
        <v>270.94</v>
      </c>
      <c r="CG144" s="19">
        <v>391.096</v>
      </c>
      <c r="CH144" s="19">
        <v>266.95</v>
      </c>
      <c r="CI144" s="19">
        <v>218.5</v>
      </c>
      <c r="CJ144" s="19">
        <v>315.39999999999998</v>
      </c>
      <c r="CK144" s="19"/>
      <c r="CL144" s="19"/>
      <c r="CM144" s="19"/>
      <c r="CN144" s="19">
        <v>266.95</v>
      </c>
      <c r="CO144" s="19">
        <v>218.5</v>
      </c>
      <c r="CP144" s="19">
        <v>315.39999999999998</v>
      </c>
      <c r="CQ144" s="19"/>
      <c r="CR144" s="19"/>
      <c r="CS144" s="19"/>
      <c r="CT144" s="19"/>
      <c r="CU144" s="11">
        <f>Tabelle58971121[[#This Row],[Mindestauslastung durch]]*Tabelle58971121[[#This Row],[installierte Leistung MW durch]]</f>
        <v>0</v>
      </c>
      <c r="CV144" s="11">
        <f>Tabelle58971121[[#This Row],[Mindestauslastung min]]*Tabelle58971121[[#This Row],[installierte Leistung MW min]]</f>
        <v>0</v>
      </c>
      <c r="CW144" s="11">
        <f>Tabelle58971121[[#This Row],[Mindestauslastung max]]*Tabelle58971121[[#This Row],[installierte Leistung MW max]]</f>
        <v>0</v>
      </c>
      <c r="CX144" s="9">
        <v>0</v>
      </c>
      <c r="CY144" s="9">
        <v>0</v>
      </c>
      <c r="CZ144" s="9">
        <v>0</v>
      </c>
      <c r="DA144" s="9"/>
      <c r="DB144" s="9">
        <v>0.57999999999999996</v>
      </c>
      <c r="DC144" s="9">
        <v>0.57999999999999996</v>
      </c>
      <c r="DD144" s="9">
        <v>0.57999999999999996</v>
      </c>
      <c r="DE144" s="9">
        <v>0.57999999999999996</v>
      </c>
      <c r="DF144" s="9">
        <v>0.57999999999999996</v>
      </c>
      <c r="DG144" s="9">
        <v>0.57999999999999996</v>
      </c>
      <c r="DH144" s="9">
        <v>0.77</v>
      </c>
      <c r="DI144" s="9">
        <v>0.77</v>
      </c>
      <c r="DJ144" s="9">
        <v>0.77</v>
      </c>
      <c r="DK144" s="9">
        <v>0.48</v>
      </c>
      <c r="DL144" s="9">
        <v>0.48</v>
      </c>
      <c r="DM144" s="9">
        <v>0.48</v>
      </c>
      <c r="DN144" s="9">
        <v>0.48</v>
      </c>
      <c r="DO144" s="9">
        <v>0.48</v>
      </c>
      <c r="DP144" s="9">
        <v>0.48</v>
      </c>
      <c r="DQ144" s="9">
        <v>0.64</v>
      </c>
      <c r="DR144" s="9">
        <v>0.64</v>
      </c>
      <c r="DS144" s="9">
        <v>0.64</v>
      </c>
      <c r="DT144" s="9">
        <v>0.57999999999999996</v>
      </c>
      <c r="DU144" s="9">
        <v>0.57999999999999996</v>
      </c>
      <c r="DV144" s="9">
        <v>0.57999999999999996</v>
      </c>
      <c r="DW144" s="9">
        <v>0.38</v>
      </c>
      <c r="DX144" s="9">
        <v>0.38</v>
      </c>
      <c r="DY144" s="9">
        <v>0.38</v>
      </c>
      <c r="DZ144" s="9">
        <v>0.5</v>
      </c>
      <c r="EA144" s="9">
        <v>0.5</v>
      </c>
      <c r="EB144" s="9">
        <v>0.5</v>
      </c>
      <c r="EC144" s="9"/>
      <c r="ED144" s="9"/>
      <c r="EE144" s="9"/>
      <c r="EF144" s="46">
        <f>Tabelle58971121[[#This Row],[Durchschnittsauslastung min]]*Tabelle58971121[[#This Row],[installierte Leistung MW min]]</f>
        <v>0</v>
      </c>
      <c r="EG144" s="46">
        <f>Tabelle58971121[[#This Row],[Durchschnittsauslastung durch]]*Tabelle58971121[[#This Row],[installierte Leistung MW durch]]</f>
        <v>0</v>
      </c>
      <c r="EH144" s="46">
        <f>Tabelle58971121[[#This Row],[Durchschnittsauslastung max]]*Tabelle58971121[[#This Row],[installierte Leistung MW max]]</f>
        <v>0</v>
      </c>
      <c r="EI144" s="83">
        <f>Tabelle58971121[[#This Row],[Maximalauslastung durch]]*Tabelle58971121[[#This Row],[installierte Leistung MW min]]</f>
        <v>437</v>
      </c>
      <c r="EJ144" s="46">
        <f>Tabelle58971121[[#This Row],[Maximalauslastung durch]]*Tabelle58971121[[#This Row],[installierte Leistung MW durch]]</f>
        <v>533.9</v>
      </c>
      <c r="EK144" s="19">
        <f>Tabelle58971121[[#This Row],[Maximalauslastung max]]*Tabelle58971121[[#This Row],[installierte Leistung MW durch]]</f>
        <v>533.9</v>
      </c>
      <c r="EL144" s="9">
        <v>1</v>
      </c>
      <c r="EM144" s="9">
        <v>1</v>
      </c>
      <c r="EN144" s="9">
        <v>1</v>
      </c>
      <c r="EO144" s="1">
        <v>533.9</v>
      </c>
      <c r="EP144" s="1">
        <v>437</v>
      </c>
      <c r="EQ144" s="1">
        <v>630.79999999999995</v>
      </c>
      <c r="ER144" s="19"/>
      <c r="ES144" s="19"/>
      <c r="EX144" s="1">
        <v>2.9874999999999998</v>
      </c>
      <c r="EY144" s="1">
        <v>1.2</v>
      </c>
      <c r="EZ144" s="1">
        <v>5.8</v>
      </c>
      <c r="FP144" s="1">
        <v>365</v>
      </c>
      <c r="FQ144" s="1">
        <v>292</v>
      </c>
      <c r="FR144" s="1">
        <v>438</v>
      </c>
      <c r="FS144" s="11"/>
      <c r="FT144" s="11"/>
      <c r="FU144" s="11"/>
      <c r="FV144" s="1">
        <v>365</v>
      </c>
      <c r="FW144" s="1">
        <v>292</v>
      </c>
      <c r="FX144" s="1">
        <v>438</v>
      </c>
      <c r="FZ144" s="19"/>
      <c r="GA144" s="19"/>
      <c r="GB144" s="19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S144" s="1">
        <v>67</v>
      </c>
      <c r="GT144" s="1">
        <v>67</v>
      </c>
      <c r="GU144" s="1">
        <v>67</v>
      </c>
      <c r="GV144" s="13" t="s">
        <v>806</v>
      </c>
      <c r="GW144" s="13" t="s">
        <v>806</v>
      </c>
      <c r="GX144" s="13" t="s">
        <v>806</v>
      </c>
      <c r="GY144" s="13"/>
      <c r="GZ144" s="13" t="s">
        <v>806</v>
      </c>
      <c r="HA144" s="13" t="s">
        <v>806</v>
      </c>
      <c r="HB144" s="13" t="s">
        <v>806</v>
      </c>
      <c r="HC144" s="13" t="s">
        <v>806</v>
      </c>
      <c r="HD144" s="13" t="s">
        <v>806</v>
      </c>
      <c r="HE144" s="13" t="s">
        <v>806</v>
      </c>
      <c r="HF144" s="13" t="s">
        <v>806</v>
      </c>
      <c r="HI144" s="13" t="s">
        <v>806</v>
      </c>
      <c r="HJ144" s="13" t="s">
        <v>806</v>
      </c>
      <c r="HL144" s="13" t="s">
        <v>806</v>
      </c>
    </row>
    <row r="145" spans="1:223" ht="12.75" customHeight="1" x14ac:dyDescent="0.25">
      <c r="A145" s="1" t="s">
        <v>206</v>
      </c>
      <c r="B145" s="1" t="s">
        <v>747</v>
      </c>
      <c r="E145" s="1" t="s">
        <v>126</v>
      </c>
      <c r="F145" s="1">
        <v>2</v>
      </c>
      <c r="G145" s="1">
        <v>2050</v>
      </c>
      <c r="H145" s="1">
        <v>1</v>
      </c>
      <c r="I145" s="1">
        <v>0</v>
      </c>
      <c r="J145" s="1">
        <v>0</v>
      </c>
      <c r="K145" s="19"/>
      <c r="L145" s="19"/>
      <c r="M145" s="19"/>
      <c r="N145" s="19"/>
      <c r="O145" s="19"/>
      <c r="P145" s="19"/>
      <c r="Q145" s="19">
        <v>306.40239999999994</v>
      </c>
      <c r="R145" s="19">
        <v>250.792</v>
      </c>
      <c r="S145" s="19">
        <v>362.01279999999997</v>
      </c>
      <c r="T145" s="19"/>
      <c r="U145" s="19"/>
      <c r="V145" s="19"/>
      <c r="W145" s="19">
        <v>221.87759999999997</v>
      </c>
      <c r="X145" s="19">
        <v>181.60799999999998</v>
      </c>
      <c r="Y145" s="19">
        <v>262.1472</v>
      </c>
      <c r="Z145" s="19">
        <v>306.40239999999994</v>
      </c>
      <c r="AA145" s="19">
        <v>250.792</v>
      </c>
      <c r="AB145" s="19">
        <v>362.01279999999997</v>
      </c>
      <c r="AC145" s="19"/>
      <c r="AD145" s="19"/>
      <c r="AE145" s="19"/>
      <c r="AF145" s="19">
        <v>221.87759999999997</v>
      </c>
      <c r="AG145" s="19">
        <v>181.60799999999998</v>
      </c>
      <c r="AH145" s="19">
        <v>262.1472</v>
      </c>
      <c r="AI145" s="19">
        <v>406.7756</v>
      </c>
      <c r="AJ145" s="19">
        <v>332.94799999999998</v>
      </c>
      <c r="AK145" s="19">
        <v>480.60319999999996</v>
      </c>
      <c r="AL145" s="19">
        <v>121.50439999999999</v>
      </c>
      <c r="AM145" s="19">
        <v>99.451999999999998</v>
      </c>
      <c r="AN145" s="19">
        <v>143.55679999999998</v>
      </c>
      <c r="AO145" s="19">
        <v>253.57439999999997</v>
      </c>
      <c r="AP145" s="19">
        <v>207.55199999999999</v>
      </c>
      <c r="AQ145" s="19">
        <v>299.59680000000003</v>
      </c>
      <c r="AR145" s="19"/>
      <c r="AS145" s="19"/>
      <c r="AT145" s="19"/>
      <c r="AU145" s="19">
        <v>274.7056</v>
      </c>
      <c r="AV145" s="19">
        <v>224.84799999999998</v>
      </c>
      <c r="AW145" s="19">
        <v>324.56319999999994</v>
      </c>
      <c r="AX145" s="19">
        <v>253.57439999999997</v>
      </c>
      <c r="AY145" s="19">
        <v>207.55199999999999</v>
      </c>
      <c r="AZ145" s="19">
        <v>299.59680000000003</v>
      </c>
      <c r="BA145" s="19"/>
      <c r="BB145" s="19"/>
      <c r="BC145" s="19"/>
      <c r="BD145" s="19">
        <v>274.7056</v>
      </c>
      <c r="BE145" s="19">
        <v>224.84799999999998</v>
      </c>
      <c r="BF145" s="19">
        <v>324.56319999999994</v>
      </c>
      <c r="BG145" s="19">
        <v>338.0992</v>
      </c>
      <c r="BH145" s="19">
        <v>276.73599999999999</v>
      </c>
      <c r="BI145" s="19">
        <v>399.46239999999995</v>
      </c>
      <c r="BJ145" s="19"/>
      <c r="BK145" s="19"/>
      <c r="BL145" s="19"/>
      <c r="BM145" s="19">
        <v>190.18079999999998</v>
      </c>
      <c r="BN145" s="19">
        <v>155.66399999999999</v>
      </c>
      <c r="BO145" s="19">
        <v>224.69759999999997</v>
      </c>
      <c r="BP145" s="19">
        <v>306.40239999999994</v>
      </c>
      <c r="BQ145" s="19">
        <v>250.792</v>
      </c>
      <c r="BR145" s="19">
        <v>362.01279999999997</v>
      </c>
      <c r="BS145" s="19"/>
      <c r="BT145" s="19"/>
      <c r="BU145" s="19"/>
      <c r="BV145" s="19">
        <v>221.87759999999997</v>
      </c>
      <c r="BW145" s="19">
        <v>181.60799999999998</v>
      </c>
      <c r="BX145" s="19">
        <v>262.1472</v>
      </c>
      <c r="BY145" s="19">
        <v>200.74639999999999</v>
      </c>
      <c r="BZ145" s="19">
        <v>164.31200000000001</v>
      </c>
      <c r="CA145" s="19">
        <v>237.18079999999998</v>
      </c>
      <c r="CB145" s="19"/>
      <c r="CC145" s="19"/>
      <c r="CD145" s="19"/>
      <c r="CE145" s="19">
        <v>327.53359999999998</v>
      </c>
      <c r="CF145" s="19">
        <v>268.08799999999997</v>
      </c>
      <c r="CG145" s="19">
        <v>386.97919999999999</v>
      </c>
      <c r="CH145" s="19">
        <v>264.14</v>
      </c>
      <c r="CI145" s="19">
        <v>216.2</v>
      </c>
      <c r="CJ145" s="19">
        <v>312.08</v>
      </c>
      <c r="CK145" s="19"/>
      <c r="CL145" s="19"/>
      <c r="CM145" s="19"/>
      <c r="CN145" s="19">
        <v>264.14</v>
      </c>
      <c r="CO145" s="19">
        <v>216.2</v>
      </c>
      <c r="CP145" s="19">
        <v>312.08</v>
      </c>
      <c r="CQ145" s="19"/>
      <c r="CR145" s="19"/>
      <c r="CS145" s="19"/>
      <c r="CT145" s="19"/>
      <c r="CU145" s="11">
        <f>Tabelle58971121[[#This Row],[Mindestauslastung durch]]*Tabelle58971121[[#This Row],[installierte Leistung MW durch]]</f>
        <v>0</v>
      </c>
      <c r="CV145" s="11">
        <f>Tabelle58971121[[#This Row],[Mindestauslastung min]]*Tabelle58971121[[#This Row],[installierte Leistung MW min]]</f>
        <v>0</v>
      </c>
      <c r="CW145" s="11">
        <f>Tabelle58971121[[#This Row],[Mindestauslastung max]]*Tabelle58971121[[#This Row],[installierte Leistung MW max]]</f>
        <v>0</v>
      </c>
      <c r="CX145" s="9">
        <v>0</v>
      </c>
      <c r="CY145" s="9">
        <v>0</v>
      </c>
      <c r="CZ145" s="9">
        <v>0</v>
      </c>
      <c r="DA145" s="9"/>
      <c r="DB145" s="9">
        <v>0.57999999999999996</v>
      </c>
      <c r="DC145" s="9">
        <v>0.57999999999999996</v>
      </c>
      <c r="DD145" s="9">
        <v>0.57999999999999996</v>
      </c>
      <c r="DE145" s="9">
        <v>0.57999999999999996</v>
      </c>
      <c r="DF145" s="9">
        <v>0.57999999999999996</v>
      </c>
      <c r="DG145" s="9">
        <v>0.57999999999999996</v>
      </c>
      <c r="DH145" s="9">
        <v>0.77</v>
      </c>
      <c r="DI145" s="9">
        <v>0.77</v>
      </c>
      <c r="DJ145" s="9">
        <v>0.77</v>
      </c>
      <c r="DK145" s="9">
        <v>0.48</v>
      </c>
      <c r="DL145" s="9">
        <v>0.48</v>
      </c>
      <c r="DM145" s="9">
        <v>0.48</v>
      </c>
      <c r="DN145" s="9">
        <v>0.48</v>
      </c>
      <c r="DO145" s="9">
        <v>0.48</v>
      </c>
      <c r="DP145" s="9">
        <v>0.48</v>
      </c>
      <c r="DQ145" s="9">
        <v>0.64</v>
      </c>
      <c r="DR145" s="9">
        <v>0.64</v>
      </c>
      <c r="DS145" s="9">
        <v>0.64</v>
      </c>
      <c r="DT145" s="9">
        <v>0.57999999999999996</v>
      </c>
      <c r="DU145" s="9">
        <v>0.57999999999999996</v>
      </c>
      <c r="DV145" s="9">
        <v>0.57999999999999996</v>
      </c>
      <c r="DW145" s="9">
        <v>0.38</v>
      </c>
      <c r="DX145" s="9">
        <v>0.38</v>
      </c>
      <c r="DY145" s="9">
        <v>0.38</v>
      </c>
      <c r="DZ145" s="9">
        <v>0.5</v>
      </c>
      <c r="EA145" s="9">
        <v>0.5</v>
      </c>
      <c r="EB145" s="9">
        <v>0.5</v>
      </c>
      <c r="EC145" s="9"/>
      <c r="ED145" s="9"/>
      <c r="EE145" s="9"/>
      <c r="EF145" s="46">
        <f>Tabelle58971121[[#This Row],[Durchschnittsauslastung min]]*Tabelle58971121[[#This Row],[installierte Leistung MW min]]</f>
        <v>0</v>
      </c>
      <c r="EG145" s="46">
        <f>Tabelle58971121[[#This Row],[Durchschnittsauslastung durch]]*Tabelle58971121[[#This Row],[installierte Leistung MW durch]]</f>
        <v>0</v>
      </c>
      <c r="EH145" s="46">
        <f>Tabelle58971121[[#This Row],[Durchschnittsauslastung max]]*Tabelle58971121[[#This Row],[installierte Leistung MW max]]</f>
        <v>0</v>
      </c>
      <c r="EI145" s="83">
        <f>Tabelle58971121[[#This Row],[Maximalauslastung durch]]*Tabelle58971121[[#This Row],[installierte Leistung MW min]]</f>
        <v>432.4</v>
      </c>
      <c r="EJ145" s="46">
        <f>Tabelle58971121[[#This Row],[Maximalauslastung durch]]*Tabelle58971121[[#This Row],[installierte Leistung MW durch]]</f>
        <v>528.28</v>
      </c>
      <c r="EK145" s="19">
        <f>Tabelle58971121[[#This Row],[Maximalauslastung max]]*Tabelle58971121[[#This Row],[installierte Leistung MW durch]]</f>
        <v>528.28</v>
      </c>
      <c r="EL145" s="9">
        <v>1</v>
      </c>
      <c r="EM145" s="9">
        <v>1</v>
      </c>
      <c r="EN145" s="9">
        <v>1</v>
      </c>
      <c r="EO145" s="1">
        <v>528.28</v>
      </c>
      <c r="EP145" s="1">
        <v>432.4</v>
      </c>
      <c r="EQ145" s="1">
        <v>624.16</v>
      </c>
      <c r="ER145" s="19"/>
      <c r="ES145" s="19"/>
      <c r="EX145" s="1">
        <v>2.9874999999999998</v>
      </c>
      <c r="EY145" s="1">
        <v>1.2</v>
      </c>
      <c r="EZ145" s="1">
        <v>5.8</v>
      </c>
      <c r="FP145" s="1">
        <v>365</v>
      </c>
      <c r="FQ145" s="1">
        <v>292</v>
      </c>
      <c r="FR145" s="1">
        <v>438</v>
      </c>
      <c r="FS145" s="11"/>
      <c r="FT145" s="11"/>
      <c r="FU145" s="11"/>
      <c r="FV145" s="1">
        <v>365</v>
      </c>
      <c r="FW145" s="1">
        <v>292</v>
      </c>
      <c r="FX145" s="1">
        <v>438</v>
      </c>
      <c r="FZ145" s="19"/>
      <c r="GA145" s="19"/>
      <c r="GB145" s="19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S145" s="1">
        <v>67</v>
      </c>
      <c r="GT145" s="1">
        <v>67</v>
      </c>
      <c r="GU145" s="1">
        <v>67</v>
      </c>
      <c r="GV145" s="13" t="s">
        <v>806</v>
      </c>
      <c r="GW145" s="13" t="s">
        <v>806</v>
      </c>
      <c r="GX145" s="13" t="s">
        <v>806</v>
      </c>
      <c r="GY145" s="13"/>
      <c r="GZ145" s="13" t="s">
        <v>806</v>
      </c>
      <c r="HA145" s="13" t="s">
        <v>806</v>
      </c>
      <c r="HB145" s="13" t="s">
        <v>806</v>
      </c>
      <c r="HC145" s="13" t="s">
        <v>806</v>
      </c>
      <c r="HD145" s="13" t="s">
        <v>806</v>
      </c>
      <c r="HE145" s="13" t="s">
        <v>806</v>
      </c>
      <c r="HF145" s="13" t="s">
        <v>806</v>
      </c>
      <c r="HI145" s="13" t="s">
        <v>806</v>
      </c>
      <c r="HJ145" s="13" t="s">
        <v>806</v>
      </c>
      <c r="HL145" s="13" t="s">
        <v>806</v>
      </c>
    </row>
    <row r="146" spans="1:223" ht="12.75" customHeight="1" x14ac:dyDescent="0.25">
      <c r="A146" s="1" t="s">
        <v>208</v>
      </c>
      <c r="B146" s="1" t="s">
        <v>651</v>
      </c>
      <c r="E146" s="1" t="s">
        <v>126</v>
      </c>
      <c r="F146" s="1">
        <v>2</v>
      </c>
      <c r="G146" s="1">
        <v>2015</v>
      </c>
      <c r="H146" s="1">
        <v>1</v>
      </c>
      <c r="I146" s="1">
        <v>0</v>
      </c>
      <c r="J146" s="1">
        <v>0</v>
      </c>
      <c r="K146" s="19"/>
      <c r="L146" s="19"/>
      <c r="M146" s="19"/>
      <c r="N146" s="19"/>
      <c r="O146" s="19"/>
      <c r="P146" s="19"/>
      <c r="Q146" s="19">
        <v>21.56</v>
      </c>
      <c r="R146" s="19">
        <v>11.132</v>
      </c>
      <c r="S146" s="19">
        <v>35.155999999999999</v>
      </c>
      <c r="T146" s="19"/>
      <c r="U146" s="19"/>
      <c r="V146" s="19"/>
      <c r="W146" s="19">
        <v>0.61599999999999999</v>
      </c>
      <c r="X146" s="19">
        <v>0</v>
      </c>
      <c r="Y146" s="19">
        <v>11.968</v>
      </c>
      <c r="Z146" s="19">
        <v>5.5439999999999996</v>
      </c>
      <c r="AA146" s="19">
        <v>0.96799999999999997</v>
      </c>
      <c r="AB146" s="19">
        <v>11.968</v>
      </c>
      <c r="AC146" s="19"/>
      <c r="AD146" s="19"/>
      <c r="AE146" s="19"/>
      <c r="AF146" s="19">
        <v>16.632000000000001</v>
      </c>
      <c r="AG146" s="19">
        <v>8.227999999999998</v>
      </c>
      <c r="AH146" s="19">
        <v>27.675999999999998</v>
      </c>
      <c r="AI146" s="19">
        <v>5.5439999999999996</v>
      </c>
      <c r="AJ146" s="19">
        <v>0.96799999999999997</v>
      </c>
      <c r="AK146" s="19">
        <v>11.968</v>
      </c>
      <c r="AL146" s="19">
        <v>16.632000000000001</v>
      </c>
      <c r="AM146" s="19">
        <v>8.227999999999998</v>
      </c>
      <c r="AN146" s="19">
        <v>27.675999999999998</v>
      </c>
      <c r="AO146" s="19">
        <v>21.56</v>
      </c>
      <c r="AP146" s="19">
        <v>11.132</v>
      </c>
      <c r="AQ146" s="19">
        <v>35.155999999999999</v>
      </c>
      <c r="AR146" s="19"/>
      <c r="AS146" s="19"/>
      <c r="AT146" s="19"/>
      <c r="AU146" s="19">
        <v>0.61599999999999999</v>
      </c>
      <c r="AV146" s="19">
        <v>0</v>
      </c>
      <c r="AW146" s="19">
        <v>11.968</v>
      </c>
      <c r="AX146" s="19">
        <v>5.5439999999999996</v>
      </c>
      <c r="AY146" s="19">
        <v>0.96799999999999997</v>
      </c>
      <c r="AZ146" s="19">
        <v>11.968</v>
      </c>
      <c r="BA146" s="19"/>
      <c r="BB146" s="19"/>
      <c r="BC146" s="19"/>
      <c r="BD146" s="19">
        <v>16.632000000000001</v>
      </c>
      <c r="BE146" s="19">
        <v>8.227999999999998</v>
      </c>
      <c r="BF146" s="19">
        <v>27.675999999999998</v>
      </c>
      <c r="BG146" s="19">
        <v>5.5439999999999996</v>
      </c>
      <c r="BH146" s="19">
        <v>0.96799999999999997</v>
      </c>
      <c r="BI146" s="19">
        <v>11.968</v>
      </c>
      <c r="BJ146" s="19"/>
      <c r="BK146" s="19"/>
      <c r="BL146" s="19"/>
      <c r="BM146" s="19">
        <v>16.632000000000001</v>
      </c>
      <c r="BN146" s="19">
        <v>8.227999999999998</v>
      </c>
      <c r="BO146" s="19">
        <v>27.675999999999998</v>
      </c>
      <c r="BP146" s="19">
        <v>21.56</v>
      </c>
      <c r="BQ146" s="19">
        <v>11.132</v>
      </c>
      <c r="BR146" s="19">
        <v>35.155999999999999</v>
      </c>
      <c r="BS146" s="19"/>
      <c r="BT146" s="19"/>
      <c r="BU146" s="19"/>
      <c r="BV146" s="19">
        <v>0.61599999999999999</v>
      </c>
      <c r="BW146" s="19">
        <v>0</v>
      </c>
      <c r="BX146" s="19">
        <v>11.968</v>
      </c>
      <c r="BY146" s="19">
        <v>5.5439999999999996</v>
      </c>
      <c r="BZ146" s="19">
        <v>0.96799999999999997</v>
      </c>
      <c r="CA146" s="19">
        <v>11.968</v>
      </c>
      <c r="CB146" s="19"/>
      <c r="CC146" s="19"/>
      <c r="CD146" s="19"/>
      <c r="CE146" s="19">
        <v>16.632000000000001</v>
      </c>
      <c r="CF146" s="19">
        <v>8.227999999999998</v>
      </c>
      <c r="CG146" s="19">
        <v>27.675999999999998</v>
      </c>
      <c r="CH146" s="19">
        <v>5.5439999999999996</v>
      </c>
      <c r="CI146" s="19">
        <v>0.96799999999999997</v>
      </c>
      <c r="CJ146" s="19">
        <v>11.968</v>
      </c>
      <c r="CK146" s="19"/>
      <c r="CL146" s="19"/>
      <c r="CM146" s="19"/>
      <c r="CN146" s="19">
        <v>16.632000000000001</v>
      </c>
      <c r="CO146" s="19">
        <v>8.227999999999998</v>
      </c>
      <c r="CP146" s="19">
        <v>27.675999999999998</v>
      </c>
      <c r="CQ146" s="19"/>
      <c r="CR146" s="19"/>
      <c r="CS146" s="19"/>
      <c r="CT146" s="19"/>
      <c r="CU146" s="11">
        <f>Tabelle58971121[[#This Row],[Mindestauslastung durch]]*Tabelle58971121[[#This Row],[installierte Leistung MW durch]]</f>
        <v>46.199999999999996</v>
      </c>
      <c r="CV146" s="11">
        <f>Tabelle58971121[[#This Row],[Mindestauslastung min]]*Tabelle58971121[[#This Row],[installierte Leistung MW min]]</f>
        <v>31.46</v>
      </c>
      <c r="CW146" s="11">
        <f>Tabelle58971121[[#This Row],[Mindestauslastung max]]*Tabelle58971121[[#This Row],[installierte Leistung MW max]]</f>
        <v>63.580000000000005</v>
      </c>
      <c r="CX146" s="9">
        <v>0.15</v>
      </c>
      <c r="CY146" s="9">
        <v>0.13</v>
      </c>
      <c r="CZ146" s="9">
        <v>0.17</v>
      </c>
      <c r="DA146" s="9"/>
      <c r="DB146" s="9">
        <v>0.5</v>
      </c>
      <c r="DC146" s="9">
        <v>0.4</v>
      </c>
      <c r="DD146" s="9">
        <v>0.6</v>
      </c>
      <c r="DE146" s="9">
        <v>0.24</v>
      </c>
      <c r="DF146" s="9">
        <v>0.19</v>
      </c>
      <c r="DG146" s="9">
        <v>0.28999999999999998</v>
      </c>
      <c r="DH146" s="9">
        <v>0.24</v>
      </c>
      <c r="DI146" s="9">
        <v>0.19</v>
      </c>
      <c r="DJ146" s="9">
        <v>0.28999999999999998</v>
      </c>
      <c r="DK146" s="9">
        <v>0.5</v>
      </c>
      <c r="DL146" s="9">
        <v>0.4</v>
      </c>
      <c r="DM146" s="9">
        <v>0.6</v>
      </c>
      <c r="DN146" s="9">
        <v>0.24</v>
      </c>
      <c r="DO146" s="9">
        <v>0.19</v>
      </c>
      <c r="DP146" s="9">
        <v>0.28999999999999998</v>
      </c>
      <c r="DQ146" s="9">
        <v>0.24</v>
      </c>
      <c r="DR146" s="9">
        <v>0.19</v>
      </c>
      <c r="DS146" s="9">
        <v>0.28999999999999998</v>
      </c>
      <c r="DT146" s="9">
        <v>0.5</v>
      </c>
      <c r="DU146" s="9">
        <v>0.4</v>
      </c>
      <c r="DV146" s="9">
        <v>0.6</v>
      </c>
      <c r="DW146" s="9">
        <v>0.24</v>
      </c>
      <c r="DX146" s="9">
        <v>0.19</v>
      </c>
      <c r="DY146" s="9">
        <v>0.28999999999999998</v>
      </c>
      <c r="DZ146" s="9">
        <v>0.24</v>
      </c>
      <c r="EA146" s="9">
        <v>0.19</v>
      </c>
      <c r="EB146" s="9">
        <v>0.28999999999999998</v>
      </c>
      <c r="EC146" s="9"/>
      <c r="ED146" s="9"/>
      <c r="EE146" s="9"/>
      <c r="EF146" s="46">
        <f>Tabelle58971121[[#This Row],[Durchschnittsauslastung min]]*Tabelle58971121[[#This Row],[installierte Leistung MW min]]</f>
        <v>0</v>
      </c>
      <c r="EG146" s="46">
        <f>Tabelle58971121[[#This Row],[Durchschnittsauslastung durch]]*Tabelle58971121[[#This Row],[installierte Leistung MW durch]]</f>
        <v>0</v>
      </c>
      <c r="EH146" s="46">
        <f>Tabelle58971121[[#This Row],[Durchschnittsauslastung max]]*Tabelle58971121[[#This Row],[installierte Leistung MW max]]</f>
        <v>0</v>
      </c>
      <c r="EI146" s="83">
        <f>Tabelle58971121[[#This Row],[Maximalauslastung durch]]*Tabelle58971121[[#This Row],[installierte Leistung MW min]]</f>
        <v>123.42</v>
      </c>
      <c r="EJ146" s="46">
        <f>Tabelle58971121[[#This Row],[Maximalauslastung durch]]*Tabelle58971121[[#This Row],[installierte Leistung MW durch]]</f>
        <v>157.08000000000001</v>
      </c>
      <c r="EK146" s="19">
        <f>Tabelle58971121[[#This Row],[Maximalauslastung max]]*Tabelle58971121[[#This Row],[installierte Leistung MW durch]]</f>
        <v>172.48000000000002</v>
      </c>
      <c r="EL146" s="9">
        <v>0.51</v>
      </c>
      <c r="EM146" s="9">
        <v>0.46</v>
      </c>
      <c r="EN146" s="9">
        <v>0.56000000000000005</v>
      </c>
      <c r="EO146" s="1">
        <v>308</v>
      </c>
      <c r="EP146" s="1">
        <v>242</v>
      </c>
      <c r="EQ146" s="1">
        <v>374</v>
      </c>
      <c r="ER146" s="19"/>
      <c r="ES146" s="19"/>
      <c r="EX146" s="1">
        <v>1.1000000000000001</v>
      </c>
      <c r="EY146" s="1">
        <v>0.8</v>
      </c>
      <c r="EZ146" s="1">
        <v>1.4</v>
      </c>
      <c r="FP146" s="1">
        <v>365</v>
      </c>
      <c r="FQ146" s="1">
        <v>292</v>
      </c>
      <c r="FR146" s="1">
        <v>438</v>
      </c>
      <c r="FS146" s="11"/>
      <c r="FT146" s="11"/>
      <c r="FU146" s="11"/>
      <c r="FV146" s="1">
        <v>365</v>
      </c>
      <c r="FW146" s="1">
        <v>292</v>
      </c>
      <c r="FX146" s="1">
        <v>438</v>
      </c>
      <c r="FZ146" s="19"/>
      <c r="GA146" s="19"/>
      <c r="GB146" s="19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S146" s="1">
        <v>67</v>
      </c>
      <c r="GT146" s="1">
        <v>67</v>
      </c>
      <c r="GU146" s="1">
        <v>67</v>
      </c>
      <c r="GV146" s="13" t="s">
        <v>806</v>
      </c>
      <c r="GW146" s="13" t="s">
        <v>806</v>
      </c>
      <c r="GX146" s="13" t="s">
        <v>806</v>
      </c>
      <c r="GY146" s="13"/>
      <c r="GZ146" s="13" t="s">
        <v>806</v>
      </c>
      <c r="HA146" s="13" t="s">
        <v>806</v>
      </c>
      <c r="HB146" s="13" t="s">
        <v>806</v>
      </c>
      <c r="HC146" s="13" t="s">
        <v>806</v>
      </c>
      <c r="HD146" s="13" t="s">
        <v>806</v>
      </c>
      <c r="HE146" s="13" t="s">
        <v>806</v>
      </c>
      <c r="HF146" s="13" t="s">
        <v>806</v>
      </c>
      <c r="HI146" s="13" t="s">
        <v>806</v>
      </c>
      <c r="HJ146" s="13" t="s">
        <v>806</v>
      </c>
      <c r="HL146" s="13" t="s">
        <v>806</v>
      </c>
    </row>
    <row r="147" spans="1:223" ht="12.75" customHeight="1" x14ac:dyDescent="0.25">
      <c r="A147" s="1" t="s">
        <v>208</v>
      </c>
      <c r="B147" s="1" t="s">
        <v>651</v>
      </c>
      <c r="E147" s="1" t="s">
        <v>126</v>
      </c>
      <c r="F147" s="1">
        <v>2</v>
      </c>
      <c r="G147" s="1">
        <v>2020</v>
      </c>
      <c r="H147" s="1">
        <v>1</v>
      </c>
      <c r="I147" s="1">
        <v>0</v>
      </c>
      <c r="J147" s="1">
        <v>0</v>
      </c>
      <c r="K147" s="19"/>
      <c r="L147" s="19"/>
      <c r="M147" s="19"/>
      <c r="N147" s="19"/>
      <c r="O147" s="19"/>
      <c r="P147" s="19"/>
      <c r="Q147" s="19">
        <v>21.991199999999999</v>
      </c>
      <c r="R147" s="19">
        <v>11.35464</v>
      </c>
      <c r="S147" s="19">
        <v>35.859119999999997</v>
      </c>
      <c r="T147" s="19"/>
      <c r="U147" s="19"/>
      <c r="V147" s="19"/>
      <c r="W147" s="19">
        <v>0.62831999999999999</v>
      </c>
      <c r="X147" s="19">
        <v>0</v>
      </c>
      <c r="Y147" s="19">
        <v>12.20736</v>
      </c>
      <c r="Z147" s="19">
        <v>5.6548799999999995</v>
      </c>
      <c r="AA147" s="19">
        <v>0.98736000000000002</v>
      </c>
      <c r="AB147" s="19">
        <v>12.20736</v>
      </c>
      <c r="AC147" s="19"/>
      <c r="AD147" s="19"/>
      <c r="AE147" s="19"/>
      <c r="AF147" s="19">
        <v>16.964640000000003</v>
      </c>
      <c r="AG147" s="19">
        <v>8.3925599999999978</v>
      </c>
      <c r="AH147" s="19">
        <v>28.229519999999997</v>
      </c>
      <c r="AI147" s="19">
        <v>5.6548799999999995</v>
      </c>
      <c r="AJ147" s="19">
        <v>0.98736000000000002</v>
      </c>
      <c r="AK147" s="19">
        <v>12.20736</v>
      </c>
      <c r="AL147" s="19">
        <v>16.964640000000003</v>
      </c>
      <c r="AM147" s="19">
        <v>8.3925599999999978</v>
      </c>
      <c r="AN147" s="19">
        <v>28.229519999999997</v>
      </c>
      <c r="AO147" s="19">
        <v>21.991199999999999</v>
      </c>
      <c r="AP147" s="19">
        <v>11.35464</v>
      </c>
      <c r="AQ147" s="19">
        <v>35.859119999999997</v>
      </c>
      <c r="AR147" s="19"/>
      <c r="AS147" s="19"/>
      <c r="AT147" s="19"/>
      <c r="AU147" s="19">
        <v>0.62831999999999999</v>
      </c>
      <c r="AV147" s="19">
        <v>0</v>
      </c>
      <c r="AW147" s="19">
        <v>12.20736</v>
      </c>
      <c r="AX147" s="19">
        <v>5.6548799999999995</v>
      </c>
      <c r="AY147" s="19">
        <v>0.98736000000000002</v>
      </c>
      <c r="AZ147" s="19">
        <v>12.20736</v>
      </c>
      <c r="BA147" s="19"/>
      <c r="BB147" s="19"/>
      <c r="BC147" s="19"/>
      <c r="BD147" s="19">
        <v>16.964640000000003</v>
      </c>
      <c r="BE147" s="19">
        <v>8.3925599999999978</v>
      </c>
      <c r="BF147" s="19">
        <v>28.229519999999997</v>
      </c>
      <c r="BG147" s="19">
        <v>5.6548799999999995</v>
      </c>
      <c r="BH147" s="19">
        <v>0.98736000000000002</v>
      </c>
      <c r="BI147" s="19">
        <v>12.20736</v>
      </c>
      <c r="BJ147" s="19"/>
      <c r="BK147" s="19"/>
      <c r="BL147" s="19"/>
      <c r="BM147" s="19">
        <v>16.964640000000003</v>
      </c>
      <c r="BN147" s="19">
        <v>8.3925599999999978</v>
      </c>
      <c r="BO147" s="19">
        <v>28.229519999999997</v>
      </c>
      <c r="BP147" s="19">
        <v>21.991199999999999</v>
      </c>
      <c r="BQ147" s="19">
        <v>11.35464</v>
      </c>
      <c r="BR147" s="19">
        <v>35.859119999999997</v>
      </c>
      <c r="BS147" s="19"/>
      <c r="BT147" s="19"/>
      <c r="BU147" s="19"/>
      <c r="BV147" s="19">
        <v>0.62831999999999999</v>
      </c>
      <c r="BW147" s="19">
        <v>0</v>
      </c>
      <c r="BX147" s="19">
        <v>12.20736</v>
      </c>
      <c r="BY147" s="19">
        <v>5.6548799999999995</v>
      </c>
      <c r="BZ147" s="19">
        <v>0.98736000000000002</v>
      </c>
      <c r="CA147" s="19">
        <v>12.20736</v>
      </c>
      <c r="CB147" s="19"/>
      <c r="CC147" s="19"/>
      <c r="CD147" s="19"/>
      <c r="CE147" s="19">
        <v>16.964640000000003</v>
      </c>
      <c r="CF147" s="19">
        <v>8.3925599999999978</v>
      </c>
      <c r="CG147" s="19">
        <v>28.229519999999997</v>
      </c>
      <c r="CH147" s="19">
        <v>5.6548799999999995</v>
      </c>
      <c r="CI147" s="19">
        <v>0.98736000000000002</v>
      </c>
      <c r="CJ147" s="19">
        <v>12.20736</v>
      </c>
      <c r="CK147" s="19"/>
      <c r="CL147" s="19"/>
      <c r="CM147" s="19"/>
      <c r="CN147" s="19">
        <v>16.964640000000003</v>
      </c>
      <c r="CO147" s="19">
        <v>8.3925599999999978</v>
      </c>
      <c r="CP147" s="19">
        <v>28.229519999999997</v>
      </c>
      <c r="CQ147" s="19"/>
      <c r="CR147" s="19"/>
      <c r="CS147" s="19"/>
      <c r="CT147" s="19"/>
      <c r="CU147" s="11">
        <f>Tabelle58971121[[#This Row],[Mindestauslastung durch]]*Tabelle58971121[[#This Row],[installierte Leistung MW durch]]</f>
        <v>47.488499999999995</v>
      </c>
      <c r="CV147" s="11">
        <f>Tabelle58971121[[#This Row],[Mindestauslastung min]]*Tabelle58971121[[#This Row],[installierte Leistung MW min]]</f>
        <v>32.347900000000003</v>
      </c>
      <c r="CW147" s="11">
        <f>Tabelle58971121[[#This Row],[Mindestauslastung max]]*Tabelle58971121[[#This Row],[installierte Leistung MW max]]</f>
        <v>65.339500000000015</v>
      </c>
      <c r="CX147" s="9">
        <v>0.15</v>
      </c>
      <c r="CY147" s="9">
        <v>0.13</v>
      </c>
      <c r="CZ147" s="9">
        <v>0.17</v>
      </c>
      <c r="DA147" s="9"/>
      <c r="DB147" s="9">
        <v>0.5</v>
      </c>
      <c r="DC147" s="9">
        <v>0.4</v>
      </c>
      <c r="DD147" s="9">
        <v>0.6</v>
      </c>
      <c r="DE147" s="9">
        <v>0.24</v>
      </c>
      <c r="DF147" s="9">
        <v>0.19</v>
      </c>
      <c r="DG147" s="9">
        <v>0.28999999999999998</v>
      </c>
      <c r="DH147" s="9">
        <v>0.24</v>
      </c>
      <c r="DI147" s="9">
        <v>0.19</v>
      </c>
      <c r="DJ147" s="9">
        <v>0.28999999999999998</v>
      </c>
      <c r="DK147" s="9">
        <v>0.5</v>
      </c>
      <c r="DL147" s="9">
        <v>0.4</v>
      </c>
      <c r="DM147" s="9">
        <v>0.6</v>
      </c>
      <c r="DN147" s="9">
        <v>0.24</v>
      </c>
      <c r="DO147" s="9">
        <v>0.19</v>
      </c>
      <c r="DP147" s="9">
        <v>0.28999999999999998</v>
      </c>
      <c r="DQ147" s="9">
        <v>0.24</v>
      </c>
      <c r="DR147" s="9">
        <v>0.19</v>
      </c>
      <c r="DS147" s="9">
        <v>0.28999999999999998</v>
      </c>
      <c r="DT147" s="9">
        <v>0.5</v>
      </c>
      <c r="DU147" s="9">
        <v>0.4</v>
      </c>
      <c r="DV147" s="9">
        <v>0.6</v>
      </c>
      <c r="DW147" s="9">
        <v>0.24</v>
      </c>
      <c r="DX147" s="9">
        <v>0.19</v>
      </c>
      <c r="DY147" s="9">
        <v>0.28999999999999998</v>
      </c>
      <c r="DZ147" s="9">
        <v>0.24</v>
      </c>
      <c r="EA147" s="9">
        <v>0.19</v>
      </c>
      <c r="EB147" s="9">
        <v>0.28999999999999998</v>
      </c>
      <c r="EC147" s="9"/>
      <c r="ED147" s="9"/>
      <c r="EE147" s="9"/>
      <c r="EF147" s="46">
        <f>Tabelle58971121[[#This Row],[Durchschnittsauslastung min]]*Tabelle58971121[[#This Row],[installierte Leistung MW min]]</f>
        <v>0</v>
      </c>
      <c r="EG147" s="46">
        <f>Tabelle58971121[[#This Row],[Durchschnittsauslastung durch]]*Tabelle58971121[[#This Row],[installierte Leistung MW durch]]</f>
        <v>0</v>
      </c>
      <c r="EH147" s="46">
        <f>Tabelle58971121[[#This Row],[Durchschnittsauslastung max]]*Tabelle58971121[[#This Row],[installierte Leistung MW max]]</f>
        <v>0</v>
      </c>
      <c r="EI147" s="83">
        <f>Tabelle58971121[[#This Row],[Maximalauslastung durch]]*Tabelle58971121[[#This Row],[installierte Leistung MW min]]</f>
        <v>126.9033</v>
      </c>
      <c r="EJ147" s="46">
        <f>Tabelle58971121[[#This Row],[Maximalauslastung durch]]*Tabelle58971121[[#This Row],[installierte Leistung MW durch]]</f>
        <v>161.46089999999998</v>
      </c>
      <c r="EK147" s="19">
        <f>Tabelle58971121[[#This Row],[Maximalauslastung max]]*Tabelle58971121[[#This Row],[installierte Leistung MW durch]]</f>
        <v>177.29040000000001</v>
      </c>
      <c r="EL147" s="9">
        <v>0.51</v>
      </c>
      <c r="EM147" s="9">
        <v>0.46</v>
      </c>
      <c r="EN147" s="9">
        <v>0.56000000000000005</v>
      </c>
      <c r="EO147" s="1">
        <v>316.58999999999997</v>
      </c>
      <c r="EP147" s="1">
        <v>248.83</v>
      </c>
      <c r="EQ147" s="1">
        <v>384.35</v>
      </c>
      <c r="ER147" s="19"/>
      <c r="ES147" s="19"/>
      <c r="EX147" s="1">
        <v>1.1000000000000001</v>
      </c>
      <c r="EY147" s="1">
        <v>0.8</v>
      </c>
      <c r="EZ147" s="1">
        <v>1.4</v>
      </c>
      <c r="FP147" s="1">
        <v>365</v>
      </c>
      <c r="FQ147" s="1">
        <v>292</v>
      </c>
      <c r="FR147" s="1">
        <v>438</v>
      </c>
      <c r="FS147" s="11"/>
      <c r="FT147" s="11"/>
      <c r="FU147" s="11"/>
      <c r="FV147" s="1">
        <v>365</v>
      </c>
      <c r="FW147" s="1">
        <v>292</v>
      </c>
      <c r="FX147" s="1">
        <v>438</v>
      </c>
      <c r="FZ147" s="19"/>
      <c r="GA147" s="19"/>
      <c r="GB147" s="19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S147" s="1">
        <v>67</v>
      </c>
      <c r="GT147" s="1">
        <v>67</v>
      </c>
      <c r="GU147" s="1">
        <v>67</v>
      </c>
      <c r="GV147" s="13" t="s">
        <v>806</v>
      </c>
      <c r="GW147" s="13" t="s">
        <v>806</v>
      </c>
      <c r="GX147" s="13" t="s">
        <v>806</v>
      </c>
      <c r="GY147" s="13"/>
      <c r="GZ147" s="13" t="s">
        <v>806</v>
      </c>
      <c r="HA147" s="13" t="s">
        <v>806</v>
      </c>
      <c r="HB147" s="13" t="s">
        <v>806</v>
      </c>
      <c r="HC147" s="13" t="s">
        <v>806</v>
      </c>
      <c r="HD147" s="13" t="s">
        <v>806</v>
      </c>
      <c r="HE147" s="13" t="s">
        <v>806</v>
      </c>
      <c r="HF147" s="13" t="s">
        <v>806</v>
      </c>
      <c r="HI147" s="13" t="s">
        <v>806</v>
      </c>
      <c r="HJ147" s="13" t="s">
        <v>806</v>
      </c>
      <c r="HL147" s="13" t="s">
        <v>806</v>
      </c>
    </row>
    <row r="148" spans="1:223" ht="12.75" customHeight="1" x14ac:dyDescent="0.25">
      <c r="A148" s="1" t="s">
        <v>208</v>
      </c>
      <c r="B148" s="1" t="s">
        <v>651</v>
      </c>
      <c r="E148" s="1" t="s">
        <v>126</v>
      </c>
      <c r="F148" s="1">
        <v>2</v>
      </c>
      <c r="G148" s="1">
        <v>2025</v>
      </c>
      <c r="H148" s="1">
        <v>1</v>
      </c>
      <c r="I148" s="1">
        <v>0</v>
      </c>
      <c r="J148" s="1">
        <v>0</v>
      </c>
      <c r="K148" s="19"/>
      <c r="L148" s="19"/>
      <c r="M148" s="19"/>
      <c r="N148" s="19"/>
      <c r="O148" s="19"/>
      <c r="P148" s="19"/>
      <c r="Q148" s="19">
        <v>22.379279999999998</v>
      </c>
      <c r="R148" s="19">
        <v>11.555016</v>
      </c>
      <c r="S148" s="19">
        <v>36.491928000000001</v>
      </c>
      <c r="T148" s="19"/>
      <c r="U148" s="19"/>
      <c r="V148" s="19"/>
      <c r="W148" s="19">
        <v>0.63940799999999998</v>
      </c>
      <c r="X148" s="19">
        <v>0</v>
      </c>
      <c r="Y148" s="19">
        <v>12.422784</v>
      </c>
      <c r="Z148" s="19">
        <v>5.7546719999999993</v>
      </c>
      <c r="AA148" s="19">
        <v>1.0047839999999999</v>
      </c>
      <c r="AB148" s="19">
        <v>12.422784</v>
      </c>
      <c r="AC148" s="19"/>
      <c r="AD148" s="19"/>
      <c r="AE148" s="19"/>
      <c r="AF148" s="19">
        <v>17.264016000000002</v>
      </c>
      <c r="AG148" s="19">
        <v>8.5406639999999978</v>
      </c>
      <c r="AH148" s="19">
        <v>28.727688000000001</v>
      </c>
      <c r="AI148" s="19">
        <v>5.7546719999999993</v>
      </c>
      <c r="AJ148" s="19">
        <v>1.0047839999999999</v>
      </c>
      <c r="AK148" s="19">
        <v>12.422784</v>
      </c>
      <c r="AL148" s="19">
        <v>17.264016000000002</v>
      </c>
      <c r="AM148" s="19">
        <v>8.5406639999999978</v>
      </c>
      <c r="AN148" s="19">
        <v>28.727688000000001</v>
      </c>
      <c r="AO148" s="19">
        <v>22.379279999999998</v>
      </c>
      <c r="AP148" s="19">
        <v>11.555016</v>
      </c>
      <c r="AQ148" s="19">
        <v>36.491928000000001</v>
      </c>
      <c r="AR148" s="19"/>
      <c r="AS148" s="19"/>
      <c r="AT148" s="19"/>
      <c r="AU148" s="19">
        <v>0.63940799999999998</v>
      </c>
      <c r="AV148" s="19">
        <v>0</v>
      </c>
      <c r="AW148" s="19">
        <v>12.422784</v>
      </c>
      <c r="AX148" s="19">
        <v>5.7546719999999993</v>
      </c>
      <c r="AY148" s="19">
        <v>1.0047839999999999</v>
      </c>
      <c r="AZ148" s="19">
        <v>12.422784</v>
      </c>
      <c r="BA148" s="19"/>
      <c r="BB148" s="19"/>
      <c r="BC148" s="19"/>
      <c r="BD148" s="19">
        <v>17.264016000000002</v>
      </c>
      <c r="BE148" s="19">
        <v>8.5406639999999978</v>
      </c>
      <c r="BF148" s="19">
        <v>28.727688000000001</v>
      </c>
      <c r="BG148" s="19">
        <v>5.7546719999999993</v>
      </c>
      <c r="BH148" s="19">
        <v>1.0047839999999999</v>
      </c>
      <c r="BI148" s="19">
        <v>12.422784</v>
      </c>
      <c r="BJ148" s="19"/>
      <c r="BK148" s="19"/>
      <c r="BL148" s="19"/>
      <c r="BM148" s="19">
        <v>17.264016000000002</v>
      </c>
      <c r="BN148" s="19">
        <v>8.5406639999999978</v>
      </c>
      <c r="BO148" s="19">
        <v>28.727688000000001</v>
      </c>
      <c r="BP148" s="19">
        <v>22.379279999999998</v>
      </c>
      <c r="BQ148" s="19">
        <v>11.555016</v>
      </c>
      <c r="BR148" s="19">
        <v>36.491928000000001</v>
      </c>
      <c r="BS148" s="19"/>
      <c r="BT148" s="19"/>
      <c r="BU148" s="19"/>
      <c r="BV148" s="19">
        <v>0.63940799999999998</v>
      </c>
      <c r="BW148" s="19">
        <v>0</v>
      </c>
      <c r="BX148" s="19">
        <v>12.422784</v>
      </c>
      <c r="BY148" s="19">
        <v>5.7546719999999993</v>
      </c>
      <c r="BZ148" s="19">
        <v>1.0047839999999999</v>
      </c>
      <c r="CA148" s="19">
        <v>12.422784</v>
      </c>
      <c r="CB148" s="19"/>
      <c r="CC148" s="19"/>
      <c r="CD148" s="19"/>
      <c r="CE148" s="19">
        <v>17.264016000000002</v>
      </c>
      <c r="CF148" s="19">
        <v>8.5406639999999978</v>
      </c>
      <c r="CG148" s="19">
        <v>28.727688000000001</v>
      </c>
      <c r="CH148" s="19">
        <v>5.7546719999999993</v>
      </c>
      <c r="CI148" s="19">
        <v>1.0047839999999999</v>
      </c>
      <c r="CJ148" s="19">
        <v>12.422784</v>
      </c>
      <c r="CK148" s="19"/>
      <c r="CL148" s="19"/>
      <c r="CM148" s="19"/>
      <c r="CN148" s="19">
        <v>17.264016000000002</v>
      </c>
      <c r="CO148" s="19">
        <v>8.5406639999999978</v>
      </c>
      <c r="CP148" s="19">
        <v>28.727688000000001</v>
      </c>
      <c r="CQ148" s="19"/>
      <c r="CR148" s="19"/>
      <c r="CS148" s="19"/>
      <c r="CT148" s="19"/>
      <c r="CU148" s="11">
        <f>Tabelle58971121[[#This Row],[Mindestauslastung durch]]*Tabelle58971121[[#This Row],[installierte Leistung MW durch]]</f>
        <v>48.611999999999995</v>
      </c>
      <c r="CV148" s="11">
        <f>Tabelle58971121[[#This Row],[Mindestauslastung min]]*Tabelle58971121[[#This Row],[installierte Leistung MW min]]</f>
        <v>33.121400000000001</v>
      </c>
      <c r="CW148" s="11">
        <f>Tabelle58971121[[#This Row],[Mindestauslastung max]]*Tabelle58971121[[#This Row],[installierte Leistung MW max]]</f>
        <v>66.874600000000001</v>
      </c>
      <c r="CX148" s="9">
        <v>0.15</v>
      </c>
      <c r="CY148" s="9">
        <v>0.13</v>
      </c>
      <c r="CZ148" s="9">
        <v>0.17</v>
      </c>
      <c r="DA148" s="9"/>
      <c r="DB148" s="9">
        <v>0.5</v>
      </c>
      <c r="DC148" s="9">
        <v>0.4</v>
      </c>
      <c r="DD148" s="9">
        <v>0.6</v>
      </c>
      <c r="DE148" s="9">
        <v>0.24</v>
      </c>
      <c r="DF148" s="9">
        <v>0.19</v>
      </c>
      <c r="DG148" s="9">
        <v>0.28999999999999998</v>
      </c>
      <c r="DH148" s="9">
        <v>0.24</v>
      </c>
      <c r="DI148" s="9">
        <v>0.19</v>
      </c>
      <c r="DJ148" s="9">
        <v>0.28999999999999998</v>
      </c>
      <c r="DK148" s="9">
        <v>0.5</v>
      </c>
      <c r="DL148" s="9">
        <v>0.4</v>
      </c>
      <c r="DM148" s="9">
        <v>0.6</v>
      </c>
      <c r="DN148" s="9">
        <v>0.24</v>
      </c>
      <c r="DO148" s="9">
        <v>0.19</v>
      </c>
      <c r="DP148" s="9">
        <v>0.28999999999999998</v>
      </c>
      <c r="DQ148" s="9">
        <v>0.24</v>
      </c>
      <c r="DR148" s="9">
        <v>0.19</v>
      </c>
      <c r="DS148" s="9">
        <v>0.28999999999999998</v>
      </c>
      <c r="DT148" s="9">
        <v>0.5</v>
      </c>
      <c r="DU148" s="9">
        <v>0.4</v>
      </c>
      <c r="DV148" s="9">
        <v>0.6</v>
      </c>
      <c r="DW148" s="9">
        <v>0.24</v>
      </c>
      <c r="DX148" s="9">
        <v>0.19</v>
      </c>
      <c r="DY148" s="9">
        <v>0.28999999999999998</v>
      </c>
      <c r="DZ148" s="9">
        <v>0.24</v>
      </c>
      <c r="EA148" s="9">
        <v>0.19</v>
      </c>
      <c r="EB148" s="9">
        <v>0.28999999999999998</v>
      </c>
      <c r="EC148" s="9"/>
      <c r="ED148" s="9"/>
      <c r="EE148" s="9"/>
      <c r="EF148" s="46">
        <f>Tabelle58971121[[#This Row],[Durchschnittsauslastung min]]*Tabelle58971121[[#This Row],[installierte Leistung MW min]]</f>
        <v>0</v>
      </c>
      <c r="EG148" s="46">
        <f>Tabelle58971121[[#This Row],[Durchschnittsauslastung durch]]*Tabelle58971121[[#This Row],[installierte Leistung MW durch]]</f>
        <v>0</v>
      </c>
      <c r="EH148" s="46">
        <f>Tabelle58971121[[#This Row],[Durchschnittsauslastung max]]*Tabelle58971121[[#This Row],[installierte Leistung MW max]]</f>
        <v>0</v>
      </c>
      <c r="EI148" s="83">
        <f>Tabelle58971121[[#This Row],[Maximalauslastung durch]]*Tabelle58971121[[#This Row],[installierte Leistung MW min]]</f>
        <v>129.93780000000001</v>
      </c>
      <c r="EJ148" s="46">
        <f>Tabelle58971121[[#This Row],[Maximalauslastung durch]]*Tabelle58971121[[#This Row],[installierte Leistung MW durch]]</f>
        <v>165.2808</v>
      </c>
      <c r="EK148" s="19">
        <f>Tabelle58971121[[#This Row],[Maximalauslastung max]]*Tabelle58971121[[#This Row],[installierte Leistung MW durch]]</f>
        <v>181.48480000000001</v>
      </c>
      <c r="EL148" s="9">
        <v>0.51</v>
      </c>
      <c r="EM148" s="9">
        <v>0.46</v>
      </c>
      <c r="EN148" s="9">
        <v>0.56000000000000005</v>
      </c>
      <c r="EO148" s="1">
        <v>324.08</v>
      </c>
      <c r="EP148" s="1">
        <v>254.78</v>
      </c>
      <c r="EQ148" s="1">
        <v>393.38</v>
      </c>
      <c r="ER148" s="19"/>
      <c r="ES148" s="19"/>
      <c r="EX148" s="1">
        <v>1.1000000000000001</v>
      </c>
      <c r="EY148" s="1">
        <v>0.8</v>
      </c>
      <c r="EZ148" s="1">
        <v>1.4</v>
      </c>
      <c r="FP148" s="1">
        <v>365</v>
      </c>
      <c r="FQ148" s="1">
        <v>292</v>
      </c>
      <c r="FR148" s="1">
        <v>438</v>
      </c>
      <c r="FS148" s="11"/>
      <c r="FT148" s="11"/>
      <c r="FU148" s="11"/>
      <c r="FV148" s="1">
        <v>365</v>
      </c>
      <c r="FW148" s="1">
        <v>292</v>
      </c>
      <c r="FX148" s="1">
        <v>438</v>
      </c>
      <c r="FZ148" s="19"/>
      <c r="GA148" s="19"/>
      <c r="GB148" s="19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S148" s="1">
        <v>67</v>
      </c>
      <c r="GT148" s="1">
        <v>67</v>
      </c>
      <c r="GU148" s="1">
        <v>67</v>
      </c>
      <c r="GV148" s="13" t="s">
        <v>806</v>
      </c>
      <c r="GW148" s="13" t="s">
        <v>806</v>
      </c>
      <c r="GX148" s="13" t="s">
        <v>806</v>
      </c>
      <c r="GY148" s="13"/>
      <c r="GZ148" s="13" t="s">
        <v>806</v>
      </c>
      <c r="HA148" s="13" t="s">
        <v>806</v>
      </c>
      <c r="HB148" s="13" t="s">
        <v>806</v>
      </c>
      <c r="HC148" s="13" t="s">
        <v>806</v>
      </c>
      <c r="HD148" s="13" t="s">
        <v>806</v>
      </c>
      <c r="HE148" s="13" t="s">
        <v>806</v>
      </c>
      <c r="HF148" s="13" t="s">
        <v>806</v>
      </c>
      <c r="HI148" s="13" t="s">
        <v>806</v>
      </c>
      <c r="HJ148" s="13" t="s">
        <v>806</v>
      </c>
      <c r="HL148" s="13" t="s">
        <v>806</v>
      </c>
    </row>
    <row r="149" spans="1:223" ht="12.75" customHeight="1" x14ac:dyDescent="0.25">
      <c r="A149" s="1" t="s">
        <v>208</v>
      </c>
      <c r="B149" s="1" t="s">
        <v>651</v>
      </c>
      <c r="E149" s="1" t="s">
        <v>126</v>
      </c>
      <c r="F149" s="1">
        <v>2</v>
      </c>
      <c r="G149" s="1">
        <v>2030</v>
      </c>
      <c r="H149" s="1">
        <v>1</v>
      </c>
      <c r="I149" s="1">
        <v>0</v>
      </c>
      <c r="J149" s="1">
        <v>0</v>
      </c>
      <c r="K149" s="19"/>
      <c r="L149" s="19"/>
      <c r="M149" s="19"/>
      <c r="N149" s="19"/>
      <c r="O149" s="19"/>
      <c r="P149" s="19"/>
      <c r="Q149" s="19">
        <v>22.896719999999998</v>
      </c>
      <c r="R149" s="19">
        <v>11.822184</v>
      </c>
      <c r="S149" s="19">
        <v>37.335672000000002</v>
      </c>
      <c r="T149" s="19"/>
      <c r="U149" s="19"/>
      <c r="V149" s="19"/>
      <c r="W149" s="19">
        <v>0.654192</v>
      </c>
      <c r="X149" s="19">
        <v>0</v>
      </c>
      <c r="Y149" s="19">
        <v>12.710016000000001</v>
      </c>
      <c r="Z149" s="19">
        <v>5.8877280000000001</v>
      </c>
      <c r="AA149" s="19">
        <v>1.028016</v>
      </c>
      <c r="AB149" s="19">
        <v>12.710016000000001</v>
      </c>
      <c r="AC149" s="19"/>
      <c r="AD149" s="19"/>
      <c r="AE149" s="19"/>
      <c r="AF149" s="19">
        <v>17.663184000000001</v>
      </c>
      <c r="AG149" s="19">
        <v>8.738135999999999</v>
      </c>
      <c r="AH149" s="19">
        <v>29.391912000000001</v>
      </c>
      <c r="AI149" s="19">
        <v>5.8877280000000001</v>
      </c>
      <c r="AJ149" s="19">
        <v>1.028016</v>
      </c>
      <c r="AK149" s="19">
        <v>12.710016000000001</v>
      </c>
      <c r="AL149" s="19">
        <v>17.663184000000001</v>
      </c>
      <c r="AM149" s="19">
        <v>8.738135999999999</v>
      </c>
      <c r="AN149" s="19">
        <v>29.391912000000001</v>
      </c>
      <c r="AO149" s="19">
        <v>22.896719999999998</v>
      </c>
      <c r="AP149" s="19">
        <v>11.822184</v>
      </c>
      <c r="AQ149" s="19">
        <v>37.335672000000002</v>
      </c>
      <c r="AR149" s="19"/>
      <c r="AS149" s="19"/>
      <c r="AT149" s="19"/>
      <c r="AU149" s="19">
        <v>0.654192</v>
      </c>
      <c r="AV149" s="19">
        <v>0</v>
      </c>
      <c r="AW149" s="19">
        <v>12.710016000000001</v>
      </c>
      <c r="AX149" s="19">
        <v>5.8877280000000001</v>
      </c>
      <c r="AY149" s="19">
        <v>1.028016</v>
      </c>
      <c r="AZ149" s="19">
        <v>12.710016000000001</v>
      </c>
      <c r="BA149" s="19"/>
      <c r="BB149" s="19"/>
      <c r="BC149" s="19"/>
      <c r="BD149" s="19">
        <v>17.663184000000001</v>
      </c>
      <c r="BE149" s="19">
        <v>8.738135999999999</v>
      </c>
      <c r="BF149" s="19">
        <v>29.391912000000001</v>
      </c>
      <c r="BG149" s="19">
        <v>5.8877280000000001</v>
      </c>
      <c r="BH149" s="19">
        <v>1.028016</v>
      </c>
      <c r="BI149" s="19">
        <v>12.710016000000001</v>
      </c>
      <c r="BJ149" s="19"/>
      <c r="BK149" s="19"/>
      <c r="BL149" s="19"/>
      <c r="BM149" s="19">
        <v>17.663184000000001</v>
      </c>
      <c r="BN149" s="19">
        <v>8.738135999999999</v>
      </c>
      <c r="BO149" s="19">
        <v>29.391912000000001</v>
      </c>
      <c r="BP149" s="19">
        <v>22.896719999999998</v>
      </c>
      <c r="BQ149" s="19">
        <v>11.822184</v>
      </c>
      <c r="BR149" s="19">
        <v>37.335672000000002</v>
      </c>
      <c r="BS149" s="19"/>
      <c r="BT149" s="19"/>
      <c r="BU149" s="19"/>
      <c r="BV149" s="19">
        <v>0.654192</v>
      </c>
      <c r="BW149" s="19">
        <v>0</v>
      </c>
      <c r="BX149" s="19">
        <v>12.710016000000001</v>
      </c>
      <c r="BY149" s="19">
        <v>5.8877280000000001</v>
      </c>
      <c r="BZ149" s="19">
        <v>1.028016</v>
      </c>
      <c r="CA149" s="19">
        <v>12.710016000000001</v>
      </c>
      <c r="CB149" s="19"/>
      <c r="CC149" s="19"/>
      <c r="CD149" s="19"/>
      <c r="CE149" s="19">
        <v>17.663184000000001</v>
      </c>
      <c r="CF149" s="19">
        <v>8.738135999999999</v>
      </c>
      <c r="CG149" s="19">
        <v>29.391912000000001</v>
      </c>
      <c r="CH149" s="19">
        <v>5.8877280000000001</v>
      </c>
      <c r="CI149" s="19">
        <v>1.028016</v>
      </c>
      <c r="CJ149" s="19">
        <v>12.710016000000001</v>
      </c>
      <c r="CK149" s="19"/>
      <c r="CL149" s="19"/>
      <c r="CM149" s="19"/>
      <c r="CN149" s="19">
        <v>17.663184000000001</v>
      </c>
      <c r="CO149" s="19">
        <v>8.738135999999999</v>
      </c>
      <c r="CP149" s="19">
        <v>29.391912000000001</v>
      </c>
      <c r="CQ149" s="19"/>
      <c r="CR149" s="19"/>
      <c r="CS149" s="19"/>
      <c r="CT149" s="19"/>
      <c r="CU149" s="11">
        <f>Tabelle58971121[[#This Row],[Mindestauslastung durch]]*Tabelle58971121[[#This Row],[installierte Leistung MW durch]]</f>
        <v>50.106000000000002</v>
      </c>
      <c r="CV149" s="11">
        <f>Tabelle58971121[[#This Row],[Mindestauslastung min]]*Tabelle58971121[[#This Row],[installierte Leistung MW min]]</f>
        <v>34.150999999999996</v>
      </c>
      <c r="CW149" s="11">
        <f>Tabelle58971121[[#This Row],[Mindestauslastung max]]*Tabelle58971121[[#This Row],[installierte Leistung MW max]]</f>
        <v>68.914600000000007</v>
      </c>
      <c r="CX149" s="9">
        <v>0.15</v>
      </c>
      <c r="CY149" s="9">
        <v>0.13</v>
      </c>
      <c r="CZ149" s="9">
        <v>0.17</v>
      </c>
      <c r="DA149" s="9"/>
      <c r="DB149" s="9">
        <v>0.5</v>
      </c>
      <c r="DC149" s="9">
        <v>0.4</v>
      </c>
      <c r="DD149" s="9">
        <v>0.6</v>
      </c>
      <c r="DE149" s="9">
        <v>0.24</v>
      </c>
      <c r="DF149" s="9">
        <v>0.19</v>
      </c>
      <c r="DG149" s="9">
        <v>0.28999999999999998</v>
      </c>
      <c r="DH149" s="9">
        <v>0.24</v>
      </c>
      <c r="DI149" s="9">
        <v>0.19</v>
      </c>
      <c r="DJ149" s="9">
        <v>0.28999999999999998</v>
      </c>
      <c r="DK149" s="9">
        <v>0.5</v>
      </c>
      <c r="DL149" s="9">
        <v>0.4</v>
      </c>
      <c r="DM149" s="9">
        <v>0.6</v>
      </c>
      <c r="DN149" s="9">
        <v>0.24</v>
      </c>
      <c r="DO149" s="9">
        <v>0.19</v>
      </c>
      <c r="DP149" s="9">
        <v>0.28999999999999998</v>
      </c>
      <c r="DQ149" s="9">
        <v>0.24</v>
      </c>
      <c r="DR149" s="9">
        <v>0.19</v>
      </c>
      <c r="DS149" s="9">
        <v>0.28999999999999998</v>
      </c>
      <c r="DT149" s="9">
        <v>0.5</v>
      </c>
      <c r="DU149" s="9">
        <v>0.4</v>
      </c>
      <c r="DV149" s="9">
        <v>0.6</v>
      </c>
      <c r="DW149" s="9">
        <v>0.24</v>
      </c>
      <c r="DX149" s="9">
        <v>0.19</v>
      </c>
      <c r="DY149" s="9">
        <v>0.28999999999999998</v>
      </c>
      <c r="DZ149" s="9">
        <v>0.24</v>
      </c>
      <c r="EA149" s="9">
        <v>0.19</v>
      </c>
      <c r="EB149" s="9">
        <v>0.28999999999999998</v>
      </c>
      <c r="EC149" s="9"/>
      <c r="ED149" s="9"/>
      <c r="EE149" s="9"/>
      <c r="EF149" s="46">
        <f>Tabelle58971121[[#This Row],[Durchschnittsauslastung min]]*Tabelle58971121[[#This Row],[installierte Leistung MW min]]</f>
        <v>0</v>
      </c>
      <c r="EG149" s="46">
        <f>Tabelle58971121[[#This Row],[Durchschnittsauslastung durch]]*Tabelle58971121[[#This Row],[installierte Leistung MW durch]]</f>
        <v>0</v>
      </c>
      <c r="EH149" s="46">
        <f>Tabelle58971121[[#This Row],[Durchschnittsauslastung max]]*Tabelle58971121[[#This Row],[installierte Leistung MW max]]</f>
        <v>0</v>
      </c>
      <c r="EI149" s="83">
        <f>Tabelle58971121[[#This Row],[Maximalauslastung durch]]*Tabelle58971121[[#This Row],[installierte Leistung MW min]]</f>
        <v>133.977</v>
      </c>
      <c r="EJ149" s="46">
        <f>Tabelle58971121[[#This Row],[Maximalauslastung durch]]*Tabelle58971121[[#This Row],[installierte Leistung MW durch]]</f>
        <v>170.36040000000003</v>
      </c>
      <c r="EK149" s="19">
        <f>Tabelle58971121[[#This Row],[Maximalauslastung max]]*Tabelle58971121[[#This Row],[installierte Leistung MW durch]]</f>
        <v>187.06240000000003</v>
      </c>
      <c r="EL149" s="9">
        <v>0.51</v>
      </c>
      <c r="EM149" s="9">
        <v>0.46</v>
      </c>
      <c r="EN149" s="9">
        <v>0.56000000000000005</v>
      </c>
      <c r="EO149" s="1">
        <v>334.04</v>
      </c>
      <c r="EP149" s="1">
        <v>262.7</v>
      </c>
      <c r="EQ149" s="1">
        <v>405.38</v>
      </c>
      <c r="ER149" s="19"/>
      <c r="ES149" s="19"/>
      <c r="EX149" s="1">
        <v>1.1000000000000001</v>
      </c>
      <c r="EY149" s="1">
        <v>0.8</v>
      </c>
      <c r="EZ149" s="1">
        <v>1.4</v>
      </c>
      <c r="FP149" s="1">
        <v>365</v>
      </c>
      <c r="FQ149" s="1">
        <v>292</v>
      </c>
      <c r="FR149" s="1">
        <v>438</v>
      </c>
      <c r="FS149" s="11"/>
      <c r="FT149" s="11"/>
      <c r="FU149" s="11"/>
      <c r="FV149" s="1">
        <v>365</v>
      </c>
      <c r="FW149" s="1">
        <v>292</v>
      </c>
      <c r="FX149" s="1">
        <v>438</v>
      </c>
      <c r="FZ149" s="19"/>
      <c r="GA149" s="19"/>
      <c r="GB149" s="19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S149" s="1">
        <v>67</v>
      </c>
      <c r="GT149" s="1">
        <v>67</v>
      </c>
      <c r="GU149" s="1">
        <v>67</v>
      </c>
      <c r="GV149" s="13" t="s">
        <v>806</v>
      </c>
      <c r="GW149" s="13" t="s">
        <v>806</v>
      </c>
      <c r="GX149" s="13" t="s">
        <v>806</v>
      </c>
      <c r="GY149" s="13"/>
      <c r="GZ149" s="13" t="s">
        <v>806</v>
      </c>
      <c r="HA149" s="13" t="s">
        <v>806</v>
      </c>
      <c r="HB149" s="13" t="s">
        <v>806</v>
      </c>
      <c r="HC149" s="13" t="s">
        <v>806</v>
      </c>
      <c r="HD149" s="13" t="s">
        <v>806</v>
      </c>
      <c r="HE149" s="13" t="s">
        <v>806</v>
      </c>
      <c r="HF149" s="13" t="s">
        <v>806</v>
      </c>
      <c r="HI149" s="13" t="s">
        <v>806</v>
      </c>
      <c r="HJ149" s="13" t="s">
        <v>806</v>
      </c>
      <c r="HL149" s="13" t="s">
        <v>806</v>
      </c>
    </row>
    <row r="150" spans="1:223" ht="12.75" customHeight="1" x14ac:dyDescent="0.25">
      <c r="A150" s="1" t="s">
        <v>208</v>
      </c>
      <c r="B150" s="1" t="s">
        <v>651</v>
      </c>
      <c r="E150" s="1" t="s">
        <v>126</v>
      </c>
      <c r="F150" s="1">
        <v>2</v>
      </c>
      <c r="G150" s="1">
        <v>2035</v>
      </c>
      <c r="H150" s="1">
        <v>1</v>
      </c>
      <c r="I150" s="1">
        <v>0</v>
      </c>
      <c r="J150" s="1">
        <v>0</v>
      </c>
      <c r="K150" s="19"/>
      <c r="L150" s="19"/>
      <c r="M150" s="19"/>
      <c r="N150" s="19"/>
      <c r="O150" s="19"/>
      <c r="P150" s="19"/>
      <c r="Q150" s="19">
        <v>23.414159999999999</v>
      </c>
      <c r="R150" s="19">
        <v>12.089352</v>
      </c>
      <c r="S150" s="19">
        <v>38.179416000000003</v>
      </c>
      <c r="T150" s="19"/>
      <c r="U150" s="19"/>
      <c r="V150" s="19"/>
      <c r="W150" s="19">
        <v>0.66897600000000002</v>
      </c>
      <c r="X150" s="19">
        <v>0</v>
      </c>
      <c r="Y150" s="19">
        <v>12.997248000000001</v>
      </c>
      <c r="Z150" s="19">
        <v>6.0207839999999999</v>
      </c>
      <c r="AA150" s="19">
        <v>1.051248</v>
      </c>
      <c r="AB150" s="19">
        <v>12.997248000000001</v>
      </c>
      <c r="AC150" s="19"/>
      <c r="AD150" s="19"/>
      <c r="AE150" s="19"/>
      <c r="AF150" s="19">
        <v>18.062352000000004</v>
      </c>
      <c r="AG150" s="19">
        <v>8.9356079999999984</v>
      </c>
      <c r="AH150" s="19">
        <v>30.056135999999999</v>
      </c>
      <c r="AI150" s="19">
        <v>6.0207839999999999</v>
      </c>
      <c r="AJ150" s="19">
        <v>1.051248</v>
      </c>
      <c r="AK150" s="19">
        <v>12.997248000000001</v>
      </c>
      <c r="AL150" s="19">
        <v>18.062352000000004</v>
      </c>
      <c r="AM150" s="19">
        <v>8.9356079999999984</v>
      </c>
      <c r="AN150" s="19">
        <v>30.056135999999999</v>
      </c>
      <c r="AO150" s="19">
        <v>23.414159999999999</v>
      </c>
      <c r="AP150" s="19">
        <v>12.089352</v>
      </c>
      <c r="AQ150" s="19">
        <v>38.179416000000003</v>
      </c>
      <c r="AR150" s="19"/>
      <c r="AS150" s="19"/>
      <c r="AT150" s="19"/>
      <c r="AU150" s="19">
        <v>0.66897600000000002</v>
      </c>
      <c r="AV150" s="19">
        <v>0</v>
      </c>
      <c r="AW150" s="19">
        <v>12.997248000000001</v>
      </c>
      <c r="AX150" s="19">
        <v>6.0207839999999999</v>
      </c>
      <c r="AY150" s="19">
        <v>1.051248</v>
      </c>
      <c r="AZ150" s="19">
        <v>12.997248000000001</v>
      </c>
      <c r="BA150" s="19"/>
      <c r="BB150" s="19"/>
      <c r="BC150" s="19"/>
      <c r="BD150" s="19">
        <v>18.062352000000004</v>
      </c>
      <c r="BE150" s="19">
        <v>8.9356079999999984</v>
      </c>
      <c r="BF150" s="19">
        <v>30.056135999999999</v>
      </c>
      <c r="BG150" s="19">
        <v>6.0207839999999999</v>
      </c>
      <c r="BH150" s="19">
        <v>1.051248</v>
      </c>
      <c r="BI150" s="19">
        <v>12.997248000000001</v>
      </c>
      <c r="BJ150" s="19"/>
      <c r="BK150" s="19"/>
      <c r="BL150" s="19"/>
      <c r="BM150" s="19">
        <v>18.062352000000004</v>
      </c>
      <c r="BN150" s="19">
        <v>8.9356079999999984</v>
      </c>
      <c r="BO150" s="19">
        <v>30.056135999999999</v>
      </c>
      <c r="BP150" s="19">
        <v>23.414159999999999</v>
      </c>
      <c r="BQ150" s="19">
        <v>12.089352</v>
      </c>
      <c r="BR150" s="19">
        <v>38.179416000000003</v>
      </c>
      <c r="BS150" s="19"/>
      <c r="BT150" s="19"/>
      <c r="BU150" s="19"/>
      <c r="BV150" s="19">
        <v>0.66897600000000002</v>
      </c>
      <c r="BW150" s="19">
        <v>0</v>
      </c>
      <c r="BX150" s="19">
        <v>12.997248000000001</v>
      </c>
      <c r="BY150" s="19">
        <v>6.0207839999999999</v>
      </c>
      <c r="BZ150" s="19">
        <v>1.051248</v>
      </c>
      <c r="CA150" s="19">
        <v>12.997248000000001</v>
      </c>
      <c r="CB150" s="19"/>
      <c r="CC150" s="19"/>
      <c r="CD150" s="19"/>
      <c r="CE150" s="19">
        <v>18.062352000000004</v>
      </c>
      <c r="CF150" s="19">
        <v>8.9356079999999984</v>
      </c>
      <c r="CG150" s="19">
        <v>30.056135999999999</v>
      </c>
      <c r="CH150" s="19">
        <v>6.0207839999999999</v>
      </c>
      <c r="CI150" s="19">
        <v>1.051248</v>
      </c>
      <c r="CJ150" s="19">
        <v>12.997248000000001</v>
      </c>
      <c r="CK150" s="19"/>
      <c r="CL150" s="19"/>
      <c r="CM150" s="19"/>
      <c r="CN150" s="19">
        <v>18.062352000000004</v>
      </c>
      <c r="CO150" s="19">
        <v>8.9356079999999984</v>
      </c>
      <c r="CP150" s="19">
        <v>30.056135999999999</v>
      </c>
      <c r="CQ150" s="19"/>
      <c r="CR150" s="19"/>
      <c r="CS150" s="19"/>
      <c r="CT150" s="19"/>
      <c r="CU150" s="11">
        <f>Tabelle58971121[[#This Row],[Mindestauslastung durch]]*Tabelle58971121[[#This Row],[installierte Leistung MW durch]]</f>
        <v>51.575999999999993</v>
      </c>
      <c r="CV150" s="11">
        <f>Tabelle58971121[[#This Row],[Mindestauslastung min]]*Tabelle58971121[[#This Row],[installierte Leistung MW min]]</f>
        <v>35.161100000000005</v>
      </c>
      <c r="CW150" s="11">
        <f>Tabelle58971121[[#This Row],[Mindestauslastung max]]*Tabelle58971121[[#This Row],[installierte Leistung MW max]]</f>
        <v>70.925700000000006</v>
      </c>
      <c r="CX150" s="9">
        <v>0.15</v>
      </c>
      <c r="CY150" s="9">
        <v>0.13</v>
      </c>
      <c r="CZ150" s="9">
        <v>0.17</v>
      </c>
      <c r="DA150" s="9"/>
      <c r="DB150" s="9">
        <v>0.5</v>
      </c>
      <c r="DC150" s="9">
        <v>0.4</v>
      </c>
      <c r="DD150" s="9">
        <v>0.6</v>
      </c>
      <c r="DE150" s="9">
        <v>0.24</v>
      </c>
      <c r="DF150" s="9">
        <v>0.19</v>
      </c>
      <c r="DG150" s="9">
        <v>0.28999999999999998</v>
      </c>
      <c r="DH150" s="9">
        <v>0.24</v>
      </c>
      <c r="DI150" s="9">
        <v>0.19</v>
      </c>
      <c r="DJ150" s="9">
        <v>0.28999999999999998</v>
      </c>
      <c r="DK150" s="9">
        <v>0.5</v>
      </c>
      <c r="DL150" s="9">
        <v>0.4</v>
      </c>
      <c r="DM150" s="9">
        <v>0.6</v>
      </c>
      <c r="DN150" s="9">
        <v>0.24</v>
      </c>
      <c r="DO150" s="9">
        <v>0.19</v>
      </c>
      <c r="DP150" s="9">
        <v>0.28999999999999998</v>
      </c>
      <c r="DQ150" s="9">
        <v>0.24</v>
      </c>
      <c r="DR150" s="9">
        <v>0.19</v>
      </c>
      <c r="DS150" s="9">
        <v>0.28999999999999998</v>
      </c>
      <c r="DT150" s="9">
        <v>0.5</v>
      </c>
      <c r="DU150" s="9">
        <v>0.4</v>
      </c>
      <c r="DV150" s="9">
        <v>0.6</v>
      </c>
      <c r="DW150" s="9">
        <v>0.24</v>
      </c>
      <c r="DX150" s="9">
        <v>0.19</v>
      </c>
      <c r="DY150" s="9">
        <v>0.28999999999999998</v>
      </c>
      <c r="DZ150" s="9">
        <v>0.24</v>
      </c>
      <c r="EA150" s="9">
        <v>0.19</v>
      </c>
      <c r="EB150" s="9">
        <v>0.28999999999999998</v>
      </c>
      <c r="EC150" s="9"/>
      <c r="ED150" s="9"/>
      <c r="EE150" s="9"/>
      <c r="EF150" s="46">
        <f>Tabelle58971121[[#This Row],[Durchschnittsauslastung min]]*Tabelle58971121[[#This Row],[installierte Leistung MW min]]</f>
        <v>0</v>
      </c>
      <c r="EG150" s="46">
        <f>Tabelle58971121[[#This Row],[Durchschnittsauslastung durch]]*Tabelle58971121[[#This Row],[installierte Leistung MW durch]]</f>
        <v>0</v>
      </c>
      <c r="EH150" s="46">
        <f>Tabelle58971121[[#This Row],[Durchschnittsauslastung max]]*Tabelle58971121[[#This Row],[installierte Leistung MW max]]</f>
        <v>0</v>
      </c>
      <c r="EI150" s="83">
        <f>Tabelle58971121[[#This Row],[Maximalauslastung durch]]*Tabelle58971121[[#This Row],[installierte Leistung MW min]]</f>
        <v>137.93970000000002</v>
      </c>
      <c r="EJ150" s="46">
        <f>Tabelle58971121[[#This Row],[Maximalauslastung durch]]*Tabelle58971121[[#This Row],[installierte Leistung MW durch]]</f>
        <v>175.35839999999999</v>
      </c>
      <c r="EK150" s="19">
        <f>Tabelle58971121[[#This Row],[Maximalauslastung max]]*Tabelle58971121[[#This Row],[installierte Leistung MW durch]]</f>
        <v>192.5504</v>
      </c>
      <c r="EL150" s="9">
        <v>0.51</v>
      </c>
      <c r="EM150" s="9">
        <v>0.46</v>
      </c>
      <c r="EN150" s="9">
        <v>0.56000000000000005</v>
      </c>
      <c r="EO150" s="1">
        <v>343.84</v>
      </c>
      <c r="EP150" s="1">
        <v>270.47000000000003</v>
      </c>
      <c r="EQ150" s="1">
        <v>417.21</v>
      </c>
      <c r="ER150" s="19"/>
      <c r="ES150" s="19"/>
      <c r="EX150" s="1">
        <v>1.1000000000000001</v>
      </c>
      <c r="EY150" s="1">
        <v>0.8</v>
      </c>
      <c r="EZ150" s="1">
        <v>1.4</v>
      </c>
      <c r="FP150" s="1">
        <v>365</v>
      </c>
      <c r="FQ150" s="1">
        <v>292</v>
      </c>
      <c r="FR150" s="1">
        <v>438</v>
      </c>
      <c r="FS150" s="11"/>
      <c r="FT150" s="11"/>
      <c r="FU150" s="11"/>
      <c r="FV150" s="1">
        <v>365</v>
      </c>
      <c r="FW150" s="1">
        <v>292</v>
      </c>
      <c r="FX150" s="1">
        <v>438</v>
      </c>
      <c r="FZ150" s="19"/>
      <c r="GA150" s="19"/>
      <c r="GB150" s="19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S150" s="1">
        <v>67</v>
      </c>
      <c r="GT150" s="1">
        <v>67</v>
      </c>
      <c r="GU150" s="1">
        <v>67</v>
      </c>
      <c r="GV150" s="13" t="s">
        <v>806</v>
      </c>
      <c r="GW150" s="13" t="s">
        <v>806</v>
      </c>
      <c r="GX150" s="13" t="s">
        <v>806</v>
      </c>
      <c r="GY150" s="13"/>
      <c r="GZ150" s="13" t="s">
        <v>806</v>
      </c>
      <c r="HA150" s="13" t="s">
        <v>806</v>
      </c>
      <c r="HB150" s="13" t="s">
        <v>806</v>
      </c>
      <c r="HC150" s="13" t="s">
        <v>806</v>
      </c>
      <c r="HD150" s="13" t="s">
        <v>806</v>
      </c>
      <c r="HE150" s="13" t="s">
        <v>806</v>
      </c>
      <c r="HF150" s="13" t="s">
        <v>806</v>
      </c>
      <c r="HI150" s="13" t="s">
        <v>806</v>
      </c>
      <c r="HJ150" s="13" t="s">
        <v>806</v>
      </c>
      <c r="HL150" s="13" t="s">
        <v>806</v>
      </c>
    </row>
    <row r="151" spans="1:223" ht="12.75" customHeight="1" x14ac:dyDescent="0.25">
      <c r="A151" s="1" t="s">
        <v>208</v>
      </c>
      <c r="B151" s="1" t="s">
        <v>651</v>
      </c>
      <c r="E151" s="1" t="s">
        <v>126</v>
      </c>
      <c r="F151" s="1">
        <v>2</v>
      </c>
      <c r="G151" s="1">
        <v>2040</v>
      </c>
      <c r="H151" s="1">
        <v>1</v>
      </c>
      <c r="I151" s="1">
        <v>0</v>
      </c>
      <c r="J151" s="1">
        <v>0</v>
      </c>
      <c r="K151" s="19"/>
      <c r="L151" s="19"/>
      <c r="M151" s="19"/>
      <c r="N151" s="19"/>
      <c r="O151" s="19"/>
      <c r="P151" s="19"/>
      <c r="Q151" s="19">
        <v>23.9316</v>
      </c>
      <c r="R151" s="19">
        <v>12.356520000000002</v>
      </c>
      <c r="S151" s="19">
        <v>39.023160000000004</v>
      </c>
      <c r="T151" s="19"/>
      <c r="U151" s="19"/>
      <c r="V151" s="19"/>
      <c r="W151" s="19">
        <v>0.68376000000000003</v>
      </c>
      <c r="X151" s="19">
        <v>0</v>
      </c>
      <c r="Y151" s="19">
        <v>13.28448</v>
      </c>
      <c r="Z151" s="19">
        <v>6.1538399999999998</v>
      </c>
      <c r="AA151" s="19">
        <v>1.0744800000000001</v>
      </c>
      <c r="AB151" s="19">
        <v>13.28448</v>
      </c>
      <c r="AC151" s="19"/>
      <c r="AD151" s="19"/>
      <c r="AE151" s="19"/>
      <c r="AF151" s="19">
        <v>18.461520000000004</v>
      </c>
      <c r="AG151" s="19">
        <v>9.1330799999999979</v>
      </c>
      <c r="AH151" s="19">
        <v>30.720359999999999</v>
      </c>
      <c r="AI151" s="19">
        <v>6.1538399999999998</v>
      </c>
      <c r="AJ151" s="19">
        <v>1.0744800000000001</v>
      </c>
      <c r="AK151" s="19">
        <v>13.28448</v>
      </c>
      <c r="AL151" s="19">
        <v>18.461520000000004</v>
      </c>
      <c r="AM151" s="19">
        <v>9.1330799999999979</v>
      </c>
      <c r="AN151" s="19">
        <v>30.720359999999999</v>
      </c>
      <c r="AO151" s="19">
        <v>23.9316</v>
      </c>
      <c r="AP151" s="19">
        <v>12.356520000000002</v>
      </c>
      <c r="AQ151" s="19">
        <v>39.023160000000004</v>
      </c>
      <c r="AR151" s="19"/>
      <c r="AS151" s="19"/>
      <c r="AT151" s="19"/>
      <c r="AU151" s="19">
        <v>0.68376000000000003</v>
      </c>
      <c r="AV151" s="19">
        <v>0</v>
      </c>
      <c r="AW151" s="19">
        <v>13.28448</v>
      </c>
      <c r="AX151" s="19">
        <v>6.1538399999999998</v>
      </c>
      <c r="AY151" s="19">
        <v>1.0744800000000001</v>
      </c>
      <c r="AZ151" s="19">
        <v>13.28448</v>
      </c>
      <c r="BA151" s="19"/>
      <c r="BB151" s="19"/>
      <c r="BC151" s="19"/>
      <c r="BD151" s="19">
        <v>18.461520000000004</v>
      </c>
      <c r="BE151" s="19">
        <v>9.1330799999999979</v>
      </c>
      <c r="BF151" s="19">
        <v>30.720359999999999</v>
      </c>
      <c r="BG151" s="19">
        <v>6.1538399999999998</v>
      </c>
      <c r="BH151" s="19">
        <v>1.0744800000000001</v>
      </c>
      <c r="BI151" s="19">
        <v>13.28448</v>
      </c>
      <c r="BJ151" s="19"/>
      <c r="BK151" s="19"/>
      <c r="BL151" s="19"/>
      <c r="BM151" s="19">
        <v>18.461520000000004</v>
      </c>
      <c r="BN151" s="19">
        <v>9.1330799999999979</v>
      </c>
      <c r="BO151" s="19">
        <v>30.720359999999999</v>
      </c>
      <c r="BP151" s="19">
        <v>23.9316</v>
      </c>
      <c r="BQ151" s="19">
        <v>12.356520000000002</v>
      </c>
      <c r="BR151" s="19">
        <v>39.023160000000004</v>
      </c>
      <c r="BS151" s="19"/>
      <c r="BT151" s="19"/>
      <c r="BU151" s="19"/>
      <c r="BV151" s="19">
        <v>0.68376000000000003</v>
      </c>
      <c r="BW151" s="19">
        <v>0</v>
      </c>
      <c r="BX151" s="19">
        <v>13.28448</v>
      </c>
      <c r="BY151" s="19">
        <v>6.1538399999999998</v>
      </c>
      <c r="BZ151" s="19">
        <v>1.0744800000000001</v>
      </c>
      <c r="CA151" s="19">
        <v>13.28448</v>
      </c>
      <c r="CB151" s="19"/>
      <c r="CC151" s="19"/>
      <c r="CD151" s="19"/>
      <c r="CE151" s="19">
        <v>18.461520000000004</v>
      </c>
      <c r="CF151" s="19">
        <v>9.1330799999999979</v>
      </c>
      <c r="CG151" s="19">
        <v>30.720359999999999</v>
      </c>
      <c r="CH151" s="19">
        <v>6.1538399999999998</v>
      </c>
      <c r="CI151" s="19">
        <v>1.0744800000000001</v>
      </c>
      <c r="CJ151" s="19">
        <v>13.28448</v>
      </c>
      <c r="CK151" s="19"/>
      <c r="CL151" s="19"/>
      <c r="CM151" s="19"/>
      <c r="CN151" s="19">
        <v>18.461520000000004</v>
      </c>
      <c r="CO151" s="19">
        <v>9.1330799999999979</v>
      </c>
      <c r="CP151" s="19">
        <v>30.720359999999999</v>
      </c>
      <c r="CQ151" s="19"/>
      <c r="CR151" s="19"/>
      <c r="CS151" s="19"/>
      <c r="CT151" s="19"/>
      <c r="CU151" s="11">
        <f>Tabelle58971121[[#This Row],[Mindestauslastung durch]]*Tabelle58971121[[#This Row],[installierte Leistung MW durch]]</f>
        <v>53.07</v>
      </c>
      <c r="CV151" s="11">
        <f>Tabelle58971121[[#This Row],[Mindestauslastung min]]*Tabelle58971121[[#This Row],[installierte Leistung MW min]]</f>
        <v>36.1907</v>
      </c>
      <c r="CW151" s="11">
        <f>Tabelle58971121[[#This Row],[Mindestauslastung max]]*Tabelle58971121[[#This Row],[installierte Leistung MW max]]</f>
        <v>72.965699999999998</v>
      </c>
      <c r="CX151" s="9">
        <v>0.15</v>
      </c>
      <c r="CY151" s="9">
        <v>0.13</v>
      </c>
      <c r="CZ151" s="9">
        <v>0.17</v>
      </c>
      <c r="DA151" s="9"/>
      <c r="DB151" s="9">
        <v>0.5</v>
      </c>
      <c r="DC151" s="9">
        <v>0.4</v>
      </c>
      <c r="DD151" s="9">
        <v>0.6</v>
      </c>
      <c r="DE151" s="9">
        <v>0.24</v>
      </c>
      <c r="DF151" s="9">
        <v>0.19</v>
      </c>
      <c r="DG151" s="9">
        <v>0.28999999999999998</v>
      </c>
      <c r="DH151" s="9">
        <v>0.24</v>
      </c>
      <c r="DI151" s="9">
        <v>0.19</v>
      </c>
      <c r="DJ151" s="9">
        <v>0.28999999999999998</v>
      </c>
      <c r="DK151" s="9">
        <v>0.5</v>
      </c>
      <c r="DL151" s="9">
        <v>0.4</v>
      </c>
      <c r="DM151" s="9">
        <v>0.6</v>
      </c>
      <c r="DN151" s="9">
        <v>0.24</v>
      </c>
      <c r="DO151" s="9">
        <v>0.19</v>
      </c>
      <c r="DP151" s="9">
        <v>0.28999999999999998</v>
      </c>
      <c r="DQ151" s="9">
        <v>0.24</v>
      </c>
      <c r="DR151" s="9">
        <v>0.19</v>
      </c>
      <c r="DS151" s="9">
        <v>0.28999999999999998</v>
      </c>
      <c r="DT151" s="9">
        <v>0.5</v>
      </c>
      <c r="DU151" s="9">
        <v>0.4</v>
      </c>
      <c r="DV151" s="9">
        <v>0.6</v>
      </c>
      <c r="DW151" s="9">
        <v>0.24</v>
      </c>
      <c r="DX151" s="9">
        <v>0.19</v>
      </c>
      <c r="DY151" s="9">
        <v>0.28999999999999998</v>
      </c>
      <c r="DZ151" s="9">
        <v>0.24</v>
      </c>
      <c r="EA151" s="9">
        <v>0.19</v>
      </c>
      <c r="EB151" s="9">
        <v>0.28999999999999998</v>
      </c>
      <c r="EC151" s="9"/>
      <c r="ED151" s="9"/>
      <c r="EE151" s="9"/>
      <c r="EF151" s="46">
        <f>Tabelle58971121[[#This Row],[Durchschnittsauslastung min]]*Tabelle58971121[[#This Row],[installierte Leistung MW min]]</f>
        <v>0</v>
      </c>
      <c r="EG151" s="46">
        <f>Tabelle58971121[[#This Row],[Durchschnittsauslastung durch]]*Tabelle58971121[[#This Row],[installierte Leistung MW durch]]</f>
        <v>0</v>
      </c>
      <c r="EH151" s="46">
        <f>Tabelle58971121[[#This Row],[Durchschnittsauslastung max]]*Tabelle58971121[[#This Row],[installierte Leistung MW max]]</f>
        <v>0</v>
      </c>
      <c r="EI151" s="83">
        <f>Tabelle58971121[[#This Row],[Maximalauslastung durch]]*Tabelle58971121[[#This Row],[installierte Leistung MW min]]</f>
        <v>141.97889999999998</v>
      </c>
      <c r="EJ151" s="46">
        <f>Tabelle58971121[[#This Row],[Maximalauslastung durch]]*Tabelle58971121[[#This Row],[installierte Leistung MW durch]]</f>
        <v>180.43800000000002</v>
      </c>
      <c r="EK151" s="19">
        <f>Tabelle58971121[[#This Row],[Maximalauslastung max]]*Tabelle58971121[[#This Row],[installierte Leistung MW durch]]</f>
        <v>198.12800000000001</v>
      </c>
      <c r="EL151" s="9">
        <v>0.51</v>
      </c>
      <c r="EM151" s="9">
        <v>0.46</v>
      </c>
      <c r="EN151" s="9">
        <v>0.56000000000000005</v>
      </c>
      <c r="EO151" s="1">
        <v>353.8</v>
      </c>
      <c r="EP151" s="1">
        <v>278.39</v>
      </c>
      <c r="EQ151" s="1">
        <v>429.21</v>
      </c>
      <c r="ER151" s="19"/>
      <c r="ES151" s="19"/>
      <c r="EX151" s="1">
        <v>1.1000000000000001</v>
      </c>
      <c r="EY151" s="1">
        <v>0.8</v>
      </c>
      <c r="EZ151" s="1">
        <v>1.4</v>
      </c>
      <c r="FP151" s="11">
        <v>365</v>
      </c>
      <c r="FQ151" s="11">
        <v>292</v>
      </c>
      <c r="FR151" s="11">
        <v>438</v>
      </c>
      <c r="FS151" s="11"/>
      <c r="FT151" s="11"/>
      <c r="FU151" s="11"/>
      <c r="FV151" s="11">
        <v>365</v>
      </c>
      <c r="FW151" s="11">
        <v>292</v>
      </c>
      <c r="FX151" s="11">
        <v>438</v>
      </c>
      <c r="FZ151" s="19"/>
      <c r="GA151" s="19"/>
      <c r="GB151" s="19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S151" s="1">
        <v>67</v>
      </c>
      <c r="GT151" s="1">
        <v>67</v>
      </c>
      <c r="GU151" s="1">
        <v>67</v>
      </c>
      <c r="GV151" s="13" t="s">
        <v>806</v>
      </c>
      <c r="GW151" s="13" t="s">
        <v>806</v>
      </c>
      <c r="GX151" s="13" t="s">
        <v>806</v>
      </c>
      <c r="GY151" s="13"/>
      <c r="GZ151" s="13" t="s">
        <v>806</v>
      </c>
      <c r="HA151" s="13" t="s">
        <v>806</v>
      </c>
      <c r="HB151" s="13" t="s">
        <v>806</v>
      </c>
      <c r="HC151" s="13" t="s">
        <v>806</v>
      </c>
      <c r="HD151" s="13" t="s">
        <v>806</v>
      </c>
      <c r="HE151" s="13" t="s">
        <v>806</v>
      </c>
      <c r="HF151" s="13" t="s">
        <v>806</v>
      </c>
      <c r="HI151" s="13" t="s">
        <v>806</v>
      </c>
      <c r="HJ151" s="13" t="s">
        <v>806</v>
      </c>
      <c r="HL151" s="13" t="s">
        <v>806</v>
      </c>
    </row>
    <row r="152" spans="1:223" ht="12.75" customHeight="1" x14ac:dyDescent="0.25">
      <c r="A152" s="1" t="s">
        <v>208</v>
      </c>
      <c r="B152" s="1" t="s">
        <v>651</v>
      </c>
      <c r="E152" s="1" t="s">
        <v>126</v>
      </c>
      <c r="F152" s="1">
        <v>2</v>
      </c>
      <c r="G152" s="1">
        <v>2045</v>
      </c>
      <c r="H152" s="1">
        <v>1</v>
      </c>
      <c r="I152" s="1">
        <v>0</v>
      </c>
      <c r="J152" s="1">
        <v>0</v>
      </c>
      <c r="K152" s="19"/>
      <c r="L152" s="19"/>
      <c r="M152" s="19"/>
      <c r="N152" s="19"/>
      <c r="O152" s="19"/>
      <c r="P152" s="19"/>
      <c r="Q152" s="19">
        <v>24.535279999999997</v>
      </c>
      <c r="R152" s="19">
        <v>12.668215999999999</v>
      </c>
      <c r="S152" s="19">
        <v>40.007527999999994</v>
      </c>
      <c r="T152" s="19"/>
      <c r="U152" s="19"/>
      <c r="V152" s="19"/>
      <c r="W152" s="19">
        <v>0.70100799999999996</v>
      </c>
      <c r="X152" s="19">
        <v>0</v>
      </c>
      <c r="Y152" s="19">
        <v>13.619583999999998</v>
      </c>
      <c r="Z152" s="19">
        <v>6.3090719999999987</v>
      </c>
      <c r="AA152" s="19">
        <v>1.1015839999999999</v>
      </c>
      <c r="AB152" s="19">
        <v>13.619583999999998</v>
      </c>
      <c r="AC152" s="19"/>
      <c r="AD152" s="19"/>
      <c r="AE152" s="19"/>
      <c r="AF152" s="19">
        <v>18.927216000000001</v>
      </c>
      <c r="AG152" s="19">
        <v>9.3634639999999969</v>
      </c>
      <c r="AH152" s="19">
        <v>31.495287999999995</v>
      </c>
      <c r="AI152" s="19">
        <v>6.3090719999999987</v>
      </c>
      <c r="AJ152" s="19">
        <v>1.1015839999999999</v>
      </c>
      <c r="AK152" s="19">
        <v>13.619583999999998</v>
      </c>
      <c r="AL152" s="19">
        <v>18.927216000000001</v>
      </c>
      <c r="AM152" s="19">
        <v>9.3634639999999969</v>
      </c>
      <c r="AN152" s="19">
        <v>31.495287999999995</v>
      </c>
      <c r="AO152" s="19">
        <v>24.535279999999997</v>
      </c>
      <c r="AP152" s="19">
        <v>12.668215999999999</v>
      </c>
      <c r="AQ152" s="19">
        <v>40.007527999999994</v>
      </c>
      <c r="AR152" s="19"/>
      <c r="AS152" s="19"/>
      <c r="AT152" s="19"/>
      <c r="AU152" s="19">
        <v>0.70100799999999996</v>
      </c>
      <c r="AV152" s="19">
        <v>0</v>
      </c>
      <c r="AW152" s="19">
        <v>13.619583999999998</v>
      </c>
      <c r="AX152" s="19">
        <v>6.3090719999999987</v>
      </c>
      <c r="AY152" s="19">
        <v>1.1015839999999999</v>
      </c>
      <c r="AZ152" s="19">
        <v>13.619583999999998</v>
      </c>
      <c r="BA152" s="19"/>
      <c r="BB152" s="19"/>
      <c r="BC152" s="19"/>
      <c r="BD152" s="19">
        <v>18.927216000000001</v>
      </c>
      <c r="BE152" s="19">
        <v>9.3634639999999969</v>
      </c>
      <c r="BF152" s="19">
        <v>31.495287999999995</v>
      </c>
      <c r="BG152" s="19">
        <v>6.3090719999999987</v>
      </c>
      <c r="BH152" s="19">
        <v>1.1015839999999999</v>
      </c>
      <c r="BI152" s="19">
        <v>13.619583999999998</v>
      </c>
      <c r="BJ152" s="19"/>
      <c r="BK152" s="19"/>
      <c r="BL152" s="19"/>
      <c r="BM152" s="19">
        <v>18.927216000000001</v>
      </c>
      <c r="BN152" s="19">
        <v>9.3634639999999969</v>
      </c>
      <c r="BO152" s="19">
        <v>31.495287999999995</v>
      </c>
      <c r="BP152" s="19">
        <v>24.535279999999997</v>
      </c>
      <c r="BQ152" s="19">
        <v>12.668215999999999</v>
      </c>
      <c r="BR152" s="19">
        <v>40.007527999999994</v>
      </c>
      <c r="BS152" s="19"/>
      <c r="BT152" s="19"/>
      <c r="BU152" s="19"/>
      <c r="BV152" s="19">
        <v>0.70100799999999996</v>
      </c>
      <c r="BW152" s="19">
        <v>0</v>
      </c>
      <c r="BX152" s="19">
        <v>13.619583999999998</v>
      </c>
      <c r="BY152" s="19">
        <v>6.3090719999999987</v>
      </c>
      <c r="BZ152" s="19">
        <v>1.1015839999999999</v>
      </c>
      <c r="CA152" s="19">
        <v>13.619583999999998</v>
      </c>
      <c r="CB152" s="19"/>
      <c r="CC152" s="19"/>
      <c r="CD152" s="19"/>
      <c r="CE152" s="19">
        <v>18.927216000000001</v>
      </c>
      <c r="CF152" s="19">
        <v>9.3634639999999969</v>
      </c>
      <c r="CG152" s="19">
        <v>31.495287999999995</v>
      </c>
      <c r="CH152" s="19">
        <v>6.3090719999999987</v>
      </c>
      <c r="CI152" s="19">
        <v>1.1015839999999999</v>
      </c>
      <c r="CJ152" s="19">
        <v>13.619583999999998</v>
      </c>
      <c r="CK152" s="19"/>
      <c r="CL152" s="19"/>
      <c r="CM152" s="19"/>
      <c r="CN152" s="19">
        <v>18.927216000000001</v>
      </c>
      <c r="CO152" s="19">
        <v>9.3634639999999969</v>
      </c>
      <c r="CP152" s="19">
        <v>31.495287999999995</v>
      </c>
      <c r="CQ152" s="19"/>
      <c r="CR152" s="19"/>
      <c r="CS152" s="19"/>
      <c r="CT152" s="19"/>
      <c r="CU152" s="11">
        <f>Tabelle58971121[[#This Row],[Mindestauslastung durch]]*Tabelle58971121[[#This Row],[installierte Leistung MW durch]]</f>
        <v>54.874499999999998</v>
      </c>
      <c r="CV152" s="11">
        <f>Tabelle58971121[[#This Row],[Mindestauslastung min]]*Tabelle58971121[[#This Row],[installierte Leistung MW min]]</f>
        <v>37.433500000000002</v>
      </c>
      <c r="CW152" s="11">
        <f>Tabelle58971121[[#This Row],[Mindestauslastung max]]*Tabelle58971121[[#This Row],[installierte Leistung MW max]]</f>
        <v>75.430700000000002</v>
      </c>
      <c r="CX152" s="9">
        <v>0.15</v>
      </c>
      <c r="CY152" s="9">
        <v>0.13</v>
      </c>
      <c r="CZ152" s="9">
        <v>0.17</v>
      </c>
      <c r="DA152" s="9"/>
      <c r="DB152" s="9">
        <v>0.5</v>
      </c>
      <c r="DC152" s="9">
        <v>0.4</v>
      </c>
      <c r="DD152" s="9">
        <v>0.6</v>
      </c>
      <c r="DE152" s="9">
        <v>0.24</v>
      </c>
      <c r="DF152" s="9">
        <v>0.19</v>
      </c>
      <c r="DG152" s="9">
        <v>0.28999999999999998</v>
      </c>
      <c r="DH152" s="9">
        <v>0.24</v>
      </c>
      <c r="DI152" s="9">
        <v>0.19</v>
      </c>
      <c r="DJ152" s="9">
        <v>0.28999999999999998</v>
      </c>
      <c r="DK152" s="9">
        <v>0.5</v>
      </c>
      <c r="DL152" s="9">
        <v>0.4</v>
      </c>
      <c r="DM152" s="9">
        <v>0.6</v>
      </c>
      <c r="DN152" s="9">
        <v>0.24</v>
      </c>
      <c r="DO152" s="9">
        <v>0.19</v>
      </c>
      <c r="DP152" s="9">
        <v>0.28999999999999998</v>
      </c>
      <c r="DQ152" s="9">
        <v>0.24</v>
      </c>
      <c r="DR152" s="9">
        <v>0.19</v>
      </c>
      <c r="DS152" s="9">
        <v>0.28999999999999998</v>
      </c>
      <c r="DT152" s="9">
        <v>0.5</v>
      </c>
      <c r="DU152" s="9">
        <v>0.4</v>
      </c>
      <c r="DV152" s="9">
        <v>0.6</v>
      </c>
      <c r="DW152" s="9">
        <v>0.24</v>
      </c>
      <c r="DX152" s="9">
        <v>0.19</v>
      </c>
      <c r="DY152" s="9">
        <v>0.28999999999999998</v>
      </c>
      <c r="DZ152" s="9">
        <v>0.24</v>
      </c>
      <c r="EA152" s="9">
        <v>0.19</v>
      </c>
      <c r="EB152" s="9">
        <v>0.28999999999999998</v>
      </c>
      <c r="EC152" s="9"/>
      <c r="ED152" s="9"/>
      <c r="EE152" s="9"/>
      <c r="EF152" s="46">
        <f>Tabelle58971121[[#This Row],[Durchschnittsauslastung min]]*Tabelle58971121[[#This Row],[installierte Leistung MW min]]</f>
        <v>0</v>
      </c>
      <c r="EG152" s="46">
        <f>Tabelle58971121[[#This Row],[Durchschnittsauslastung durch]]*Tabelle58971121[[#This Row],[installierte Leistung MW durch]]</f>
        <v>0</v>
      </c>
      <c r="EH152" s="46">
        <f>Tabelle58971121[[#This Row],[Durchschnittsauslastung max]]*Tabelle58971121[[#This Row],[installierte Leistung MW max]]</f>
        <v>0</v>
      </c>
      <c r="EI152" s="83">
        <f>Tabelle58971121[[#This Row],[Maximalauslastung durch]]*Tabelle58971121[[#This Row],[installierte Leistung MW min]]</f>
        <v>146.8545</v>
      </c>
      <c r="EJ152" s="46">
        <f>Tabelle58971121[[#This Row],[Maximalauslastung durch]]*Tabelle58971121[[#This Row],[installierte Leistung MW durch]]</f>
        <v>186.57329999999999</v>
      </c>
      <c r="EK152" s="19">
        <f>Tabelle58971121[[#This Row],[Maximalauslastung max]]*Tabelle58971121[[#This Row],[installierte Leistung MW durch]]</f>
        <v>204.8648</v>
      </c>
      <c r="EL152" s="9">
        <v>0.51</v>
      </c>
      <c r="EM152" s="9">
        <v>0.46</v>
      </c>
      <c r="EN152" s="9">
        <v>0.56000000000000005</v>
      </c>
      <c r="EO152" s="1">
        <v>365.83</v>
      </c>
      <c r="EP152" s="1">
        <v>287.95</v>
      </c>
      <c r="EQ152" s="1">
        <v>443.71</v>
      </c>
      <c r="ER152" s="19"/>
      <c r="ES152" s="19"/>
      <c r="EX152" s="1">
        <v>1.1000000000000001</v>
      </c>
      <c r="EY152" s="1">
        <v>0.8</v>
      </c>
      <c r="EZ152" s="1">
        <v>1.4</v>
      </c>
      <c r="FP152" s="1">
        <v>365</v>
      </c>
      <c r="FQ152" s="1">
        <v>292</v>
      </c>
      <c r="FR152" s="1">
        <v>438</v>
      </c>
      <c r="FS152" s="11"/>
      <c r="FT152" s="11"/>
      <c r="FU152" s="11"/>
      <c r="FV152" s="1">
        <v>365</v>
      </c>
      <c r="FW152" s="1">
        <v>292</v>
      </c>
      <c r="FX152" s="1">
        <v>438</v>
      </c>
      <c r="FZ152" s="19"/>
      <c r="GA152" s="19"/>
      <c r="GB152" s="19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S152" s="1">
        <v>67</v>
      </c>
      <c r="GT152" s="1">
        <v>67</v>
      </c>
      <c r="GU152" s="1">
        <v>67</v>
      </c>
      <c r="GV152" s="13" t="s">
        <v>806</v>
      </c>
      <c r="GW152" s="13" t="s">
        <v>806</v>
      </c>
      <c r="GX152" s="13" t="s">
        <v>806</v>
      </c>
      <c r="GY152" s="13"/>
      <c r="GZ152" s="13" t="s">
        <v>806</v>
      </c>
      <c r="HA152" s="13" t="s">
        <v>806</v>
      </c>
      <c r="HB152" s="13" t="s">
        <v>806</v>
      </c>
      <c r="HC152" s="13" t="s">
        <v>806</v>
      </c>
      <c r="HD152" s="13" t="s">
        <v>806</v>
      </c>
      <c r="HE152" s="13" t="s">
        <v>806</v>
      </c>
      <c r="HF152" s="13" t="s">
        <v>806</v>
      </c>
      <c r="HI152" s="13" t="s">
        <v>806</v>
      </c>
      <c r="HJ152" s="13" t="s">
        <v>806</v>
      </c>
      <c r="HL152" s="13" t="s">
        <v>806</v>
      </c>
    </row>
    <row r="153" spans="1:223" ht="12.75" customHeight="1" x14ac:dyDescent="0.25">
      <c r="A153" s="1" t="s">
        <v>208</v>
      </c>
      <c r="B153" s="1" t="s">
        <v>651</v>
      </c>
      <c r="E153" s="1" t="s">
        <v>126</v>
      </c>
      <c r="F153" s="1">
        <v>2</v>
      </c>
      <c r="G153" s="1">
        <v>2050</v>
      </c>
      <c r="H153" s="1">
        <v>1</v>
      </c>
      <c r="I153" s="1">
        <v>0</v>
      </c>
      <c r="J153" s="1">
        <v>0</v>
      </c>
      <c r="K153" s="19"/>
      <c r="L153" s="19"/>
      <c r="M153" s="19"/>
      <c r="N153" s="19"/>
      <c r="O153" s="19"/>
      <c r="P153" s="19"/>
      <c r="Q153" s="19">
        <v>25.138959999999997</v>
      </c>
      <c r="R153" s="19">
        <v>12.979911999999999</v>
      </c>
      <c r="S153" s="19">
        <v>40.991895999999997</v>
      </c>
      <c r="T153" s="19"/>
      <c r="U153" s="19"/>
      <c r="V153" s="19"/>
      <c r="W153" s="19">
        <v>0.71825599999999989</v>
      </c>
      <c r="X153" s="19">
        <v>0</v>
      </c>
      <c r="Y153" s="19">
        <v>13.954687999999999</v>
      </c>
      <c r="Z153" s="19">
        <v>6.4643039999999994</v>
      </c>
      <c r="AA153" s="19">
        <v>1.1286879999999999</v>
      </c>
      <c r="AB153" s="19">
        <v>13.954687999999999</v>
      </c>
      <c r="AC153" s="19"/>
      <c r="AD153" s="19"/>
      <c r="AE153" s="19"/>
      <c r="AF153" s="19">
        <v>19.392911999999999</v>
      </c>
      <c r="AG153" s="19">
        <v>9.5938479999999977</v>
      </c>
      <c r="AH153" s="19">
        <v>32.270215999999998</v>
      </c>
      <c r="AI153" s="19">
        <v>6.4643039999999994</v>
      </c>
      <c r="AJ153" s="19">
        <v>1.1286879999999999</v>
      </c>
      <c r="AK153" s="19">
        <v>13.954687999999999</v>
      </c>
      <c r="AL153" s="19">
        <v>19.392911999999999</v>
      </c>
      <c r="AM153" s="19">
        <v>9.5938479999999977</v>
      </c>
      <c r="AN153" s="19">
        <v>32.270215999999998</v>
      </c>
      <c r="AO153" s="19">
        <v>25.138959999999997</v>
      </c>
      <c r="AP153" s="19">
        <v>12.979911999999999</v>
      </c>
      <c r="AQ153" s="19">
        <v>40.991895999999997</v>
      </c>
      <c r="AR153" s="19"/>
      <c r="AS153" s="19"/>
      <c r="AT153" s="19"/>
      <c r="AU153" s="19">
        <v>0.71825599999999989</v>
      </c>
      <c r="AV153" s="19">
        <v>0</v>
      </c>
      <c r="AW153" s="19">
        <v>13.954687999999999</v>
      </c>
      <c r="AX153" s="19">
        <v>6.4643039999999994</v>
      </c>
      <c r="AY153" s="19">
        <v>1.1286879999999999</v>
      </c>
      <c r="AZ153" s="19">
        <v>13.954687999999999</v>
      </c>
      <c r="BA153" s="19"/>
      <c r="BB153" s="19"/>
      <c r="BC153" s="19"/>
      <c r="BD153" s="19">
        <v>19.392911999999999</v>
      </c>
      <c r="BE153" s="19">
        <v>9.5938479999999977</v>
      </c>
      <c r="BF153" s="19">
        <v>32.270215999999998</v>
      </c>
      <c r="BG153" s="19">
        <v>6.4643039999999994</v>
      </c>
      <c r="BH153" s="19">
        <v>1.1286879999999999</v>
      </c>
      <c r="BI153" s="19">
        <v>13.954687999999999</v>
      </c>
      <c r="BJ153" s="19"/>
      <c r="BK153" s="19"/>
      <c r="BL153" s="19"/>
      <c r="BM153" s="19">
        <v>19.392911999999999</v>
      </c>
      <c r="BN153" s="19">
        <v>9.5938479999999977</v>
      </c>
      <c r="BO153" s="19">
        <v>32.270215999999998</v>
      </c>
      <c r="BP153" s="19">
        <v>25.138959999999997</v>
      </c>
      <c r="BQ153" s="19">
        <v>12.979911999999999</v>
      </c>
      <c r="BR153" s="19">
        <v>40.991895999999997</v>
      </c>
      <c r="BS153" s="19"/>
      <c r="BT153" s="19"/>
      <c r="BU153" s="19"/>
      <c r="BV153" s="19">
        <v>0.71825599999999989</v>
      </c>
      <c r="BW153" s="19">
        <v>0</v>
      </c>
      <c r="BX153" s="19">
        <v>13.954687999999999</v>
      </c>
      <c r="BY153" s="19">
        <v>6.4643039999999994</v>
      </c>
      <c r="BZ153" s="19">
        <v>1.1286879999999999</v>
      </c>
      <c r="CA153" s="19">
        <v>13.954687999999999</v>
      </c>
      <c r="CB153" s="19"/>
      <c r="CC153" s="19"/>
      <c r="CD153" s="19"/>
      <c r="CE153" s="19">
        <v>19.392911999999999</v>
      </c>
      <c r="CF153" s="19">
        <v>9.5938479999999977</v>
      </c>
      <c r="CG153" s="19">
        <v>32.270215999999998</v>
      </c>
      <c r="CH153" s="19">
        <v>6.4643039999999994</v>
      </c>
      <c r="CI153" s="19">
        <v>1.1286879999999999</v>
      </c>
      <c r="CJ153" s="19">
        <v>13.954687999999999</v>
      </c>
      <c r="CK153" s="19"/>
      <c r="CL153" s="19"/>
      <c r="CM153" s="19"/>
      <c r="CN153" s="19">
        <v>19.392911999999999</v>
      </c>
      <c r="CO153" s="19">
        <v>9.5938479999999977</v>
      </c>
      <c r="CP153" s="19">
        <v>32.270215999999998</v>
      </c>
      <c r="CQ153" s="19"/>
      <c r="CR153" s="19"/>
      <c r="CS153" s="19"/>
      <c r="CT153" s="19"/>
      <c r="CU153" s="11">
        <f>Tabelle58971121[[#This Row],[Mindestauslastung durch]]*Tabelle58971121[[#This Row],[installierte Leistung MW durch]]</f>
        <v>56.603999999999999</v>
      </c>
      <c r="CV153" s="11">
        <f>Tabelle58971121[[#This Row],[Mindestauslastung min]]*Tabelle58971121[[#This Row],[installierte Leistung MW min]]</f>
        <v>38.624300000000005</v>
      </c>
      <c r="CW153" s="11">
        <f>Tabelle58971121[[#This Row],[Mindestauslastung max]]*Tabelle58971121[[#This Row],[installierte Leistung MW max]]</f>
        <v>77.793700000000001</v>
      </c>
      <c r="CX153" s="9">
        <v>0.15</v>
      </c>
      <c r="CY153" s="9">
        <v>0.13</v>
      </c>
      <c r="CZ153" s="9">
        <v>0.17</v>
      </c>
      <c r="DA153" s="9"/>
      <c r="DB153" s="9">
        <v>0.5</v>
      </c>
      <c r="DC153" s="9">
        <v>0.4</v>
      </c>
      <c r="DD153" s="9">
        <v>0.6</v>
      </c>
      <c r="DE153" s="9">
        <v>0.24</v>
      </c>
      <c r="DF153" s="9">
        <v>0.19</v>
      </c>
      <c r="DG153" s="9">
        <v>0.28999999999999998</v>
      </c>
      <c r="DH153" s="9">
        <v>0.24</v>
      </c>
      <c r="DI153" s="9">
        <v>0.19</v>
      </c>
      <c r="DJ153" s="9">
        <v>0.28999999999999998</v>
      </c>
      <c r="DK153" s="9">
        <v>0.5</v>
      </c>
      <c r="DL153" s="9">
        <v>0.4</v>
      </c>
      <c r="DM153" s="9">
        <v>0.6</v>
      </c>
      <c r="DN153" s="9">
        <v>0.24</v>
      </c>
      <c r="DO153" s="9">
        <v>0.19</v>
      </c>
      <c r="DP153" s="9">
        <v>0.28999999999999998</v>
      </c>
      <c r="DQ153" s="9">
        <v>0.24</v>
      </c>
      <c r="DR153" s="9">
        <v>0.19</v>
      </c>
      <c r="DS153" s="9">
        <v>0.28999999999999998</v>
      </c>
      <c r="DT153" s="9">
        <v>0.5</v>
      </c>
      <c r="DU153" s="9">
        <v>0.4</v>
      </c>
      <c r="DV153" s="9">
        <v>0.6</v>
      </c>
      <c r="DW153" s="9">
        <v>0.24</v>
      </c>
      <c r="DX153" s="9">
        <v>0.19</v>
      </c>
      <c r="DY153" s="9">
        <v>0.28999999999999998</v>
      </c>
      <c r="DZ153" s="9">
        <v>0.24</v>
      </c>
      <c r="EA153" s="9">
        <v>0.19</v>
      </c>
      <c r="EB153" s="9">
        <v>0.28999999999999998</v>
      </c>
      <c r="EC153" s="9"/>
      <c r="ED153" s="9"/>
      <c r="EE153" s="9"/>
      <c r="EF153" s="46">
        <f>Tabelle58971121[[#This Row],[Durchschnittsauslastung min]]*Tabelle58971121[[#This Row],[installierte Leistung MW min]]</f>
        <v>0</v>
      </c>
      <c r="EG153" s="46">
        <f>Tabelle58971121[[#This Row],[Durchschnittsauslastung durch]]*Tabelle58971121[[#This Row],[installierte Leistung MW durch]]</f>
        <v>0</v>
      </c>
      <c r="EH153" s="46">
        <f>Tabelle58971121[[#This Row],[Durchschnittsauslastung max]]*Tabelle58971121[[#This Row],[installierte Leistung MW max]]</f>
        <v>0</v>
      </c>
      <c r="EI153" s="83">
        <f>Tabelle58971121[[#This Row],[Maximalauslastung durch]]*Tabelle58971121[[#This Row],[installierte Leistung MW min]]</f>
        <v>151.52610000000001</v>
      </c>
      <c r="EJ153" s="46">
        <f>Tabelle58971121[[#This Row],[Maximalauslastung durch]]*Tabelle58971121[[#This Row],[installierte Leistung MW durch]]</f>
        <v>192.45360000000002</v>
      </c>
      <c r="EK153" s="19">
        <f>Tabelle58971121[[#This Row],[Maximalauslastung max]]*Tabelle58971121[[#This Row],[installierte Leistung MW durch]]</f>
        <v>211.32160000000002</v>
      </c>
      <c r="EL153" s="9">
        <v>0.51</v>
      </c>
      <c r="EM153" s="9">
        <v>0.46</v>
      </c>
      <c r="EN153" s="9">
        <v>0.56000000000000005</v>
      </c>
      <c r="EO153" s="1">
        <v>377.36</v>
      </c>
      <c r="EP153" s="1">
        <v>297.11</v>
      </c>
      <c r="EQ153" s="1">
        <v>457.61</v>
      </c>
      <c r="ER153" s="19"/>
      <c r="ES153" s="19"/>
      <c r="EX153" s="1">
        <v>1.1000000000000001</v>
      </c>
      <c r="EY153" s="1">
        <v>0.8</v>
      </c>
      <c r="EZ153" s="1">
        <v>1.4</v>
      </c>
      <c r="FP153" s="1">
        <v>365</v>
      </c>
      <c r="FQ153" s="1">
        <v>292</v>
      </c>
      <c r="FR153" s="1">
        <v>438</v>
      </c>
      <c r="FS153" s="11"/>
      <c r="FT153" s="11"/>
      <c r="FU153" s="11"/>
      <c r="FV153" s="1">
        <v>365</v>
      </c>
      <c r="FW153" s="1">
        <v>292</v>
      </c>
      <c r="FX153" s="1">
        <v>438</v>
      </c>
      <c r="FZ153" s="19"/>
      <c r="GA153" s="19"/>
      <c r="GB153" s="19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S153" s="1">
        <v>67</v>
      </c>
      <c r="GT153" s="1">
        <v>67</v>
      </c>
      <c r="GU153" s="1">
        <v>67</v>
      </c>
      <c r="GV153" s="13" t="s">
        <v>806</v>
      </c>
      <c r="GW153" s="13" t="s">
        <v>806</v>
      </c>
      <c r="GX153" s="13" t="s">
        <v>806</v>
      </c>
      <c r="GY153" s="13"/>
      <c r="GZ153" s="13" t="s">
        <v>806</v>
      </c>
      <c r="HA153" s="13" t="s">
        <v>806</v>
      </c>
      <c r="HB153" s="13" t="s">
        <v>806</v>
      </c>
      <c r="HC153" s="13" t="s">
        <v>806</v>
      </c>
      <c r="HD153" s="13" t="s">
        <v>806</v>
      </c>
      <c r="HE153" s="13" t="s">
        <v>806</v>
      </c>
      <c r="HF153" s="13" t="s">
        <v>806</v>
      </c>
      <c r="HI153" s="13" t="s">
        <v>806</v>
      </c>
      <c r="HJ153" s="13" t="s">
        <v>806</v>
      </c>
      <c r="HL153" s="13" t="s">
        <v>806</v>
      </c>
    </row>
    <row r="154" spans="1:223" ht="12.75" customHeight="1" x14ac:dyDescent="0.25">
      <c r="A154" s="1" t="s">
        <v>51</v>
      </c>
      <c r="D154" s="1" t="s">
        <v>575</v>
      </c>
      <c r="E154" s="1" t="s">
        <v>126</v>
      </c>
      <c r="F154" s="1">
        <v>1</v>
      </c>
      <c r="G154" s="1">
        <v>2015</v>
      </c>
      <c r="H154" s="1">
        <v>1</v>
      </c>
      <c r="I154" s="1">
        <v>1</v>
      </c>
      <c r="J154" s="1">
        <v>0</v>
      </c>
      <c r="K154" s="19"/>
      <c r="L154" s="19"/>
      <c r="M154" s="19"/>
      <c r="N154" s="11">
        <v>891</v>
      </c>
      <c r="O154" s="11">
        <v>842</v>
      </c>
      <c r="P154" s="11">
        <v>940</v>
      </c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9"/>
      <c r="CR154" s="11">
        <v>40</v>
      </c>
      <c r="CS154" s="11">
        <v>30</v>
      </c>
      <c r="CT154" s="11">
        <v>50</v>
      </c>
      <c r="CU154" s="11">
        <f>Tabelle58971121[[#This Row],[Mindestauslastung durch]]*Tabelle58971121[[#This Row],[installierte Leistung MW durch]]</f>
        <v>0</v>
      </c>
      <c r="CV154" s="11">
        <f>Tabelle58971121[[#This Row],[Mindestauslastung min]]*Tabelle58971121[[#This Row],[installierte Leistung MW min]]</f>
        <v>0</v>
      </c>
      <c r="CW154" s="11">
        <f>Tabelle58971121[[#This Row],[Mindestauslastung max]]*Tabelle58971121[[#This Row],[installierte Leistung MW max]]</f>
        <v>0</v>
      </c>
      <c r="CX154" s="9">
        <v>0</v>
      </c>
      <c r="CY154" s="9">
        <v>0</v>
      </c>
      <c r="CZ154" s="9">
        <v>0</v>
      </c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39">
        <v>0.95</v>
      </c>
      <c r="ED154" s="39">
        <v>0.92</v>
      </c>
      <c r="EE154" s="39">
        <v>0.98</v>
      </c>
      <c r="EF154" s="11">
        <f>Tabelle58971121[[#This Row],[Durchschnittsauslastung min]]*Tabelle58971121[[#This Row],[installierte Leistung MW min]]</f>
        <v>870.19999999999993</v>
      </c>
      <c r="EG154" s="11">
        <f>Tabelle58971121[[#This Row],[Durchschnittsauslastung durch]]*Tabelle58971121[[#This Row],[installierte Leistung MW durch]]</f>
        <v>862.96</v>
      </c>
      <c r="EH154" s="11">
        <f>Tabelle58971121[[#This Row],[Durchschnittsauslastung max]]*Tabelle58971121[[#This Row],[installierte Leistung MW max]]</f>
        <v>940.8</v>
      </c>
      <c r="EI154" s="83">
        <f>Tabelle58971121[[#This Row],[Maximalauslastung durch]]*Tabelle58971121[[#This Row],[installierte Leistung MW min]]</f>
        <v>906.84</v>
      </c>
      <c r="EJ154" s="11">
        <f>Tabelle58971121[[#This Row],[Maximalauslastung durch]]*Tabelle58971121[[#This Row],[installierte Leistung MW durch]]</f>
        <v>928.62</v>
      </c>
      <c r="EK154" s="11">
        <f>Tabelle58971121[[#This Row],[Maximalauslastung max]]*Tabelle58971121[[#This Row],[installierte Leistung MW durch]]</f>
        <v>935.18600000000004</v>
      </c>
      <c r="EL154" s="9">
        <v>0.99</v>
      </c>
      <c r="EM154" s="9">
        <v>0.98299999999999998</v>
      </c>
      <c r="EN154" s="9">
        <v>0.997</v>
      </c>
      <c r="EO154" s="11">
        <v>938</v>
      </c>
      <c r="EP154" s="11">
        <v>916</v>
      </c>
      <c r="EQ154" s="11">
        <v>960</v>
      </c>
      <c r="ER154" s="1">
        <v>1.7902777777777778E-3</v>
      </c>
      <c r="ES154" s="1">
        <v>0</v>
      </c>
      <c r="ET154" s="54">
        <v>8.3333333333333332E-3</v>
      </c>
      <c r="EU154" s="1">
        <v>0.23408333333333334</v>
      </c>
      <c r="EV154" s="1">
        <v>2.7777777777777778E-4</v>
      </c>
      <c r="EW154" s="54">
        <v>0.5</v>
      </c>
      <c r="EX154" s="1">
        <v>2.1</v>
      </c>
      <c r="EY154" s="1">
        <v>1.9000000000000001</v>
      </c>
      <c r="EZ154" s="54">
        <v>2.3000000000000003</v>
      </c>
      <c r="FA154" s="1">
        <v>2.1</v>
      </c>
      <c r="FB154" s="1">
        <v>1.9000000000000001</v>
      </c>
      <c r="FC154" s="54">
        <v>2.3000000000000003</v>
      </c>
      <c r="FD154" s="1">
        <v>4</v>
      </c>
      <c r="FE154" s="1">
        <v>3.6</v>
      </c>
      <c r="FF154" s="54">
        <v>4.4000000000000004</v>
      </c>
      <c r="FG154" s="1">
        <v>6.1</v>
      </c>
      <c r="FH154" s="1">
        <v>6.1</v>
      </c>
      <c r="FI154" s="54">
        <v>6.1</v>
      </c>
      <c r="FJ154" s="1">
        <v>4.2</v>
      </c>
      <c r="FK154" s="1">
        <v>3.7</v>
      </c>
      <c r="FL154" s="54">
        <v>4.7</v>
      </c>
      <c r="FN154" s="1" t="s">
        <v>646</v>
      </c>
      <c r="FP154" s="1">
        <v>350</v>
      </c>
      <c r="FQ154" s="1">
        <v>335</v>
      </c>
      <c r="FR154" s="1">
        <v>365</v>
      </c>
      <c r="FS154" s="1">
        <v>100</v>
      </c>
      <c r="FT154" s="1">
        <v>80</v>
      </c>
      <c r="FU154" s="1">
        <v>120</v>
      </c>
      <c r="FV154" s="1">
        <v>730</v>
      </c>
      <c r="FW154" s="1">
        <v>680</v>
      </c>
      <c r="FX154" s="1">
        <v>780</v>
      </c>
      <c r="FY154" s="1">
        <v>0</v>
      </c>
      <c r="FZ154" s="19">
        <v>0</v>
      </c>
      <c r="GA154" s="19">
        <v>0</v>
      </c>
      <c r="GB154" s="19">
        <v>117.02941176470587</v>
      </c>
      <c r="GC154" s="8">
        <v>81.411764705882348</v>
      </c>
      <c r="GD154" s="8">
        <v>152.64705882352939</v>
      </c>
      <c r="GE154" s="8">
        <v>479.3117647058823</v>
      </c>
      <c r="GF154" s="8">
        <v>363.29999999999995</v>
      </c>
      <c r="GG154" s="8">
        <v>595.32352941176464</v>
      </c>
      <c r="GH154" s="8">
        <v>0</v>
      </c>
      <c r="GI154" s="8">
        <v>0</v>
      </c>
      <c r="GJ154" s="8">
        <v>0</v>
      </c>
      <c r="GK154" s="8">
        <v>0</v>
      </c>
      <c r="GL154" s="8">
        <v>0</v>
      </c>
      <c r="GM154" s="8">
        <v>0</v>
      </c>
      <c r="GN154" s="8">
        <v>2.0352941176470587</v>
      </c>
      <c r="GO154" s="8">
        <v>0</v>
      </c>
      <c r="GP154" s="8">
        <v>4.0705882352941174</v>
      </c>
      <c r="GS154" s="1">
        <v>220</v>
      </c>
      <c r="GT154" s="1">
        <v>220</v>
      </c>
      <c r="GV154" s="13" t="s">
        <v>643</v>
      </c>
      <c r="GW154" s="1" t="s">
        <v>643</v>
      </c>
      <c r="GX154" s="13">
        <v>182</v>
      </c>
      <c r="GY154" s="13"/>
      <c r="GZ154" s="13">
        <v>182</v>
      </c>
      <c r="HA154" s="13">
        <v>182</v>
      </c>
      <c r="HB154" s="1">
        <v>182</v>
      </c>
      <c r="HC154" s="13" t="s">
        <v>642</v>
      </c>
      <c r="HD154" s="13" t="s">
        <v>641</v>
      </c>
      <c r="HE154" s="1">
        <v>202</v>
      </c>
      <c r="HF154" s="1">
        <v>202</v>
      </c>
      <c r="HH154" s="1" t="s">
        <v>645</v>
      </c>
      <c r="HI154" s="1">
        <v>211</v>
      </c>
      <c r="HJ154" s="1">
        <v>214</v>
      </c>
      <c r="HK154" s="1">
        <v>220</v>
      </c>
      <c r="HL154" s="1">
        <v>214</v>
      </c>
      <c r="HO154" s="1" t="s">
        <v>644</v>
      </c>
    </row>
    <row r="155" spans="1:223" ht="12.75" customHeight="1" x14ac:dyDescent="0.25">
      <c r="A155" s="1" t="s">
        <v>51</v>
      </c>
      <c r="D155" s="1" t="s">
        <v>575</v>
      </c>
      <c r="E155" s="1" t="s">
        <v>126</v>
      </c>
      <c r="F155" s="1">
        <v>1</v>
      </c>
      <c r="G155" s="1">
        <v>2020</v>
      </c>
      <c r="H155" s="1">
        <v>1</v>
      </c>
      <c r="I155" s="1">
        <v>1</v>
      </c>
      <c r="J155" s="1">
        <v>0</v>
      </c>
      <c r="K155" s="19"/>
      <c r="L155" s="19"/>
      <c r="M155" s="19"/>
      <c r="N155" s="11">
        <v>846.44999999999993</v>
      </c>
      <c r="O155" s="11">
        <v>799.9</v>
      </c>
      <c r="P155" s="11">
        <v>893</v>
      </c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9"/>
      <c r="CR155" s="11">
        <v>38</v>
      </c>
      <c r="CS155" s="11">
        <v>28.5</v>
      </c>
      <c r="CT155" s="11">
        <v>47.5</v>
      </c>
      <c r="CU155" s="11">
        <f>Tabelle58971121[[#This Row],[Mindestauslastung durch]]*Tabelle58971121[[#This Row],[installierte Leistung MW durch]]</f>
        <v>0</v>
      </c>
      <c r="CV155" s="11">
        <f>Tabelle58971121[[#This Row],[Mindestauslastung min]]*Tabelle58971121[[#This Row],[installierte Leistung MW min]]</f>
        <v>0</v>
      </c>
      <c r="CW155" s="19">
        <f>Tabelle58971121[[#This Row],[Mindestauslastung max]]*Tabelle58971121[[#This Row],[installierte Leistung MW max]]</f>
        <v>0</v>
      </c>
      <c r="CX155" s="9">
        <v>0</v>
      </c>
      <c r="CY155" s="9">
        <v>0</v>
      </c>
      <c r="CZ155" s="9">
        <v>0</v>
      </c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39">
        <v>0.95</v>
      </c>
      <c r="ED155" s="39">
        <v>0.92</v>
      </c>
      <c r="EE155" s="39">
        <v>0.98</v>
      </c>
      <c r="EF155" s="11">
        <f>Tabelle58971121[[#This Row],[Durchschnittsauslastung min]]*Tabelle58971121[[#This Row],[installierte Leistung MW min]]</f>
        <v>826.68999999999994</v>
      </c>
      <c r="EG155" s="11">
        <f>Tabelle58971121[[#This Row],[Durchschnittsauslastung durch]]*Tabelle58971121[[#This Row],[installierte Leistung MW durch]]</f>
        <v>819.8119999999999</v>
      </c>
      <c r="EH155" s="46">
        <f>Tabelle58971121[[#This Row],[Durchschnittsauslastung max]]*Tabelle58971121[[#This Row],[installierte Leistung MW max]]</f>
        <v>893.76</v>
      </c>
      <c r="EI155" s="83">
        <f>Tabelle58971121[[#This Row],[Maximalauslastung durch]]*Tabelle58971121[[#This Row],[installierte Leistung MW min]]</f>
        <v>861.49799999999993</v>
      </c>
      <c r="EJ155" s="46">
        <f>Tabelle58971121[[#This Row],[Maximalauslastung durch]]*Tabelle58971121[[#This Row],[installierte Leistung MW durch]]</f>
        <v>882.18899999999985</v>
      </c>
      <c r="EK155" s="11">
        <f>Tabelle58971121[[#This Row],[Maximalauslastung max]]*Tabelle58971121[[#This Row],[installierte Leistung MW durch]]</f>
        <v>888.42669999999987</v>
      </c>
      <c r="EL155" s="9">
        <v>0.99</v>
      </c>
      <c r="EM155" s="9">
        <v>0.98299999999999998</v>
      </c>
      <c r="EN155" s="9">
        <v>0.997</v>
      </c>
      <c r="EO155" s="11">
        <v>891.09999999999991</v>
      </c>
      <c r="EP155" s="11">
        <v>870.19999999999993</v>
      </c>
      <c r="EQ155" s="11">
        <v>912</v>
      </c>
      <c r="ER155" s="1">
        <v>1.7902777777777778E-3</v>
      </c>
      <c r="ES155" s="1">
        <v>0</v>
      </c>
      <c r="ET155" s="54">
        <v>8.3333333333333332E-3</v>
      </c>
      <c r="EU155" s="1">
        <v>0.23408333333333334</v>
      </c>
      <c r="EV155" s="1">
        <v>2.7777777777777778E-4</v>
      </c>
      <c r="EW155" s="54">
        <v>0.5</v>
      </c>
      <c r="EX155" s="1">
        <v>2.1</v>
      </c>
      <c r="EY155" s="1">
        <v>1.9000000000000001</v>
      </c>
      <c r="EZ155" s="54">
        <v>2.3000000000000003</v>
      </c>
      <c r="FA155" s="1">
        <v>2.1</v>
      </c>
      <c r="FB155" s="1">
        <v>1.9000000000000001</v>
      </c>
      <c r="FC155" s="54">
        <v>2.3000000000000003</v>
      </c>
      <c r="FD155" s="1">
        <v>4</v>
      </c>
      <c r="FE155" s="1">
        <v>3.6</v>
      </c>
      <c r="FF155" s="54">
        <v>4.4000000000000004</v>
      </c>
      <c r="FG155" s="1">
        <v>6.1</v>
      </c>
      <c r="FH155" s="1">
        <v>6.1</v>
      </c>
      <c r="FI155" s="54">
        <v>6.1</v>
      </c>
      <c r="FJ155" s="1">
        <v>4.2</v>
      </c>
      <c r="FK155" s="1">
        <v>3.7</v>
      </c>
      <c r="FL155" s="54">
        <v>4.7</v>
      </c>
      <c r="FN155" s="1" t="s">
        <v>646</v>
      </c>
      <c r="FP155" s="1">
        <v>350</v>
      </c>
      <c r="FQ155" s="1">
        <v>335</v>
      </c>
      <c r="FR155" s="1">
        <v>365</v>
      </c>
      <c r="FS155" s="1">
        <v>100</v>
      </c>
      <c r="FT155" s="1">
        <v>80</v>
      </c>
      <c r="FU155" s="1">
        <v>120</v>
      </c>
      <c r="FV155" s="1">
        <v>730</v>
      </c>
      <c r="FW155" s="1">
        <v>680</v>
      </c>
      <c r="FX155" s="1">
        <v>780</v>
      </c>
      <c r="FY155" s="1">
        <v>0</v>
      </c>
      <c r="FZ155" s="19">
        <v>0</v>
      </c>
      <c r="GA155" s="19">
        <v>0</v>
      </c>
      <c r="GB155" s="19">
        <v>117.02941176470587</v>
      </c>
      <c r="GC155" s="8">
        <v>81.411764705882348</v>
      </c>
      <c r="GD155" s="8">
        <v>152.64705882352939</v>
      </c>
      <c r="GE155" s="8">
        <v>479.3117647058823</v>
      </c>
      <c r="GF155" s="8">
        <v>363.29999999999995</v>
      </c>
      <c r="GG155" s="8">
        <v>595.32352941176464</v>
      </c>
      <c r="GH155" s="8">
        <v>0</v>
      </c>
      <c r="GI155" s="8">
        <v>0</v>
      </c>
      <c r="GJ155" s="8">
        <v>0</v>
      </c>
      <c r="GK155" s="8">
        <v>0</v>
      </c>
      <c r="GL155" s="8">
        <v>0</v>
      </c>
      <c r="GM155" s="8">
        <v>0</v>
      </c>
      <c r="GN155" s="8">
        <v>2.0352941176470587</v>
      </c>
      <c r="GO155" s="8">
        <v>0</v>
      </c>
      <c r="GP155" s="8">
        <v>4.0705882352941174</v>
      </c>
      <c r="GS155" s="1">
        <v>220</v>
      </c>
      <c r="GT155" s="1">
        <v>220</v>
      </c>
      <c r="GV155" s="13" t="s">
        <v>643</v>
      </c>
      <c r="GW155" s="1" t="s">
        <v>643</v>
      </c>
      <c r="GX155" s="13">
        <v>182</v>
      </c>
      <c r="GY155" s="13"/>
      <c r="GZ155" s="13">
        <v>182</v>
      </c>
      <c r="HA155" s="13">
        <v>182</v>
      </c>
      <c r="HB155" s="1">
        <v>182</v>
      </c>
      <c r="HC155" s="13" t="s">
        <v>642</v>
      </c>
      <c r="HD155" s="13" t="s">
        <v>641</v>
      </c>
      <c r="HE155" s="1">
        <v>202</v>
      </c>
      <c r="HF155" s="1">
        <v>202</v>
      </c>
      <c r="HH155" s="1" t="s">
        <v>645</v>
      </c>
      <c r="HI155" s="1">
        <v>211</v>
      </c>
      <c r="HJ155" s="1">
        <v>214</v>
      </c>
      <c r="HK155" s="1">
        <v>220</v>
      </c>
      <c r="HL155" s="1">
        <v>214</v>
      </c>
      <c r="HO155" s="1" t="s">
        <v>644</v>
      </c>
    </row>
    <row r="156" spans="1:223" ht="12.75" customHeight="1" x14ac:dyDescent="0.25">
      <c r="A156" s="1" t="s">
        <v>51</v>
      </c>
      <c r="D156" s="1" t="s">
        <v>575</v>
      </c>
      <c r="E156" s="1" t="s">
        <v>126</v>
      </c>
      <c r="F156" s="1">
        <v>1</v>
      </c>
      <c r="G156" s="1">
        <v>2025</v>
      </c>
      <c r="H156" s="1">
        <v>1</v>
      </c>
      <c r="I156" s="1">
        <v>1</v>
      </c>
      <c r="J156" s="1">
        <v>0</v>
      </c>
      <c r="K156" s="19"/>
      <c r="L156" s="19"/>
      <c r="M156" s="19"/>
      <c r="N156" s="11">
        <v>801.9</v>
      </c>
      <c r="O156" s="11">
        <v>757.80000000000007</v>
      </c>
      <c r="P156" s="11">
        <v>846</v>
      </c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9"/>
      <c r="CR156" s="11">
        <v>36</v>
      </c>
      <c r="CS156" s="11">
        <v>27</v>
      </c>
      <c r="CT156" s="11">
        <v>45</v>
      </c>
      <c r="CU156" s="11">
        <f>Tabelle58971121[[#This Row],[Mindestauslastung durch]]*Tabelle58971121[[#This Row],[installierte Leistung MW durch]]</f>
        <v>0</v>
      </c>
      <c r="CV156" s="11">
        <f>Tabelle58971121[[#This Row],[Mindestauslastung min]]*Tabelle58971121[[#This Row],[installierte Leistung MW min]]</f>
        <v>0</v>
      </c>
      <c r="CW156" s="19">
        <f>Tabelle58971121[[#This Row],[Mindestauslastung max]]*Tabelle58971121[[#This Row],[installierte Leistung MW max]]</f>
        <v>0</v>
      </c>
      <c r="CX156" s="9">
        <v>0</v>
      </c>
      <c r="CY156" s="9">
        <v>0</v>
      </c>
      <c r="CZ156" s="9">
        <v>0</v>
      </c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39">
        <v>0.95</v>
      </c>
      <c r="ED156" s="39">
        <v>0.92</v>
      </c>
      <c r="EE156" s="39">
        <v>0.98</v>
      </c>
      <c r="EF156" s="11">
        <f>Tabelle58971121[[#This Row],[Durchschnittsauslastung min]]*Tabelle58971121[[#This Row],[installierte Leistung MW min]]</f>
        <v>783.18</v>
      </c>
      <c r="EG156" s="11">
        <f>Tabelle58971121[[#This Row],[Durchschnittsauslastung durch]]*Tabelle58971121[[#This Row],[installierte Leistung MW durch]]</f>
        <v>776.6640000000001</v>
      </c>
      <c r="EH156" s="46">
        <f>Tabelle58971121[[#This Row],[Durchschnittsauslastung max]]*Tabelle58971121[[#This Row],[installierte Leistung MW max]]</f>
        <v>846.72</v>
      </c>
      <c r="EI156" s="83">
        <f>Tabelle58971121[[#This Row],[Maximalauslastung durch]]*Tabelle58971121[[#This Row],[installierte Leistung MW min]]</f>
        <v>816.15599999999995</v>
      </c>
      <c r="EJ156" s="46">
        <f>Tabelle58971121[[#This Row],[Maximalauslastung durch]]*Tabelle58971121[[#This Row],[installierte Leistung MW durch]]</f>
        <v>835.75800000000004</v>
      </c>
      <c r="EK156" s="11">
        <f>Tabelle58971121[[#This Row],[Maximalauslastung max]]*Tabelle58971121[[#This Row],[installierte Leistung MW durch]]</f>
        <v>841.66740000000004</v>
      </c>
      <c r="EL156" s="9">
        <v>0.99</v>
      </c>
      <c r="EM156" s="9">
        <v>0.98299999999999998</v>
      </c>
      <c r="EN156" s="9">
        <v>0.997</v>
      </c>
      <c r="EO156" s="11">
        <v>844.2</v>
      </c>
      <c r="EP156" s="11">
        <v>824.4</v>
      </c>
      <c r="EQ156" s="11">
        <v>864</v>
      </c>
      <c r="ER156" s="1">
        <v>1.7902777777777778E-3</v>
      </c>
      <c r="ES156" s="1">
        <v>0</v>
      </c>
      <c r="ET156" s="54">
        <v>8.3333333333333332E-3</v>
      </c>
      <c r="EU156" s="1">
        <v>0.23408333333333334</v>
      </c>
      <c r="EV156" s="1">
        <v>2.7777777777777778E-4</v>
      </c>
      <c r="EW156" s="54">
        <v>0.5</v>
      </c>
      <c r="EX156" s="1">
        <v>2.1</v>
      </c>
      <c r="EY156" s="1">
        <v>1.9000000000000001</v>
      </c>
      <c r="EZ156" s="54">
        <v>2.3000000000000003</v>
      </c>
      <c r="FA156" s="1">
        <v>2.1</v>
      </c>
      <c r="FB156" s="1">
        <v>1.9000000000000001</v>
      </c>
      <c r="FC156" s="54">
        <v>2.3000000000000003</v>
      </c>
      <c r="FD156" s="1">
        <v>4</v>
      </c>
      <c r="FE156" s="1">
        <v>3.6</v>
      </c>
      <c r="FF156" s="54">
        <v>4.4000000000000004</v>
      </c>
      <c r="FG156" s="1">
        <v>6.1</v>
      </c>
      <c r="FH156" s="1">
        <v>6.1</v>
      </c>
      <c r="FI156" s="54">
        <v>6.1</v>
      </c>
      <c r="FJ156" s="1">
        <v>4.2</v>
      </c>
      <c r="FK156" s="1">
        <v>3.7</v>
      </c>
      <c r="FL156" s="54">
        <v>4.7</v>
      </c>
      <c r="FN156" s="1" t="s">
        <v>646</v>
      </c>
      <c r="FP156" s="1">
        <v>350</v>
      </c>
      <c r="FQ156" s="1">
        <v>335</v>
      </c>
      <c r="FR156" s="1">
        <v>365</v>
      </c>
      <c r="FS156" s="1">
        <v>100</v>
      </c>
      <c r="FT156" s="1">
        <v>80</v>
      </c>
      <c r="FU156" s="1">
        <v>120</v>
      </c>
      <c r="FV156" s="1">
        <v>730</v>
      </c>
      <c r="FW156" s="1">
        <v>680</v>
      </c>
      <c r="FX156" s="1">
        <v>780</v>
      </c>
      <c r="FY156" s="1">
        <v>0</v>
      </c>
      <c r="FZ156" s="19">
        <v>0</v>
      </c>
      <c r="GA156" s="19">
        <v>0</v>
      </c>
      <c r="GB156" s="19">
        <v>117.02941176470587</v>
      </c>
      <c r="GC156" s="8">
        <v>81.411764705882348</v>
      </c>
      <c r="GD156" s="8">
        <v>152.64705882352939</v>
      </c>
      <c r="GE156" s="8">
        <v>479.3117647058823</v>
      </c>
      <c r="GF156" s="8">
        <v>363.29999999999995</v>
      </c>
      <c r="GG156" s="8">
        <v>595.32352941176464</v>
      </c>
      <c r="GH156" s="8">
        <v>0</v>
      </c>
      <c r="GI156" s="8">
        <v>0</v>
      </c>
      <c r="GJ156" s="8">
        <v>0</v>
      </c>
      <c r="GK156" s="8">
        <v>0</v>
      </c>
      <c r="GL156" s="8">
        <v>0</v>
      </c>
      <c r="GM156" s="8">
        <v>0</v>
      </c>
      <c r="GN156" s="8">
        <v>2.0352941176470587</v>
      </c>
      <c r="GO156" s="8">
        <v>0</v>
      </c>
      <c r="GP156" s="8">
        <v>4.0705882352941174</v>
      </c>
      <c r="GS156" s="1">
        <v>220</v>
      </c>
      <c r="GT156" s="1">
        <v>220</v>
      </c>
      <c r="GV156" s="13" t="s">
        <v>643</v>
      </c>
      <c r="GW156" s="1" t="s">
        <v>643</v>
      </c>
      <c r="GX156" s="13">
        <v>182</v>
      </c>
      <c r="GY156" s="13"/>
      <c r="GZ156" s="13">
        <v>182</v>
      </c>
      <c r="HA156" s="13">
        <v>182</v>
      </c>
      <c r="HB156" s="1">
        <v>182</v>
      </c>
      <c r="HC156" s="13" t="s">
        <v>642</v>
      </c>
      <c r="HD156" s="13" t="s">
        <v>641</v>
      </c>
      <c r="HE156" s="1">
        <v>202</v>
      </c>
      <c r="HF156" s="1">
        <v>202</v>
      </c>
      <c r="HH156" s="1" t="s">
        <v>645</v>
      </c>
      <c r="HI156" s="1">
        <v>211</v>
      </c>
      <c r="HJ156" s="1">
        <v>214</v>
      </c>
      <c r="HK156" s="1">
        <v>220</v>
      </c>
      <c r="HL156" s="1">
        <v>214</v>
      </c>
      <c r="HO156" s="1" t="s">
        <v>644</v>
      </c>
    </row>
    <row r="157" spans="1:223" ht="12.75" customHeight="1" x14ac:dyDescent="0.25">
      <c r="A157" s="1" t="s">
        <v>51</v>
      </c>
      <c r="D157" s="1" t="s">
        <v>575</v>
      </c>
      <c r="E157" s="1" t="s">
        <v>126</v>
      </c>
      <c r="F157" s="1">
        <v>1</v>
      </c>
      <c r="G157" s="1">
        <v>2030</v>
      </c>
      <c r="H157" s="1">
        <v>1</v>
      </c>
      <c r="I157" s="1">
        <v>1</v>
      </c>
      <c r="J157" s="1">
        <v>0</v>
      </c>
      <c r="K157" s="19"/>
      <c r="L157" s="19"/>
      <c r="M157" s="19"/>
      <c r="N157" s="11">
        <v>766.26</v>
      </c>
      <c r="O157" s="11">
        <v>724.12</v>
      </c>
      <c r="P157" s="11">
        <v>808.4</v>
      </c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9"/>
      <c r="CR157" s="11">
        <v>34.4</v>
      </c>
      <c r="CS157" s="11">
        <v>25.8</v>
      </c>
      <c r="CT157" s="11">
        <v>43</v>
      </c>
      <c r="CU157" s="11">
        <f>Tabelle58971121[[#This Row],[Mindestauslastung durch]]*Tabelle58971121[[#This Row],[installierte Leistung MW durch]]</f>
        <v>0</v>
      </c>
      <c r="CV157" s="11">
        <f>Tabelle58971121[[#This Row],[Mindestauslastung min]]*Tabelle58971121[[#This Row],[installierte Leistung MW min]]</f>
        <v>0</v>
      </c>
      <c r="CW157" s="19">
        <f>Tabelle58971121[[#This Row],[Mindestauslastung max]]*Tabelle58971121[[#This Row],[installierte Leistung MW max]]</f>
        <v>0</v>
      </c>
      <c r="CX157" s="9">
        <v>0</v>
      </c>
      <c r="CY157" s="9">
        <v>0</v>
      </c>
      <c r="CZ157" s="9">
        <v>0</v>
      </c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39">
        <v>0.95</v>
      </c>
      <c r="ED157" s="39">
        <v>0.92</v>
      </c>
      <c r="EE157" s="39">
        <v>0.98</v>
      </c>
      <c r="EF157" s="11">
        <f>Tabelle58971121[[#This Row],[Durchschnittsauslastung min]]*Tabelle58971121[[#This Row],[installierte Leistung MW min]]</f>
        <v>748.37199999999996</v>
      </c>
      <c r="EG157" s="11">
        <f>Tabelle58971121[[#This Row],[Durchschnittsauslastung durch]]*Tabelle58971121[[#This Row],[installierte Leistung MW durch]]</f>
        <v>742.14559999999994</v>
      </c>
      <c r="EH157" s="46">
        <f>Tabelle58971121[[#This Row],[Durchschnittsauslastung max]]*Tabelle58971121[[#This Row],[installierte Leistung MW max]]</f>
        <v>809.08799999999997</v>
      </c>
      <c r="EI157" s="83">
        <f>Tabelle58971121[[#This Row],[Maximalauslastung durch]]*Tabelle58971121[[#This Row],[installierte Leistung MW min]]</f>
        <v>779.88239999999996</v>
      </c>
      <c r="EJ157" s="46">
        <f>Tabelle58971121[[#This Row],[Maximalauslastung durch]]*Tabelle58971121[[#This Row],[installierte Leistung MW durch]]</f>
        <v>798.61319999999989</v>
      </c>
      <c r="EK157" s="11">
        <f>Tabelle58971121[[#This Row],[Maximalauslastung max]]*Tabelle58971121[[#This Row],[installierte Leistung MW durch]]</f>
        <v>804.25995999999998</v>
      </c>
      <c r="EL157" s="9">
        <v>0.99</v>
      </c>
      <c r="EM157" s="9">
        <v>0.98299999999999998</v>
      </c>
      <c r="EN157" s="9">
        <v>0.997</v>
      </c>
      <c r="EO157" s="11">
        <v>806.68</v>
      </c>
      <c r="EP157" s="11">
        <v>787.76</v>
      </c>
      <c r="EQ157" s="11">
        <v>825.6</v>
      </c>
      <c r="ER157" s="1">
        <v>1.7902777777777778E-3</v>
      </c>
      <c r="ES157" s="1">
        <v>0</v>
      </c>
      <c r="ET157" s="54">
        <v>8.3333333333333332E-3</v>
      </c>
      <c r="EU157" s="1">
        <v>0.23408333333333334</v>
      </c>
      <c r="EV157" s="1">
        <v>2.7777777777777778E-4</v>
      </c>
      <c r="EW157" s="54">
        <v>0.5</v>
      </c>
      <c r="EX157" s="1">
        <v>2.1</v>
      </c>
      <c r="EY157" s="1">
        <v>1.9000000000000001</v>
      </c>
      <c r="EZ157" s="54">
        <v>2.3000000000000003</v>
      </c>
      <c r="FA157" s="1">
        <v>2.1</v>
      </c>
      <c r="FB157" s="1">
        <v>1.9000000000000001</v>
      </c>
      <c r="FC157" s="54">
        <v>2.3000000000000003</v>
      </c>
      <c r="FD157" s="1">
        <v>4</v>
      </c>
      <c r="FE157" s="1">
        <v>3.6</v>
      </c>
      <c r="FF157" s="54">
        <v>4.4000000000000004</v>
      </c>
      <c r="FG157" s="1">
        <v>6.1</v>
      </c>
      <c r="FH157" s="1">
        <v>6.1</v>
      </c>
      <c r="FI157" s="54">
        <v>6.1</v>
      </c>
      <c r="FJ157" s="1">
        <v>4.2</v>
      </c>
      <c r="FK157" s="1">
        <v>3.7</v>
      </c>
      <c r="FL157" s="54">
        <v>4.7</v>
      </c>
      <c r="FN157" s="1" t="s">
        <v>646</v>
      </c>
      <c r="FP157" s="1">
        <v>350</v>
      </c>
      <c r="FQ157" s="1">
        <v>335</v>
      </c>
      <c r="FR157" s="1">
        <v>365</v>
      </c>
      <c r="FS157" s="1">
        <v>100</v>
      </c>
      <c r="FT157" s="1">
        <v>80</v>
      </c>
      <c r="FU157" s="1">
        <v>120</v>
      </c>
      <c r="FV157" s="1">
        <v>730</v>
      </c>
      <c r="FW157" s="1">
        <v>680</v>
      </c>
      <c r="FX157" s="1">
        <v>780</v>
      </c>
      <c r="FY157" s="1">
        <v>0</v>
      </c>
      <c r="FZ157" s="19">
        <v>0</v>
      </c>
      <c r="GA157" s="19">
        <v>0</v>
      </c>
      <c r="GB157" s="19">
        <v>117.02941176470587</v>
      </c>
      <c r="GC157" s="8">
        <v>81.411764705882348</v>
      </c>
      <c r="GD157" s="8">
        <v>152.64705882352939</v>
      </c>
      <c r="GE157" s="8">
        <v>479.3117647058823</v>
      </c>
      <c r="GF157" s="8">
        <v>363.29999999999995</v>
      </c>
      <c r="GG157" s="8">
        <v>595.32352941176464</v>
      </c>
      <c r="GH157" s="8">
        <v>0</v>
      </c>
      <c r="GI157" s="8">
        <v>0</v>
      </c>
      <c r="GJ157" s="8">
        <v>0</v>
      </c>
      <c r="GK157" s="8">
        <v>0</v>
      </c>
      <c r="GL157" s="8">
        <v>0</v>
      </c>
      <c r="GM157" s="8">
        <v>0</v>
      </c>
      <c r="GN157" s="8">
        <v>2.0352941176470587</v>
      </c>
      <c r="GO157" s="8">
        <v>0</v>
      </c>
      <c r="GP157" s="8">
        <v>4.0705882352941174</v>
      </c>
      <c r="GS157" s="1">
        <v>220</v>
      </c>
      <c r="GT157" s="1">
        <v>220</v>
      </c>
      <c r="GV157" s="13" t="s">
        <v>643</v>
      </c>
      <c r="GW157" s="1" t="s">
        <v>643</v>
      </c>
      <c r="GX157" s="13">
        <v>182</v>
      </c>
      <c r="GY157" s="13"/>
      <c r="GZ157" s="13">
        <v>182</v>
      </c>
      <c r="HA157" s="13">
        <v>182</v>
      </c>
      <c r="HB157" s="1">
        <v>182</v>
      </c>
      <c r="HC157" s="13" t="s">
        <v>642</v>
      </c>
      <c r="HD157" s="13" t="s">
        <v>641</v>
      </c>
      <c r="HE157" s="1">
        <v>202</v>
      </c>
      <c r="HF157" s="1">
        <v>202</v>
      </c>
      <c r="HH157" s="1" t="s">
        <v>645</v>
      </c>
      <c r="HI157" s="1">
        <v>211</v>
      </c>
      <c r="HJ157" s="1">
        <v>214</v>
      </c>
      <c r="HK157" s="1">
        <v>220</v>
      </c>
      <c r="HL157" s="1">
        <v>214</v>
      </c>
      <c r="HO157" s="1" t="s">
        <v>644</v>
      </c>
    </row>
    <row r="158" spans="1:223" ht="12.75" customHeight="1" x14ac:dyDescent="0.25">
      <c r="A158" s="1" t="s">
        <v>51</v>
      </c>
      <c r="D158" s="1" t="s">
        <v>575</v>
      </c>
      <c r="E158" s="1" t="s">
        <v>126</v>
      </c>
      <c r="F158" s="1">
        <v>1</v>
      </c>
      <c r="G158" s="1">
        <v>2035</v>
      </c>
      <c r="H158" s="1">
        <v>1</v>
      </c>
      <c r="I158" s="1">
        <v>1</v>
      </c>
      <c r="J158" s="1">
        <v>0</v>
      </c>
      <c r="K158" s="19"/>
      <c r="L158" s="19"/>
      <c r="M158" s="19"/>
      <c r="N158" s="11">
        <v>730.62</v>
      </c>
      <c r="O158" s="11">
        <v>690.43999999999994</v>
      </c>
      <c r="P158" s="11">
        <v>770.8</v>
      </c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9"/>
      <c r="CR158" s="11">
        <v>32.799999999999997</v>
      </c>
      <c r="CS158" s="11">
        <v>24.599999999999998</v>
      </c>
      <c r="CT158" s="11">
        <v>41</v>
      </c>
      <c r="CU158" s="11">
        <f>Tabelle58971121[[#This Row],[Mindestauslastung durch]]*Tabelle58971121[[#This Row],[installierte Leistung MW durch]]</f>
        <v>0</v>
      </c>
      <c r="CV158" s="11">
        <f>Tabelle58971121[[#This Row],[Mindestauslastung min]]*Tabelle58971121[[#This Row],[installierte Leistung MW min]]</f>
        <v>0</v>
      </c>
      <c r="CW158" s="19">
        <f>Tabelle58971121[[#This Row],[Mindestauslastung max]]*Tabelle58971121[[#This Row],[installierte Leistung MW max]]</f>
        <v>0</v>
      </c>
      <c r="CX158" s="9">
        <v>0</v>
      </c>
      <c r="CY158" s="9">
        <v>0</v>
      </c>
      <c r="CZ158" s="9">
        <v>0</v>
      </c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39">
        <v>0.95</v>
      </c>
      <c r="ED158" s="39">
        <v>0.92</v>
      </c>
      <c r="EE158" s="39">
        <v>0.98</v>
      </c>
      <c r="EF158" s="11">
        <f>Tabelle58971121[[#This Row],[Durchschnittsauslastung min]]*Tabelle58971121[[#This Row],[installierte Leistung MW min]]</f>
        <v>713.56399999999996</v>
      </c>
      <c r="EG158" s="11">
        <f>Tabelle58971121[[#This Row],[Durchschnittsauslastung durch]]*Tabelle58971121[[#This Row],[installierte Leistung MW durch]]</f>
        <v>707.62720000000002</v>
      </c>
      <c r="EH158" s="46">
        <f>Tabelle58971121[[#This Row],[Durchschnittsauslastung max]]*Tabelle58971121[[#This Row],[installierte Leistung MW max]]</f>
        <v>771.4559999999999</v>
      </c>
      <c r="EI158" s="83">
        <f>Tabelle58971121[[#This Row],[Maximalauslastung durch]]*Tabelle58971121[[#This Row],[installierte Leistung MW min]]</f>
        <v>743.60879999999997</v>
      </c>
      <c r="EJ158" s="46">
        <f>Tabelle58971121[[#This Row],[Maximalauslastung durch]]*Tabelle58971121[[#This Row],[installierte Leistung MW durch]]</f>
        <v>761.46839999999997</v>
      </c>
      <c r="EK158" s="11">
        <f>Tabelle58971121[[#This Row],[Maximalauslastung max]]*Tabelle58971121[[#This Row],[installierte Leistung MW durch]]</f>
        <v>766.85251999999991</v>
      </c>
      <c r="EL158" s="9">
        <v>0.99</v>
      </c>
      <c r="EM158" s="9">
        <v>0.98299999999999998</v>
      </c>
      <c r="EN158" s="9">
        <v>0.997</v>
      </c>
      <c r="EO158" s="11">
        <v>769.16</v>
      </c>
      <c r="EP158" s="11">
        <v>751.12</v>
      </c>
      <c r="EQ158" s="11">
        <v>787.19999999999993</v>
      </c>
      <c r="ER158" s="1">
        <v>1.7902777777777778E-3</v>
      </c>
      <c r="ES158" s="1">
        <v>0</v>
      </c>
      <c r="ET158" s="54">
        <v>8.3333333333333332E-3</v>
      </c>
      <c r="EU158" s="1">
        <v>0.23408333333333334</v>
      </c>
      <c r="EV158" s="1">
        <v>2.7777777777777778E-4</v>
      </c>
      <c r="EW158" s="54">
        <v>0.5</v>
      </c>
      <c r="EX158" s="1">
        <v>2.1</v>
      </c>
      <c r="EY158" s="1">
        <v>1.9000000000000001</v>
      </c>
      <c r="EZ158" s="54">
        <v>2.3000000000000003</v>
      </c>
      <c r="FA158" s="1">
        <v>2.1</v>
      </c>
      <c r="FB158" s="1">
        <v>1.9000000000000001</v>
      </c>
      <c r="FC158" s="54">
        <v>2.3000000000000003</v>
      </c>
      <c r="FD158" s="1">
        <v>4</v>
      </c>
      <c r="FE158" s="1">
        <v>3.6</v>
      </c>
      <c r="FF158" s="54">
        <v>4.4000000000000004</v>
      </c>
      <c r="FG158" s="1">
        <v>6.1</v>
      </c>
      <c r="FH158" s="1">
        <v>6.1</v>
      </c>
      <c r="FI158" s="54">
        <v>6.1</v>
      </c>
      <c r="FJ158" s="1">
        <v>4.2</v>
      </c>
      <c r="FK158" s="1">
        <v>3.7</v>
      </c>
      <c r="FL158" s="54">
        <v>4.7</v>
      </c>
      <c r="FN158" s="1" t="s">
        <v>646</v>
      </c>
      <c r="FP158" s="1">
        <v>350</v>
      </c>
      <c r="FQ158" s="1">
        <v>335</v>
      </c>
      <c r="FR158" s="1">
        <v>365</v>
      </c>
      <c r="FS158" s="1">
        <v>100</v>
      </c>
      <c r="FT158" s="1">
        <v>80</v>
      </c>
      <c r="FU158" s="1">
        <v>120</v>
      </c>
      <c r="FV158" s="1">
        <v>730</v>
      </c>
      <c r="FW158" s="1">
        <v>680</v>
      </c>
      <c r="FX158" s="1">
        <v>780</v>
      </c>
      <c r="FY158" s="1">
        <v>0</v>
      </c>
      <c r="FZ158" s="19">
        <v>0</v>
      </c>
      <c r="GA158" s="19">
        <v>0</v>
      </c>
      <c r="GB158" s="19">
        <v>117.02941176470587</v>
      </c>
      <c r="GC158" s="8">
        <v>81.411764705882348</v>
      </c>
      <c r="GD158" s="8">
        <v>152.64705882352939</v>
      </c>
      <c r="GE158" s="8">
        <v>479.3117647058823</v>
      </c>
      <c r="GF158" s="8">
        <v>363.29999999999995</v>
      </c>
      <c r="GG158" s="8">
        <v>595.32352941176464</v>
      </c>
      <c r="GH158" s="8">
        <v>0</v>
      </c>
      <c r="GI158" s="8">
        <v>0</v>
      </c>
      <c r="GJ158" s="8">
        <v>0</v>
      </c>
      <c r="GK158" s="8">
        <v>0</v>
      </c>
      <c r="GL158" s="8">
        <v>0</v>
      </c>
      <c r="GM158" s="8">
        <v>0</v>
      </c>
      <c r="GN158" s="8">
        <v>2.0352941176470587</v>
      </c>
      <c r="GO158" s="8">
        <v>0</v>
      </c>
      <c r="GP158" s="8">
        <v>4.0705882352941174</v>
      </c>
      <c r="GS158" s="1">
        <v>220</v>
      </c>
      <c r="GT158" s="1">
        <v>220</v>
      </c>
      <c r="GV158" s="13" t="s">
        <v>643</v>
      </c>
      <c r="GW158" s="1" t="s">
        <v>643</v>
      </c>
      <c r="GX158" s="13">
        <v>182</v>
      </c>
      <c r="GY158" s="13"/>
      <c r="GZ158" s="13">
        <v>182</v>
      </c>
      <c r="HA158" s="13">
        <v>182</v>
      </c>
      <c r="HB158" s="1">
        <v>182</v>
      </c>
      <c r="HC158" s="13" t="s">
        <v>642</v>
      </c>
      <c r="HD158" s="13" t="s">
        <v>641</v>
      </c>
      <c r="HE158" s="1">
        <v>202</v>
      </c>
      <c r="HF158" s="1">
        <v>202</v>
      </c>
      <c r="HH158" s="1" t="s">
        <v>645</v>
      </c>
      <c r="HI158" s="1">
        <v>211</v>
      </c>
      <c r="HJ158" s="1">
        <v>214</v>
      </c>
      <c r="HK158" s="1">
        <v>220</v>
      </c>
      <c r="HL158" s="1">
        <v>214</v>
      </c>
      <c r="HO158" s="1" t="s">
        <v>644</v>
      </c>
    </row>
    <row r="159" spans="1:223" ht="12.75" customHeight="1" x14ac:dyDescent="0.25">
      <c r="A159" s="1" t="s">
        <v>51</v>
      </c>
      <c r="D159" s="1" t="s">
        <v>575</v>
      </c>
      <c r="E159" s="1" t="s">
        <v>126</v>
      </c>
      <c r="F159" s="1">
        <v>1</v>
      </c>
      <c r="G159" s="1">
        <v>2040</v>
      </c>
      <c r="H159" s="1">
        <v>1</v>
      </c>
      <c r="I159" s="1">
        <v>1</v>
      </c>
      <c r="J159" s="1">
        <v>0</v>
      </c>
      <c r="K159" s="19"/>
      <c r="L159" s="19"/>
      <c r="M159" s="19"/>
      <c r="N159" s="11">
        <v>694.98</v>
      </c>
      <c r="O159" s="11">
        <v>656.76</v>
      </c>
      <c r="P159" s="11">
        <v>733.2</v>
      </c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9"/>
      <c r="CR159" s="11">
        <v>31.200000000000003</v>
      </c>
      <c r="CS159" s="11">
        <v>23.400000000000002</v>
      </c>
      <c r="CT159" s="11">
        <v>39</v>
      </c>
      <c r="CU159" s="11">
        <f>Tabelle58971121[[#This Row],[Mindestauslastung durch]]*Tabelle58971121[[#This Row],[installierte Leistung MW durch]]</f>
        <v>0</v>
      </c>
      <c r="CV159" s="11">
        <f>Tabelle58971121[[#This Row],[Mindestauslastung min]]*Tabelle58971121[[#This Row],[installierte Leistung MW min]]</f>
        <v>0</v>
      </c>
      <c r="CW159" s="19">
        <f>Tabelle58971121[[#This Row],[Mindestauslastung max]]*Tabelle58971121[[#This Row],[installierte Leistung MW max]]</f>
        <v>0</v>
      </c>
      <c r="CX159" s="9">
        <v>0</v>
      </c>
      <c r="CY159" s="9">
        <v>0</v>
      </c>
      <c r="CZ159" s="9">
        <v>0</v>
      </c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39">
        <v>0.95</v>
      </c>
      <c r="ED159" s="39">
        <v>0.92</v>
      </c>
      <c r="EE159" s="39">
        <v>0.98</v>
      </c>
      <c r="EF159" s="11">
        <f>Tabelle58971121[[#This Row],[Durchschnittsauslastung min]]*Tabelle58971121[[#This Row],[installierte Leistung MW min]]</f>
        <v>678.75599999999997</v>
      </c>
      <c r="EG159" s="11">
        <f>Tabelle58971121[[#This Row],[Durchschnittsauslastung durch]]*Tabelle58971121[[#This Row],[installierte Leistung MW durch]]</f>
        <v>673.10879999999997</v>
      </c>
      <c r="EH159" s="46">
        <f>Tabelle58971121[[#This Row],[Durchschnittsauslastung max]]*Tabelle58971121[[#This Row],[installierte Leistung MW max]]</f>
        <v>733.82400000000007</v>
      </c>
      <c r="EI159" s="83">
        <f>Tabelle58971121[[#This Row],[Maximalauslastung durch]]*Tabelle58971121[[#This Row],[installierte Leistung MW min]]</f>
        <v>707.33519999999999</v>
      </c>
      <c r="EJ159" s="46">
        <f>Tabelle58971121[[#This Row],[Maximalauslastung durch]]*Tabelle58971121[[#This Row],[installierte Leistung MW durch]]</f>
        <v>724.32359999999994</v>
      </c>
      <c r="EK159" s="11">
        <f>Tabelle58971121[[#This Row],[Maximalauslastung max]]*Tabelle58971121[[#This Row],[installierte Leistung MW durch]]</f>
        <v>729.44507999999996</v>
      </c>
      <c r="EL159" s="9">
        <v>0.99</v>
      </c>
      <c r="EM159" s="9">
        <v>0.98299999999999998</v>
      </c>
      <c r="EN159" s="9">
        <v>0.997</v>
      </c>
      <c r="EO159" s="11">
        <v>731.64</v>
      </c>
      <c r="EP159" s="11">
        <v>714.48</v>
      </c>
      <c r="EQ159" s="11">
        <v>748.80000000000007</v>
      </c>
      <c r="ER159" s="1">
        <v>1.7902777777777778E-3</v>
      </c>
      <c r="ES159" s="1">
        <v>0</v>
      </c>
      <c r="ET159" s="54">
        <v>8.3333333333333332E-3</v>
      </c>
      <c r="EU159" s="1">
        <v>0.23408333333333334</v>
      </c>
      <c r="EV159" s="1">
        <v>2.7777777777777778E-4</v>
      </c>
      <c r="EW159" s="54">
        <v>0.5</v>
      </c>
      <c r="EX159" s="1">
        <v>2.1</v>
      </c>
      <c r="EY159" s="1">
        <v>1.9000000000000001</v>
      </c>
      <c r="EZ159" s="54">
        <v>2.3000000000000003</v>
      </c>
      <c r="FA159" s="1">
        <v>2.1</v>
      </c>
      <c r="FB159" s="1">
        <v>1.9000000000000001</v>
      </c>
      <c r="FC159" s="54">
        <v>2.3000000000000003</v>
      </c>
      <c r="FD159" s="1">
        <v>4</v>
      </c>
      <c r="FE159" s="1">
        <v>3.6</v>
      </c>
      <c r="FF159" s="54">
        <v>4.4000000000000004</v>
      </c>
      <c r="FG159" s="1">
        <v>6.1</v>
      </c>
      <c r="FH159" s="1">
        <v>6.1</v>
      </c>
      <c r="FI159" s="54">
        <v>6.1</v>
      </c>
      <c r="FJ159" s="1">
        <v>4.2</v>
      </c>
      <c r="FK159" s="1">
        <v>3.7</v>
      </c>
      <c r="FL159" s="54">
        <v>4.7</v>
      </c>
      <c r="FN159" s="1" t="s">
        <v>646</v>
      </c>
      <c r="FP159" s="1">
        <v>350</v>
      </c>
      <c r="FQ159" s="1">
        <v>335</v>
      </c>
      <c r="FR159" s="1">
        <v>365</v>
      </c>
      <c r="FS159" s="1">
        <v>100</v>
      </c>
      <c r="FT159" s="1">
        <v>80</v>
      </c>
      <c r="FU159" s="1">
        <v>120</v>
      </c>
      <c r="FV159" s="1">
        <v>730</v>
      </c>
      <c r="FW159" s="1">
        <v>680</v>
      </c>
      <c r="FX159" s="1">
        <v>780</v>
      </c>
      <c r="FY159" s="1">
        <v>0</v>
      </c>
      <c r="FZ159" s="19">
        <v>0</v>
      </c>
      <c r="GA159" s="19">
        <v>0</v>
      </c>
      <c r="GB159" s="19">
        <v>117.02941176470587</v>
      </c>
      <c r="GC159" s="8">
        <v>81.411764705882348</v>
      </c>
      <c r="GD159" s="8">
        <v>152.64705882352939</v>
      </c>
      <c r="GE159" s="8">
        <v>479.3117647058823</v>
      </c>
      <c r="GF159" s="8">
        <v>363.29999999999995</v>
      </c>
      <c r="GG159" s="8">
        <v>595.32352941176464</v>
      </c>
      <c r="GH159" s="8">
        <v>0</v>
      </c>
      <c r="GI159" s="8">
        <v>0</v>
      </c>
      <c r="GJ159" s="8">
        <v>0</v>
      </c>
      <c r="GK159" s="8">
        <v>0</v>
      </c>
      <c r="GL159" s="8">
        <v>0</v>
      </c>
      <c r="GM159" s="8">
        <v>0</v>
      </c>
      <c r="GN159" s="8">
        <v>2.0352941176470587</v>
      </c>
      <c r="GO159" s="8">
        <v>0</v>
      </c>
      <c r="GP159" s="8">
        <v>4.0705882352941174</v>
      </c>
      <c r="GS159" s="1">
        <v>220</v>
      </c>
      <c r="GT159" s="1">
        <v>220</v>
      </c>
      <c r="GV159" s="13" t="s">
        <v>643</v>
      </c>
      <c r="GW159" s="1" t="s">
        <v>643</v>
      </c>
      <c r="GX159" s="13">
        <v>182</v>
      </c>
      <c r="GY159" s="13"/>
      <c r="GZ159" s="13">
        <v>182</v>
      </c>
      <c r="HA159" s="13">
        <v>182</v>
      </c>
      <c r="HB159" s="1">
        <v>182</v>
      </c>
      <c r="HC159" s="13" t="s">
        <v>642</v>
      </c>
      <c r="HD159" s="13" t="s">
        <v>641</v>
      </c>
      <c r="HE159" s="1">
        <v>202</v>
      </c>
      <c r="HF159" s="1">
        <v>202</v>
      </c>
      <c r="HH159" s="1" t="s">
        <v>645</v>
      </c>
      <c r="HI159" s="1">
        <v>211</v>
      </c>
      <c r="HJ159" s="1">
        <v>214</v>
      </c>
      <c r="HK159" s="1">
        <v>220</v>
      </c>
      <c r="HL159" s="1">
        <v>214</v>
      </c>
      <c r="HO159" s="1" t="s">
        <v>644</v>
      </c>
    </row>
    <row r="160" spans="1:223" ht="12.75" customHeight="1" x14ac:dyDescent="0.25">
      <c r="A160" s="1" t="s">
        <v>51</v>
      </c>
      <c r="D160" s="1" t="s">
        <v>575</v>
      </c>
      <c r="E160" s="1" t="s">
        <v>126</v>
      </c>
      <c r="F160" s="1">
        <v>1</v>
      </c>
      <c r="G160" s="1">
        <v>2045</v>
      </c>
      <c r="H160" s="1">
        <v>1</v>
      </c>
      <c r="I160" s="1">
        <v>1</v>
      </c>
      <c r="J160" s="1">
        <v>0</v>
      </c>
      <c r="K160" s="19"/>
      <c r="L160" s="19"/>
      <c r="M160" s="19"/>
      <c r="N160" s="11">
        <v>659.34</v>
      </c>
      <c r="O160" s="11">
        <v>623.08000000000004</v>
      </c>
      <c r="P160" s="11">
        <v>695.6</v>
      </c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9"/>
      <c r="CR160" s="11">
        <v>29.6</v>
      </c>
      <c r="CS160" s="11">
        <v>22.2</v>
      </c>
      <c r="CT160" s="11">
        <v>37</v>
      </c>
      <c r="CU160" s="11">
        <f>Tabelle58971121[[#This Row],[Mindestauslastung durch]]*Tabelle58971121[[#This Row],[installierte Leistung MW durch]]</f>
        <v>0</v>
      </c>
      <c r="CV160" s="11">
        <f>Tabelle58971121[[#This Row],[Mindestauslastung min]]*Tabelle58971121[[#This Row],[installierte Leistung MW min]]</f>
        <v>0</v>
      </c>
      <c r="CW160" s="19">
        <f>Tabelle58971121[[#This Row],[Mindestauslastung max]]*Tabelle58971121[[#This Row],[installierte Leistung MW max]]</f>
        <v>0</v>
      </c>
      <c r="CX160" s="9">
        <v>0</v>
      </c>
      <c r="CY160" s="9">
        <v>0</v>
      </c>
      <c r="CZ160" s="9">
        <v>0</v>
      </c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39">
        <v>0.95</v>
      </c>
      <c r="ED160" s="39">
        <v>0.92</v>
      </c>
      <c r="EE160" s="39">
        <v>0.98</v>
      </c>
      <c r="EF160" s="11">
        <f>Tabelle58971121[[#This Row],[Durchschnittsauslastung min]]*Tabelle58971121[[#This Row],[installierte Leistung MW min]]</f>
        <v>643.94799999999998</v>
      </c>
      <c r="EG160" s="11">
        <f>Tabelle58971121[[#This Row],[Durchschnittsauslastung durch]]*Tabelle58971121[[#This Row],[installierte Leistung MW durch]]</f>
        <v>638.59040000000005</v>
      </c>
      <c r="EH160" s="46">
        <f>Tabelle58971121[[#This Row],[Durchschnittsauslastung max]]*Tabelle58971121[[#This Row],[installierte Leistung MW max]]</f>
        <v>696.19200000000001</v>
      </c>
      <c r="EI160" s="83">
        <f>Tabelle58971121[[#This Row],[Maximalauslastung durch]]*Tabelle58971121[[#This Row],[installierte Leistung MW min]]</f>
        <v>671.0616</v>
      </c>
      <c r="EJ160" s="46">
        <f>Tabelle58971121[[#This Row],[Maximalauslastung durch]]*Tabelle58971121[[#This Row],[installierte Leistung MW durch]]</f>
        <v>687.17880000000002</v>
      </c>
      <c r="EK160" s="11">
        <f>Tabelle58971121[[#This Row],[Maximalauslastung max]]*Tabelle58971121[[#This Row],[installierte Leistung MW durch]]</f>
        <v>692.03764000000001</v>
      </c>
      <c r="EL160" s="9">
        <v>0.99</v>
      </c>
      <c r="EM160" s="9">
        <v>0.98299999999999998</v>
      </c>
      <c r="EN160" s="9">
        <v>0.997</v>
      </c>
      <c r="EO160" s="11">
        <v>694.12</v>
      </c>
      <c r="EP160" s="11">
        <v>677.84</v>
      </c>
      <c r="EQ160" s="11">
        <v>710.4</v>
      </c>
      <c r="ER160" s="1">
        <v>1.7902777777777778E-3</v>
      </c>
      <c r="ES160" s="1">
        <v>0</v>
      </c>
      <c r="ET160" s="54">
        <v>8.3333333333333332E-3</v>
      </c>
      <c r="EU160" s="1">
        <v>0.23408333333333334</v>
      </c>
      <c r="EV160" s="1">
        <v>2.7777777777777778E-4</v>
      </c>
      <c r="EW160" s="54">
        <v>0.5</v>
      </c>
      <c r="EX160" s="1">
        <v>2.1</v>
      </c>
      <c r="EY160" s="1">
        <v>1.9000000000000001</v>
      </c>
      <c r="EZ160" s="54">
        <v>2.3000000000000003</v>
      </c>
      <c r="FA160" s="1">
        <v>2.1</v>
      </c>
      <c r="FB160" s="1">
        <v>1.9000000000000001</v>
      </c>
      <c r="FC160" s="54">
        <v>2.3000000000000003</v>
      </c>
      <c r="FD160" s="1">
        <v>4</v>
      </c>
      <c r="FE160" s="1">
        <v>3.6</v>
      </c>
      <c r="FF160" s="54">
        <v>4.4000000000000004</v>
      </c>
      <c r="FG160" s="1">
        <v>6.1</v>
      </c>
      <c r="FH160" s="1">
        <v>6.1</v>
      </c>
      <c r="FI160" s="54">
        <v>6.1</v>
      </c>
      <c r="FJ160" s="1">
        <v>4.2</v>
      </c>
      <c r="FK160" s="1">
        <v>3.7</v>
      </c>
      <c r="FL160" s="54">
        <v>4.7</v>
      </c>
      <c r="FN160" s="1" t="s">
        <v>646</v>
      </c>
      <c r="FP160" s="1">
        <v>350</v>
      </c>
      <c r="FQ160" s="1">
        <v>335</v>
      </c>
      <c r="FR160" s="1">
        <v>365</v>
      </c>
      <c r="FS160" s="1">
        <v>100</v>
      </c>
      <c r="FT160" s="1">
        <v>80</v>
      </c>
      <c r="FU160" s="1">
        <v>120</v>
      </c>
      <c r="FV160" s="1">
        <v>730</v>
      </c>
      <c r="FW160" s="1">
        <v>680</v>
      </c>
      <c r="FX160" s="1">
        <v>780</v>
      </c>
      <c r="FY160" s="1">
        <v>0</v>
      </c>
      <c r="FZ160" s="19">
        <v>0</v>
      </c>
      <c r="GA160" s="19">
        <v>0</v>
      </c>
      <c r="GB160" s="19">
        <v>117.02941176470587</v>
      </c>
      <c r="GC160" s="8">
        <v>81.411764705882348</v>
      </c>
      <c r="GD160" s="8">
        <v>152.64705882352939</v>
      </c>
      <c r="GE160" s="8">
        <v>479.3117647058823</v>
      </c>
      <c r="GF160" s="8">
        <v>363.29999999999995</v>
      </c>
      <c r="GG160" s="8">
        <v>595.32352941176464</v>
      </c>
      <c r="GH160" s="8">
        <v>0</v>
      </c>
      <c r="GI160" s="8">
        <v>0</v>
      </c>
      <c r="GJ160" s="8">
        <v>0</v>
      </c>
      <c r="GK160" s="8">
        <v>0</v>
      </c>
      <c r="GL160" s="8">
        <v>0</v>
      </c>
      <c r="GM160" s="8">
        <v>0</v>
      </c>
      <c r="GN160" s="8">
        <v>2.0352941176470587</v>
      </c>
      <c r="GO160" s="8">
        <v>0</v>
      </c>
      <c r="GP160" s="8">
        <v>4.0705882352941174</v>
      </c>
      <c r="GS160" s="1">
        <v>220</v>
      </c>
      <c r="GT160" s="1">
        <v>220</v>
      </c>
      <c r="GV160" s="13" t="s">
        <v>643</v>
      </c>
      <c r="GW160" s="1" t="s">
        <v>643</v>
      </c>
      <c r="GX160" s="13">
        <v>182</v>
      </c>
      <c r="GY160" s="13"/>
      <c r="GZ160" s="13">
        <v>182</v>
      </c>
      <c r="HA160" s="13">
        <v>182</v>
      </c>
      <c r="HB160" s="1">
        <v>182</v>
      </c>
      <c r="HC160" s="13" t="s">
        <v>642</v>
      </c>
      <c r="HD160" s="13" t="s">
        <v>641</v>
      </c>
      <c r="HE160" s="1">
        <v>202</v>
      </c>
      <c r="HF160" s="1">
        <v>202</v>
      </c>
      <c r="HH160" s="1" t="s">
        <v>645</v>
      </c>
      <c r="HI160" s="1">
        <v>211</v>
      </c>
      <c r="HJ160" s="1">
        <v>214</v>
      </c>
      <c r="HK160" s="1">
        <v>220</v>
      </c>
      <c r="HL160" s="1">
        <v>214</v>
      </c>
      <c r="HO160" s="1" t="s">
        <v>644</v>
      </c>
    </row>
    <row r="161" spans="1:223" ht="12.75" customHeight="1" x14ac:dyDescent="0.25">
      <c r="A161" s="1" t="s">
        <v>51</v>
      </c>
      <c r="D161" s="1" t="s">
        <v>575</v>
      </c>
      <c r="E161" s="1" t="s">
        <v>126</v>
      </c>
      <c r="F161" s="1">
        <v>1</v>
      </c>
      <c r="G161" s="1">
        <v>2050</v>
      </c>
      <c r="H161" s="1">
        <v>1</v>
      </c>
      <c r="I161" s="1">
        <v>1</v>
      </c>
      <c r="J161" s="1">
        <v>0</v>
      </c>
      <c r="K161" s="19"/>
      <c r="L161" s="19"/>
      <c r="M161" s="19"/>
      <c r="N161" s="11">
        <v>623.69999999999993</v>
      </c>
      <c r="O161" s="11">
        <v>589.4</v>
      </c>
      <c r="P161" s="11">
        <v>658</v>
      </c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9"/>
      <c r="CR161" s="11">
        <v>28</v>
      </c>
      <c r="CS161" s="11">
        <v>21</v>
      </c>
      <c r="CT161" s="11">
        <v>35</v>
      </c>
      <c r="CU161" s="11">
        <f>Tabelle58971121[[#This Row],[Mindestauslastung durch]]*Tabelle58971121[[#This Row],[installierte Leistung MW durch]]</f>
        <v>0</v>
      </c>
      <c r="CV161" s="11">
        <f>Tabelle58971121[[#This Row],[Mindestauslastung min]]*Tabelle58971121[[#This Row],[installierte Leistung MW min]]</f>
        <v>0</v>
      </c>
      <c r="CW161" s="19">
        <f>Tabelle58971121[[#This Row],[Mindestauslastung max]]*Tabelle58971121[[#This Row],[installierte Leistung MW max]]</f>
        <v>0</v>
      </c>
      <c r="CX161" s="9">
        <v>0</v>
      </c>
      <c r="CY161" s="9">
        <v>0</v>
      </c>
      <c r="CZ161" s="9">
        <v>0</v>
      </c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39">
        <v>0.95</v>
      </c>
      <c r="ED161" s="39">
        <v>0.92</v>
      </c>
      <c r="EE161" s="39">
        <v>0.98</v>
      </c>
      <c r="EF161" s="11">
        <f>Tabelle58971121[[#This Row],[Durchschnittsauslastung min]]*Tabelle58971121[[#This Row],[installierte Leistung MW min]]</f>
        <v>609.13999999999987</v>
      </c>
      <c r="EG161" s="11">
        <f>Tabelle58971121[[#This Row],[Durchschnittsauslastung durch]]*Tabelle58971121[[#This Row],[installierte Leistung MW durch]]</f>
        <v>604.07199999999989</v>
      </c>
      <c r="EH161" s="46">
        <f>Tabelle58971121[[#This Row],[Durchschnittsauslastung max]]*Tabelle58971121[[#This Row],[installierte Leistung MW max]]</f>
        <v>658.56</v>
      </c>
      <c r="EI161" s="83">
        <f>Tabelle58971121[[#This Row],[Maximalauslastung durch]]*Tabelle58971121[[#This Row],[installierte Leistung MW min]]</f>
        <v>634.7879999999999</v>
      </c>
      <c r="EJ161" s="46">
        <f>Tabelle58971121[[#This Row],[Maximalauslastung durch]]*Tabelle58971121[[#This Row],[installierte Leistung MW durch]]</f>
        <v>650.03399999999988</v>
      </c>
      <c r="EK161" s="11">
        <f>Tabelle58971121[[#This Row],[Maximalauslastung max]]*Tabelle58971121[[#This Row],[installierte Leistung MW durch]]</f>
        <v>654.63019999999995</v>
      </c>
      <c r="EL161" s="9">
        <v>0.99</v>
      </c>
      <c r="EM161" s="9">
        <v>0.98299999999999998</v>
      </c>
      <c r="EN161" s="9">
        <v>0.997</v>
      </c>
      <c r="EO161" s="11">
        <v>656.59999999999991</v>
      </c>
      <c r="EP161" s="11">
        <v>641.19999999999993</v>
      </c>
      <c r="EQ161" s="11">
        <v>672</v>
      </c>
      <c r="ER161" s="1">
        <v>1.7902777777777778E-3</v>
      </c>
      <c r="ES161" s="1">
        <v>0</v>
      </c>
      <c r="ET161" s="54">
        <v>8.3333333333333332E-3</v>
      </c>
      <c r="EU161" s="1">
        <v>0.23408333333333334</v>
      </c>
      <c r="EV161" s="1">
        <v>2.7777777777777778E-4</v>
      </c>
      <c r="EW161" s="54">
        <v>0.5</v>
      </c>
      <c r="EX161" s="1">
        <v>2.1</v>
      </c>
      <c r="EY161" s="1">
        <v>1.9000000000000001</v>
      </c>
      <c r="EZ161" s="54">
        <v>2.3000000000000003</v>
      </c>
      <c r="FA161" s="1">
        <v>2.1</v>
      </c>
      <c r="FB161" s="1">
        <v>1.9000000000000001</v>
      </c>
      <c r="FC161" s="54">
        <v>2.3000000000000003</v>
      </c>
      <c r="FD161" s="1">
        <v>4</v>
      </c>
      <c r="FE161" s="1">
        <v>3.6</v>
      </c>
      <c r="FF161" s="54">
        <v>4.4000000000000004</v>
      </c>
      <c r="FG161" s="1">
        <v>6.1</v>
      </c>
      <c r="FH161" s="1">
        <v>6.1</v>
      </c>
      <c r="FI161" s="54">
        <v>6.1</v>
      </c>
      <c r="FJ161" s="1">
        <v>4.2</v>
      </c>
      <c r="FK161" s="1">
        <v>3.7</v>
      </c>
      <c r="FL161" s="54">
        <v>4.7</v>
      </c>
      <c r="FN161" s="1" t="s">
        <v>646</v>
      </c>
      <c r="FP161" s="1">
        <v>350</v>
      </c>
      <c r="FQ161" s="1">
        <v>335</v>
      </c>
      <c r="FR161" s="1">
        <v>365</v>
      </c>
      <c r="FS161" s="1">
        <v>100</v>
      </c>
      <c r="FT161" s="1">
        <v>80</v>
      </c>
      <c r="FU161" s="1">
        <v>120</v>
      </c>
      <c r="FV161" s="1">
        <v>730</v>
      </c>
      <c r="FW161" s="1">
        <v>680</v>
      </c>
      <c r="FX161" s="1">
        <v>780</v>
      </c>
      <c r="FY161" s="1">
        <v>0</v>
      </c>
      <c r="FZ161" s="19">
        <v>0</v>
      </c>
      <c r="GA161" s="19">
        <v>0</v>
      </c>
      <c r="GB161" s="19">
        <v>117.02941176470587</v>
      </c>
      <c r="GC161" s="8">
        <v>81.411764705882348</v>
      </c>
      <c r="GD161" s="8">
        <v>152.64705882352939</v>
      </c>
      <c r="GE161" s="8">
        <v>479.3117647058823</v>
      </c>
      <c r="GF161" s="8">
        <v>363.29999999999995</v>
      </c>
      <c r="GG161" s="8">
        <v>595.32352941176464</v>
      </c>
      <c r="GH161" s="8">
        <v>0</v>
      </c>
      <c r="GI161" s="8">
        <v>0</v>
      </c>
      <c r="GJ161" s="8">
        <v>0</v>
      </c>
      <c r="GK161" s="8">
        <v>0</v>
      </c>
      <c r="GL161" s="8">
        <v>0</v>
      </c>
      <c r="GM161" s="8">
        <v>0</v>
      </c>
      <c r="GN161" s="8">
        <v>2.0352941176470587</v>
      </c>
      <c r="GO161" s="8">
        <v>0</v>
      </c>
      <c r="GP161" s="8">
        <v>4.0705882352941174</v>
      </c>
      <c r="GS161" s="1">
        <v>220</v>
      </c>
      <c r="GT161" s="1">
        <v>220</v>
      </c>
      <c r="GV161" s="13" t="s">
        <v>643</v>
      </c>
      <c r="GW161" s="1" t="s">
        <v>643</v>
      </c>
      <c r="GX161" s="13">
        <v>182</v>
      </c>
      <c r="GY161" s="13"/>
      <c r="GZ161" s="13">
        <v>182</v>
      </c>
      <c r="HA161" s="13">
        <v>182</v>
      </c>
      <c r="HB161" s="1">
        <v>182</v>
      </c>
      <c r="HC161" s="13" t="s">
        <v>642</v>
      </c>
      <c r="HD161" s="13" t="s">
        <v>641</v>
      </c>
      <c r="HE161" s="1">
        <v>202</v>
      </c>
      <c r="HF161" s="1">
        <v>202</v>
      </c>
      <c r="HH161" s="1" t="s">
        <v>645</v>
      </c>
      <c r="HI161" s="1">
        <v>211</v>
      </c>
      <c r="HJ161" s="1">
        <v>214</v>
      </c>
      <c r="HK161" s="1">
        <v>220</v>
      </c>
      <c r="HL161" s="1">
        <v>214</v>
      </c>
      <c r="HO161" s="1" t="s">
        <v>644</v>
      </c>
    </row>
    <row r="162" spans="1:223" ht="12.75" customHeight="1" x14ac:dyDescent="0.25">
      <c r="A162" s="1" t="s">
        <v>370</v>
      </c>
      <c r="D162" s="1" t="s">
        <v>581</v>
      </c>
      <c r="E162" s="1" t="s">
        <v>126</v>
      </c>
      <c r="F162" s="1">
        <v>1</v>
      </c>
      <c r="G162" s="1">
        <v>2015</v>
      </c>
      <c r="H162" s="1">
        <v>1</v>
      </c>
      <c r="I162" s="1">
        <v>1</v>
      </c>
      <c r="J162" s="1">
        <v>0</v>
      </c>
      <c r="K162" s="19"/>
      <c r="L162" s="19"/>
      <c r="M162" s="19"/>
      <c r="N162" s="11">
        <v>63</v>
      </c>
      <c r="O162" s="11">
        <v>39</v>
      </c>
      <c r="P162" s="11">
        <v>87</v>
      </c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9"/>
      <c r="CR162" s="11">
        <v>12</v>
      </c>
      <c r="CS162" s="11">
        <v>3</v>
      </c>
      <c r="CT162" s="11">
        <v>21</v>
      </c>
      <c r="CU162" s="11">
        <f>Tabelle58971121[[#This Row],[Mindestauslastung durch]]*Tabelle58971121[[#This Row],[installierte Leistung MW durch]]</f>
        <v>0</v>
      </c>
      <c r="CV162" s="11">
        <f>Tabelle58971121[[#This Row],[Mindestauslastung min]]*Tabelle58971121[[#This Row],[installierte Leistung MW min]]</f>
        <v>0</v>
      </c>
      <c r="CW162" s="19">
        <f>Tabelle58971121[[#This Row],[Mindestauslastung max]]*Tabelle58971121[[#This Row],[installierte Leistung MW max]]</f>
        <v>0</v>
      </c>
      <c r="CX162" s="9">
        <v>0</v>
      </c>
      <c r="CY162" s="9">
        <v>0</v>
      </c>
      <c r="CZ162" s="9">
        <v>0</v>
      </c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39">
        <v>0.8</v>
      </c>
      <c r="ED162" s="39">
        <v>0.72</v>
      </c>
      <c r="EE162" s="39">
        <v>0.88</v>
      </c>
      <c r="EF162" s="11">
        <f>Tabelle58971121[[#This Row],[Durchschnittsauslastung min]]*Tabelle58971121[[#This Row],[installierte Leistung MW min]]</f>
        <v>44.800000000000004</v>
      </c>
      <c r="EG162" s="11">
        <f>Tabelle58971121[[#This Row],[Durchschnittsauslastung durch]]*Tabelle58971121[[#This Row],[installierte Leistung MW durch]]</f>
        <v>56.16</v>
      </c>
      <c r="EH162" s="46">
        <f>Tabelle58971121[[#This Row],[Durchschnittsauslastung max]]*Tabelle58971121[[#This Row],[installierte Leistung MW max]]</f>
        <v>88</v>
      </c>
      <c r="EI162" s="83">
        <f>Tabelle58971121[[#This Row],[Maximalauslastung durch]]*Tabelle58971121[[#This Row],[installierte Leistung MW min]]</f>
        <v>53.199999999999996</v>
      </c>
      <c r="EJ162" s="46">
        <f>Tabelle58971121[[#This Row],[Maximalauslastung durch]]*Tabelle58971121[[#This Row],[installierte Leistung MW durch]]</f>
        <v>74.099999999999994</v>
      </c>
      <c r="EK162" s="11">
        <f>Tabelle58971121[[#This Row],[Maximalauslastung max]]*Tabelle58971121[[#This Row],[installierte Leistung MW durch]]</f>
        <v>74.88</v>
      </c>
      <c r="EL162" s="9">
        <v>0.95</v>
      </c>
      <c r="EM162" s="9">
        <v>0.94</v>
      </c>
      <c r="EN162" s="9">
        <v>0.96</v>
      </c>
      <c r="EO162" s="11">
        <v>78</v>
      </c>
      <c r="EP162" s="11">
        <v>56</v>
      </c>
      <c r="EQ162" s="11">
        <v>100</v>
      </c>
      <c r="ER162" s="1">
        <v>0.16666666666666663</v>
      </c>
      <c r="ES162" s="1">
        <v>8.3333333333333329E-2</v>
      </c>
      <c r="ET162" s="54">
        <v>0.25</v>
      </c>
      <c r="EU162" s="1">
        <v>0.16666666666666663</v>
      </c>
      <c r="EV162" s="1">
        <v>8.3333333333333329E-2</v>
      </c>
      <c r="EW162" s="54">
        <v>0.25</v>
      </c>
      <c r="EX162" s="1">
        <v>2</v>
      </c>
      <c r="EY162" s="1">
        <v>1.6</v>
      </c>
      <c r="EZ162" s="54">
        <v>2.4</v>
      </c>
      <c r="FA162" s="1">
        <v>2</v>
      </c>
      <c r="FB162" s="1">
        <v>1.6</v>
      </c>
      <c r="FC162" s="54">
        <v>2.4</v>
      </c>
      <c r="FD162" s="1">
        <v>4</v>
      </c>
      <c r="FE162" s="1">
        <v>3.2</v>
      </c>
      <c r="FF162" s="54">
        <v>4.8</v>
      </c>
      <c r="FG162" s="1">
        <v>6</v>
      </c>
      <c r="FH162" s="1">
        <v>6</v>
      </c>
      <c r="FI162" s="54">
        <v>6</v>
      </c>
      <c r="FJ162" s="1">
        <v>4.8</v>
      </c>
      <c r="FK162" s="1">
        <v>3.4</v>
      </c>
      <c r="FL162" s="54">
        <v>6.1999999999999993</v>
      </c>
      <c r="FN162" s="1" t="s">
        <v>646</v>
      </c>
      <c r="FP162" s="1">
        <v>50</v>
      </c>
      <c r="FQ162" s="1">
        <v>20</v>
      </c>
      <c r="FR162" s="1">
        <v>80</v>
      </c>
      <c r="FS162" s="1">
        <v>0</v>
      </c>
      <c r="FT162" s="1">
        <v>0</v>
      </c>
      <c r="FU162" s="1">
        <v>0</v>
      </c>
      <c r="FV162" s="1">
        <v>50</v>
      </c>
      <c r="FW162" s="1">
        <v>20</v>
      </c>
      <c r="FX162" s="1">
        <v>80</v>
      </c>
      <c r="FY162" s="1">
        <v>8.1411764705882348</v>
      </c>
      <c r="FZ162" s="19">
        <v>3.052941176470588</v>
      </c>
      <c r="GA162" s="19">
        <v>13.229411764705882</v>
      </c>
      <c r="GB162" s="19">
        <v>484.4</v>
      </c>
      <c r="GC162" s="8">
        <v>269.6764705882353</v>
      </c>
      <c r="GD162" s="8">
        <v>699.12352941176471</v>
      </c>
      <c r="GE162" s="8">
        <v>1136.7117647058824</v>
      </c>
      <c r="GF162" s="8">
        <v>1041.0529411764705</v>
      </c>
      <c r="GG162" s="8">
        <v>1232.370588235294</v>
      </c>
      <c r="GH162" s="8">
        <v>30.52941176470588</v>
      </c>
      <c r="GI162" s="8">
        <v>0</v>
      </c>
      <c r="GJ162" s="8">
        <v>61.058823529411761</v>
      </c>
      <c r="GK162" s="8">
        <v>101.76470588235293</v>
      </c>
      <c r="GL162" s="8">
        <v>50.882352941176464</v>
      </c>
      <c r="GM162" s="8">
        <v>152.64705882352939</v>
      </c>
      <c r="GN162" s="8">
        <v>20.352941176470587</v>
      </c>
      <c r="GO162" s="8">
        <v>10.176470588235293</v>
      </c>
      <c r="GP162" s="8">
        <v>30.52941176470588</v>
      </c>
      <c r="GS162" s="1">
        <v>220</v>
      </c>
      <c r="GT162" s="1">
        <v>220</v>
      </c>
      <c r="GV162" s="13" t="s">
        <v>643</v>
      </c>
      <c r="GW162" s="1" t="s">
        <v>643</v>
      </c>
      <c r="GX162" s="13">
        <v>182</v>
      </c>
      <c r="GY162" s="13"/>
      <c r="GZ162" s="13">
        <v>182</v>
      </c>
      <c r="HA162" s="13">
        <v>182</v>
      </c>
      <c r="HB162" s="1">
        <v>182</v>
      </c>
      <c r="HC162" s="13" t="s">
        <v>642</v>
      </c>
      <c r="HD162" s="13" t="s">
        <v>641</v>
      </c>
      <c r="HE162" s="1">
        <v>202</v>
      </c>
      <c r="HF162" s="1">
        <v>202</v>
      </c>
      <c r="HH162" s="1" t="s">
        <v>645</v>
      </c>
      <c r="HI162" s="1">
        <v>211</v>
      </c>
      <c r="HJ162" s="1">
        <v>214</v>
      </c>
      <c r="HK162" s="1">
        <v>220</v>
      </c>
      <c r="HL162" s="1">
        <v>214</v>
      </c>
      <c r="HO162" s="1" t="s">
        <v>644</v>
      </c>
    </row>
    <row r="163" spans="1:223" ht="12.75" customHeight="1" x14ac:dyDescent="0.25">
      <c r="A163" s="1" t="s">
        <v>370</v>
      </c>
      <c r="D163" s="1" t="s">
        <v>581</v>
      </c>
      <c r="E163" s="1" t="s">
        <v>126</v>
      </c>
      <c r="F163" s="1">
        <v>1</v>
      </c>
      <c r="G163" s="1">
        <v>2020</v>
      </c>
      <c r="H163" s="1">
        <v>1</v>
      </c>
      <c r="I163" s="1">
        <v>1</v>
      </c>
      <c r="J163" s="1">
        <v>0</v>
      </c>
      <c r="K163" s="19"/>
      <c r="L163" s="19"/>
      <c r="M163" s="19"/>
      <c r="N163" s="11">
        <v>59.22</v>
      </c>
      <c r="O163" s="11">
        <v>36.660000000000004</v>
      </c>
      <c r="P163" s="11">
        <v>81.78</v>
      </c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9"/>
      <c r="CR163" s="11">
        <v>11.28</v>
      </c>
      <c r="CS163" s="11">
        <v>2.8200000000000003</v>
      </c>
      <c r="CT163" s="11">
        <v>19.739999999999998</v>
      </c>
      <c r="CU163" s="11">
        <f>Tabelle58971121[[#This Row],[Mindestauslastung durch]]*Tabelle58971121[[#This Row],[installierte Leistung MW durch]]</f>
        <v>0</v>
      </c>
      <c r="CV163" s="11">
        <f>Tabelle58971121[[#This Row],[Mindestauslastung min]]*Tabelle58971121[[#This Row],[installierte Leistung MW min]]</f>
        <v>0</v>
      </c>
      <c r="CW163" s="19">
        <f>Tabelle58971121[[#This Row],[Mindestauslastung max]]*Tabelle58971121[[#This Row],[installierte Leistung MW max]]</f>
        <v>0</v>
      </c>
      <c r="CX163" s="9">
        <v>0</v>
      </c>
      <c r="CY163" s="9">
        <v>0</v>
      </c>
      <c r="CZ163" s="9">
        <v>0</v>
      </c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39">
        <v>0.8</v>
      </c>
      <c r="ED163" s="39">
        <v>0.72</v>
      </c>
      <c r="EE163" s="39">
        <v>0.88</v>
      </c>
      <c r="EF163" s="11">
        <f>Tabelle58971121[[#This Row],[Durchschnittsauslastung min]]*Tabelle58971121[[#This Row],[installierte Leistung MW min]]</f>
        <v>42.112000000000002</v>
      </c>
      <c r="EG163" s="11">
        <f>Tabelle58971121[[#This Row],[Durchschnittsauslastung durch]]*Tabelle58971121[[#This Row],[installierte Leistung MW durch]]</f>
        <v>52.790399999999991</v>
      </c>
      <c r="EH163" s="46">
        <f>Tabelle58971121[[#This Row],[Durchschnittsauslastung max]]*Tabelle58971121[[#This Row],[installierte Leistung MW max]]</f>
        <v>82.72</v>
      </c>
      <c r="EI163" s="83">
        <f>Tabelle58971121[[#This Row],[Maximalauslastung durch]]*Tabelle58971121[[#This Row],[installierte Leistung MW min]]</f>
        <v>50.007999999999996</v>
      </c>
      <c r="EJ163" s="46">
        <f>Tabelle58971121[[#This Row],[Maximalauslastung durch]]*Tabelle58971121[[#This Row],[installierte Leistung MW durch]]</f>
        <v>69.653999999999996</v>
      </c>
      <c r="EK163" s="11">
        <f>Tabelle58971121[[#This Row],[Maximalauslastung max]]*Tabelle58971121[[#This Row],[installierte Leistung MW durch]]</f>
        <v>70.387199999999993</v>
      </c>
      <c r="EL163" s="9">
        <v>0.95</v>
      </c>
      <c r="EM163" s="9">
        <v>0.94</v>
      </c>
      <c r="EN163" s="9">
        <v>0.96</v>
      </c>
      <c r="EO163" s="11">
        <v>73.319999999999993</v>
      </c>
      <c r="EP163" s="11">
        <v>52.64</v>
      </c>
      <c r="EQ163" s="11">
        <v>94</v>
      </c>
      <c r="ER163" s="1">
        <v>0.16666666666666663</v>
      </c>
      <c r="ES163" s="1">
        <v>8.3333333333333329E-2</v>
      </c>
      <c r="ET163" s="54">
        <v>0.25</v>
      </c>
      <c r="EU163" s="1">
        <v>0.16666666666666663</v>
      </c>
      <c r="EV163" s="1">
        <v>8.3333333333333329E-2</v>
      </c>
      <c r="EW163" s="54">
        <v>0.25</v>
      </c>
      <c r="EX163" s="1">
        <v>2</v>
      </c>
      <c r="EY163" s="1">
        <v>1.6</v>
      </c>
      <c r="EZ163" s="54">
        <v>2.4</v>
      </c>
      <c r="FA163" s="1">
        <v>2</v>
      </c>
      <c r="FB163" s="1">
        <v>1.6</v>
      </c>
      <c r="FC163" s="54">
        <v>2.4</v>
      </c>
      <c r="FD163" s="1">
        <v>4</v>
      </c>
      <c r="FE163" s="1">
        <v>3.2</v>
      </c>
      <c r="FF163" s="54">
        <v>4.8</v>
      </c>
      <c r="FG163" s="1">
        <v>6</v>
      </c>
      <c r="FH163" s="1">
        <v>6</v>
      </c>
      <c r="FI163" s="54">
        <v>6</v>
      </c>
      <c r="FJ163" s="1">
        <v>4.8</v>
      </c>
      <c r="FK163" s="1">
        <v>3.4</v>
      </c>
      <c r="FL163" s="54">
        <v>6.1999999999999993</v>
      </c>
      <c r="FN163" s="1" t="s">
        <v>646</v>
      </c>
      <c r="FP163" s="1">
        <v>50</v>
      </c>
      <c r="FQ163" s="1">
        <v>20</v>
      </c>
      <c r="FR163" s="1">
        <v>80</v>
      </c>
      <c r="FS163" s="1">
        <v>0</v>
      </c>
      <c r="FT163" s="1">
        <v>0</v>
      </c>
      <c r="FU163" s="1">
        <v>0</v>
      </c>
      <c r="FV163" s="1">
        <v>50</v>
      </c>
      <c r="FW163" s="1">
        <v>20</v>
      </c>
      <c r="FX163" s="1">
        <v>80</v>
      </c>
      <c r="FY163" s="1">
        <v>8.1411764705882348</v>
      </c>
      <c r="FZ163" s="19">
        <v>3.052941176470588</v>
      </c>
      <c r="GA163" s="19">
        <v>13.229411764705882</v>
      </c>
      <c r="GB163" s="19">
        <v>484.4</v>
      </c>
      <c r="GC163" s="8">
        <v>269.6764705882353</v>
      </c>
      <c r="GD163" s="8">
        <v>699.12352941176471</v>
      </c>
      <c r="GE163" s="8">
        <v>1136.7117647058824</v>
      </c>
      <c r="GF163" s="8">
        <v>1041.0529411764705</v>
      </c>
      <c r="GG163" s="8">
        <v>1232.370588235294</v>
      </c>
      <c r="GH163" s="8">
        <v>30.52941176470588</v>
      </c>
      <c r="GI163" s="8">
        <v>0</v>
      </c>
      <c r="GJ163" s="8">
        <v>61.058823529411761</v>
      </c>
      <c r="GK163" s="8">
        <v>101.76470588235293</v>
      </c>
      <c r="GL163" s="8">
        <v>50.882352941176464</v>
      </c>
      <c r="GM163" s="8">
        <v>152.64705882352939</v>
      </c>
      <c r="GN163" s="8">
        <v>20.352941176470587</v>
      </c>
      <c r="GO163" s="8">
        <v>10.176470588235293</v>
      </c>
      <c r="GP163" s="8">
        <v>30.52941176470588</v>
      </c>
      <c r="GS163" s="1">
        <v>220</v>
      </c>
      <c r="GT163" s="1">
        <v>220</v>
      </c>
      <c r="GV163" s="13" t="s">
        <v>643</v>
      </c>
      <c r="GW163" s="1" t="s">
        <v>643</v>
      </c>
      <c r="GX163" s="13">
        <v>182</v>
      </c>
      <c r="GY163" s="13"/>
      <c r="GZ163" s="13">
        <v>182</v>
      </c>
      <c r="HA163" s="13">
        <v>182</v>
      </c>
      <c r="HB163" s="1">
        <v>182</v>
      </c>
      <c r="HC163" s="13" t="s">
        <v>642</v>
      </c>
      <c r="HD163" s="13" t="s">
        <v>641</v>
      </c>
      <c r="HE163" s="1">
        <v>202</v>
      </c>
      <c r="HF163" s="1">
        <v>202</v>
      </c>
      <c r="HH163" s="1" t="s">
        <v>645</v>
      </c>
      <c r="HI163" s="1">
        <v>211</v>
      </c>
      <c r="HJ163" s="1">
        <v>214</v>
      </c>
      <c r="HK163" s="1">
        <v>220</v>
      </c>
      <c r="HL163" s="1">
        <v>214</v>
      </c>
      <c r="HO163" s="1" t="s">
        <v>644</v>
      </c>
    </row>
    <row r="164" spans="1:223" ht="12.75" customHeight="1" x14ac:dyDescent="0.25">
      <c r="A164" s="1" t="s">
        <v>370</v>
      </c>
      <c r="D164" s="1" t="s">
        <v>581</v>
      </c>
      <c r="E164" s="1" t="s">
        <v>126</v>
      </c>
      <c r="F164" s="1">
        <v>1</v>
      </c>
      <c r="G164" s="1">
        <v>2025</v>
      </c>
      <c r="H164" s="1">
        <v>1</v>
      </c>
      <c r="I164" s="1">
        <v>1</v>
      </c>
      <c r="J164" s="1">
        <v>0</v>
      </c>
      <c r="K164" s="19"/>
      <c r="L164" s="19"/>
      <c r="M164" s="19"/>
      <c r="N164" s="11">
        <v>55.44</v>
      </c>
      <c r="O164" s="11">
        <v>34.32</v>
      </c>
      <c r="P164" s="11">
        <v>76.56</v>
      </c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9"/>
      <c r="CR164" s="11">
        <v>10.56</v>
      </c>
      <c r="CS164" s="11">
        <v>2.64</v>
      </c>
      <c r="CT164" s="11">
        <v>18.48</v>
      </c>
      <c r="CU164" s="11">
        <f>Tabelle58971121[[#This Row],[Mindestauslastung durch]]*Tabelle58971121[[#This Row],[installierte Leistung MW durch]]</f>
        <v>0</v>
      </c>
      <c r="CV164" s="11">
        <f>Tabelle58971121[[#This Row],[Mindestauslastung min]]*Tabelle58971121[[#This Row],[installierte Leistung MW min]]</f>
        <v>0</v>
      </c>
      <c r="CW164" s="19">
        <f>Tabelle58971121[[#This Row],[Mindestauslastung max]]*Tabelle58971121[[#This Row],[installierte Leistung MW max]]</f>
        <v>0</v>
      </c>
      <c r="CX164" s="9">
        <v>0</v>
      </c>
      <c r="CY164" s="9">
        <v>0</v>
      </c>
      <c r="CZ164" s="9">
        <v>0</v>
      </c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39">
        <v>0.8</v>
      </c>
      <c r="ED164" s="39">
        <v>0.72</v>
      </c>
      <c r="EE164" s="39">
        <v>0.88</v>
      </c>
      <c r="EF164" s="11">
        <f>Tabelle58971121[[#This Row],[Durchschnittsauslastung min]]*Tabelle58971121[[#This Row],[installierte Leistung MW min]]</f>
        <v>39.424000000000007</v>
      </c>
      <c r="EG164" s="11">
        <f>Tabelle58971121[[#This Row],[Durchschnittsauslastung durch]]*Tabelle58971121[[#This Row],[installierte Leistung MW durch]]</f>
        <v>49.4208</v>
      </c>
      <c r="EH164" s="46">
        <f>Tabelle58971121[[#This Row],[Durchschnittsauslastung max]]*Tabelle58971121[[#This Row],[installierte Leistung MW max]]</f>
        <v>77.44</v>
      </c>
      <c r="EI164" s="83">
        <f>Tabelle58971121[[#This Row],[Maximalauslastung durch]]*Tabelle58971121[[#This Row],[installierte Leistung MW min]]</f>
        <v>46.815999999999995</v>
      </c>
      <c r="EJ164" s="46">
        <f>Tabelle58971121[[#This Row],[Maximalauslastung durch]]*Tabelle58971121[[#This Row],[installierte Leistung MW durch]]</f>
        <v>65.207999999999998</v>
      </c>
      <c r="EK164" s="11">
        <f>Tabelle58971121[[#This Row],[Maximalauslastung max]]*Tabelle58971121[[#This Row],[installierte Leistung MW durch]]</f>
        <v>65.894400000000005</v>
      </c>
      <c r="EL164" s="9">
        <v>0.95</v>
      </c>
      <c r="EM164" s="9">
        <v>0.94</v>
      </c>
      <c r="EN164" s="9">
        <v>0.96</v>
      </c>
      <c r="EO164" s="11">
        <v>68.64</v>
      </c>
      <c r="EP164" s="11">
        <v>49.28</v>
      </c>
      <c r="EQ164" s="11">
        <v>88</v>
      </c>
      <c r="ER164" s="1">
        <v>0.16666666666666663</v>
      </c>
      <c r="ES164" s="1">
        <v>8.3333333333333329E-2</v>
      </c>
      <c r="ET164" s="54">
        <v>0.25</v>
      </c>
      <c r="EU164" s="1">
        <v>0.16666666666666663</v>
      </c>
      <c r="EV164" s="1">
        <v>8.3333333333333329E-2</v>
      </c>
      <c r="EW164" s="54">
        <v>0.25</v>
      </c>
      <c r="EX164" s="1">
        <v>2</v>
      </c>
      <c r="EY164" s="1">
        <v>1.6</v>
      </c>
      <c r="EZ164" s="54">
        <v>2.4</v>
      </c>
      <c r="FA164" s="1">
        <v>2</v>
      </c>
      <c r="FB164" s="1">
        <v>1.6</v>
      </c>
      <c r="FC164" s="54">
        <v>2.4</v>
      </c>
      <c r="FD164" s="1">
        <v>4</v>
      </c>
      <c r="FE164" s="1">
        <v>3.2</v>
      </c>
      <c r="FF164" s="54">
        <v>4.8</v>
      </c>
      <c r="FG164" s="1">
        <v>6</v>
      </c>
      <c r="FH164" s="1">
        <v>6</v>
      </c>
      <c r="FI164" s="54">
        <v>6</v>
      </c>
      <c r="FJ164" s="1">
        <v>4.8</v>
      </c>
      <c r="FK164" s="1">
        <v>3.4</v>
      </c>
      <c r="FL164" s="54">
        <v>6.1999999999999993</v>
      </c>
      <c r="FN164" s="1" t="s">
        <v>646</v>
      </c>
      <c r="FP164" s="1">
        <v>50</v>
      </c>
      <c r="FQ164" s="1">
        <v>20</v>
      </c>
      <c r="FR164" s="1">
        <v>80</v>
      </c>
      <c r="FS164" s="1">
        <v>0</v>
      </c>
      <c r="FT164" s="1">
        <v>0</v>
      </c>
      <c r="FU164" s="1">
        <v>0</v>
      </c>
      <c r="FV164" s="1">
        <v>50</v>
      </c>
      <c r="FW164" s="1">
        <v>20</v>
      </c>
      <c r="FX164" s="1">
        <v>80</v>
      </c>
      <c r="FY164" s="1">
        <v>8.1411764705882348</v>
      </c>
      <c r="FZ164" s="19">
        <v>3.052941176470588</v>
      </c>
      <c r="GA164" s="19">
        <v>13.229411764705882</v>
      </c>
      <c r="GB164" s="19">
        <v>484.4</v>
      </c>
      <c r="GC164" s="8">
        <v>269.6764705882353</v>
      </c>
      <c r="GD164" s="8">
        <v>699.12352941176471</v>
      </c>
      <c r="GE164" s="8">
        <v>1136.7117647058824</v>
      </c>
      <c r="GF164" s="8">
        <v>1041.0529411764705</v>
      </c>
      <c r="GG164" s="8">
        <v>1232.370588235294</v>
      </c>
      <c r="GH164" s="8">
        <v>30.52941176470588</v>
      </c>
      <c r="GI164" s="8">
        <v>0</v>
      </c>
      <c r="GJ164" s="8">
        <v>61.058823529411761</v>
      </c>
      <c r="GK164" s="8">
        <v>101.76470588235293</v>
      </c>
      <c r="GL164" s="8">
        <v>50.882352941176464</v>
      </c>
      <c r="GM164" s="8">
        <v>152.64705882352939</v>
      </c>
      <c r="GN164" s="8">
        <v>20.352941176470587</v>
      </c>
      <c r="GO164" s="8">
        <v>10.176470588235293</v>
      </c>
      <c r="GP164" s="8">
        <v>30.52941176470588</v>
      </c>
      <c r="GS164" s="1">
        <v>220</v>
      </c>
      <c r="GT164" s="1">
        <v>220</v>
      </c>
      <c r="GV164" s="13" t="s">
        <v>643</v>
      </c>
      <c r="GW164" s="1" t="s">
        <v>643</v>
      </c>
      <c r="GX164" s="13">
        <v>182</v>
      </c>
      <c r="GY164" s="13"/>
      <c r="GZ164" s="13">
        <v>182</v>
      </c>
      <c r="HA164" s="13">
        <v>182</v>
      </c>
      <c r="HB164" s="1">
        <v>182</v>
      </c>
      <c r="HC164" s="13" t="s">
        <v>642</v>
      </c>
      <c r="HD164" s="13" t="s">
        <v>641</v>
      </c>
      <c r="HE164" s="1">
        <v>202</v>
      </c>
      <c r="HF164" s="1">
        <v>202</v>
      </c>
      <c r="HH164" s="1" t="s">
        <v>645</v>
      </c>
      <c r="HI164" s="1">
        <v>211</v>
      </c>
      <c r="HJ164" s="1">
        <v>214</v>
      </c>
      <c r="HK164" s="1">
        <v>220</v>
      </c>
      <c r="HL164" s="1">
        <v>214</v>
      </c>
      <c r="HO164" s="1" t="s">
        <v>644</v>
      </c>
    </row>
    <row r="165" spans="1:223" ht="12.75" customHeight="1" x14ac:dyDescent="0.25">
      <c r="A165" s="1" t="s">
        <v>370</v>
      </c>
      <c r="D165" s="1" t="s">
        <v>581</v>
      </c>
      <c r="E165" s="1" t="s">
        <v>126</v>
      </c>
      <c r="F165" s="1">
        <v>1</v>
      </c>
      <c r="G165" s="1">
        <v>2030</v>
      </c>
      <c r="H165" s="1">
        <v>1</v>
      </c>
      <c r="I165" s="1">
        <v>1</v>
      </c>
      <c r="J165" s="1">
        <v>0</v>
      </c>
      <c r="K165" s="19"/>
      <c r="L165" s="19"/>
      <c r="M165" s="19"/>
      <c r="N165" s="11">
        <v>51.66</v>
      </c>
      <c r="O165" s="11">
        <v>31.979999999999997</v>
      </c>
      <c r="P165" s="11">
        <v>71.339999999999989</v>
      </c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9"/>
      <c r="CR165" s="11">
        <v>9.84</v>
      </c>
      <c r="CS165" s="11">
        <v>2.46</v>
      </c>
      <c r="CT165" s="11">
        <v>17.22</v>
      </c>
      <c r="CU165" s="11">
        <f>Tabelle58971121[[#This Row],[Mindestauslastung durch]]*Tabelle58971121[[#This Row],[installierte Leistung MW durch]]</f>
        <v>0</v>
      </c>
      <c r="CV165" s="11">
        <f>Tabelle58971121[[#This Row],[Mindestauslastung min]]*Tabelle58971121[[#This Row],[installierte Leistung MW min]]</f>
        <v>0</v>
      </c>
      <c r="CW165" s="19">
        <f>Tabelle58971121[[#This Row],[Mindestauslastung max]]*Tabelle58971121[[#This Row],[installierte Leistung MW max]]</f>
        <v>0</v>
      </c>
      <c r="CX165" s="9">
        <v>0</v>
      </c>
      <c r="CY165" s="9">
        <v>0</v>
      </c>
      <c r="CZ165" s="9">
        <v>0</v>
      </c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39">
        <v>0.8</v>
      </c>
      <c r="ED165" s="39">
        <v>0.72</v>
      </c>
      <c r="EE165" s="39">
        <v>0.88</v>
      </c>
      <c r="EF165" s="11">
        <f>Tabelle58971121[[#This Row],[Durchschnittsauslastung min]]*Tabelle58971121[[#This Row],[installierte Leistung MW min]]</f>
        <v>36.735999999999997</v>
      </c>
      <c r="EG165" s="11">
        <f>Tabelle58971121[[#This Row],[Durchschnittsauslastung durch]]*Tabelle58971121[[#This Row],[installierte Leistung MW durch]]</f>
        <v>46.051199999999994</v>
      </c>
      <c r="EH165" s="46">
        <f>Tabelle58971121[[#This Row],[Durchschnittsauslastung max]]*Tabelle58971121[[#This Row],[installierte Leistung MW max]]</f>
        <v>72.16</v>
      </c>
      <c r="EI165" s="83">
        <f>Tabelle58971121[[#This Row],[Maximalauslastung durch]]*Tabelle58971121[[#This Row],[installierte Leistung MW min]]</f>
        <v>43.623999999999995</v>
      </c>
      <c r="EJ165" s="46">
        <f>Tabelle58971121[[#This Row],[Maximalauslastung durch]]*Tabelle58971121[[#This Row],[installierte Leistung MW durch]]</f>
        <v>60.761999999999993</v>
      </c>
      <c r="EK165" s="11">
        <f>Tabelle58971121[[#This Row],[Maximalauslastung max]]*Tabelle58971121[[#This Row],[installierte Leistung MW durch]]</f>
        <v>61.401599999999995</v>
      </c>
      <c r="EL165" s="9">
        <v>0.95</v>
      </c>
      <c r="EM165" s="9">
        <v>0.94</v>
      </c>
      <c r="EN165" s="9">
        <v>0.96</v>
      </c>
      <c r="EO165" s="11">
        <v>63.959999999999994</v>
      </c>
      <c r="EP165" s="11">
        <v>45.919999999999995</v>
      </c>
      <c r="EQ165" s="11">
        <v>82</v>
      </c>
      <c r="ER165" s="1">
        <v>0.16666666666666663</v>
      </c>
      <c r="ES165" s="1">
        <v>8.3333333333333329E-2</v>
      </c>
      <c r="ET165" s="54">
        <v>0.25</v>
      </c>
      <c r="EU165" s="1">
        <v>0.16666666666666663</v>
      </c>
      <c r="EV165" s="1">
        <v>8.3333333333333329E-2</v>
      </c>
      <c r="EW165" s="54">
        <v>0.25</v>
      </c>
      <c r="EX165" s="1">
        <v>2</v>
      </c>
      <c r="EY165" s="1">
        <v>1.6</v>
      </c>
      <c r="EZ165" s="54">
        <v>2.4</v>
      </c>
      <c r="FA165" s="1">
        <v>2</v>
      </c>
      <c r="FB165" s="1">
        <v>1.6</v>
      </c>
      <c r="FC165" s="54">
        <v>2.4</v>
      </c>
      <c r="FD165" s="1">
        <v>4</v>
      </c>
      <c r="FE165" s="1">
        <v>3.2</v>
      </c>
      <c r="FF165" s="54">
        <v>4.8</v>
      </c>
      <c r="FG165" s="1">
        <v>6</v>
      </c>
      <c r="FH165" s="1">
        <v>6</v>
      </c>
      <c r="FI165" s="54">
        <v>6</v>
      </c>
      <c r="FJ165" s="1">
        <v>4.8</v>
      </c>
      <c r="FK165" s="1">
        <v>3.4</v>
      </c>
      <c r="FL165" s="54">
        <v>6.1999999999999993</v>
      </c>
      <c r="FN165" s="1" t="s">
        <v>646</v>
      </c>
      <c r="FP165" s="1">
        <v>50</v>
      </c>
      <c r="FQ165" s="1">
        <v>20</v>
      </c>
      <c r="FR165" s="1">
        <v>80</v>
      </c>
      <c r="FS165" s="1">
        <v>0</v>
      </c>
      <c r="FT165" s="1">
        <v>0</v>
      </c>
      <c r="FU165" s="1">
        <v>0</v>
      </c>
      <c r="FV165" s="1">
        <v>50</v>
      </c>
      <c r="FW165" s="1">
        <v>20</v>
      </c>
      <c r="FX165" s="1">
        <v>80</v>
      </c>
      <c r="FY165" s="1">
        <v>8.1411764705882348</v>
      </c>
      <c r="FZ165" s="19">
        <v>3.052941176470588</v>
      </c>
      <c r="GA165" s="19">
        <v>13.229411764705882</v>
      </c>
      <c r="GB165" s="19">
        <v>484.4</v>
      </c>
      <c r="GC165" s="8">
        <v>269.6764705882353</v>
      </c>
      <c r="GD165" s="8">
        <v>699.12352941176471</v>
      </c>
      <c r="GE165" s="8">
        <v>1136.7117647058824</v>
      </c>
      <c r="GF165" s="8">
        <v>1041.0529411764705</v>
      </c>
      <c r="GG165" s="8">
        <v>1232.370588235294</v>
      </c>
      <c r="GH165" s="8">
        <v>30.52941176470588</v>
      </c>
      <c r="GI165" s="8">
        <v>0</v>
      </c>
      <c r="GJ165" s="8">
        <v>61.058823529411761</v>
      </c>
      <c r="GK165" s="8">
        <v>101.76470588235293</v>
      </c>
      <c r="GL165" s="8">
        <v>50.882352941176464</v>
      </c>
      <c r="GM165" s="8">
        <v>152.64705882352939</v>
      </c>
      <c r="GN165" s="8">
        <v>20.352941176470587</v>
      </c>
      <c r="GO165" s="8">
        <v>10.176470588235293</v>
      </c>
      <c r="GP165" s="8">
        <v>30.52941176470588</v>
      </c>
      <c r="GS165" s="1">
        <v>220</v>
      </c>
      <c r="GT165" s="1">
        <v>220</v>
      </c>
      <c r="GV165" s="13" t="s">
        <v>643</v>
      </c>
      <c r="GW165" s="1" t="s">
        <v>643</v>
      </c>
      <c r="GX165" s="13">
        <v>182</v>
      </c>
      <c r="GY165" s="13"/>
      <c r="GZ165" s="13">
        <v>182</v>
      </c>
      <c r="HA165" s="13">
        <v>182</v>
      </c>
      <c r="HB165" s="1">
        <v>182</v>
      </c>
      <c r="HC165" s="13" t="s">
        <v>642</v>
      </c>
      <c r="HD165" s="13" t="s">
        <v>641</v>
      </c>
      <c r="HE165" s="1">
        <v>202</v>
      </c>
      <c r="HF165" s="1">
        <v>202</v>
      </c>
      <c r="HH165" s="1" t="s">
        <v>645</v>
      </c>
      <c r="HI165" s="1">
        <v>211</v>
      </c>
      <c r="HJ165" s="1">
        <v>214</v>
      </c>
      <c r="HK165" s="1">
        <v>220</v>
      </c>
      <c r="HL165" s="1">
        <v>214</v>
      </c>
      <c r="HO165" s="1" t="s">
        <v>644</v>
      </c>
    </row>
    <row r="166" spans="1:223" ht="12.75" customHeight="1" x14ac:dyDescent="0.25">
      <c r="A166" s="1" t="s">
        <v>370</v>
      </c>
      <c r="D166" s="1" t="s">
        <v>581</v>
      </c>
      <c r="E166" s="1" t="s">
        <v>126</v>
      </c>
      <c r="F166" s="1">
        <v>1</v>
      </c>
      <c r="G166" s="1">
        <v>2035</v>
      </c>
      <c r="H166" s="1">
        <v>1</v>
      </c>
      <c r="I166" s="1">
        <v>1</v>
      </c>
      <c r="J166" s="1">
        <v>0</v>
      </c>
      <c r="K166" s="19"/>
      <c r="L166" s="19"/>
      <c r="M166" s="19"/>
      <c r="N166" s="11">
        <v>48.51</v>
      </c>
      <c r="O166" s="11">
        <v>30.030000000000005</v>
      </c>
      <c r="P166" s="11">
        <v>66.989999999999995</v>
      </c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9"/>
      <c r="CR166" s="11">
        <v>9.24</v>
      </c>
      <c r="CS166" s="11">
        <v>2.3100000000000005</v>
      </c>
      <c r="CT166" s="11">
        <v>16.170000000000002</v>
      </c>
      <c r="CU166" s="11">
        <f>Tabelle58971121[[#This Row],[Mindestauslastung durch]]*Tabelle58971121[[#This Row],[installierte Leistung MW durch]]</f>
        <v>0</v>
      </c>
      <c r="CV166" s="11">
        <f>Tabelle58971121[[#This Row],[Mindestauslastung min]]*Tabelle58971121[[#This Row],[installierte Leistung MW min]]</f>
        <v>0</v>
      </c>
      <c r="CW166" s="19">
        <f>Tabelle58971121[[#This Row],[Mindestauslastung max]]*Tabelle58971121[[#This Row],[installierte Leistung MW max]]</f>
        <v>0</v>
      </c>
      <c r="CX166" s="9">
        <v>0</v>
      </c>
      <c r="CY166" s="9">
        <v>0</v>
      </c>
      <c r="CZ166" s="9">
        <v>0</v>
      </c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39">
        <v>0.8</v>
      </c>
      <c r="ED166" s="39">
        <v>0.72</v>
      </c>
      <c r="EE166" s="39">
        <v>0.88</v>
      </c>
      <c r="EF166" s="11">
        <f>Tabelle58971121[[#This Row],[Durchschnittsauslastung min]]*Tabelle58971121[[#This Row],[installierte Leistung MW min]]</f>
        <v>34.496000000000002</v>
      </c>
      <c r="EG166" s="11">
        <f>Tabelle58971121[[#This Row],[Durchschnittsauslastung durch]]*Tabelle58971121[[#This Row],[installierte Leistung MW durch]]</f>
        <v>43.243200000000002</v>
      </c>
      <c r="EH166" s="46">
        <f>Tabelle58971121[[#This Row],[Durchschnittsauslastung max]]*Tabelle58971121[[#This Row],[installierte Leistung MW max]]</f>
        <v>67.760000000000005</v>
      </c>
      <c r="EI166" s="83">
        <f>Tabelle58971121[[#This Row],[Maximalauslastung durch]]*Tabelle58971121[[#This Row],[installierte Leistung MW min]]</f>
        <v>40.964000000000006</v>
      </c>
      <c r="EJ166" s="46">
        <f>Tabelle58971121[[#This Row],[Maximalauslastung durch]]*Tabelle58971121[[#This Row],[installierte Leistung MW durch]]</f>
        <v>57.057000000000002</v>
      </c>
      <c r="EK166" s="11">
        <f>Tabelle58971121[[#This Row],[Maximalauslastung max]]*Tabelle58971121[[#This Row],[installierte Leistung MW durch]]</f>
        <v>57.657600000000002</v>
      </c>
      <c r="EL166" s="9">
        <v>0.95</v>
      </c>
      <c r="EM166" s="9">
        <v>0.94</v>
      </c>
      <c r="EN166" s="9">
        <v>0.96</v>
      </c>
      <c r="EO166" s="11">
        <v>60.06</v>
      </c>
      <c r="EP166" s="11">
        <v>43.120000000000005</v>
      </c>
      <c r="EQ166" s="11">
        <v>77</v>
      </c>
      <c r="ER166" s="1">
        <v>0.16666666666666663</v>
      </c>
      <c r="ES166" s="1">
        <v>8.3333333333333329E-2</v>
      </c>
      <c r="ET166" s="54">
        <v>0.25</v>
      </c>
      <c r="EU166" s="1">
        <v>0.16666666666666663</v>
      </c>
      <c r="EV166" s="1">
        <v>8.3333333333333329E-2</v>
      </c>
      <c r="EW166" s="54">
        <v>0.25</v>
      </c>
      <c r="EX166" s="1">
        <v>2</v>
      </c>
      <c r="EY166" s="1">
        <v>1.6</v>
      </c>
      <c r="EZ166" s="54">
        <v>2.4</v>
      </c>
      <c r="FA166" s="1">
        <v>2</v>
      </c>
      <c r="FB166" s="1">
        <v>1.6</v>
      </c>
      <c r="FC166" s="54">
        <v>2.4</v>
      </c>
      <c r="FD166" s="1">
        <v>4</v>
      </c>
      <c r="FE166" s="1">
        <v>3.2</v>
      </c>
      <c r="FF166" s="54">
        <v>4.8</v>
      </c>
      <c r="FG166" s="1">
        <v>6</v>
      </c>
      <c r="FH166" s="1">
        <v>6</v>
      </c>
      <c r="FI166" s="54">
        <v>6</v>
      </c>
      <c r="FJ166" s="1">
        <v>4.8</v>
      </c>
      <c r="FK166" s="1">
        <v>3.4</v>
      </c>
      <c r="FL166" s="54">
        <v>6.1999999999999993</v>
      </c>
      <c r="FN166" s="1" t="s">
        <v>646</v>
      </c>
      <c r="FP166" s="1">
        <v>50</v>
      </c>
      <c r="FQ166" s="1">
        <v>20</v>
      </c>
      <c r="FR166" s="1">
        <v>80</v>
      </c>
      <c r="FS166" s="1">
        <v>0</v>
      </c>
      <c r="FT166" s="1">
        <v>0</v>
      </c>
      <c r="FU166" s="1">
        <v>0</v>
      </c>
      <c r="FV166" s="1">
        <v>50</v>
      </c>
      <c r="FW166" s="1">
        <v>20</v>
      </c>
      <c r="FX166" s="1">
        <v>80</v>
      </c>
      <c r="FY166" s="1">
        <v>8.1411764705882348</v>
      </c>
      <c r="FZ166" s="19">
        <v>3.052941176470588</v>
      </c>
      <c r="GA166" s="19">
        <v>13.229411764705882</v>
      </c>
      <c r="GB166" s="19">
        <v>484.4</v>
      </c>
      <c r="GC166" s="8">
        <v>269.6764705882353</v>
      </c>
      <c r="GD166" s="8">
        <v>699.12352941176471</v>
      </c>
      <c r="GE166" s="8">
        <v>1136.7117647058824</v>
      </c>
      <c r="GF166" s="8">
        <v>1041.0529411764705</v>
      </c>
      <c r="GG166" s="8">
        <v>1232.370588235294</v>
      </c>
      <c r="GH166" s="8">
        <v>30.52941176470588</v>
      </c>
      <c r="GI166" s="8">
        <v>0</v>
      </c>
      <c r="GJ166" s="8">
        <v>61.058823529411761</v>
      </c>
      <c r="GK166" s="8">
        <v>101.76470588235293</v>
      </c>
      <c r="GL166" s="8">
        <v>50.882352941176464</v>
      </c>
      <c r="GM166" s="8">
        <v>152.64705882352939</v>
      </c>
      <c r="GN166" s="8">
        <v>20.352941176470587</v>
      </c>
      <c r="GO166" s="8">
        <v>10.176470588235293</v>
      </c>
      <c r="GP166" s="8">
        <v>30.52941176470588</v>
      </c>
      <c r="GS166" s="1">
        <v>220</v>
      </c>
      <c r="GT166" s="1">
        <v>220</v>
      </c>
      <c r="GV166" s="13" t="s">
        <v>643</v>
      </c>
      <c r="GW166" s="1" t="s">
        <v>643</v>
      </c>
      <c r="GX166" s="13">
        <v>182</v>
      </c>
      <c r="GY166" s="13"/>
      <c r="GZ166" s="13">
        <v>182</v>
      </c>
      <c r="HA166" s="13">
        <v>182</v>
      </c>
      <c r="HB166" s="1">
        <v>182</v>
      </c>
      <c r="HC166" s="13" t="s">
        <v>642</v>
      </c>
      <c r="HD166" s="13" t="s">
        <v>641</v>
      </c>
      <c r="HE166" s="1">
        <v>202</v>
      </c>
      <c r="HF166" s="1">
        <v>202</v>
      </c>
      <c r="HH166" s="1" t="s">
        <v>645</v>
      </c>
      <c r="HI166" s="1">
        <v>211</v>
      </c>
      <c r="HJ166" s="1">
        <v>214</v>
      </c>
      <c r="HK166" s="1">
        <v>220</v>
      </c>
      <c r="HL166" s="1">
        <v>214</v>
      </c>
      <c r="HO166" s="1" t="s">
        <v>644</v>
      </c>
    </row>
    <row r="167" spans="1:223" ht="12.75" customHeight="1" x14ac:dyDescent="0.25">
      <c r="A167" s="1" t="s">
        <v>370</v>
      </c>
      <c r="D167" s="1" t="s">
        <v>581</v>
      </c>
      <c r="E167" s="1" t="s">
        <v>126</v>
      </c>
      <c r="F167" s="1">
        <v>1</v>
      </c>
      <c r="G167" s="1">
        <v>2040</v>
      </c>
      <c r="H167" s="1">
        <v>1</v>
      </c>
      <c r="I167" s="1">
        <v>1</v>
      </c>
      <c r="J167" s="1">
        <v>0</v>
      </c>
      <c r="K167" s="19"/>
      <c r="L167" s="19"/>
      <c r="M167" s="19"/>
      <c r="N167" s="11">
        <v>45.99</v>
      </c>
      <c r="O167" s="11">
        <v>28.469999999999995</v>
      </c>
      <c r="P167" s="11">
        <v>63.51</v>
      </c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9"/>
      <c r="CR167" s="11">
        <v>8.76</v>
      </c>
      <c r="CS167" s="11">
        <v>2.1899999999999995</v>
      </c>
      <c r="CT167" s="11">
        <v>15.33</v>
      </c>
      <c r="CU167" s="11">
        <f>Tabelle58971121[[#This Row],[Mindestauslastung durch]]*Tabelle58971121[[#This Row],[installierte Leistung MW durch]]</f>
        <v>0</v>
      </c>
      <c r="CV167" s="11">
        <f>Tabelle58971121[[#This Row],[Mindestauslastung min]]*Tabelle58971121[[#This Row],[installierte Leistung MW min]]</f>
        <v>0</v>
      </c>
      <c r="CW167" s="19">
        <f>Tabelle58971121[[#This Row],[Mindestauslastung max]]*Tabelle58971121[[#This Row],[installierte Leistung MW max]]</f>
        <v>0</v>
      </c>
      <c r="CX167" s="9">
        <v>0</v>
      </c>
      <c r="CY167" s="9">
        <v>0</v>
      </c>
      <c r="CZ167" s="9">
        <v>0</v>
      </c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39">
        <v>0.8</v>
      </c>
      <c r="ED167" s="39">
        <v>0.72</v>
      </c>
      <c r="EE167" s="39">
        <v>0.88</v>
      </c>
      <c r="EF167" s="11">
        <f>Tabelle58971121[[#This Row],[Durchschnittsauslastung min]]*Tabelle58971121[[#This Row],[installierte Leistung MW min]]</f>
        <v>32.704000000000001</v>
      </c>
      <c r="EG167" s="11">
        <f>Tabelle58971121[[#This Row],[Durchschnittsauslastung durch]]*Tabelle58971121[[#This Row],[installierte Leistung MW durch]]</f>
        <v>40.9968</v>
      </c>
      <c r="EH167" s="46">
        <f>Tabelle58971121[[#This Row],[Durchschnittsauslastung max]]*Tabelle58971121[[#This Row],[installierte Leistung MW max]]</f>
        <v>64.239999999999995</v>
      </c>
      <c r="EI167" s="83">
        <f>Tabelle58971121[[#This Row],[Maximalauslastung durch]]*Tabelle58971121[[#This Row],[installierte Leistung MW min]]</f>
        <v>38.835999999999991</v>
      </c>
      <c r="EJ167" s="46">
        <f>Tabelle58971121[[#This Row],[Maximalauslastung durch]]*Tabelle58971121[[#This Row],[installierte Leistung MW durch]]</f>
        <v>54.092999999999996</v>
      </c>
      <c r="EK167" s="11">
        <f>Tabelle58971121[[#This Row],[Maximalauslastung max]]*Tabelle58971121[[#This Row],[installierte Leistung MW durch]]</f>
        <v>54.662399999999998</v>
      </c>
      <c r="EL167" s="9">
        <v>0.95</v>
      </c>
      <c r="EM167" s="9">
        <v>0.94</v>
      </c>
      <c r="EN167" s="9">
        <v>0.96</v>
      </c>
      <c r="EO167" s="11">
        <v>56.94</v>
      </c>
      <c r="EP167" s="11">
        <v>40.879999999999995</v>
      </c>
      <c r="EQ167" s="11">
        <v>73</v>
      </c>
      <c r="ER167" s="1">
        <v>0.16666666666666663</v>
      </c>
      <c r="ES167" s="1">
        <v>8.3333333333333329E-2</v>
      </c>
      <c r="ET167" s="54">
        <v>0.25</v>
      </c>
      <c r="EU167" s="1">
        <v>0.16666666666666663</v>
      </c>
      <c r="EV167" s="1">
        <v>8.3333333333333329E-2</v>
      </c>
      <c r="EW167" s="54">
        <v>0.25</v>
      </c>
      <c r="EX167" s="1">
        <v>2</v>
      </c>
      <c r="EY167" s="1">
        <v>1.6</v>
      </c>
      <c r="EZ167" s="54">
        <v>2.4</v>
      </c>
      <c r="FA167" s="1">
        <v>2</v>
      </c>
      <c r="FB167" s="1">
        <v>1.6</v>
      </c>
      <c r="FC167" s="54">
        <v>2.4</v>
      </c>
      <c r="FD167" s="1">
        <v>4</v>
      </c>
      <c r="FE167" s="1">
        <v>3.2</v>
      </c>
      <c r="FF167" s="54">
        <v>4.8</v>
      </c>
      <c r="FG167" s="1">
        <v>6</v>
      </c>
      <c r="FH167" s="1">
        <v>6</v>
      </c>
      <c r="FI167" s="54">
        <v>6</v>
      </c>
      <c r="FJ167" s="1">
        <v>4.8</v>
      </c>
      <c r="FK167" s="1">
        <v>3.4</v>
      </c>
      <c r="FL167" s="54">
        <v>6.1999999999999993</v>
      </c>
      <c r="FN167" s="1" t="s">
        <v>646</v>
      </c>
      <c r="FP167" s="1">
        <v>50</v>
      </c>
      <c r="FQ167" s="1">
        <v>20</v>
      </c>
      <c r="FR167" s="1">
        <v>80</v>
      </c>
      <c r="FS167" s="1">
        <v>0</v>
      </c>
      <c r="FT167" s="1">
        <v>0</v>
      </c>
      <c r="FU167" s="1">
        <v>0</v>
      </c>
      <c r="FV167" s="1">
        <v>50</v>
      </c>
      <c r="FW167" s="1">
        <v>20</v>
      </c>
      <c r="FX167" s="1">
        <v>80</v>
      </c>
      <c r="FY167" s="1">
        <v>8.1411764705882348</v>
      </c>
      <c r="FZ167" s="19">
        <v>3.052941176470588</v>
      </c>
      <c r="GA167" s="19">
        <v>13.229411764705882</v>
      </c>
      <c r="GB167" s="19">
        <v>484.4</v>
      </c>
      <c r="GC167" s="8">
        <v>269.6764705882353</v>
      </c>
      <c r="GD167" s="8">
        <v>699.12352941176471</v>
      </c>
      <c r="GE167" s="8">
        <v>1136.7117647058824</v>
      </c>
      <c r="GF167" s="8">
        <v>1041.0529411764705</v>
      </c>
      <c r="GG167" s="8">
        <v>1232.370588235294</v>
      </c>
      <c r="GH167" s="8">
        <v>30.52941176470588</v>
      </c>
      <c r="GI167" s="8">
        <v>0</v>
      </c>
      <c r="GJ167" s="8">
        <v>61.058823529411761</v>
      </c>
      <c r="GK167" s="8">
        <v>101.76470588235293</v>
      </c>
      <c r="GL167" s="8">
        <v>50.882352941176464</v>
      </c>
      <c r="GM167" s="8">
        <v>152.64705882352939</v>
      </c>
      <c r="GN167" s="8">
        <v>20.352941176470587</v>
      </c>
      <c r="GO167" s="8">
        <v>10.176470588235293</v>
      </c>
      <c r="GP167" s="8">
        <v>30.52941176470588</v>
      </c>
      <c r="GS167" s="1">
        <v>220</v>
      </c>
      <c r="GT167" s="1">
        <v>220</v>
      </c>
      <c r="GV167" s="13" t="s">
        <v>643</v>
      </c>
      <c r="GW167" s="1" t="s">
        <v>643</v>
      </c>
      <c r="GX167" s="13">
        <v>182</v>
      </c>
      <c r="GY167" s="13"/>
      <c r="GZ167" s="13">
        <v>182</v>
      </c>
      <c r="HA167" s="13">
        <v>182</v>
      </c>
      <c r="HB167" s="1">
        <v>182</v>
      </c>
      <c r="HC167" s="13" t="s">
        <v>642</v>
      </c>
      <c r="HD167" s="13" t="s">
        <v>641</v>
      </c>
      <c r="HE167" s="1">
        <v>202</v>
      </c>
      <c r="HF167" s="1">
        <v>202</v>
      </c>
      <c r="HH167" s="1" t="s">
        <v>645</v>
      </c>
      <c r="HI167" s="1">
        <v>211</v>
      </c>
      <c r="HJ167" s="1">
        <v>214</v>
      </c>
      <c r="HK167" s="1">
        <v>220</v>
      </c>
      <c r="HL167" s="1">
        <v>214</v>
      </c>
      <c r="HO167" s="1" t="s">
        <v>644</v>
      </c>
    </row>
    <row r="168" spans="1:223" ht="12.75" customHeight="1" x14ac:dyDescent="0.25">
      <c r="A168" s="1" t="s">
        <v>370</v>
      </c>
      <c r="D168" s="1" t="s">
        <v>581</v>
      </c>
      <c r="E168" s="1" t="s">
        <v>126</v>
      </c>
      <c r="F168" s="1">
        <v>1</v>
      </c>
      <c r="G168" s="1">
        <v>2045</v>
      </c>
      <c r="H168" s="1">
        <v>1</v>
      </c>
      <c r="I168" s="1">
        <v>1</v>
      </c>
      <c r="J168" s="1">
        <v>0</v>
      </c>
      <c r="K168" s="19"/>
      <c r="L168" s="19"/>
      <c r="M168" s="19"/>
      <c r="N168" s="11">
        <v>42.84</v>
      </c>
      <c r="O168" s="11">
        <v>26.520000000000003</v>
      </c>
      <c r="P168" s="11">
        <v>59.160000000000004</v>
      </c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9"/>
      <c r="CR168" s="11">
        <v>8.16</v>
      </c>
      <c r="CS168" s="11">
        <v>2.04</v>
      </c>
      <c r="CT168" s="11">
        <v>14.280000000000001</v>
      </c>
      <c r="CU168" s="11">
        <f>Tabelle58971121[[#This Row],[Mindestauslastung durch]]*Tabelle58971121[[#This Row],[installierte Leistung MW durch]]</f>
        <v>0</v>
      </c>
      <c r="CV168" s="11">
        <f>Tabelle58971121[[#This Row],[Mindestauslastung min]]*Tabelle58971121[[#This Row],[installierte Leistung MW min]]</f>
        <v>0</v>
      </c>
      <c r="CW168" s="19">
        <f>Tabelle58971121[[#This Row],[Mindestauslastung max]]*Tabelle58971121[[#This Row],[installierte Leistung MW max]]</f>
        <v>0</v>
      </c>
      <c r="CX168" s="9">
        <v>0</v>
      </c>
      <c r="CY168" s="9">
        <v>0</v>
      </c>
      <c r="CZ168" s="9">
        <v>0</v>
      </c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39">
        <v>0.8</v>
      </c>
      <c r="ED168" s="39">
        <v>0.72</v>
      </c>
      <c r="EE168" s="39">
        <v>0.88</v>
      </c>
      <c r="EF168" s="11">
        <f>Tabelle58971121[[#This Row],[Durchschnittsauslastung min]]*Tabelle58971121[[#This Row],[installierte Leistung MW min]]</f>
        <v>30.464000000000006</v>
      </c>
      <c r="EG168" s="11">
        <f>Tabelle58971121[[#This Row],[Durchschnittsauslastung durch]]*Tabelle58971121[[#This Row],[installierte Leistung MW durch]]</f>
        <v>38.188800000000001</v>
      </c>
      <c r="EH168" s="46">
        <f>Tabelle58971121[[#This Row],[Durchschnittsauslastung max]]*Tabelle58971121[[#This Row],[installierte Leistung MW max]]</f>
        <v>59.84</v>
      </c>
      <c r="EI168" s="83">
        <f>Tabelle58971121[[#This Row],[Maximalauslastung durch]]*Tabelle58971121[[#This Row],[installierte Leistung MW min]]</f>
        <v>36.176000000000002</v>
      </c>
      <c r="EJ168" s="46">
        <f>Tabelle58971121[[#This Row],[Maximalauslastung durch]]*Tabelle58971121[[#This Row],[installierte Leistung MW durch]]</f>
        <v>50.388000000000005</v>
      </c>
      <c r="EK168" s="11">
        <f>Tabelle58971121[[#This Row],[Maximalauslastung max]]*Tabelle58971121[[#This Row],[installierte Leistung MW durch]]</f>
        <v>50.918400000000005</v>
      </c>
      <c r="EL168" s="9">
        <v>0.95</v>
      </c>
      <c r="EM168" s="9">
        <v>0.94</v>
      </c>
      <c r="EN168" s="9">
        <v>0.96</v>
      </c>
      <c r="EO168" s="11">
        <v>53.040000000000006</v>
      </c>
      <c r="EP168" s="11">
        <v>38.080000000000005</v>
      </c>
      <c r="EQ168" s="11">
        <v>68</v>
      </c>
      <c r="ER168" s="1">
        <v>0.16666666666666663</v>
      </c>
      <c r="ES168" s="1">
        <v>8.3333333333333329E-2</v>
      </c>
      <c r="ET168" s="54">
        <v>0.25</v>
      </c>
      <c r="EU168" s="1">
        <v>0.16666666666666663</v>
      </c>
      <c r="EV168" s="1">
        <v>8.3333333333333329E-2</v>
      </c>
      <c r="EW168" s="54">
        <v>0.25</v>
      </c>
      <c r="EX168" s="1">
        <v>2</v>
      </c>
      <c r="EY168" s="1">
        <v>1.6</v>
      </c>
      <c r="EZ168" s="54">
        <v>2.4</v>
      </c>
      <c r="FA168" s="1">
        <v>2</v>
      </c>
      <c r="FB168" s="1">
        <v>1.6</v>
      </c>
      <c r="FC168" s="54">
        <v>2.4</v>
      </c>
      <c r="FD168" s="1">
        <v>4</v>
      </c>
      <c r="FE168" s="1">
        <v>3.2</v>
      </c>
      <c r="FF168" s="54">
        <v>4.8</v>
      </c>
      <c r="FG168" s="1">
        <v>6</v>
      </c>
      <c r="FH168" s="1">
        <v>6</v>
      </c>
      <c r="FI168" s="54">
        <v>6</v>
      </c>
      <c r="FJ168" s="1">
        <v>4.8</v>
      </c>
      <c r="FK168" s="1">
        <v>3.4</v>
      </c>
      <c r="FL168" s="54">
        <v>6.1999999999999993</v>
      </c>
      <c r="FN168" s="1" t="s">
        <v>646</v>
      </c>
      <c r="FP168" s="1">
        <v>50</v>
      </c>
      <c r="FQ168" s="1">
        <v>20</v>
      </c>
      <c r="FR168" s="1">
        <v>80</v>
      </c>
      <c r="FS168" s="1">
        <v>0</v>
      </c>
      <c r="FT168" s="1">
        <v>0</v>
      </c>
      <c r="FU168" s="1">
        <v>0</v>
      </c>
      <c r="FV168" s="1">
        <v>50</v>
      </c>
      <c r="FW168" s="1">
        <v>20</v>
      </c>
      <c r="FX168" s="1">
        <v>80</v>
      </c>
      <c r="FY168" s="1">
        <v>8.1411764705882348</v>
      </c>
      <c r="FZ168" s="19">
        <v>3.052941176470588</v>
      </c>
      <c r="GA168" s="19">
        <v>13.229411764705882</v>
      </c>
      <c r="GB168" s="19">
        <v>484.4</v>
      </c>
      <c r="GC168" s="8">
        <v>269.6764705882353</v>
      </c>
      <c r="GD168" s="8">
        <v>699.12352941176471</v>
      </c>
      <c r="GE168" s="8">
        <v>1136.7117647058824</v>
      </c>
      <c r="GF168" s="8">
        <v>1041.0529411764705</v>
      </c>
      <c r="GG168" s="8">
        <v>1232.370588235294</v>
      </c>
      <c r="GH168" s="8">
        <v>30.52941176470588</v>
      </c>
      <c r="GI168" s="8">
        <v>0</v>
      </c>
      <c r="GJ168" s="8">
        <v>61.058823529411761</v>
      </c>
      <c r="GK168" s="8">
        <v>101.76470588235293</v>
      </c>
      <c r="GL168" s="8">
        <v>50.882352941176464</v>
      </c>
      <c r="GM168" s="8">
        <v>152.64705882352939</v>
      </c>
      <c r="GN168" s="8">
        <v>20.352941176470587</v>
      </c>
      <c r="GO168" s="8">
        <v>10.176470588235293</v>
      </c>
      <c r="GP168" s="8">
        <v>30.52941176470588</v>
      </c>
      <c r="GS168" s="1">
        <v>220</v>
      </c>
      <c r="GT168" s="1">
        <v>220</v>
      </c>
      <c r="GV168" s="13" t="s">
        <v>643</v>
      </c>
      <c r="GW168" s="1" t="s">
        <v>643</v>
      </c>
      <c r="GX168" s="13">
        <v>182</v>
      </c>
      <c r="GY168" s="13"/>
      <c r="GZ168" s="13">
        <v>182</v>
      </c>
      <c r="HA168" s="13">
        <v>182</v>
      </c>
      <c r="HB168" s="1">
        <v>182</v>
      </c>
      <c r="HC168" s="13" t="s">
        <v>642</v>
      </c>
      <c r="HD168" s="13" t="s">
        <v>641</v>
      </c>
      <c r="HE168" s="1">
        <v>202</v>
      </c>
      <c r="HF168" s="1">
        <v>202</v>
      </c>
      <c r="HH168" s="1" t="s">
        <v>645</v>
      </c>
      <c r="HI168" s="1">
        <v>211</v>
      </c>
      <c r="HJ168" s="1">
        <v>214</v>
      </c>
      <c r="HK168" s="1">
        <v>220</v>
      </c>
      <c r="HL168" s="1">
        <v>214</v>
      </c>
      <c r="HO168" s="1" t="s">
        <v>644</v>
      </c>
    </row>
    <row r="169" spans="1:223" ht="12.75" customHeight="1" x14ac:dyDescent="0.25">
      <c r="A169" s="1" t="s">
        <v>370</v>
      </c>
      <c r="D169" s="1" t="s">
        <v>581</v>
      </c>
      <c r="E169" s="1" t="s">
        <v>126</v>
      </c>
      <c r="F169" s="1">
        <v>1</v>
      </c>
      <c r="G169" s="1">
        <v>2050</v>
      </c>
      <c r="H169" s="1">
        <v>1</v>
      </c>
      <c r="I169" s="1">
        <v>1</v>
      </c>
      <c r="J169" s="1">
        <v>0</v>
      </c>
      <c r="K169" s="19"/>
      <c r="L169" s="19"/>
      <c r="M169" s="19"/>
      <c r="N169" s="11">
        <v>40.32</v>
      </c>
      <c r="O169" s="11">
        <v>24.96</v>
      </c>
      <c r="P169" s="11">
        <v>55.68</v>
      </c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9"/>
      <c r="CR169" s="11">
        <v>7.68</v>
      </c>
      <c r="CS169" s="11">
        <v>1.92</v>
      </c>
      <c r="CT169" s="11">
        <v>13.44</v>
      </c>
      <c r="CU169" s="11">
        <f>Tabelle58971121[[#This Row],[Mindestauslastung durch]]*Tabelle58971121[[#This Row],[installierte Leistung MW durch]]</f>
        <v>0</v>
      </c>
      <c r="CV169" s="11">
        <f>Tabelle58971121[[#This Row],[Mindestauslastung min]]*Tabelle58971121[[#This Row],[installierte Leistung MW min]]</f>
        <v>0</v>
      </c>
      <c r="CW169" s="19">
        <f>Tabelle58971121[[#This Row],[Mindestauslastung max]]*Tabelle58971121[[#This Row],[installierte Leistung MW max]]</f>
        <v>0</v>
      </c>
      <c r="CX169" s="9">
        <v>0</v>
      </c>
      <c r="CY169" s="9">
        <v>0</v>
      </c>
      <c r="CZ169" s="9">
        <v>0</v>
      </c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39">
        <v>0.8</v>
      </c>
      <c r="ED169" s="39">
        <v>0.72</v>
      </c>
      <c r="EE169" s="39">
        <v>0.88</v>
      </c>
      <c r="EF169" s="11">
        <f>Tabelle58971121[[#This Row],[Durchschnittsauslastung min]]*Tabelle58971121[[#This Row],[installierte Leistung MW min]]</f>
        <v>28.672000000000004</v>
      </c>
      <c r="EG169" s="11">
        <f>Tabelle58971121[[#This Row],[Durchschnittsauslastung durch]]*Tabelle58971121[[#This Row],[installierte Leistung MW durch]]</f>
        <v>35.942399999999999</v>
      </c>
      <c r="EH169" s="46">
        <f>Tabelle58971121[[#This Row],[Durchschnittsauslastung max]]*Tabelle58971121[[#This Row],[installierte Leistung MW max]]</f>
        <v>56.32</v>
      </c>
      <c r="EI169" s="83">
        <f>Tabelle58971121[[#This Row],[Maximalauslastung durch]]*Tabelle58971121[[#This Row],[installierte Leistung MW min]]</f>
        <v>34.048000000000002</v>
      </c>
      <c r="EJ169" s="46">
        <f>Tabelle58971121[[#This Row],[Maximalauslastung durch]]*Tabelle58971121[[#This Row],[installierte Leistung MW durch]]</f>
        <v>47.423999999999999</v>
      </c>
      <c r="EK169" s="11">
        <f>Tabelle58971121[[#This Row],[Maximalauslastung max]]*Tabelle58971121[[#This Row],[installierte Leistung MW durch]]</f>
        <v>47.923200000000001</v>
      </c>
      <c r="EL169" s="9">
        <v>0.95</v>
      </c>
      <c r="EM169" s="9">
        <v>0.94</v>
      </c>
      <c r="EN169" s="9">
        <v>0.96</v>
      </c>
      <c r="EO169" s="11">
        <v>49.92</v>
      </c>
      <c r="EP169" s="11">
        <v>35.840000000000003</v>
      </c>
      <c r="EQ169" s="11">
        <v>64</v>
      </c>
      <c r="ER169" s="1">
        <v>0.16666666666666663</v>
      </c>
      <c r="ES169" s="1">
        <v>8.3333333333333329E-2</v>
      </c>
      <c r="ET169" s="54">
        <v>0.25</v>
      </c>
      <c r="EU169" s="1">
        <v>0.16666666666666663</v>
      </c>
      <c r="EV169" s="1">
        <v>8.3333333333333329E-2</v>
      </c>
      <c r="EW169" s="54">
        <v>0.25</v>
      </c>
      <c r="EX169" s="1">
        <v>2</v>
      </c>
      <c r="EY169" s="1">
        <v>1.6</v>
      </c>
      <c r="EZ169" s="54">
        <v>2.4</v>
      </c>
      <c r="FA169" s="1">
        <v>2</v>
      </c>
      <c r="FB169" s="1">
        <v>1.6</v>
      </c>
      <c r="FC169" s="54">
        <v>2.4</v>
      </c>
      <c r="FD169" s="1">
        <v>4</v>
      </c>
      <c r="FE169" s="1">
        <v>3.2</v>
      </c>
      <c r="FF169" s="54">
        <v>4.8</v>
      </c>
      <c r="FG169" s="1">
        <v>6</v>
      </c>
      <c r="FH169" s="1">
        <v>6</v>
      </c>
      <c r="FI169" s="54">
        <v>6</v>
      </c>
      <c r="FJ169" s="1">
        <v>4.8</v>
      </c>
      <c r="FK169" s="1">
        <v>3.4</v>
      </c>
      <c r="FL169" s="54">
        <v>6.1999999999999993</v>
      </c>
      <c r="FN169" s="1" t="s">
        <v>646</v>
      </c>
      <c r="FP169" s="1">
        <v>50</v>
      </c>
      <c r="FQ169" s="1">
        <v>20</v>
      </c>
      <c r="FR169" s="1">
        <v>80</v>
      </c>
      <c r="FS169" s="1">
        <v>0</v>
      </c>
      <c r="FT169" s="1">
        <v>0</v>
      </c>
      <c r="FU169" s="1">
        <v>0</v>
      </c>
      <c r="FV169" s="1">
        <v>50</v>
      </c>
      <c r="FW169" s="1">
        <v>20</v>
      </c>
      <c r="FX169" s="1">
        <v>80</v>
      </c>
      <c r="FY169" s="1">
        <v>8.1411764705882348</v>
      </c>
      <c r="FZ169" s="19">
        <v>3.052941176470588</v>
      </c>
      <c r="GA169" s="19">
        <v>13.229411764705882</v>
      </c>
      <c r="GB169" s="19">
        <v>484.4</v>
      </c>
      <c r="GC169" s="8">
        <v>269.6764705882353</v>
      </c>
      <c r="GD169" s="8">
        <v>699.12352941176471</v>
      </c>
      <c r="GE169" s="8">
        <v>1136.7117647058824</v>
      </c>
      <c r="GF169" s="8">
        <v>1041.0529411764705</v>
      </c>
      <c r="GG169" s="8">
        <v>1232.370588235294</v>
      </c>
      <c r="GH169" s="8">
        <v>30.52941176470588</v>
      </c>
      <c r="GI169" s="8">
        <v>0</v>
      </c>
      <c r="GJ169" s="8">
        <v>61.058823529411761</v>
      </c>
      <c r="GK169" s="8">
        <v>101.76470588235293</v>
      </c>
      <c r="GL169" s="8">
        <v>50.882352941176464</v>
      </c>
      <c r="GM169" s="8">
        <v>152.64705882352939</v>
      </c>
      <c r="GN169" s="8">
        <v>20.352941176470587</v>
      </c>
      <c r="GO169" s="8">
        <v>10.176470588235293</v>
      </c>
      <c r="GP169" s="8">
        <v>30.52941176470588</v>
      </c>
      <c r="GS169" s="1">
        <v>220</v>
      </c>
      <c r="GT169" s="1">
        <v>220</v>
      </c>
      <c r="GV169" s="13" t="s">
        <v>643</v>
      </c>
      <c r="GW169" s="1" t="s">
        <v>643</v>
      </c>
      <c r="GX169" s="13">
        <v>182</v>
      </c>
      <c r="GY169" s="13"/>
      <c r="GZ169" s="13">
        <v>182</v>
      </c>
      <c r="HA169" s="13">
        <v>182</v>
      </c>
      <c r="HB169" s="1">
        <v>182</v>
      </c>
      <c r="HC169" s="13" t="s">
        <v>642</v>
      </c>
      <c r="HD169" s="13" t="s">
        <v>641</v>
      </c>
      <c r="HE169" s="1">
        <v>202</v>
      </c>
      <c r="HF169" s="1">
        <v>202</v>
      </c>
      <c r="HH169" s="1" t="s">
        <v>645</v>
      </c>
      <c r="HI169" s="1">
        <v>211</v>
      </c>
      <c r="HJ169" s="1">
        <v>214</v>
      </c>
      <c r="HK169" s="1">
        <v>220</v>
      </c>
      <c r="HL169" s="1">
        <v>214</v>
      </c>
      <c r="HO169" s="1" t="s">
        <v>644</v>
      </c>
    </row>
    <row r="170" spans="1:223" ht="12.75" customHeight="1" x14ac:dyDescent="0.25">
      <c r="A170" s="1" t="s">
        <v>27</v>
      </c>
      <c r="D170" s="1" t="s">
        <v>27</v>
      </c>
      <c r="E170" s="1" t="s">
        <v>126</v>
      </c>
      <c r="F170" s="1">
        <v>1</v>
      </c>
      <c r="G170" s="1">
        <v>2015</v>
      </c>
      <c r="H170" s="1">
        <v>1</v>
      </c>
      <c r="I170" s="1">
        <v>1</v>
      </c>
      <c r="J170" s="1">
        <v>0</v>
      </c>
      <c r="K170" s="19"/>
      <c r="L170" s="19"/>
      <c r="M170" s="19"/>
      <c r="N170" s="11">
        <v>813</v>
      </c>
      <c r="O170" s="11">
        <v>477</v>
      </c>
      <c r="P170" s="11">
        <v>1149</v>
      </c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9"/>
      <c r="CR170" s="11">
        <v>154</v>
      </c>
      <c r="CS170" s="11">
        <v>68</v>
      </c>
      <c r="CT170" s="11">
        <v>240</v>
      </c>
      <c r="CU170" s="11">
        <f>Tabelle58971121[[#This Row],[Mindestauslastung durch]]*Tabelle58971121[[#This Row],[installierte Leistung MW durch]]</f>
        <v>657.37069549970784</v>
      </c>
      <c r="CV170" s="11">
        <f>Tabelle58971121[[#This Row],[Mindestauslastung min]]*Tabelle58971121[[#This Row],[installierte Leistung MW min]]</f>
        <v>409.7437264480111</v>
      </c>
      <c r="CW170" s="19">
        <f>Tabelle58971121[[#This Row],[Mindestauslastung max]]*Tabelle58971121[[#This Row],[installierte Leistung MW max]]</f>
        <v>953.06393162393158</v>
      </c>
      <c r="CX170" s="9">
        <v>0.38465225014611343</v>
      </c>
      <c r="CY170" s="9">
        <v>0.28336357292393577</v>
      </c>
      <c r="CZ170" s="9">
        <v>0.48329813976872799</v>
      </c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39">
        <v>0.86</v>
      </c>
      <c r="ED170" s="39">
        <v>0.83</v>
      </c>
      <c r="EE170" s="39">
        <v>0.89</v>
      </c>
      <c r="EF170" s="11">
        <f>Tabelle58971121[[#This Row],[Durchschnittsauslastung min]]*Tabelle58971121[[#This Row],[installierte Leistung MW min]]</f>
        <v>1243.56</v>
      </c>
      <c r="EG170" s="11">
        <f>Tabelle58971121[[#This Row],[Durchschnittsauslastung durch]]*Tabelle58971121[[#This Row],[installierte Leistung MW durch]]</f>
        <v>1418.47</v>
      </c>
      <c r="EH170" s="46">
        <f>Tabelle58971121[[#This Row],[Durchschnittsauslastung max]]*Tabelle58971121[[#This Row],[installierte Leistung MW max]]</f>
        <v>1755.08</v>
      </c>
      <c r="EI170" s="83">
        <f>Tabelle58971121[[#This Row],[Maximalauslastung durch]]*Tabelle58971121[[#This Row],[installierte Leistung MW min]]</f>
        <v>1373.7</v>
      </c>
      <c r="EJ170" s="46">
        <f>Tabelle58971121[[#This Row],[Maximalauslastung durch]]*Tabelle58971121[[#This Row],[installierte Leistung MW durch]]</f>
        <v>1623.55</v>
      </c>
      <c r="EK170" s="11">
        <f>Tabelle58971121[[#This Row],[Maximalauslastung max]]*Tabelle58971121[[#This Row],[installierte Leistung MW durch]]</f>
        <v>1640.6399999999999</v>
      </c>
      <c r="EL170" s="9">
        <v>0.95</v>
      </c>
      <c r="EM170" s="9">
        <v>0.94</v>
      </c>
      <c r="EN170" s="9">
        <v>0.96</v>
      </c>
      <c r="EO170" s="11">
        <v>1709</v>
      </c>
      <c r="EP170" s="11">
        <v>1446</v>
      </c>
      <c r="EQ170" s="11">
        <v>1972</v>
      </c>
      <c r="ER170" s="1">
        <v>0.19428645833333333</v>
      </c>
      <c r="ES170" s="1">
        <v>0</v>
      </c>
      <c r="ET170" s="54">
        <v>1</v>
      </c>
      <c r="EU170" s="1">
        <v>7.3143749999999993E-2</v>
      </c>
      <c r="EV170" s="1">
        <v>0</v>
      </c>
      <c r="EW170" s="54">
        <v>0.25</v>
      </c>
      <c r="EX170" s="1">
        <v>7</v>
      </c>
      <c r="EY170" s="1">
        <v>4.8</v>
      </c>
      <c r="EZ170" s="54">
        <v>8.8000000000000007</v>
      </c>
      <c r="FA170" s="1">
        <v>7</v>
      </c>
      <c r="FB170" s="1">
        <v>4.8</v>
      </c>
      <c r="FC170" s="54">
        <v>8.8000000000000007</v>
      </c>
      <c r="FD170" s="1">
        <v>3.45</v>
      </c>
      <c r="FE170" s="1">
        <v>2.4</v>
      </c>
      <c r="FF170" s="54">
        <v>4.3</v>
      </c>
      <c r="FG170" s="1">
        <v>10.4</v>
      </c>
      <c r="FH170" s="1">
        <v>10.4</v>
      </c>
      <c r="FI170" s="54">
        <v>10.4</v>
      </c>
      <c r="FJ170" s="1">
        <v>4.05</v>
      </c>
      <c r="FK170" s="1">
        <v>2.4</v>
      </c>
      <c r="FL170" s="54">
        <v>5.8</v>
      </c>
      <c r="FN170" s="1" t="s">
        <v>646</v>
      </c>
      <c r="FP170" s="1">
        <v>47.5</v>
      </c>
      <c r="FQ170" s="1">
        <v>35</v>
      </c>
      <c r="FR170" s="1">
        <v>60</v>
      </c>
      <c r="FS170" s="1">
        <v>0</v>
      </c>
      <c r="FT170" s="1">
        <v>0</v>
      </c>
      <c r="FU170" s="1">
        <v>0</v>
      </c>
      <c r="FV170" s="1">
        <v>117.5</v>
      </c>
      <c r="FW170" s="1">
        <v>60</v>
      </c>
      <c r="FX170" s="1">
        <v>175</v>
      </c>
      <c r="FY170" s="1">
        <v>0.20352941176470588</v>
      </c>
      <c r="FZ170" s="19">
        <v>0</v>
      </c>
      <c r="GA170" s="19">
        <v>0.40705882352941175</v>
      </c>
      <c r="GB170" s="19">
        <v>152.64705882352939</v>
      </c>
      <c r="GC170" s="8">
        <v>101.76470588235293</v>
      </c>
      <c r="GD170" s="8">
        <v>203.52941176470586</v>
      </c>
      <c r="GE170" s="8">
        <v>260.51764705882351</v>
      </c>
      <c r="GF170" s="8">
        <v>227.95294117647057</v>
      </c>
      <c r="GG170" s="8">
        <v>293.08235294117645</v>
      </c>
      <c r="GH170" s="8">
        <v>25.441176470588232</v>
      </c>
      <c r="GI170" s="8">
        <v>15.26470588235294</v>
      </c>
      <c r="GJ170" s="8">
        <v>35.617647058823529</v>
      </c>
      <c r="GK170" s="8">
        <v>485.41764705882349</v>
      </c>
      <c r="GL170" s="8">
        <v>281.88823529411764</v>
      </c>
      <c r="GM170" s="8">
        <v>688.94705882352935</v>
      </c>
      <c r="GN170" s="8">
        <v>0.10176470588235294</v>
      </c>
      <c r="GO170" s="8">
        <v>0</v>
      </c>
      <c r="GP170" s="8">
        <v>0.30529411764705883</v>
      </c>
      <c r="GS170" s="1">
        <v>220</v>
      </c>
      <c r="GT170" s="1">
        <v>220</v>
      </c>
      <c r="GV170" s="13" t="s">
        <v>643</v>
      </c>
      <c r="GW170" s="1" t="s">
        <v>643</v>
      </c>
      <c r="GX170" s="13">
        <v>182</v>
      </c>
      <c r="GY170" s="13"/>
      <c r="GZ170" s="13">
        <v>182</v>
      </c>
      <c r="HA170" s="13">
        <v>182</v>
      </c>
      <c r="HB170" s="1">
        <v>182</v>
      </c>
      <c r="HC170" s="13" t="s">
        <v>642</v>
      </c>
      <c r="HD170" s="13" t="s">
        <v>641</v>
      </c>
      <c r="HE170" s="1">
        <v>202</v>
      </c>
      <c r="HF170" s="1">
        <v>202</v>
      </c>
      <c r="HH170" s="1" t="s">
        <v>645</v>
      </c>
      <c r="HI170" s="1">
        <v>211</v>
      </c>
      <c r="HJ170" s="1">
        <v>214</v>
      </c>
      <c r="HK170" s="1">
        <v>220</v>
      </c>
      <c r="HL170" s="1">
        <v>214</v>
      </c>
      <c r="HO170" s="1" t="s">
        <v>644</v>
      </c>
    </row>
    <row r="171" spans="1:223" ht="12.75" customHeight="1" x14ac:dyDescent="0.25">
      <c r="A171" s="1" t="s">
        <v>27</v>
      </c>
      <c r="D171" s="1" t="s">
        <v>27</v>
      </c>
      <c r="E171" s="1" t="s">
        <v>126</v>
      </c>
      <c r="F171" s="1">
        <v>1</v>
      </c>
      <c r="G171" s="1">
        <v>2020</v>
      </c>
      <c r="H171" s="1">
        <v>1</v>
      </c>
      <c r="I171" s="1">
        <v>1</v>
      </c>
      <c r="J171" s="1">
        <v>0</v>
      </c>
      <c r="K171" s="19"/>
      <c r="L171" s="19"/>
      <c r="M171" s="19"/>
      <c r="N171" s="11">
        <v>800.55781425610189</v>
      </c>
      <c r="O171" s="11">
        <v>469.69997220191954</v>
      </c>
      <c r="P171" s="11">
        <v>1131.4156563102842</v>
      </c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9"/>
      <c r="CR171" s="11">
        <v>151.64317760816689</v>
      </c>
      <c r="CS171" s="11">
        <v>66.959325177632138</v>
      </c>
      <c r="CT171" s="11">
        <v>236.32703003870165</v>
      </c>
      <c r="CU171" s="11">
        <f>Tabelle58971121[[#This Row],[Mindestauslastung durch]]*Tabelle58971121[[#This Row],[installierte Leistung MW durch]]</f>
        <v>645.23170146113375</v>
      </c>
      <c r="CV171" s="11">
        <f>Tabelle58971121[[#This Row],[Mindestauslastung min]]*Tabelle58971121[[#This Row],[installierte Leistung MW min]]</f>
        <v>404.62139333722968</v>
      </c>
      <c r="CW171" s="19">
        <f>Tabelle58971121[[#This Row],[Mindestauslastung max]]*Tabelle58971121[[#This Row],[installierte Leistung MW max]]</f>
        <v>937.24699661016939</v>
      </c>
      <c r="CX171" s="9">
        <v>0.38700847122539206</v>
      </c>
      <c r="CY171" s="9">
        <v>0.28683185755880131</v>
      </c>
      <c r="CZ171" s="9">
        <v>0.48718508489198287</v>
      </c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39">
        <v>0.86</v>
      </c>
      <c r="ED171" s="39">
        <v>0.83</v>
      </c>
      <c r="EE171" s="39">
        <v>0.89</v>
      </c>
      <c r="EF171" s="11">
        <f>Tabelle58971121[[#This Row],[Durchschnittsauslastung min]]*Tabelle58971121[[#This Row],[installierte Leistung MW min]]</f>
        <v>1213.1650969023963</v>
      </c>
      <c r="EG171" s="11">
        <f>Tabelle58971121[[#This Row],[Durchschnittsauslastung durch]]*Tabelle58971121[[#This Row],[installierte Leistung MW durch]]</f>
        <v>1383.7999734658094</v>
      </c>
      <c r="EH171" s="46">
        <f>Tabelle58971121[[#This Row],[Durchschnittsauslastung max]]*Tabelle58971121[[#This Row],[installierte Leistung MW max]]</f>
        <v>1712.1826033898305</v>
      </c>
      <c r="EI171" s="83">
        <f>Tabelle58971121[[#This Row],[Maximalauslastung durch]]*Tabelle58971121[[#This Row],[installierte Leistung MW min]]</f>
        <v>1340.1242349503211</v>
      </c>
      <c r="EJ171" s="46">
        <f>Tabelle58971121[[#This Row],[Maximalauslastung durch]]*Tabelle58971121[[#This Row],[installierte Leistung MW durch]]</f>
        <v>1583.8674395090588</v>
      </c>
      <c r="EK171" s="11">
        <f>Tabelle58971121[[#This Row],[Maximalauslastung max]]*Tabelle58971121[[#This Row],[installierte Leistung MW durch]]</f>
        <v>1600.5397283459965</v>
      </c>
      <c r="EL171" s="9">
        <v>0.94999999999999984</v>
      </c>
      <c r="EM171" s="9">
        <v>0.94000000000000017</v>
      </c>
      <c r="EN171" s="9">
        <v>0.96</v>
      </c>
      <c r="EO171" s="11">
        <v>1667.2288836937464</v>
      </c>
      <c r="EP171" s="11">
        <v>1410.657089421391</v>
      </c>
      <c r="EQ171" s="11">
        <v>1923.8006779661016</v>
      </c>
      <c r="ER171" s="1">
        <v>0.2390560369962097</v>
      </c>
      <c r="ES171" s="1">
        <v>0</v>
      </c>
      <c r="ET171" s="54">
        <v>1</v>
      </c>
      <c r="EU171" s="1">
        <v>8.9386535304760414E-2</v>
      </c>
      <c r="EV171" s="1">
        <v>0</v>
      </c>
      <c r="EW171" s="54">
        <v>0.25</v>
      </c>
      <c r="EX171" s="1">
        <v>7.7072814196192141</v>
      </c>
      <c r="EY171" s="1">
        <v>4.8</v>
      </c>
      <c r="EZ171" s="54">
        <v>8.8000000000000007</v>
      </c>
      <c r="FA171" s="1">
        <v>7.7072814196192141</v>
      </c>
      <c r="FB171" s="1">
        <v>4.8</v>
      </c>
      <c r="FC171" s="54">
        <v>8.8000000000000007</v>
      </c>
      <c r="FD171" s="1">
        <v>3.7682766388286462</v>
      </c>
      <c r="FE171" s="1">
        <v>2.4</v>
      </c>
      <c r="FF171" s="54">
        <v>4.3</v>
      </c>
      <c r="FG171" s="1">
        <v>11.460922129428823</v>
      </c>
      <c r="FH171" s="1">
        <v>4.4830641602682899</v>
      </c>
      <c r="FI171" s="54">
        <v>4.4571409002180333</v>
      </c>
      <c r="FJ171" s="1">
        <v>4.4694592554427919</v>
      </c>
      <c r="FK171" s="1">
        <v>2.4</v>
      </c>
      <c r="FL171" s="54">
        <v>5.8</v>
      </c>
      <c r="FN171" s="1" t="s">
        <v>646</v>
      </c>
      <c r="FP171" s="1">
        <v>47.5</v>
      </c>
      <c r="FQ171" s="1">
        <v>35</v>
      </c>
      <c r="FR171" s="1">
        <v>60</v>
      </c>
      <c r="FS171" s="1">
        <v>0</v>
      </c>
      <c r="FT171" s="1">
        <v>0</v>
      </c>
      <c r="FU171" s="1">
        <v>0</v>
      </c>
      <c r="FV171" s="1">
        <v>117.5</v>
      </c>
      <c r="FW171" s="1">
        <v>60</v>
      </c>
      <c r="FX171" s="1">
        <v>175</v>
      </c>
      <c r="FY171" s="1">
        <v>0.20352941176470588</v>
      </c>
      <c r="FZ171" s="19">
        <v>0</v>
      </c>
      <c r="GA171" s="19">
        <v>0.40705882352941175</v>
      </c>
      <c r="GB171" s="19">
        <v>152.64705882352939</v>
      </c>
      <c r="GC171" s="8">
        <v>101.76470588235293</v>
      </c>
      <c r="GD171" s="8">
        <v>203.52941176470586</v>
      </c>
      <c r="GE171" s="8">
        <v>260.51764705882351</v>
      </c>
      <c r="GF171" s="8">
        <v>227.95294117647057</v>
      </c>
      <c r="GG171" s="8">
        <v>293.08235294117645</v>
      </c>
      <c r="GH171" s="8">
        <v>25.441176470588232</v>
      </c>
      <c r="GI171" s="8">
        <v>15.26470588235294</v>
      </c>
      <c r="GJ171" s="8">
        <v>35.617647058823529</v>
      </c>
      <c r="GK171" s="8">
        <v>485.41764705882349</v>
      </c>
      <c r="GL171" s="8">
        <v>281.88823529411764</v>
      </c>
      <c r="GM171" s="8">
        <v>688.94705882352935</v>
      </c>
      <c r="GN171" s="8">
        <v>0.10176470588235294</v>
      </c>
      <c r="GO171" s="8">
        <v>0</v>
      </c>
      <c r="GP171" s="8">
        <v>0.30529411764705883</v>
      </c>
      <c r="GS171" s="1">
        <v>220</v>
      </c>
      <c r="GT171" s="1">
        <v>220</v>
      </c>
      <c r="GV171" s="13" t="s">
        <v>643</v>
      </c>
      <c r="GW171" s="1" t="s">
        <v>643</v>
      </c>
      <c r="GX171" s="13">
        <v>182</v>
      </c>
      <c r="GY171" s="13"/>
      <c r="GZ171" s="13">
        <v>182</v>
      </c>
      <c r="HA171" s="13">
        <v>182</v>
      </c>
      <c r="HB171" s="1">
        <v>182</v>
      </c>
      <c r="HC171" s="13" t="s">
        <v>642</v>
      </c>
      <c r="HD171" s="13" t="s">
        <v>641</v>
      </c>
      <c r="HE171" s="1">
        <v>202</v>
      </c>
      <c r="HF171" s="1">
        <v>202</v>
      </c>
      <c r="HH171" s="1" t="s">
        <v>645</v>
      </c>
      <c r="HI171" s="1">
        <v>211</v>
      </c>
      <c r="HJ171" s="1">
        <v>214</v>
      </c>
      <c r="HK171" s="1">
        <v>220</v>
      </c>
      <c r="HL171" s="1">
        <v>214</v>
      </c>
      <c r="HO171" s="1" t="s">
        <v>644</v>
      </c>
    </row>
    <row r="172" spans="1:223" ht="12.75" customHeight="1" x14ac:dyDescent="0.25">
      <c r="A172" s="1" t="s">
        <v>27</v>
      </c>
      <c r="D172" s="1" t="s">
        <v>27</v>
      </c>
      <c r="E172" s="1" t="s">
        <v>126</v>
      </c>
      <c r="F172" s="1">
        <v>1</v>
      </c>
      <c r="G172" s="1">
        <v>2025</v>
      </c>
      <c r="H172" s="1">
        <v>1</v>
      </c>
      <c r="I172" s="1">
        <v>1</v>
      </c>
      <c r="J172" s="1">
        <v>0</v>
      </c>
      <c r="K172" s="19"/>
      <c r="L172" s="19"/>
      <c r="M172" s="19"/>
      <c r="N172" s="11">
        <v>776.74853987737629</v>
      </c>
      <c r="O172" s="11">
        <v>455.73069313838687</v>
      </c>
      <c r="P172" s="11">
        <v>1097.7663866163659</v>
      </c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9"/>
      <c r="CR172" s="11">
        <v>147.13317975537018</v>
      </c>
      <c r="CS172" s="11">
        <v>64.967897554319293</v>
      </c>
      <c r="CT172" s="11">
        <v>229.29846195642108</v>
      </c>
      <c r="CU172" s="11">
        <f>Tabelle58971121[[#This Row],[Mindestauslastung durch]]*Tabelle58971121[[#This Row],[installierte Leistung MW durch]]</f>
        <v>626.03197042665101</v>
      </c>
      <c r="CV172" s="11">
        <f>Tabelle58971121[[#This Row],[Mindestauslastung min]]*Tabelle58971121[[#This Row],[installierte Leistung MW min]]</f>
        <v>392.59618351841038</v>
      </c>
      <c r="CW172" s="19">
        <f>Tabelle58971121[[#This Row],[Mindestauslastung max]]*Tabelle58971121[[#This Row],[installierte Leistung MW max]]</f>
        <v>909.33772203389822</v>
      </c>
      <c r="CX172" s="9">
        <v>0.38698967022518038</v>
      </c>
      <c r="CY172" s="9">
        <v>0.28682876530479939</v>
      </c>
      <c r="CZ172" s="9">
        <v>0.48715057514556148</v>
      </c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39">
        <v>0.85999999999999988</v>
      </c>
      <c r="ED172" s="39">
        <v>0.83</v>
      </c>
      <c r="EE172" s="39">
        <v>0.89</v>
      </c>
      <c r="EF172" s="11">
        <f>Tabelle58971121[[#This Row],[Durchschnittsauslastung min]]*Tabelle58971121[[#This Row],[installierte Leistung MW min]]</f>
        <v>1177.1229341905319</v>
      </c>
      <c r="EG172" s="11">
        <f>Tabelle58971121[[#This Row],[Durchschnittsauslastung durch]]*Tabelle58971121[[#This Row],[installierte Leistung MW durch]]</f>
        <v>1342.6883853302161</v>
      </c>
      <c r="EH172" s="46">
        <f>Tabelle58971121[[#This Row],[Durchschnittsauslastung max]]*Tabelle58971121[[#This Row],[installierte Leistung MW max]]</f>
        <v>1661.3150305084746</v>
      </c>
      <c r="EI172" s="83">
        <f>Tabelle58971121[[#This Row],[Maximalauslastung durch]]*Tabelle58971121[[#This Row],[installierte Leistung MW min]]</f>
        <v>1300.310218001169</v>
      </c>
      <c r="EJ172" s="46">
        <f>Tabelle58971121[[#This Row],[Maximalauslastung durch]]*Tabelle58971121[[#This Row],[installierte Leistung MW durch]]</f>
        <v>1536.8120073056691</v>
      </c>
      <c r="EK172" s="11">
        <f>Tabelle58971121[[#This Row],[Maximalauslastung max]]*Tabelle58971121[[#This Row],[installierte Leistung MW durch]]</f>
        <v>1552.9889758036236</v>
      </c>
      <c r="EL172" s="9">
        <v>0.95</v>
      </c>
      <c r="EM172" s="9">
        <v>0.94</v>
      </c>
      <c r="EN172" s="9">
        <v>0.96</v>
      </c>
      <c r="EO172" s="11">
        <v>1617.6968497954413</v>
      </c>
      <c r="EP172" s="11">
        <v>1368.7475978959674</v>
      </c>
      <c r="EQ172" s="11">
        <v>1866.6461016949152</v>
      </c>
      <c r="ER172" s="1">
        <v>0.23907335138316899</v>
      </c>
      <c r="ES172" s="1">
        <v>0</v>
      </c>
      <c r="ET172" s="54">
        <v>1</v>
      </c>
      <c r="EU172" s="1">
        <v>8.9392817112149775E-2</v>
      </c>
      <c r="EV172" s="1">
        <v>0</v>
      </c>
      <c r="EW172" s="54">
        <v>0.25</v>
      </c>
      <c r="EX172" s="1">
        <v>7.7072468958193134</v>
      </c>
      <c r="EY172" s="1">
        <v>4.8</v>
      </c>
      <c r="EZ172" s="54">
        <v>8.8000000000000007</v>
      </c>
      <c r="FA172" s="1">
        <v>7.7072468958193134</v>
      </c>
      <c r="FB172" s="1">
        <v>4.8</v>
      </c>
      <c r="FC172" s="54">
        <v>8.8000000000000007</v>
      </c>
      <c r="FD172" s="1">
        <v>3.7682611031186908</v>
      </c>
      <c r="FE172" s="1">
        <v>2.4</v>
      </c>
      <c r="FF172" s="54">
        <v>4.3</v>
      </c>
      <c r="FG172" s="1">
        <v>11.460870343728969</v>
      </c>
      <c r="FH172" s="1">
        <v>4.4830051389331036</v>
      </c>
      <c r="FI172" s="54">
        <v>4.4570746198417606</v>
      </c>
      <c r="FJ172" s="1">
        <v>4.4693965756765603</v>
      </c>
      <c r="FK172" s="1">
        <v>2.4</v>
      </c>
      <c r="FL172" s="54">
        <v>5.8</v>
      </c>
      <c r="FN172" s="1" t="s">
        <v>646</v>
      </c>
      <c r="FP172" s="1">
        <v>47.5</v>
      </c>
      <c r="FQ172" s="1">
        <v>35</v>
      </c>
      <c r="FR172" s="1">
        <v>60</v>
      </c>
      <c r="FS172" s="1">
        <v>0</v>
      </c>
      <c r="FT172" s="1">
        <v>0</v>
      </c>
      <c r="FU172" s="1">
        <v>0</v>
      </c>
      <c r="FV172" s="1">
        <v>117.5</v>
      </c>
      <c r="FW172" s="1">
        <v>60</v>
      </c>
      <c r="FX172" s="1">
        <v>175</v>
      </c>
      <c r="FY172" s="1">
        <v>0.20352941176470588</v>
      </c>
      <c r="FZ172" s="19">
        <v>0</v>
      </c>
      <c r="GA172" s="19">
        <v>0.40705882352941175</v>
      </c>
      <c r="GB172" s="19">
        <v>152.64705882352939</v>
      </c>
      <c r="GC172" s="8">
        <v>101.76470588235293</v>
      </c>
      <c r="GD172" s="8">
        <v>203.52941176470586</v>
      </c>
      <c r="GE172" s="8">
        <v>260.51764705882351</v>
      </c>
      <c r="GF172" s="8">
        <v>227.95294117647057</v>
      </c>
      <c r="GG172" s="8">
        <v>293.08235294117645</v>
      </c>
      <c r="GH172" s="8">
        <v>25.441176470588232</v>
      </c>
      <c r="GI172" s="8">
        <v>15.26470588235294</v>
      </c>
      <c r="GJ172" s="8">
        <v>35.617647058823529</v>
      </c>
      <c r="GK172" s="8">
        <v>485.41764705882349</v>
      </c>
      <c r="GL172" s="8">
        <v>281.88823529411764</v>
      </c>
      <c r="GM172" s="8">
        <v>688.94705882352935</v>
      </c>
      <c r="GN172" s="8">
        <v>0.10176470588235294</v>
      </c>
      <c r="GO172" s="8">
        <v>0</v>
      </c>
      <c r="GP172" s="8">
        <v>0.30529411764705883</v>
      </c>
      <c r="GS172" s="1">
        <v>220</v>
      </c>
      <c r="GT172" s="1">
        <v>220</v>
      </c>
      <c r="GV172" s="13" t="s">
        <v>643</v>
      </c>
      <c r="GW172" s="1" t="s">
        <v>643</v>
      </c>
      <c r="GX172" s="13">
        <v>182</v>
      </c>
      <c r="GY172" s="13"/>
      <c r="GZ172" s="13">
        <v>182</v>
      </c>
      <c r="HA172" s="13">
        <v>182</v>
      </c>
      <c r="HB172" s="1">
        <v>182</v>
      </c>
      <c r="HC172" s="13" t="s">
        <v>642</v>
      </c>
      <c r="HD172" s="13" t="s">
        <v>641</v>
      </c>
      <c r="HE172" s="1">
        <v>202</v>
      </c>
      <c r="HF172" s="1">
        <v>202</v>
      </c>
      <c r="HH172" s="1" t="s">
        <v>645</v>
      </c>
      <c r="HI172" s="1">
        <v>211</v>
      </c>
      <c r="HJ172" s="1">
        <v>214</v>
      </c>
      <c r="HK172" s="1">
        <v>220</v>
      </c>
      <c r="HL172" s="1">
        <v>214</v>
      </c>
      <c r="HO172" s="1" t="s">
        <v>644</v>
      </c>
    </row>
    <row r="173" spans="1:223" ht="12.75" customHeight="1" x14ac:dyDescent="0.25">
      <c r="A173" s="1" t="s">
        <v>27</v>
      </c>
      <c r="D173" s="1" t="s">
        <v>27</v>
      </c>
      <c r="E173" s="1" t="s">
        <v>126</v>
      </c>
      <c r="F173" s="1">
        <v>1</v>
      </c>
      <c r="G173" s="1">
        <v>2030</v>
      </c>
      <c r="H173" s="1">
        <v>1</v>
      </c>
      <c r="I173" s="1">
        <v>1</v>
      </c>
      <c r="J173" s="1">
        <v>0</v>
      </c>
      <c r="K173" s="19"/>
      <c r="L173" s="19"/>
      <c r="M173" s="19"/>
      <c r="N173" s="11">
        <v>744.88634912968723</v>
      </c>
      <c r="O173" s="11">
        <v>437.03664026428146</v>
      </c>
      <c r="P173" s="11">
        <v>1052.7360579950932</v>
      </c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9"/>
      <c r="CR173" s="11">
        <v>141.09778322997767</v>
      </c>
      <c r="CS173" s="11">
        <v>62.302917270379744</v>
      </c>
      <c r="CT173" s="11">
        <v>219.89264918957562</v>
      </c>
      <c r="CU173" s="11">
        <f>Tabelle58971121[[#This Row],[Mindestauslastung durch]]*Tabelle58971121[[#This Row],[installierte Leistung MW durch]]</f>
        <v>600.25853243717131</v>
      </c>
      <c r="CV173" s="11">
        <f>Tabelle58971121[[#This Row],[Mindestauslastung min]]*Tabelle58971121[[#This Row],[installierte Leistung MW min]]</f>
        <v>376.46453652834595</v>
      </c>
      <c r="CW173" s="19">
        <f>Tabelle58971121[[#This Row],[Mindestauslastung max]]*Tabelle58971121[[#This Row],[installierte Leistung MW max]]</f>
        <v>871.85796610169496</v>
      </c>
      <c r="CX173" s="9">
        <v>0.38699521537262782</v>
      </c>
      <c r="CY173" s="9">
        <v>0.28685676384032349</v>
      </c>
      <c r="CZ173" s="9">
        <v>0.48713366690493215</v>
      </c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39">
        <v>0.86</v>
      </c>
      <c r="ED173" s="39">
        <v>0.83</v>
      </c>
      <c r="EE173" s="39">
        <v>0.89000000000000012</v>
      </c>
      <c r="EF173" s="11">
        <f>Tabelle58971121[[#This Row],[Durchschnittsauslastung min]]*Tabelle58971121[[#This Row],[installierte Leistung MW min]]</f>
        <v>1128.6451714786674</v>
      </c>
      <c r="EG173" s="11">
        <f>Tabelle58971121[[#This Row],[Durchschnittsauslastung durch]]*Tabelle58971121[[#This Row],[installierte Leistung MW durch]]</f>
        <v>1287.3920971946229</v>
      </c>
      <c r="EH173" s="46">
        <f>Tabelle58971121[[#This Row],[Durchschnittsauslastung max]]*Tabelle58971121[[#This Row],[installierte Leistung MW max]]</f>
        <v>1592.8966576271187</v>
      </c>
      <c r="EI173" s="83">
        <f>Tabelle58971121[[#This Row],[Maximalauslastung durch]]*Tabelle58971121[[#This Row],[installierte Leistung MW min]]</f>
        <v>1246.7592010520164</v>
      </c>
      <c r="EJ173" s="46">
        <f>Tabelle58971121[[#This Row],[Maximalauslastung durch]]*Tabelle58971121[[#This Row],[installierte Leistung MW durch]]</f>
        <v>1473.5210751022794</v>
      </c>
      <c r="EK173" s="11">
        <f>Tabelle58971121[[#This Row],[Maximalauslastung max]]*Tabelle58971121[[#This Row],[installierte Leistung MW durch]]</f>
        <v>1489.0318232612508</v>
      </c>
      <c r="EL173" s="9">
        <v>0.95</v>
      </c>
      <c r="EM173" s="9">
        <v>0.94</v>
      </c>
      <c r="EN173" s="9">
        <v>0.96</v>
      </c>
      <c r="EO173" s="11">
        <v>1551.0748158971362</v>
      </c>
      <c r="EP173" s="11">
        <v>1312.3781063705435</v>
      </c>
      <c r="EQ173" s="11">
        <v>1789.7715254237287</v>
      </c>
      <c r="ER173" s="1">
        <v>0.23909122408684597</v>
      </c>
      <c r="ES173" s="1">
        <v>0</v>
      </c>
      <c r="ET173" s="54">
        <v>1</v>
      </c>
      <c r="EU173" s="1">
        <v>8.9399301481610266E-2</v>
      </c>
      <c r="EV173" s="1">
        <v>0</v>
      </c>
      <c r="EW173" s="54">
        <v>0.25</v>
      </c>
      <c r="EX173" s="1">
        <v>7.7078350688071913</v>
      </c>
      <c r="EY173" s="1">
        <v>4.8</v>
      </c>
      <c r="EZ173" s="54">
        <v>8.8000000000000007</v>
      </c>
      <c r="FA173" s="1">
        <v>7.7078350688071913</v>
      </c>
      <c r="FB173" s="1">
        <v>4.8</v>
      </c>
      <c r="FC173" s="54">
        <v>8.8000000000000007</v>
      </c>
      <c r="FD173" s="1">
        <v>3.7685257809632366</v>
      </c>
      <c r="FE173" s="1">
        <v>2.4</v>
      </c>
      <c r="FF173" s="54">
        <v>4.3</v>
      </c>
      <c r="FG173" s="1">
        <v>11.461752603210787</v>
      </c>
      <c r="FH173" s="1">
        <v>4.4832923416739501</v>
      </c>
      <c r="FI173" s="54">
        <v>4.4574033511875175</v>
      </c>
      <c r="FJ173" s="1">
        <v>4.4697061607712065</v>
      </c>
      <c r="FK173" s="1">
        <v>2.4</v>
      </c>
      <c r="FL173" s="54">
        <v>5.8</v>
      </c>
      <c r="FN173" s="1" t="s">
        <v>646</v>
      </c>
      <c r="FP173" s="1">
        <v>47.5</v>
      </c>
      <c r="FQ173" s="1">
        <v>35</v>
      </c>
      <c r="FR173" s="1">
        <v>60</v>
      </c>
      <c r="FS173" s="1">
        <v>0</v>
      </c>
      <c r="FT173" s="1">
        <v>0</v>
      </c>
      <c r="FU173" s="1">
        <v>0</v>
      </c>
      <c r="FV173" s="1">
        <v>117.5</v>
      </c>
      <c r="FW173" s="1">
        <v>60</v>
      </c>
      <c r="FX173" s="1">
        <v>175</v>
      </c>
      <c r="FY173" s="1">
        <v>0.20352941176470588</v>
      </c>
      <c r="FZ173" s="19">
        <v>0</v>
      </c>
      <c r="GA173" s="19">
        <v>0.40705882352941175</v>
      </c>
      <c r="GB173" s="19">
        <v>152.64705882352939</v>
      </c>
      <c r="GC173" s="8">
        <v>101.76470588235293</v>
      </c>
      <c r="GD173" s="8">
        <v>203.52941176470586</v>
      </c>
      <c r="GE173" s="8">
        <v>260.51764705882351</v>
      </c>
      <c r="GF173" s="8">
        <v>227.95294117647057</v>
      </c>
      <c r="GG173" s="8">
        <v>293.08235294117645</v>
      </c>
      <c r="GH173" s="8">
        <v>25.441176470588232</v>
      </c>
      <c r="GI173" s="8">
        <v>15.26470588235294</v>
      </c>
      <c r="GJ173" s="8">
        <v>35.617647058823529</v>
      </c>
      <c r="GK173" s="8">
        <v>485.41764705882349</v>
      </c>
      <c r="GL173" s="8">
        <v>281.88823529411764</v>
      </c>
      <c r="GM173" s="8">
        <v>688.94705882352935</v>
      </c>
      <c r="GN173" s="8">
        <v>0.10176470588235294</v>
      </c>
      <c r="GO173" s="8">
        <v>0</v>
      </c>
      <c r="GP173" s="8">
        <v>0.30529411764705883</v>
      </c>
      <c r="GS173" s="1">
        <v>220</v>
      </c>
      <c r="GT173" s="1">
        <v>220</v>
      </c>
      <c r="GV173" s="13" t="s">
        <v>643</v>
      </c>
      <c r="GW173" s="1" t="s">
        <v>643</v>
      </c>
      <c r="GX173" s="13">
        <v>182</v>
      </c>
      <c r="GY173" s="13"/>
      <c r="GZ173" s="13">
        <v>182</v>
      </c>
      <c r="HA173" s="13">
        <v>182</v>
      </c>
      <c r="HB173" s="1">
        <v>182</v>
      </c>
      <c r="HC173" s="13" t="s">
        <v>642</v>
      </c>
      <c r="HD173" s="13" t="s">
        <v>641</v>
      </c>
      <c r="HE173" s="1">
        <v>202</v>
      </c>
      <c r="HF173" s="1">
        <v>202</v>
      </c>
      <c r="HH173" s="1" t="s">
        <v>645</v>
      </c>
      <c r="HI173" s="1">
        <v>211</v>
      </c>
      <c r="HJ173" s="1">
        <v>214</v>
      </c>
      <c r="HK173" s="1">
        <v>220</v>
      </c>
      <c r="HL173" s="1">
        <v>214</v>
      </c>
      <c r="HO173" s="1" t="s">
        <v>644</v>
      </c>
    </row>
    <row r="174" spans="1:223" ht="12.75" customHeight="1" x14ac:dyDescent="0.25">
      <c r="A174" s="1" t="s">
        <v>27</v>
      </c>
      <c r="D174" s="1" t="s">
        <v>27</v>
      </c>
      <c r="E174" s="1" t="s">
        <v>126</v>
      </c>
      <c r="F174" s="1">
        <v>1</v>
      </c>
      <c r="G174" s="1">
        <v>2035</v>
      </c>
      <c r="H174" s="1">
        <v>1</v>
      </c>
      <c r="I174" s="1">
        <v>1</v>
      </c>
      <c r="J174" s="1">
        <v>0</v>
      </c>
      <c r="K174" s="19"/>
      <c r="L174" s="19"/>
      <c r="M174" s="19"/>
      <c r="N174" s="11">
        <v>713.02609255882487</v>
      </c>
      <c r="O174" s="11">
        <v>418.34372220241022</v>
      </c>
      <c r="P174" s="11">
        <v>1007.7084629152399</v>
      </c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9"/>
      <c r="CR174" s="11">
        <v>135.06275308002341</v>
      </c>
      <c r="CS174" s="11">
        <v>59.638098762607747</v>
      </c>
      <c r="CT174" s="11">
        <v>210.48740739743914</v>
      </c>
      <c r="CU174" s="11">
        <f>Tabelle58971121[[#This Row],[Mindestauslastung durch]]*Tabelle58971121[[#This Row],[installierte Leistung MW durch]]</f>
        <v>574.48509444769138</v>
      </c>
      <c r="CV174" s="11">
        <f>Tabelle58971121[[#This Row],[Mindestauslastung min]]*Tabelle58971121[[#This Row],[installierte Leistung MW min]]</f>
        <v>360.33288953828168</v>
      </c>
      <c r="CW174" s="19">
        <f>Tabelle58971121[[#This Row],[Mindestauslastung max]]*Tabelle58971121[[#This Row],[installierte Leistung MW max]]</f>
        <v>834.37821016949147</v>
      </c>
      <c r="CX174" s="9">
        <v>0.38700125825096388</v>
      </c>
      <c r="CY174" s="9">
        <v>0.28688727551658944</v>
      </c>
      <c r="CZ174" s="9">
        <v>0.48711524098533837</v>
      </c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39">
        <v>0.86</v>
      </c>
      <c r="ED174" s="39">
        <v>0.83</v>
      </c>
      <c r="EE174" s="39">
        <v>0.89</v>
      </c>
      <c r="EF174" s="11">
        <f>Tabelle58971121[[#This Row],[Durchschnittsauslastung min]]*Tabelle58971121[[#This Row],[installierte Leistung MW min]]</f>
        <v>1080.1674087668027</v>
      </c>
      <c r="EG174" s="11">
        <f>Tabelle58971121[[#This Row],[Durchschnittsauslastung durch]]*Tabelle58971121[[#This Row],[installierte Leistung MW durch]]</f>
        <v>1232.0958090590298</v>
      </c>
      <c r="EH174" s="46">
        <f>Tabelle58971121[[#This Row],[Durchschnittsauslastung max]]*Tabelle58971121[[#This Row],[installierte Leistung MW max]]</f>
        <v>1524.4782847457625</v>
      </c>
      <c r="EI174" s="83">
        <f>Tabelle58971121[[#This Row],[Maximalauslastung durch]]*Tabelle58971121[[#This Row],[installierte Leistung MW min]]</f>
        <v>1193.2081841028635</v>
      </c>
      <c r="EJ174" s="46">
        <f>Tabelle58971121[[#This Row],[Maximalauslastung durch]]*Tabelle58971121[[#This Row],[installierte Leistung MW durch]]</f>
        <v>1410.2301428988894</v>
      </c>
      <c r="EK174" s="11">
        <f>Tabelle58971121[[#This Row],[Maximalauslastung max]]*Tabelle58971121[[#This Row],[installierte Leistung MW durch]]</f>
        <v>1425.0746707188782</v>
      </c>
      <c r="EL174" s="9">
        <v>0.95</v>
      </c>
      <c r="EM174" s="9">
        <v>0.94000000000000028</v>
      </c>
      <c r="EN174" s="9">
        <v>0.96000000000000019</v>
      </c>
      <c r="EO174" s="11">
        <v>1484.4527819988311</v>
      </c>
      <c r="EP174" s="11">
        <v>1256.0086148451196</v>
      </c>
      <c r="EQ174" s="11">
        <v>1712.8969491525422</v>
      </c>
      <c r="ER174" s="1">
        <v>0.23911070103942145</v>
      </c>
      <c r="ES174" s="1">
        <v>0</v>
      </c>
      <c r="ET174" s="54">
        <v>1</v>
      </c>
      <c r="EU174" s="1">
        <v>8.9406367886265464E-2</v>
      </c>
      <c r="EV174" s="1">
        <v>0</v>
      </c>
      <c r="EW174" s="54">
        <v>0.25</v>
      </c>
      <c r="EX174" s="1">
        <v>7.7084760360384603</v>
      </c>
      <c r="EY174" s="1">
        <v>4.8</v>
      </c>
      <c r="EZ174" s="54">
        <v>8.8000000000000007</v>
      </c>
      <c r="FA174" s="1">
        <v>7.7084760360384603</v>
      </c>
      <c r="FB174" s="1">
        <v>4.8</v>
      </c>
      <c r="FC174" s="54">
        <v>8.8000000000000007</v>
      </c>
      <c r="FD174" s="1">
        <v>3.7688142162173071</v>
      </c>
      <c r="FE174" s="1">
        <v>2.4</v>
      </c>
      <c r="FF174" s="54">
        <v>4.3</v>
      </c>
      <c r="FG174" s="1">
        <v>11.46271405405769</v>
      </c>
      <c r="FH174" s="1">
        <v>4.4836052924061471</v>
      </c>
      <c r="FI174" s="54">
        <v>4.4577616217567755</v>
      </c>
      <c r="FJ174" s="1">
        <v>4.4700435341376261</v>
      </c>
      <c r="FK174" s="1">
        <v>2.4</v>
      </c>
      <c r="FL174" s="54">
        <v>5.8</v>
      </c>
      <c r="FN174" s="1" t="s">
        <v>646</v>
      </c>
      <c r="FP174" s="1">
        <v>47.5</v>
      </c>
      <c r="FQ174" s="1">
        <v>35</v>
      </c>
      <c r="FR174" s="1">
        <v>60</v>
      </c>
      <c r="FS174" s="1">
        <v>0</v>
      </c>
      <c r="FT174" s="1">
        <v>0</v>
      </c>
      <c r="FU174" s="1">
        <v>0</v>
      </c>
      <c r="FV174" s="1">
        <v>117.5</v>
      </c>
      <c r="FW174" s="1">
        <v>60</v>
      </c>
      <c r="FX174" s="1">
        <v>175</v>
      </c>
      <c r="FY174" s="1">
        <v>0.20352941176470588</v>
      </c>
      <c r="FZ174" s="19">
        <v>0</v>
      </c>
      <c r="GA174" s="19">
        <v>0.40705882352941175</v>
      </c>
      <c r="GB174" s="19">
        <v>152.64705882352939</v>
      </c>
      <c r="GC174" s="8">
        <v>101.76470588235293</v>
      </c>
      <c r="GD174" s="8">
        <v>203.52941176470586</v>
      </c>
      <c r="GE174" s="8">
        <v>260.51764705882351</v>
      </c>
      <c r="GF174" s="8">
        <v>227.95294117647057</v>
      </c>
      <c r="GG174" s="8">
        <v>293.08235294117645</v>
      </c>
      <c r="GH174" s="8">
        <v>25.441176470588232</v>
      </c>
      <c r="GI174" s="8">
        <v>15.26470588235294</v>
      </c>
      <c r="GJ174" s="8">
        <v>35.617647058823529</v>
      </c>
      <c r="GK174" s="8">
        <v>485.41764705882349</v>
      </c>
      <c r="GL174" s="8">
        <v>281.88823529411764</v>
      </c>
      <c r="GM174" s="8">
        <v>688.94705882352935</v>
      </c>
      <c r="GN174" s="8">
        <v>0.10176470588235294</v>
      </c>
      <c r="GO174" s="8">
        <v>0</v>
      </c>
      <c r="GP174" s="8">
        <v>0.30529411764705883</v>
      </c>
      <c r="GS174" s="1">
        <v>220</v>
      </c>
      <c r="GT174" s="1">
        <v>220</v>
      </c>
      <c r="GV174" s="13" t="s">
        <v>643</v>
      </c>
      <c r="GW174" s="1" t="s">
        <v>643</v>
      </c>
      <c r="GX174" s="13">
        <v>182</v>
      </c>
      <c r="GY174" s="13"/>
      <c r="GZ174" s="13">
        <v>182</v>
      </c>
      <c r="HA174" s="13">
        <v>182</v>
      </c>
      <c r="HB174" s="1">
        <v>182</v>
      </c>
      <c r="HC174" s="13" t="s">
        <v>642</v>
      </c>
      <c r="HD174" s="13" t="s">
        <v>641</v>
      </c>
      <c r="HE174" s="1">
        <v>202</v>
      </c>
      <c r="HF174" s="1">
        <v>202</v>
      </c>
      <c r="HH174" s="1" t="s">
        <v>645</v>
      </c>
      <c r="HI174" s="1">
        <v>211</v>
      </c>
      <c r="HJ174" s="1">
        <v>214</v>
      </c>
      <c r="HK174" s="1">
        <v>220</v>
      </c>
      <c r="HL174" s="1">
        <v>214</v>
      </c>
      <c r="HO174" s="1" t="s">
        <v>644</v>
      </c>
    </row>
    <row r="175" spans="1:223" ht="12.75" customHeight="1" x14ac:dyDescent="0.25">
      <c r="A175" s="1" t="s">
        <v>27</v>
      </c>
      <c r="D175" s="1" t="s">
        <v>27</v>
      </c>
      <c r="E175" s="1" t="s">
        <v>126</v>
      </c>
      <c r="F175" s="1">
        <v>1</v>
      </c>
      <c r="G175" s="1">
        <v>2040</v>
      </c>
      <c r="H175" s="1">
        <v>1</v>
      </c>
      <c r="I175" s="1">
        <v>1</v>
      </c>
      <c r="J175" s="1">
        <v>0</v>
      </c>
      <c r="K175" s="19"/>
      <c r="L175" s="19"/>
      <c r="M175" s="19"/>
      <c r="N175" s="11">
        <v>681.16804281819509</v>
      </c>
      <c r="O175" s="11">
        <v>399.65209892285253</v>
      </c>
      <c r="P175" s="11">
        <v>962.68398671353771</v>
      </c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9"/>
      <c r="CR175" s="11">
        <v>129.02814095203203</v>
      </c>
      <c r="CS175" s="11">
        <v>56.973464835962204</v>
      </c>
      <c r="CT175" s="11">
        <v>201.08281706810189</v>
      </c>
      <c r="CU175" s="11">
        <f>Tabelle58971121[[#This Row],[Mindestauslastung durch]]*Tabelle58971121[[#This Row],[installierte Leistung MW durch]]</f>
        <v>548.71165645821156</v>
      </c>
      <c r="CV175" s="11">
        <f>Tabelle58971121[[#This Row],[Mindestauslastung min]]*Tabelle58971121[[#This Row],[installierte Leistung MW min]]</f>
        <v>344.20124254821735</v>
      </c>
      <c r="CW175" s="19">
        <f>Tabelle58971121[[#This Row],[Mindestauslastung max]]*Tabelle58971121[[#This Row],[installierte Leistung MW max]]</f>
        <v>796.89845423728809</v>
      </c>
      <c r="CX175" s="9">
        <v>0.38700786902338163</v>
      </c>
      <c r="CY175" s="9">
        <v>0.2869206546013004</v>
      </c>
      <c r="CZ175" s="9">
        <v>0.48709508344546282</v>
      </c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39">
        <v>0.85999999999999988</v>
      </c>
      <c r="ED175" s="39">
        <v>0.82999999999999985</v>
      </c>
      <c r="EE175" s="39">
        <v>0.89</v>
      </c>
      <c r="EF175" s="11">
        <f>Tabelle58971121[[#This Row],[Durchschnittsauslastung min]]*Tabelle58971121[[#This Row],[installierte Leistung MW min]]</f>
        <v>1031.6896460549385</v>
      </c>
      <c r="EG175" s="11">
        <f>Tabelle58971121[[#This Row],[Durchschnittsauslastung durch]]*Tabelle58971121[[#This Row],[installierte Leistung MW durch]]</f>
        <v>1176.7995209234364</v>
      </c>
      <c r="EH175" s="46">
        <f>Tabelle58971121[[#This Row],[Durchschnittsauslastung max]]*Tabelle58971121[[#This Row],[installierte Leistung MW max]]</f>
        <v>1456.0599118644066</v>
      </c>
      <c r="EI175" s="83">
        <f>Tabelle58971121[[#This Row],[Maximalauslastung durch]]*Tabelle58971121[[#This Row],[installierte Leistung MW min]]</f>
        <v>1139.6571671537113</v>
      </c>
      <c r="EJ175" s="46">
        <f>Tabelle58971121[[#This Row],[Maximalauslastung durch]]*Tabelle58971121[[#This Row],[installierte Leistung MW durch]]</f>
        <v>1346.9392106954995</v>
      </c>
      <c r="EK175" s="11">
        <f>Tabelle58971121[[#This Row],[Maximalauslastung max]]*Tabelle58971121[[#This Row],[installierte Leistung MW durch]]</f>
        <v>1361.117518176505</v>
      </c>
      <c r="EL175" s="9">
        <v>0.94999999999999984</v>
      </c>
      <c r="EM175" s="9">
        <v>0.94</v>
      </c>
      <c r="EN175" s="9">
        <v>0.96</v>
      </c>
      <c r="EO175" s="11">
        <v>1417.8307481005261</v>
      </c>
      <c r="EP175" s="11">
        <v>1199.6391233196962</v>
      </c>
      <c r="EQ175" s="11">
        <v>1636.0223728813557</v>
      </c>
      <c r="ER175" s="1">
        <v>0.23913200838564083</v>
      </c>
      <c r="ES175" s="1">
        <v>0</v>
      </c>
      <c r="ET175" s="54">
        <v>1</v>
      </c>
      <c r="EU175" s="1">
        <v>8.9414098373359438E-2</v>
      </c>
      <c r="EV175" s="1">
        <v>0</v>
      </c>
      <c r="EW175" s="54">
        <v>0.25</v>
      </c>
      <c r="EX175" s="1">
        <v>7.7091772397128544</v>
      </c>
      <c r="EY175" s="1">
        <v>4.8</v>
      </c>
      <c r="EZ175" s="54">
        <v>8.8000000000000007</v>
      </c>
      <c r="FA175" s="1">
        <v>7.7091772397128544</v>
      </c>
      <c r="FB175" s="1">
        <v>4.8</v>
      </c>
      <c r="FC175" s="54">
        <v>8.8000000000000007</v>
      </c>
      <c r="FD175" s="1">
        <v>3.7691297578707843</v>
      </c>
      <c r="FE175" s="1">
        <v>2.4</v>
      </c>
      <c r="FF175" s="54">
        <v>4.3</v>
      </c>
      <c r="FG175" s="1">
        <v>11.46376585956928</v>
      </c>
      <c r="FH175" s="1">
        <v>4.4839476161183454</v>
      </c>
      <c r="FI175" s="54">
        <v>4.4581536003651712</v>
      </c>
      <c r="FJ175" s="1">
        <v>4.4704126129807182</v>
      </c>
      <c r="FK175" s="1">
        <v>2.4</v>
      </c>
      <c r="FL175" s="54">
        <v>5.8</v>
      </c>
      <c r="FN175" s="1" t="s">
        <v>646</v>
      </c>
      <c r="FP175" s="1">
        <v>47.5</v>
      </c>
      <c r="FQ175" s="1">
        <v>35</v>
      </c>
      <c r="FR175" s="1">
        <v>60</v>
      </c>
      <c r="FS175" s="1">
        <v>0</v>
      </c>
      <c r="FT175" s="1">
        <v>0</v>
      </c>
      <c r="FU175" s="1">
        <v>0</v>
      </c>
      <c r="FV175" s="1">
        <v>117.5</v>
      </c>
      <c r="FW175" s="1">
        <v>60</v>
      </c>
      <c r="FX175" s="1">
        <v>175</v>
      </c>
      <c r="FY175" s="1">
        <v>0.20352941176470588</v>
      </c>
      <c r="FZ175" s="19">
        <v>0</v>
      </c>
      <c r="GA175" s="19">
        <v>0.40705882352941175</v>
      </c>
      <c r="GB175" s="19">
        <v>152.64705882352939</v>
      </c>
      <c r="GC175" s="8">
        <v>101.76470588235293</v>
      </c>
      <c r="GD175" s="8">
        <v>203.52941176470586</v>
      </c>
      <c r="GE175" s="8">
        <v>260.51764705882351</v>
      </c>
      <c r="GF175" s="8">
        <v>227.95294117647057</v>
      </c>
      <c r="GG175" s="8">
        <v>293.08235294117645</v>
      </c>
      <c r="GH175" s="8">
        <v>25.441176470588232</v>
      </c>
      <c r="GI175" s="8">
        <v>15.26470588235294</v>
      </c>
      <c r="GJ175" s="8">
        <v>35.617647058823529</v>
      </c>
      <c r="GK175" s="8">
        <v>485.41764705882349</v>
      </c>
      <c r="GL175" s="8">
        <v>281.88823529411764</v>
      </c>
      <c r="GM175" s="8">
        <v>688.94705882352935</v>
      </c>
      <c r="GN175" s="8">
        <v>0.10176470588235294</v>
      </c>
      <c r="GO175" s="8">
        <v>0</v>
      </c>
      <c r="GP175" s="8">
        <v>0.30529411764705883</v>
      </c>
      <c r="GS175" s="1">
        <v>220</v>
      </c>
      <c r="GT175" s="1">
        <v>220</v>
      </c>
      <c r="GV175" s="13" t="s">
        <v>643</v>
      </c>
      <c r="GW175" s="1" t="s">
        <v>643</v>
      </c>
      <c r="GX175" s="13">
        <v>182</v>
      </c>
      <c r="GY175" s="13"/>
      <c r="GZ175" s="13">
        <v>182</v>
      </c>
      <c r="HA175" s="13">
        <v>182</v>
      </c>
      <c r="HB175" s="1">
        <v>182</v>
      </c>
      <c r="HC175" s="13" t="s">
        <v>642</v>
      </c>
      <c r="HD175" s="13" t="s">
        <v>641</v>
      </c>
      <c r="HE175" s="1">
        <v>202</v>
      </c>
      <c r="HF175" s="1">
        <v>202</v>
      </c>
      <c r="HH175" s="1" t="s">
        <v>645</v>
      </c>
      <c r="HI175" s="1">
        <v>211</v>
      </c>
      <c r="HJ175" s="1">
        <v>214</v>
      </c>
      <c r="HK175" s="1">
        <v>220</v>
      </c>
      <c r="HL175" s="1">
        <v>214</v>
      </c>
      <c r="HO175" s="1" t="s">
        <v>644</v>
      </c>
    </row>
    <row r="176" spans="1:223" ht="12.75" customHeight="1" x14ac:dyDescent="0.25">
      <c r="A176" s="1" t="s">
        <v>27</v>
      </c>
      <c r="D176" s="1" t="s">
        <v>27</v>
      </c>
      <c r="E176" s="1" t="s">
        <v>126</v>
      </c>
      <c r="F176" s="1">
        <v>1</v>
      </c>
      <c r="G176" s="1">
        <v>2045</v>
      </c>
      <c r="H176" s="1">
        <v>1</v>
      </c>
      <c r="I176" s="1">
        <v>1</v>
      </c>
      <c r="J176" s="1">
        <v>0</v>
      </c>
      <c r="K176" s="19"/>
      <c r="L176" s="19"/>
      <c r="M176" s="19"/>
      <c r="N176" s="11">
        <v>652.06580029714189</v>
      </c>
      <c r="O176" s="11">
        <v>382.57735146585077</v>
      </c>
      <c r="P176" s="11">
        <v>921.55424912843307</v>
      </c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9"/>
      <c r="CR176" s="11">
        <v>123.51553904767511</v>
      </c>
      <c r="CS176" s="11">
        <v>54.539328930142247</v>
      </c>
      <c r="CT176" s="11">
        <v>192.49174916520795</v>
      </c>
      <c r="CU176" s="11">
        <f>Tabelle58971121[[#This Row],[Mindestauslastung durch]]*Tabelle58971121[[#This Row],[installierte Leistung MW durch]]</f>
        <v>525.61009164231439</v>
      </c>
      <c r="CV176" s="11">
        <f>Tabelle58971121[[#This Row],[Mindestauslastung min]]*Tabelle58971121[[#This Row],[installierte Leistung MW min]]</f>
        <v>329.56968322618354</v>
      </c>
      <c r="CW176" s="19">
        <f>Tabelle58971121[[#This Row],[Mindestauslastung max]]*Tabelle58971121[[#This Row],[installierte Leistung MW max]]</f>
        <v>763.53903728813555</v>
      </c>
      <c r="CX176" s="9">
        <v>0.38703843721039705</v>
      </c>
      <c r="CY176" s="9">
        <v>0.28682131772112796</v>
      </c>
      <c r="CZ176" s="9">
        <v>0.48725555669966603</v>
      </c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39">
        <v>0.86</v>
      </c>
      <c r="ED176" s="39">
        <v>0.83</v>
      </c>
      <c r="EE176" s="39">
        <v>0.89</v>
      </c>
      <c r="EF176" s="11">
        <f>Tabelle58971121[[#This Row],[Durchschnittsauslastung min]]*Tabelle58971121[[#This Row],[installierte Leistung MW min]]</f>
        <v>988.17594810052606</v>
      </c>
      <c r="EG176" s="11">
        <f>Tabelle58971121[[#This Row],[Durchschnittsauslastung durch]]*Tabelle58971121[[#This Row],[installierte Leistung MW durch]]</f>
        <v>1127.1655063705434</v>
      </c>
      <c r="EH176" s="46">
        <f>Tabelle58971121[[#This Row],[Durchschnittsauslastung max]]*Tabelle58971121[[#This Row],[installierte Leistung MW max]]</f>
        <v>1394.6474983050848</v>
      </c>
      <c r="EI176" s="83">
        <f>Tabelle58971121[[#This Row],[Maximalauslastung durch]]*Tabelle58971121[[#This Row],[installierte Leistung MW min]]</f>
        <v>1091.5897101110463</v>
      </c>
      <c r="EJ176" s="46">
        <f>Tabelle58971121[[#This Row],[Maximalauslastung durch]]*Tabelle58971121[[#This Row],[installierte Leistung MW durch]]</f>
        <v>1290.129194038574</v>
      </c>
      <c r="EK176" s="11">
        <f>Tabelle58971121[[#This Row],[Maximalauslastung max]]*Tabelle58971121[[#This Row],[installierte Leistung MW durch]]</f>
        <v>1303.7095013442429</v>
      </c>
      <c r="EL176" s="9">
        <v>0.95000000000000018</v>
      </c>
      <c r="EM176" s="9">
        <v>0.93999999999999984</v>
      </c>
      <c r="EN176" s="9">
        <v>0.96</v>
      </c>
      <c r="EO176" s="11">
        <v>1358.0307305669198</v>
      </c>
      <c r="EP176" s="11">
        <v>1149.0418001168907</v>
      </c>
      <c r="EQ176" s="11">
        <v>1567.0196610169492</v>
      </c>
      <c r="ER176" s="1">
        <v>0.23901531749475757</v>
      </c>
      <c r="ES176" s="1">
        <v>0</v>
      </c>
      <c r="ET176" s="54">
        <v>1</v>
      </c>
      <c r="EU176" s="1">
        <v>8.9371761922040299E-2</v>
      </c>
      <c r="EV176" s="1">
        <v>0</v>
      </c>
      <c r="EW176" s="54">
        <v>0.25</v>
      </c>
      <c r="EX176" s="1">
        <v>7.7070063694267521</v>
      </c>
      <c r="EY176" s="1">
        <v>4.8</v>
      </c>
      <c r="EZ176" s="54">
        <v>8.8000000000000007</v>
      </c>
      <c r="FA176" s="1">
        <v>7.7070063694267521</v>
      </c>
      <c r="FB176" s="1">
        <v>4.8</v>
      </c>
      <c r="FC176" s="54">
        <v>8.8000000000000007</v>
      </c>
      <c r="FD176" s="1">
        <v>3.7681528662420374</v>
      </c>
      <c r="FE176" s="1">
        <v>2.4</v>
      </c>
      <c r="FF176" s="54">
        <v>4.3</v>
      </c>
      <c r="FG176" s="1">
        <v>11.460509554140128</v>
      </c>
      <c r="FH176" s="1">
        <v>4.4830041483499468</v>
      </c>
      <c r="FI176" s="54">
        <v>4.4570699851453242</v>
      </c>
      <c r="FJ176" s="1">
        <v>4.4693929186096115</v>
      </c>
      <c r="FK176" s="1">
        <v>2.4</v>
      </c>
      <c r="FL176" s="54">
        <v>5.8</v>
      </c>
      <c r="FN176" s="1" t="s">
        <v>646</v>
      </c>
      <c r="FP176" s="1">
        <v>47.5</v>
      </c>
      <c r="FQ176" s="1">
        <v>35</v>
      </c>
      <c r="FR176" s="1">
        <v>60</v>
      </c>
      <c r="FS176" s="1">
        <v>0</v>
      </c>
      <c r="FT176" s="1">
        <v>0</v>
      </c>
      <c r="FU176" s="1">
        <v>0</v>
      </c>
      <c r="FV176" s="1">
        <v>117.5</v>
      </c>
      <c r="FW176" s="1">
        <v>60</v>
      </c>
      <c r="FX176" s="1">
        <v>175</v>
      </c>
      <c r="FY176" s="1">
        <v>0.20352941176470588</v>
      </c>
      <c r="FZ176" s="19">
        <v>0</v>
      </c>
      <c r="GA176" s="19">
        <v>0.40705882352941175</v>
      </c>
      <c r="GB176" s="19">
        <v>152.64705882352939</v>
      </c>
      <c r="GC176" s="8">
        <v>101.76470588235293</v>
      </c>
      <c r="GD176" s="8">
        <v>203.52941176470586</v>
      </c>
      <c r="GE176" s="8">
        <v>260.51764705882351</v>
      </c>
      <c r="GF176" s="8">
        <v>227.95294117647057</v>
      </c>
      <c r="GG176" s="8">
        <v>293.08235294117645</v>
      </c>
      <c r="GH176" s="8">
        <v>25.441176470588232</v>
      </c>
      <c r="GI176" s="8">
        <v>15.26470588235294</v>
      </c>
      <c r="GJ176" s="8">
        <v>35.617647058823529</v>
      </c>
      <c r="GK176" s="8">
        <v>485.41764705882349</v>
      </c>
      <c r="GL176" s="8">
        <v>281.88823529411764</v>
      </c>
      <c r="GM176" s="8">
        <v>688.94705882352935</v>
      </c>
      <c r="GN176" s="8">
        <v>0.10176470588235294</v>
      </c>
      <c r="GO176" s="8">
        <v>0</v>
      </c>
      <c r="GP176" s="8">
        <v>0.30529411764705883</v>
      </c>
      <c r="GS176" s="1">
        <v>220</v>
      </c>
      <c r="GT176" s="1">
        <v>220</v>
      </c>
      <c r="GV176" s="13" t="s">
        <v>643</v>
      </c>
      <c r="GW176" s="1" t="s">
        <v>643</v>
      </c>
      <c r="GX176" s="13">
        <v>182</v>
      </c>
      <c r="GY176" s="13"/>
      <c r="GZ176" s="13">
        <v>182</v>
      </c>
      <c r="HA176" s="13">
        <v>182</v>
      </c>
      <c r="HB176" s="1">
        <v>182</v>
      </c>
      <c r="HC176" s="13" t="s">
        <v>642</v>
      </c>
      <c r="HD176" s="13" t="s">
        <v>641</v>
      </c>
      <c r="HE176" s="1">
        <v>202</v>
      </c>
      <c r="HF176" s="1">
        <v>202</v>
      </c>
      <c r="HH176" s="1" t="s">
        <v>645</v>
      </c>
      <c r="HI176" s="1">
        <v>211</v>
      </c>
      <c r="HJ176" s="1">
        <v>214</v>
      </c>
      <c r="HK176" s="1">
        <v>220</v>
      </c>
      <c r="HL176" s="1">
        <v>214</v>
      </c>
      <c r="HO176" s="1" t="s">
        <v>644</v>
      </c>
    </row>
    <row r="177" spans="1:223" ht="12.75" customHeight="1" x14ac:dyDescent="0.25">
      <c r="A177" s="1" t="s">
        <v>27</v>
      </c>
      <c r="D177" s="1" t="s">
        <v>27</v>
      </c>
      <c r="E177" s="1" t="s">
        <v>126</v>
      </c>
      <c r="F177" s="1">
        <v>1</v>
      </c>
      <c r="G177" s="1">
        <v>2050</v>
      </c>
      <c r="H177" s="1">
        <v>1</v>
      </c>
      <c r="I177" s="1">
        <v>1</v>
      </c>
      <c r="J177" s="1">
        <v>0</v>
      </c>
      <c r="K177" s="19"/>
      <c r="L177" s="19"/>
      <c r="M177" s="19"/>
      <c r="N177" s="11">
        <v>625.85399650558657</v>
      </c>
      <c r="O177" s="11">
        <v>367.19847027449543</v>
      </c>
      <c r="P177" s="11">
        <v>884.5095227366777</v>
      </c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9"/>
      <c r="CR177" s="11">
        <v>118.55044952258343</v>
      </c>
      <c r="CS177" s="11">
        <v>52.34695173724463</v>
      </c>
      <c r="CT177" s="11">
        <v>184.75394730792223</v>
      </c>
      <c r="CU177" s="11">
        <f>Tabelle58971121[[#This Row],[Mindestauslastung durch]]*Tabelle58971121[[#This Row],[installierte Leistung MW durch]]</f>
        <v>504.25987726475751</v>
      </c>
      <c r="CV177" s="11">
        <f>Tabelle58971121[[#This Row],[Mindestauslastung min]]*Tabelle58971121[[#This Row],[installierte Leistung MW min]]</f>
        <v>316.33848743424898</v>
      </c>
      <c r="CW177" s="19">
        <f>Tabelle58971121[[#This Row],[Mindestauslastung max]]*Tabelle58971121[[#This Row],[installierte Leistung MW max]]</f>
        <v>732.31159322033898</v>
      </c>
      <c r="CX177" s="9">
        <v>0.38687602495133883</v>
      </c>
      <c r="CY177" s="9">
        <v>0.28684230692598894</v>
      </c>
      <c r="CZ177" s="9">
        <v>0.4869097429766886</v>
      </c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39">
        <v>0.86</v>
      </c>
      <c r="ED177" s="39">
        <v>0.83</v>
      </c>
      <c r="EE177" s="39">
        <v>0.89000000000000012</v>
      </c>
      <c r="EF177" s="11">
        <f>Tabelle58971121[[#This Row],[Durchschnittsauslastung min]]*Tabelle58971121[[#This Row],[installierte Leistung MW min]]</f>
        <v>948.43435791934542</v>
      </c>
      <c r="EG177" s="11">
        <f>Tabelle58971121[[#This Row],[Durchschnittsauslastung durch]]*Tabelle58971121[[#This Row],[installierte Leistung MW durch]]</f>
        <v>1081.8341565166568</v>
      </c>
      <c r="EH177" s="46">
        <f>Tabelle58971121[[#This Row],[Durchschnittsauslastung max]]*Tabelle58971121[[#This Row],[installierte Leistung MW max]]</f>
        <v>1338.5587932203391</v>
      </c>
      <c r="EI177" s="83">
        <f>Tabelle58971121[[#This Row],[Maximalauslastung durch]]*Tabelle58971121[[#This Row],[installierte Leistung MW min]]</f>
        <v>1047.6891163062539</v>
      </c>
      <c r="EJ177" s="46">
        <f>Tabelle58971121[[#This Row],[Maximalauslastung durch]]*Tabelle58971121[[#This Row],[installierte Leistung MW durch]]</f>
        <v>1238.2439140853305</v>
      </c>
      <c r="EK177" s="11">
        <f>Tabelle58971121[[#This Row],[Maximalauslastung max]]*Tabelle58971121[[#This Row],[installierte Leistung MW durch]]</f>
        <v>1251.2780605493863</v>
      </c>
      <c r="EL177" s="9">
        <v>0.95000000000000018</v>
      </c>
      <c r="EM177" s="9">
        <v>0.94</v>
      </c>
      <c r="EN177" s="9">
        <v>0.96</v>
      </c>
      <c r="EO177" s="11">
        <v>1303.4146464056107</v>
      </c>
      <c r="EP177" s="11">
        <v>1102.8306487434249</v>
      </c>
      <c r="EQ177" s="11">
        <v>1503.9986440677965</v>
      </c>
      <c r="ER177" s="1">
        <v>0.23920535629139186</v>
      </c>
      <c r="ES177" s="1">
        <v>0</v>
      </c>
      <c r="ET177" s="54">
        <v>1</v>
      </c>
      <c r="EU177" s="1">
        <v>8.9440709619684519E-2</v>
      </c>
      <c r="EV177" s="1">
        <v>0</v>
      </c>
      <c r="EW177" s="54">
        <v>0.25</v>
      </c>
      <c r="EX177" s="1">
        <v>7.7077260257176583</v>
      </c>
      <c r="EY177" s="1">
        <v>4.8</v>
      </c>
      <c r="EZ177" s="54">
        <v>8.8000000000000007</v>
      </c>
      <c r="FA177" s="1">
        <v>7.7077260257176583</v>
      </c>
      <c r="FB177" s="1">
        <v>4.8</v>
      </c>
      <c r="FC177" s="54">
        <v>8.8000000000000007</v>
      </c>
      <c r="FD177" s="1">
        <v>3.7684767115729461</v>
      </c>
      <c r="FE177" s="1">
        <v>2.4</v>
      </c>
      <c r="FF177" s="54">
        <v>4.3</v>
      </c>
      <c r="FG177" s="1">
        <v>11.461589038576488</v>
      </c>
      <c r="FH177" s="1">
        <v>4.4829694604792154</v>
      </c>
      <c r="FI177" s="54">
        <v>4.4570418832875749</v>
      </c>
      <c r="FJ177" s="1">
        <v>4.4693641086946529</v>
      </c>
      <c r="FK177" s="1">
        <v>2.4</v>
      </c>
      <c r="FL177" s="54">
        <v>5.8</v>
      </c>
      <c r="FN177" s="1" t="s">
        <v>646</v>
      </c>
      <c r="FP177" s="1">
        <v>47.5</v>
      </c>
      <c r="FQ177" s="1">
        <v>35</v>
      </c>
      <c r="FR177" s="1">
        <v>60</v>
      </c>
      <c r="FS177" s="1">
        <v>0</v>
      </c>
      <c r="FT177" s="1">
        <v>0</v>
      </c>
      <c r="FU177" s="1">
        <v>0</v>
      </c>
      <c r="FV177" s="1">
        <v>117.5</v>
      </c>
      <c r="FW177" s="1">
        <v>60</v>
      </c>
      <c r="FX177" s="1">
        <v>175</v>
      </c>
      <c r="FY177" s="1">
        <v>0.20352941176470588</v>
      </c>
      <c r="FZ177" s="19">
        <v>0</v>
      </c>
      <c r="GA177" s="19">
        <v>0.40705882352941175</v>
      </c>
      <c r="GB177" s="19">
        <v>152.64705882352939</v>
      </c>
      <c r="GC177" s="8">
        <v>101.76470588235293</v>
      </c>
      <c r="GD177" s="8">
        <v>203.52941176470586</v>
      </c>
      <c r="GE177" s="8">
        <v>260.51764705882351</v>
      </c>
      <c r="GF177" s="8">
        <v>227.95294117647057</v>
      </c>
      <c r="GG177" s="8">
        <v>293.08235294117645</v>
      </c>
      <c r="GH177" s="8">
        <v>25.441176470588232</v>
      </c>
      <c r="GI177" s="8">
        <v>15.26470588235294</v>
      </c>
      <c r="GJ177" s="8">
        <v>35.617647058823529</v>
      </c>
      <c r="GK177" s="8">
        <v>485.41764705882349</v>
      </c>
      <c r="GL177" s="8">
        <v>281.88823529411764</v>
      </c>
      <c r="GM177" s="8">
        <v>688.94705882352935</v>
      </c>
      <c r="GN177" s="8">
        <v>0.10176470588235294</v>
      </c>
      <c r="GO177" s="8">
        <v>0</v>
      </c>
      <c r="GP177" s="8">
        <v>0.30529411764705883</v>
      </c>
      <c r="GS177" s="1">
        <v>220</v>
      </c>
      <c r="GT177" s="1">
        <v>220</v>
      </c>
      <c r="GV177" s="13" t="s">
        <v>643</v>
      </c>
      <c r="GW177" s="1" t="s">
        <v>643</v>
      </c>
      <c r="GX177" s="13">
        <v>182</v>
      </c>
      <c r="GY177" s="13"/>
      <c r="GZ177" s="13">
        <v>182</v>
      </c>
      <c r="HA177" s="13">
        <v>182</v>
      </c>
      <c r="HB177" s="1">
        <v>182</v>
      </c>
      <c r="HC177" s="13" t="s">
        <v>642</v>
      </c>
      <c r="HD177" s="13" t="s">
        <v>641</v>
      </c>
      <c r="HE177" s="1">
        <v>202</v>
      </c>
      <c r="HF177" s="1">
        <v>202</v>
      </c>
      <c r="HH177" s="1" t="s">
        <v>645</v>
      </c>
      <c r="HI177" s="1">
        <v>211</v>
      </c>
      <c r="HJ177" s="1">
        <v>214</v>
      </c>
      <c r="HK177" s="1">
        <v>220</v>
      </c>
      <c r="HL177" s="1">
        <v>214</v>
      </c>
      <c r="HO177" s="1" t="s">
        <v>644</v>
      </c>
    </row>
    <row r="178" spans="1:223" ht="12.75" customHeight="1" x14ac:dyDescent="0.25">
      <c r="A178" s="1" t="s">
        <v>81</v>
      </c>
      <c r="D178" s="1" t="s">
        <v>577</v>
      </c>
      <c r="E178" s="1" t="s">
        <v>126</v>
      </c>
      <c r="F178" s="1">
        <v>1</v>
      </c>
      <c r="G178" s="1">
        <v>2050</v>
      </c>
      <c r="H178" s="1">
        <v>1</v>
      </c>
      <c r="I178" s="1">
        <v>1</v>
      </c>
      <c r="J178" s="1">
        <v>0</v>
      </c>
      <c r="K178" s="19"/>
      <c r="L178" s="19"/>
      <c r="M178" s="19"/>
      <c r="N178" s="11">
        <v>1102</v>
      </c>
      <c r="O178" s="11">
        <v>1038</v>
      </c>
      <c r="P178" s="11">
        <v>1166</v>
      </c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9"/>
      <c r="CR178" s="11">
        <v>127</v>
      </c>
      <c r="CS178" s="11">
        <v>0</v>
      </c>
      <c r="CT178" s="11">
        <v>254</v>
      </c>
      <c r="CU178" s="11">
        <f>Tabelle58971121[[#This Row],[Mindestauslastung durch]]*Tabelle58971121[[#This Row],[installierte Leistung MW durch]]</f>
        <v>0</v>
      </c>
      <c r="CV178" s="11">
        <f>Tabelle58971121[[#This Row],[Mindestauslastung min]]*Tabelle58971121[[#This Row],[installierte Leistung MW min]]</f>
        <v>0</v>
      </c>
      <c r="CW178" s="19">
        <f>Tabelle58971121[[#This Row],[Mindestauslastung max]]*Tabelle58971121[[#This Row],[installierte Leistung MW max]]</f>
        <v>0</v>
      </c>
      <c r="CX178" s="9">
        <v>0</v>
      </c>
      <c r="CY178" s="9">
        <v>0</v>
      </c>
      <c r="CZ178" s="9">
        <v>0</v>
      </c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39">
        <v>0.52</v>
      </c>
      <c r="ED178" s="39">
        <v>0.49</v>
      </c>
      <c r="EE178" s="39">
        <v>0.55000000000000004</v>
      </c>
      <c r="EF178" s="11">
        <f>Tabelle58971121[[#This Row],[Durchschnittsauslastung min]]*Tabelle58971121[[#This Row],[installierte Leistung MW min]]</f>
        <v>1102.4000000000001</v>
      </c>
      <c r="EG178" s="11">
        <f>Tabelle58971121[[#This Row],[Durchschnittsauslastung durch]]*Tabelle58971121[[#This Row],[installierte Leistung MW durch]]</f>
        <v>1038.8</v>
      </c>
      <c r="EH178" s="46">
        <f>Tabelle58971121[[#This Row],[Durchschnittsauslastung max]]*Tabelle58971121[[#This Row],[installierte Leistung MW max]]</f>
        <v>1166</v>
      </c>
      <c r="EI178" s="83">
        <f>Tabelle58971121[[#This Row],[Maximalauslastung durch]]*Tabelle58971121[[#This Row],[installierte Leistung MW min]]</f>
        <v>1229.5999999999999</v>
      </c>
      <c r="EJ178" s="46">
        <f>Tabelle58971121[[#This Row],[Maximalauslastung durch]]*Tabelle58971121[[#This Row],[installierte Leistung MW durch]]</f>
        <v>1229.5999999999999</v>
      </c>
      <c r="EK178" s="11">
        <f>Tabelle58971121[[#This Row],[Maximalauslastung max]]*Tabelle58971121[[#This Row],[installierte Leistung MW durch]]</f>
        <v>1293.2</v>
      </c>
      <c r="EL178" s="9">
        <v>0.57999999999999996</v>
      </c>
      <c r="EM178" s="9">
        <v>0.55000000000000004</v>
      </c>
      <c r="EN178" s="9">
        <v>0.61</v>
      </c>
      <c r="EO178" s="11">
        <v>2120</v>
      </c>
      <c r="EP178" s="11">
        <v>2120</v>
      </c>
      <c r="EQ178" s="11">
        <v>2120</v>
      </c>
      <c r="ER178" s="1">
        <v>0.762625</v>
      </c>
      <c r="ES178" s="1">
        <v>2.7777777777777778E-4</v>
      </c>
      <c r="ET178" s="54">
        <v>3</v>
      </c>
      <c r="EU178" s="1">
        <v>1.3888888888888889E-4</v>
      </c>
      <c r="EV178" s="1">
        <v>0</v>
      </c>
      <c r="EW178" s="54">
        <v>2.7777777777777778E-4</v>
      </c>
      <c r="EX178" s="1">
        <v>3.7</v>
      </c>
      <c r="EY178" s="1">
        <v>3.3000000000000003</v>
      </c>
      <c r="EZ178" s="54">
        <v>4.1000000000000005</v>
      </c>
      <c r="FA178" s="1">
        <v>3.7</v>
      </c>
      <c r="FB178" s="1">
        <v>3.3000000000000003</v>
      </c>
      <c r="FC178" s="54">
        <v>4.1000000000000005</v>
      </c>
      <c r="FD178" s="1">
        <v>1</v>
      </c>
      <c r="FE178" s="1">
        <v>0.9</v>
      </c>
      <c r="FF178" s="54">
        <v>1.1000000000000001</v>
      </c>
      <c r="FG178" s="1">
        <v>4.7</v>
      </c>
      <c r="FH178" s="1">
        <v>4.7</v>
      </c>
      <c r="FI178" s="54">
        <v>4.7</v>
      </c>
      <c r="FJ178" s="1">
        <v>1.1000000000000001</v>
      </c>
      <c r="FK178" s="1">
        <v>0.90000000000000013</v>
      </c>
      <c r="FL178" s="54">
        <v>1.3</v>
      </c>
      <c r="FN178" s="1" t="s">
        <v>646</v>
      </c>
      <c r="FP178" s="1">
        <v>50</v>
      </c>
      <c r="FQ178" s="1">
        <v>20</v>
      </c>
      <c r="FR178" s="1">
        <v>80</v>
      </c>
      <c r="FS178" s="1">
        <v>0</v>
      </c>
      <c r="FT178" s="1">
        <v>0</v>
      </c>
      <c r="FU178" s="1">
        <v>0</v>
      </c>
      <c r="FV178" s="1">
        <v>4000</v>
      </c>
      <c r="FW178" s="1">
        <v>3800</v>
      </c>
      <c r="FX178" s="1">
        <v>4200</v>
      </c>
      <c r="FY178" s="1">
        <v>0.61058823529411754</v>
      </c>
      <c r="FZ178" s="19">
        <v>0.10176470588235291</v>
      </c>
      <c r="GA178" s="19">
        <v>1.1194117647058823</v>
      </c>
      <c r="GB178" s="19">
        <v>274.76470588235293</v>
      </c>
      <c r="GC178" s="8">
        <v>183.17647058823528</v>
      </c>
      <c r="GD178" s="8">
        <v>366.35294117647055</v>
      </c>
      <c r="GE178" s="8">
        <v>573.95294117647052</v>
      </c>
      <c r="GF178" s="8">
        <v>534.26470588235293</v>
      </c>
      <c r="GG178" s="8">
        <v>613.64117647058822</v>
      </c>
      <c r="GH178" s="8">
        <v>33.582352941176467</v>
      </c>
      <c r="GI178" s="8">
        <v>33.582352941176467</v>
      </c>
      <c r="GJ178" s="8">
        <v>33.582352941176467</v>
      </c>
      <c r="GK178" s="8">
        <v>101.76470588235293</v>
      </c>
      <c r="GL178" s="8">
        <v>50.882352941176464</v>
      </c>
      <c r="GM178" s="8">
        <v>152.64705882352939</v>
      </c>
      <c r="GN178" s="8">
        <v>2.8494117647058821</v>
      </c>
      <c r="GO178" s="8">
        <v>1.1194117647058821</v>
      </c>
      <c r="GP178" s="8">
        <v>4.5794117647058821</v>
      </c>
      <c r="GS178" s="1">
        <v>220</v>
      </c>
      <c r="GT178" s="1">
        <v>220</v>
      </c>
      <c r="GV178" s="13" t="s">
        <v>643</v>
      </c>
      <c r="GW178" s="1" t="s">
        <v>643</v>
      </c>
      <c r="GX178" s="13">
        <v>182</v>
      </c>
      <c r="GY178" s="13"/>
      <c r="GZ178" s="13">
        <v>182</v>
      </c>
      <c r="HA178" s="13">
        <v>182</v>
      </c>
      <c r="HB178" s="1">
        <v>182</v>
      </c>
      <c r="HC178" s="13" t="s">
        <v>642</v>
      </c>
      <c r="HD178" s="13" t="s">
        <v>641</v>
      </c>
      <c r="HE178" s="1">
        <v>202</v>
      </c>
      <c r="HF178" s="1">
        <v>202</v>
      </c>
      <c r="HH178" s="1" t="s">
        <v>645</v>
      </c>
      <c r="HI178" s="1">
        <v>211</v>
      </c>
      <c r="HJ178" s="1">
        <v>214</v>
      </c>
      <c r="HK178" s="1">
        <v>220</v>
      </c>
      <c r="HL178" s="1">
        <v>214</v>
      </c>
      <c r="HO178" s="1" t="s">
        <v>644</v>
      </c>
    </row>
    <row r="179" spans="1:223" ht="12.75" customHeight="1" x14ac:dyDescent="0.25">
      <c r="A179" s="1" t="s">
        <v>81</v>
      </c>
      <c r="D179" s="1" t="s">
        <v>577</v>
      </c>
      <c r="E179" s="1" t="s">
        <v>126</v>
      </c>
      <c r="F179" s="1">
        <v>1</v>
      </c>
      <c r="G179" s="1">
        <v>2015</v>
      </c>
      <c r="H179" s="1">
        <v>1</v>
      </c>
      <c r="I179" s="1">
        <v>1</v>
      </c>
      <c r="J179" s="1">
        <v>0</v>
      </c>
      <c r="K179" s="19"/>
      <c r="L179" s="19"/>
      <c r="M179" s="19"/>
      <c r="N179" s="11">
        <v>1102</v>
      </c>
      <c r="O179" s="11">
        <v>1038</v>
      </c>
      <c r="P179" s="11">
        <v>1166</v>
      </c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9"/>
      <c r="CR179" s="11">
        <v>127</v>
      </c>
      <c r="CS179" s="11">
        <v>0</v>
      </c>
      <c r="CT179" s="11">
        <v>254</v>
      </c>
      <c r="CU179" s="11">
        <f>Tabelle58971121[[#This Row],[Mindestauslastung durch]]*Tabelle58971121[[#This Row],[installierte Leistung MW durch]]</f>
        <v>0</v>
      </c>
      <c r="CV179" s="11">
        <f>Tabelle58971121[[#This Row],[Mindestauslastung min]]*Tabelle58971121[[#This Row],[installierte Leistung MW min]]</f>
        <v>0</v>
      </c>
      <c r="CW179" s="19">
        <f>Tabelle58971121[[#This Row],[Mindestauslastung max]]*Tabelle58971121[[#This Row],[installierte Leistung MW max]]</f>
        <v>0</v>
      </c>
      <c r="CX179" s="9">
        <v>0</v>
      </c>
      <c r="CY179" s="9">
        <v>0</v>
      </c>
      <c r="CZ179" s="9">
        <v>0</v>
      </c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39">
        <v>0.52</v>
      </c>
      <c r="ED179" s="39">
        <v>0.49</v>
      </c>
      <c r="EE179" s="39">
        <v>0.55000000000000004</v>
      </c>
      <c r="EF179" s="11">
        <f>Tabelle58971121[[#This Row],[Durchschnittsauslastung min]]*Tabelle58971121[[#This Row],[installierte Leistung MW min]]</f>
        <v>1102.4000000000001</v>
      </c>
      <c r="EG179" s="11">
        <f>Tabelle58971121[[#This Row],[Durchschnittsauslastung durch]]*Tabelle58971121[[#This Row],[installierte Leistung MW durch]]</f>
        <v>1038.8</v>
      </c>
      <c r="EH179" s="46">
        <f>Tabelle58971121[[#This Row],[Durchschnittsauslastung max]]*Tabelle58971121[[#This Row],[installierte Leistung MW max]]</f>
        <v>1166</v>
      </c>
      <c r="EI179" s="83">
        <f>Tabelle58971121[[#This Row],[Maximalauslastung durch]]*Tabelle58971121[[#This Row],[installierte Leistung MW min]]</f>
        <v>1229.5999999999999</v>
      </c>
      <c r="EJ179" s="46">
        <f>Tabelle58971121[[#This Row],[Maximalauslastung durch]]*Tabelle58971121[[#This Row],[installierte Leistung MW durch]]</f>
        <v>1229.5999999999999</v>
      </c>
      <c r="EK179" s="11">
        <f>Tabelle58971121[[#This Row],[Maximalauslastung max]]*Tabelle58971121[[#This Row],[installierte Leistung MW durch]]</f>
        <v>1293.2</v>
      </c>
      <c r="EL179" s="9">
        <v>0.57999999999999996</v>
      </c>
      <c r="EM179" s="9">
        <v>0.55000000000000004</v>
      </c>
      <c r="EN179" s="9">
        <v>0.61</v>
      </c>
      <c r="EO179" s="11">
        <v>2120</v>
      </c>
      <c r="EP179" s="11">
        <v>2120</v>
      </c>
      <c r="EQ179" s="11">
        <v>2120</v>
      </c>
      <c r="ER179" s="1">
        <v>0.762625</v>
      </c>
      <c r="ES179" s="1">
        <v>2.7777777777777778E-4</v>
      </c>
      <c r="ET179" s="54">
        <v>3</v>
      </c>
      <c r="EU179" s="1">
        <v>1.3888888888888889E-4</v>
      </c>
      <c r="EV179" s="1">
        <v>0</v>
      </c>
      <c r="EW179" s="54">
        <v>2.7777777777777778E-4</v>
      </c>
      <c r="EX179" s="1">
        <v>3.7</v>
      </c>
      <c r="EY179" s="1">
        <v>3.3000000000000003</v>
      </c>
      <c r="EZ179" s="54">
        <v>4.1000000000000005</v>
      </c>
      <c r="FA179" s="1">
        <v>3.7</v>
      </c>
      <c r="FB179" s="1">
        <v>3.3000000000000003</v>
      </c>
      <c r="FC179" s="54">
        <v>4.1000000000000005</v>
      </c>
      <c r="FD179" s="1">
        <v>1</v>
      </c>
      <c r="FE179" s="1">
        <v>0.9</v>
      </c>
      <c r="FF179" s="54">
        <v>1.1000000000000001</v>
      </c>
      <c r="FG179" s="1">
        <v>4.7</v>
      </c>
      <c r="FH179" s="1">
        <v>4.7</v>
      </c>
      <c r="FI179" s="54">
        <v>4.7</v>
      </c>
      <c r="FJ179" s="1">
        <v>1.1000000000000001</v>
      </c>
      <c r="FK179" s="1">
        <v>0.90000000000000013</v>
      </c>
      <c r="FL179" s="54">
        <v>1.3</v>
      </c>
      <c r="FN179" s="1" t="s">
        <v>646</v>
      </c>
      <c r="FP179" s="1">
        <v>50</v>
      </c>
      <c r="FQ179" s="1">
        <v>20</v>
      </c>
      <c r="FR179" s="1">
        <v>80</v>
      </c>
      <c r="FS179" s="1">
        <v>0</v>
      </c>
      <c r="FT179" s="1">
        <v>0</v>
      </c>
      <c r="FU179" s="1">
        <v>0</v>
      </c>
      <c r="FV179" s="1">
        <v>4000</v>
      </c>
      <c r="FW179" s="1">
        <v>3800</v>
      </c>
      <c r="FX179" s="1">
        <v>4200</v>
      </c>
      <c r="FY179" s="1">
        <v>0.61058823529411754</v>
      </c>
      <c r="FZ179" s="19">
        <v>0.10176470588235291</v>
      </c>
      <c r="GA179" s="19">
        <v>1.1194117647058823</v>
      </c>
      <c r="GB179" s="19">
        <v>274.76470588235293</v>
      </c>
      <c r="GC179" s="8">
        <v>183.17647058823528</v>
      </c>
      <c r="GD179" s="8">
        <v>366.35294117647055</v>
      </c>
      <c r="GE179" s="8">
        <v>573.95294117647052</v>
      </c>
      <c r="GF179" s="8">
        <v>534.26470588235293</v>
      </c>
      <c r="GG179" s="8">
        <v>613.64117647058822</v>
      </c>
      <c r="GH179" s="8">
        <v>33.582352941176467</v>
      </c>
      <c r="GI179" s="8">
        <v>33.582352941176467</v>
      </c>
      <c r="GJ179" s="8">
        <v>33.582352941176467</v>
      </c>
      <c r="GK179" s="8">
        <v>101.76470588235293</v>
      </c>
      <c r="GL179" s="8">
        <v>50.882352941176464</v>
      </c>
      <c r="GM179" s="8">
        <v>152.64705882352939</v>
      </c>
      <c r="GN179" s="8">
        <v>2.8494117647058821</v>
      </c>
      <c r="GO179" s="8">
        <v>1.1194117647058821</v>
      </c>
      <c r="GP179" s="8">
        <v>4.5794117647058821</v>
      </c>
      <c r="GS179" s="1">
        <v>220</v>
      </c>
      <c r="GT179" s="1">
        <v>220</v>
      </c>
      <c r="GV179" s="13" t="s">
        <v>643</v>
      </c>
      <c r="GW179" s="1" t="s">
        <v>643</v>
      </c>
      <c r="GX179" s="13">
        <v>182</v>
      </c>
      <c r="GY179" s="13"/>
      <c r="GZ179" s="13">
        <v>182</v>
      </c>
      <c r="HA179" s="13">
        <v>182</v>
      </c>
      <c r="HB179" s="1">
        <v>182</v>
      </c>
      <c r="HC179" s="13" t="s">
        <v>642</v>
      </c>
      <c r="HD179" s="13" t="s">
        <v>641</v>
      </c>
      <c r="HE179" s="1">
        <v>202</v>
      </c>
      <c r="HF179" s="1">
        <v>202</v>
      </c>
      <c r="HH179" s="1" t="s">
        <v>645</v>
      </c>
      <c r="HI179" s="1">
        <v>211</v>
      </c>
      <c r="HJ179" s="1">
        <v>214</v>
      </c>
      <c r="HK179" s="1">
        <v>220</v>
      </c>
      <c r="HL179" s="1">
        <v>214</v>
      </c>
      <c r="HO179" s="1" t="s">
        <v>644</v>
      </c>
    </row>
    <row r="180" spans="1:223" ht="12.75" customHeight="1" x14ac:dyDescent="0.25">
      <c r="A180" s="1" t="s">
        <v>81</v>
      </c>
      <c r="D180" s="1" t="s">
        <v>577</v>
      </c>
      <c r="E180" s="1" t="s">
        <v>126</v>
      </c>
      <c r="F180" s="1">
        <v>1</v>
      </c>
      <c r="G180" s="1">
        <v>2020</v>
      </c>
      <c r="H180" s="1">
        <v>1</v>
      </c>
      <c r="I180" s="1">
        <v>1</v>
      </c>
      <c r="J180" s="1">
        <v>0</v>
      </c>
      <c r="K180" s="19"/>
      <c r="L180" s="19"/>
      <c r="M180" s="19"/>
      <c r="N180" s="11">
        <v>1102</v>
      </c>
      <c r="O180" s="11">
        <v>1038</v>
      </c>
      <c r="P180" s="11">
        <v>1166</v>
      </c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9"/>
      <c r="CR180" s="11">
        <v>127</v>
      </c>
      <c r="CS180" s="11">
        <v>0</v>
      </c>
      <c r="CT180" s="11">
        <v>254</v>
      </c>
      <c r="CU180" s="11">
        <f>Tabelle58971121[[#This Row],[Mindestauslastung durch]]*Tabelle58971121[[#This Row],[installierte Leistung MW durch]]</f>
        <v>0</v>
      </c>
      <c r="CV180" s="11">
        <f>Tabelle58971121[[#This Row],[Mindestauslastung min]]*Tabelle58971121[[#This Row],[installierte Leistung MW min]]</f>
        <v>0</v>
      </c>
      <c r="CW180" s="19">
        <f>Tabelle58971121[[#This Row],[Mindestauslastung max]]*Tabelle58971121[[#This Row],[installierte Leistung MW max]]</f>
        <v>0</v>
      </c>
      <c r="CX180" s="9">
        <v>0</v>
      </c>
      <c r="CY180" s="9">
        <v>0</v>
      </c>
      <c r="CZ180" s="9">
        <v>0</v>
      </c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39">
        <v>0.52</v>
      </c>
      <c r="ED180" s="39">
        <v>0.49</v>
      </c>
      <c r="EE180" s="39">
        <v>0.55000000000000004</v>
      </c>
      <c r="EF180" s="11">
        <f>Tabelle58971121[[#This Row],[Durchschnittsauslastung min]]*Tabelle58971121[[#This Row],[installierte Leistung MW min]]</f>
        <v>1102.4000000000001</v>
      </c>
      <c r="EG180" s="11">
        <f>Tabelle58971121[[#This Row],[Durchschnittsauslastung durch]]*Tabelle58971121[[#This Row],[installierte Leistung MW durch]]</f>
        <v>1038.8</v>
      </c>
      <c r="EH180" s="46">
        <f>Tabelle58971121[[#This Row],[Durchschnittsauslastung max]]*Tabelle58971121[[#This Row],[installierte Leistung MW max]]</f>
        <v>1166</v>
      </c>
      <c r="EI180" s="83">
        <f>Tabelle58971121[[#This Row],[Maximalauslastung durch]]*Tabelle58971121[[#This Row],[installierte Leistung MW min]]</f>
        <v>1229.5999999999999</v>
      </c>
      <c r="EJ180" s="46">
        <f>Tabelle58971121[[#This Row],[Maximalauslastung durch]]*Tabelle58971121[[#This Row],[installierte Leistung MW durch]]</f>
        <v>1229.5999999999999</v>
      </c>
      <c r="EK180" s="11">
        <f>Tabelle58971121[[#This Row],[Maximalauslastung max]]*Tabelle58971121[[#This Row],[installierte Leistung MW durch]]</f>
        <v>1293.2</v>
      </c>
      <c r="EL180" s="9">
        <v>0.57999999999999996</v>
      </c>
      <c r="EM180" s="9">
        <v>0.55000000000000004</v>
      </c>
      <c r="EN180" s="9">
        <v>0.61</v>
      </c>
      <c r="EO180" s="11">
        <v>2120</v>
      </c>
      <c r="EP180" s="11">
        <v>2120</v>
      </c>
      <c r="EQ180" s="11">
        <v>2120</v>
      </c>
      <c r="ER180" s="1">
        <v>0.762625</v>
      </c>
      <c r="ES180" s="1">
        <v>2.7777777777777778E-4</v>
      </c>
      <c r="ET180" s="54">
        <v>3</v>
      </c>
      <c r="EU180" s="1">
        <v>1.3888888888888889E-4</v>
      </c>
      <c r="EV180" s="1">
        <v>0</v>
      </c>
      <c r="EW180" s="54">
        <v>2.7777777777777778E-4</v>
      </c>
      <c r="EX180" s="1">
        <v>3.7</v>
      </c>
      <c r="EY180" s="1">
        <v>3.3000000000000003</v>
      </c>
      <c r="EZ180" s="54">
        <v>4.1000000000000005</v>
      </c>
      <c r="FA180" s="1">
        <v>3.7</v>
      </c>
      <c r="FB180" s="1">
        <v>3.3000000000000003</v>
      </c>
      <c r="FC180" s="54">
        <v>4.1000000000000005</v>
      </c>
      <c r="FD180" s="1">
        <v>1</v>
      </c>
      <c r="FE180" s="1">
        <v>0.9</v>
      </c>
      <c r="FF180" s="54">
        <v>1.1000000000000001</v>
      </c>
      <c r="FG180" s="1">
        <v>4.7</v>
      </c>
      <c r="FH180" s="1">
        <v>4.7</v>
      </c>
      <c r="FI180" s="54">
        <v>4.7</v>
      </c>
      <c r="FJ180" s="1">
        <v>1.1000000000000001</v>
      </c>
      <c r="FK180" s="1">
        <v>0.90000000000000013</v>
      </c>
      <c r="FL180" s="54">
        <v>1.3</v>
      </c>
      <c r="FN180" s="1" t="s">
        <v>646</v>
      </c>
      <c r="FP180" s="1">
        <v>50</v>
      </c>
      <c r="FQ180" s="1">
        <v>20</v>
      </c>
      <c r="FR180" s="1">
        <v>80</v>
      </c>
      <c r="FS180" s="1">
        <v>0</v>
      </c>
      <c r="FT180" s="1">
        <v>0</v>
      </c>
      <c r="FU180" s="1">
        <v>0</v>
      </c>
      <c r="FV180" s="1">
        <v>4000</v>
      </c>
      <c r="FW180" s="1">
        <v>3800</v>
      </c>
      <c r="FX180" s="1">
        <v>4200</v>
      </c>
      <c r="FY180" s="1">
        <v>0.61058823529411754</v>
      </c>
      <c r="FZ180" s="19">
        <v>0.10176470588235291</v>
      </c>
      <c r="GA180" s="19">
        <v>1.1194117647058823</v>
      </c>
      <c r="GB180" s="19">
        <v>274.76470588235293</v>
      </c>
      <c r="GC180" s="8">
        <v>183.17647058823528</v>
      </c>
      <c r="GD180" s="8">
        <v>366.35294117647055</v>
      </c>
      <c r="GE180" s="8">
        <v>573.95294117647052</v>
      </c>
      <c r="GF180" s="8">
        <v>534.26470588235293</v>
      </c>
      <c r="GG180" s="8">
        <v>613.64117647058822</v>
      </c>
      <c r="GH180" s="8">
        <v>33.582352941176467</v>
      </c>
      <c r="GI180" s="8">
        <v>33.582352941176467</v>
      </c>
      <c r="GJ180" s="8">
        <v>33.582352941176467</v>
      </c>
      <c r="GK180" s="8">
        <v>101.76470588235293</v>
      </c>
      <c r="GL180" s="8">
        <v>50.882352941176464</v>
      </c>
      <c r="GM180" s="8">
        <v>152.64705882352939</v>
      </c>
      <c r="GN180" s="8">
        <v>2.8494117647058821</v>
      </c>
      <c r="GO180" s="8">
        <v>1.1194117647058821</v>
      </c>
      <c r="GP180" s="8">
        <v>4.5794117647058821</v>
      </c>
      <c r="GS180" s="1">
        <v>220</v>
      </c>
      <c r="GT180" s="1">
        <v>220</v>
      </c>
      <c r="GV180" s="13" t="s">
        <v>643</v>
      </c>
      <c r="GW180" s="1" t="s">
        <v>643</v>
      </c>
      <c r="GX180" s="13">
        <v>182</v>
      </c>
      <c r="GY180" s="13"/>
      <c r="GZ180" s="13">
        <v>182</v>
      </c>
      <c r="HA180" s="13">
        <v>182</v>
      </c>
      <c r="HB180" s="1">
        <v>182</v>
      </c>
      <c r="HC180" s="13" t="s">
        <v>642</v>
      </c>
      <c r="HD180" s="13" t="s">
        <v>641</v>
      </c>
      <c r="HE180" s="1">
        <v>202</v>
      </c>
      <c r="HF180" s="1">
        <v>202</v>
      </c>
      <c r="HH180" s="1" t="s">
        <v>645</v>
      </c>
      <c r="HI180" s="1">
        <v>211</v>
      </c>
      <c r="HJ180" s="1">
        <v>214</v>
      </c>
      <c r="HK180" s="1">
        <v>220</v>
      </c>
      <c r="HL180" s="1">
        <v>214</v>
      </c>
      <c r="HO180" s="1" t="s">
        <v>644</v>
      </c>
    </row>
    <row r="181" spans="1:223" ht="12.75" customHeight="1" x14ac:dyDescent="0.25">
      <c r="A181" s="1" t="s">
        <v>81</v>
      </c>
      <c r="D181" s="1" t="s">
        <v>577</v>
      </c>
      <c r="E181" s="1" t="s">
        <v>126</v>
      </c>
      <c r="F181" s="1">
        <v>1</v>
      </c>
      <c r="G181" s="1">
        <v>2025</v>
      </c>
      <c r="H181" s="1">
        <v>1</v>
      </c>
      <c r="I181" s="1">
        <v>1</v>
      </c>
      <c r="J181" s="1">
        <v>0</v>
      </c>
      <c r="K181" s="19"/>
      <c r="L181" s="19"/>
      <c r="M181" s="19"/>
      <c r="N181" s="11">
        <v>1223.22</v>
      </c>
      <c r="O181" s="11">
        <v>1152.18</v>
      </c>
      <c r="P181" s="11">
        <v>1294.2600000000002</v>
      </c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9"/>
      <c r="CR181" s="11">
        <v>140.97</v>
      </c>
      <c r="CS181" s="11">
        <v>0</v>
      </c>
      <c r="CT181" s="11">
        <v>281.94</v>
      </c>
      <c r="CU181" s="11">
        <f>Tabelle58971121[[#This Row],[Mindestauslastung durch]]*Tabelle58971121[[#This Row],[installierte Leistung MW durch]]</f>
        <v>0</v>
      </c>
      <c r="CV181" s="11">
        <f>Tabelle58971121[[#This Row],[Mindestauslastung min]]*Tabelle58971121[[#This Row],[installierte Leistung MW min]]</f>
        <v>0</v>
      </c>
      <c r="CW181" s="19">
        <f>Tabelle58971121[[#This Row],[Mindestauslastung max]]*Tabelle58971121[[#This Row],[installierte Leistung MW max]]</f>
        <v>0</v>
      </c>
      <c r="CX181" s="9">
        <v>0</v>
      </c>
      <c r="CY181" s="9">
        <v>0</v>
      </c>
      <c r="CZ181" s="9">
        <v>0</v>
      </c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39">
        <v>0.52</v>
      </c>
      <c r="ED181" s="39">
        <v>0.49</v>
      </c>
      <c r="EE181" s="39">
        <v>0.55000000000000004</v>
      </c>
      <c r="EF181" s="11">
        <f>Tabelle58971121[[#This Row],[Durchschnittsauslastung min]]*Tabelle58971121[[#This Row],[installierte Leistung MW min]]</f>
        <v>1223.6640000000002</v>
      </c>
      <c r="EG181" s="11">
        <f>Tabelle58971121[[#This Row],[Durchschnittsauslastung durch]]*Tabelle58971121[[#This Row],[installierte Leistung MW durch]]</f>
        <v>1153.0680000000002</v>
      </c>
      <c r="EH181" s="46">
        <f>Tabelle58971121[[#This Row],[Durchschnittsauslastung max]]*Tabelle58971121[[#This Row],[installierte Leistung MW max]]</f>
        <v>1294.2600000000002</v>
      </c>
      <c r="EI181" s="83">
        <f>Tabelle58971121[[#This Row],[Maximalauslastung durch]]*Tabelle58971121[[#This Row],[installierte Leistung MW min]]</f>
        <v>1364.856</v>
      </c>
      <c r="EJ181" s="46">
        <f>Tabelle58971121[[#This Row],[Maximalauslastung durch]]*Tabelle58971121[[#This Row],[installierte Leistung MW durch]]</f>
        <v>1364.856</v>
      </c>
      <c r="EK181" s="11">
        <f>Tabelle58971121[[#This Row],[Maximalauslastung max]]*Tabelle58971121[[#This Row],[installierte Leistung MW durch]]</f>
        <v>1435.4520000000002</v>
      </c>
      <c r="EL181" s="9">
        <v>0.57999999999999996</v>
      </c>
      <c r="EM181" s="9">
        <v>0.55000000000000004</v>
      </c>
      <c r="EN181" s="9">
        <v>0.61</v>
      </c>
      <c r="EO181" s="11">
        <v>2353.2000000000003</v>
      </c>
      <c r="EP181" s="11">
        <v>2353.2000000000003</v>
      </c>
      <c r="EQ181" s="11">
        <v>2353.2000000000003</v>
      </c>
      <c r="ER181" s="1">
        <v>0.762625</v>
      </c>
      <c r="ES181" s="1">
        <v>2.7777777777777778E-4</v>
      </c>
      <c r="ET181" s="54">
        <v>3</v>
      </c>
      <c r="EU181" s="1">
        <v>1.3888888888888889E-4</v>
      </c>
      <c r="EV181" s="1">
        <v>0</v>
      </c>
      <c r="EW181" s="54">
        <v>2.7777777777777778E-4</v>
      </c>
      <c r="EX181" s="1">
        <v>3.7</v>
      </c>
      <c r="EY181" s="1">
        <v>3.3000000000000003</v>
      </c>
      <c r="EZ181" s="54">
        <v>4.1000000000000005</v>
      </c>
      <c r="FA181" s="1">
        <v>3.7</v>
      </c>
      <c r="FB181" s="1">
        <v>3.3000000000000003</v>
      </c>
      <c r="FC181" s="54">
        <v>4.1000000000000005</v>
      </c>
      <c r="FD181" s="1">
        <v>1</v>
      </c>
      <c r="FE181" s="1">
        <v>0.9</v>
      </c>
      <c r="FF181" s="54">
        <v>1.1000000000000001</v>
      </c>
      <c r="FG181" s="1">
        <v>4.7</v>
      </c>
      <c r="FH181" s="1">
        <v>4.7</v>
      </c>
      <c r="FI181" s="54">
        <v>4.7</v>
      </c>
      <c r="FJ181" s="1">
        <v>1.1000000000000001</v>
      </c>
      <c r="FK181" s="1">
        <v>0.90000000000000013</v>
      </c>
      <c r="FL181" s="54">
        <v>1.3</v>
      </c>
      <c r="FN181" s="1" t="s">
        <v>646</v>
      </c>
      <c r="FP181" s="1">
        <v>50</v>
      </c>
      <c r="FQ181" s="1">
        <v>20</v>
      </c>
      <c r="FR181" s="1">
        <v>80</v>
      </c>
      <c r="FS181" s="1">
        <v>0</v>
      </c>
      <c r="FT181" s="1">
        <v>0</v>
      </c>
      <c r="FU181" s="1">
        <v>0</v>
      </c>
      <c r="FV181" s="1">
        <v>4000</v>
      </c>
      <c r="FW181" s="1">
        <v>3800</v>
      </c>
      <c r="FX181" s="1">
        <v>4200</v>
      </c>
      <c r="FY181" s="1">
        <v>0.61058823529411754</v>
      </c>
      <c r="FZ181" s="19">
        <v>0.10176470588235291</v>
      </c>
      <c r="GA181" s="19">
        <v>1.1194117647058823</v>
      </c>
      <c r="GB181" s="19">
        <v>274.76470588235293</v>
      </c>
      <c r="GC181" s="8">
        <v>183.17647058823528</v>
      </c>
      <c r="GD181" s="8">
        <v>366.35294117647055</v>
      </c>
      <c r="GE181" s="8">
        <v>573.95294117647052</v>
      </c>
      <c r="GF181" s="8">
        <v>534.26470588235293</v>
      </c>
      <c r="GG181" s="8">
        <v>613.64117647058822</v>
      </c>
      <c r="GH181" s="8">
        <v>33.582352941176467</v>
      </c>
      <c r="GI181" s="8">
        <v>33.582352941176467</v>
      </c>
      <c r="GJ181" s="8">
        <v>33.582352941176467</v>
      </c>
      <c r="GK181" s="8">
        <v>101.76470588235293</v>
      </c>
      <c r="GL181" s="8">
        <v>50.882352941176464</v>
      </c>
      <c r="GM181" s="8">
        <v>152.64705882352939</v>
      </c>
      <c r="GN181" s="8">
        <v>2.8494117647058821</v>
      </c>
      <c r="GO181" s="8">
        <v>1.1194117647058821</v>
      </c>
      <c r="GP181" s="8">
        <v>4.5794117647058821</v>
      </c>
      <c r="GS181" s="1">
        <v>220</v>
      </c>
      <c r="GT181" s="1">
        <v>220</v>
      </c>
      <c r="GV181" s="13" t="s">
        <v>643</v>
      </c>
      <c r="GW181" s="1" t="s">
        <v>643</v>
      </c>
      <c r="GX181" s="13">
        <v>182</v>
      </c>
      <c r="GY181" s="13"/>
      <c r="GZ181" s="13">
        <v>182</v>
      </c>
      <c r="HA181" s="13">
        <v>182</v>
      </c>
      <c r="HB181" s="1">
        <v>182</v>
      </c>
      <c r="HC181" s="13" t="s">
        <v>642</v>
      </c>
      <c r="HD181" s="13" t="s">
        <v>641</v>
      </c>
      <c r="HE181" s="1">
        <v>202</v>
      </c>
      <c r="HF181" s="1">
        <v>202</v>
      </c>
      <c r="HH181" s="1" t="s">
        <v>645</v>
      </c>
      <c r="HI181" s="1">
        <v>211</v>
      </c>
      <c r="HJ181" s="1">
        <v>214</v>
      </c>
      <c r="HK181" s="1">
        <v>220</v>
      </c>
      <c r="HL181" s="1">
        <v>214</v>
      </c>
      <c r="HO181" s="1" t="s">
        <v>644</v>
      </c>
    </row>
    <row r="182" spans="1:223" ht="12.75" customHeight="1" x14ac:dyDescent="0.25">
      <c r="A182" s="1" t="s">
        <v>81</v>
      </c>
      <c r="D182" s="1" t="s">
        <v>577</v>
      </c>
      <c r="E182" s="1" t="s">
        <v>126</v>
      </c>
      <c r="F182" s="1">
        <v>1</v>
      </c>
      <c r="G182" s="1">
        <v>2030</v>
      </c>
      <c r="H182" s="1">
        <v>1</v>
      </c>
      <c r="I182" s="1">
        <v>1</v>
      </c>
      <c r="J182" s="1">
        <v>0</v>
      </c>
      <c r="K182" s="19"/>
      <c r="L182" s="19"/>
      <c r="M182" s="19"/>
      <c r="N182" s="11">
        <v>1322.3999999999999</v>
      </c>
      <c r="O182" s="11">
        <v>1245.5999999999999</v>
      </c>
      <c r="P182" s="11">
        <v>1399.2</v>
      </c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9"/>
      <c r="CR182" s="11">
        <v>152.4</v>
      </c>
      <c r="CS182" s="11">
        <v>0</v>
      </c>
      <c r="CT182" s="11">
        <v>304.8</v>
      </c>
      <c r="CU182" s="11">
        <f>Tabelle58971121[[#This Row],[Mindestauslastung durch]]*Tabelle58971121[[#This Row],[installierte Leistung MW durch]]</f>
        <v>0</v>
      </c>
      <c r="CV182" s="11">
        <f>Tabelle58971121[[#This Row],[Mindestauslastung min]]*Tabelle58971121[[#This Row],[installierte Leistung MW min]]</f>
        <v>0</v>
      </c>
      <c r="CW182" s="19">
        <f>Tabelle58971121[[#This Row],[Mindestauslastung max]]*Tabelle58971121[[#This Row],[installierte Leistung MW max]]</f>
        <v>0</v>
      </c>
      <c r="CX182" s="9">
        <v>0</v>
      </c>
      <c r="CY182" s="9">
        <v>0</v>
      </c>
      <c r="CZ182" s="9">
        <v>0</v>
      </c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39">
        <v>0.52</v>
      </c>
      <c r="ED182" s="39">
        <v>0.49</v>
      </c>
      <c r="EE182" s="39">
        <v>0.55000000000000004</v>
      </c>
      <c r="EF182" s="11">
        <f>Tabelle58971121[[#This Row],[Durchschnittsauslastung min]]*Tabelle58971121[[#This Row],[installierte Leistung MW min]]</f>
        <v>1322.88</v>
      </c>
      <c r="EG182" s="11">
        <f>Tabelle58971121[[#This Row],[Durchschnittsauslastung durch]]*Tabelle58971121[[#This Row],[installierte Leistung MW durch]]</f>
        <v>1246.56</v>
      </c>
      <c r="EH182" s="46">
        <f>Tabelle58971121[[#This Row],[Durchschnittsauslastung max]]*Tabelle58971121[[#This Row],[installierte Leistung MW max]]</f>
        <v>1399.2</v>
      </c>
      <c r="EI182" s="83">
        <f>Tabelle58971121[[#This Row],[Maximalauslastung durch]]*Tabelle58971121[[#This Row],[installierte Leistung MW min]]</f>
        <v>1475.52</v>
      </c>
      <c r="EJ182" s="46">
        <f>Tabelle58971121[[#This Row],[Maximalauslastung durch]]*Tabelle58971121[[#This Row],[installierte Leistung MW durch]]</f>
        <v>1475.52</v>
      </c>
      <c r="EK182" s="11">
        <f>Tabelle58971121[[#This Row],[Maximalauslastung max]]*Tabelle58971121[[#This Row],[installierte Leistung MW durch]]</f>
        <v>1551.84</v>
      </c>
      <c r="EL182" s="9">
        <v>0.57999999999999996</v>
      </c>
      <c r="EM182" s="9">
        <v>0.55000000000000004</v>
      </c>
      <c r="EN182" s="9">
        <v>0.61</v>
      </c>
      <c r="EO182" s="11">
        <v>2544</v>
      </c>
      <c r="EP182" s="11">
        <v>2544</v>
      </c>
      <c r="EQ182" s="11">
        <v>2544</v>
      </c>
      <c r="ER182" s="1">
        <v>0.762625</v>
      </c>
      <c r="ES182" s="1">
        <v>2.7777777777777778E-4</v>
      </c>
      <c r="ET182" s="54">
        <v>3</v>
      </c>
      <c r="EU182" s="1">
        <v>1.3888888888888889E-4</v>
      </c>
      <c r="EV182" s="1">
        <v>0</v>
      </c>
      <c r="EW182" s="54">
        <v>2.7777777777777778E-4</v>
      </c>
      <c r="EX182" s="1">
        <v>3.7</v>
      </c>
      <c r="EY182" s="1">
        <v>3.3000000000000003</v>
      </c>
      <c r="EZ182" s="54">
        <v>4.1000000000000005</v>
      </c>
      <c r="FA182" s="1">
        <v>3.7</v>
      </c>
      <c r="FB182" s="1">
        <v>3.3000000000000003</v>
      </c>
      <c r="FC182" s="54">
        <v>4.1000000000000005</v>
      </c>
      <c r="FD182" s="1">
        <v>1</v>
      </c>
      <c r="FE182" s="1">
        <v>0.9</v>
      </c>
      <c r="FF182" s="54">
        <v>1.1000000000000001</v>
      </c>
      <c r="FG182" s="1">
        <v>4.7</v>
      </c>
      <c r="FH182" s="1">
        <v>4.7</v>
      </c>
      <c r="FI182" s="54">
        <v>4.7</v>
      </c>
      <c r="FJ182" s="1">
        <v>1.1000000000000001</v>
      </c>
      <c r="FK182" s="1">
        <v>0.90000000000000013</v>
      </c>
      <c r="FL182" s="54">
        <v>1.3</v>
      </c>
      <c r="FN182" s="1" t="s">
        <v>646</v>
      </c>
      <c r="FP182" s="1">
        <v>50</v>
      </c>
      <c r="FQ182" s="1">
        <v>20</v>
      </c>
      <c r="FR182" s="1">
        <v>80</v>
      </c>
      <c r="FS182" s="1">
        <v>0</v>
      </c>
      <c r="FT182" s="1">
        <v>0</v>
      </c>
      <c r="FU182" s="1">
        <v>0</v>
      </c>
      <c r="FV182" s="1">
        <v>4000</v>
      </c>
      <c r="FW182" s="1">
        <v>3800</v>
      </c>
      <c r="FX182" s="1">
        <v>4200</v>
      </c>
      <c r="FY182" s="1">
        <v>0.61058823529411754</v>
      </c>
      <c r="FZ182" s="19">
        <v>0.10176470588235291</v>
      </c>
      <c r="GA182" s="19">
        <v>1.1194117647058823</v>
      </c>
      <c r="GB182" s="19">
        <v>274.76470588235293</v>
      </c>
      <c r="GC182" s="8">
        <v>183.17647058823528</v>
      </c>
      <c r="GD182" s="8">
        <v>366.35294117647055</v>
      </c>
      <c r="GE182" s="8">
        <v>573.95294117647052</v>
      </c>
      <c r="GF182" s="8">
        <v>534.26470588235293</v>
      </c>
      <c r="GG182" s="8">
        <v>613.64117647058822</v>
      </c>
      <c r="GH182" s="8">
        <v>33.582352941176467</v>
      </c>
      <c r="GI182" s="8">
        <v>33.582352941176467</v>
      </c>
      <c r="GJ182" s="8">
        <v>33.582352941176467</v>
      </c>
      <c r="GK182" s="8">
        <v>101.76470588235293</v>
      </c>
      <c r="GL182" s="8">
        <v>50.882352941176464</v>
      </c>
      <c r="GM182" s="8">
        <v>152.64705882352939</v>
      </c>
      <c r="GN182" s="8">
        <v>2.8494117647058821</v>
      </c>
      <c r="GO182" s="8">
        <v>1.1194117647058821</v>
      </c>
      <c r="GP182" s="8">
        <v>4.5794117647058821</v>
      </c>
      <c r="GS182" s="1">
        <v>220</v>
      </c>
      <c r="GT182" s="1">
        <v>220</v>
      </c>
      <c r="GV182" s="13" t="s">
        <v>643</v>
      </c>
      <c r="GW182" s="1" t="s">
        <v>643</v>
      </c>
      <c r="GX182" s="13">
        <v>182</v>
      </c>
      <c r="GY182" s="13"/>
      <c r="GZ182" s="13">
        <v>182</v>
      </c>
      <c r="HA182" s="13">
        <v>182</v>
      </c>
      <c r="HB182" s="1">
        <v>182</v>
      </c>
      <c r="HC182" s="13" t="s">
        <v>642</v>
      </c>
      <c r="HD182" s="13" t="s">
        <v>641</v>
      </c>
      <c r="HE182" s="1">
        <v>202</v>
      </c>
      <c r="HF182" s="1">
        <v>202</v>
      </c>
      <c r="HH182" s="1" t="s">
        <v>645</v>
      </c>
      <c r="HI182" s="1">
        <v>211</v>
      </c>
      <c r="HJ182" s="1">
        <v>214</v>
      </c>
      <c r="HK182" s="1">
        <v>220</v>
      </c>
      <c r="HL182" s="1">
        <v>214</v>
      </c>
      <c r="HO182" s="1" t="s">
        <v>644</v>
      </c>
    </row>
    <row r="183" spans="1:223" ht="12.75" customHeight="1" x14ac:dyDescent="0.25">
      <c r="A183" s="1" t="s">
        <v>81</v>
      </c>
      <c r="D183" s="1" t="s">
        <v>577</v>
      </c>
      <c r="E183" s="1" t="s">
        <v>126</v>
      </c>
      <c r="F183" s="1">
        <v>1</v>
      </c>
      <c r="G183" s="1">
        <v>2035</v>
      </c>
      <c r="H183" s="1">
        <v>1</v>
      </c>
      <c r="I183" s="1">
        <v>1</v>
      </c>
      <c r="J183" s="1">
        <v>0</v>
      </c>
      <c r="K183" s="19"/>
      <c r="L183" s="19"/>
      <c r="M183" s="19"/>
      <c r="N183" s="11">
        <v>1421.58</v>
      </c>
      <c r="O183" s="11">
        <v>1339.02</v>
      </c>
      <c r="P183" s="11">
        <v>1504.14</v>
      </c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9"/>
      <c r="CR183" s="11">
        <v>163.83000000000001</v>
      </c>
      <c r="CS183" s="11">
        <v>0</v>
      </c>
      <c r="CT183" s="11">
        <v>327.66000000000003</v>
      </c>
      <c r="CU183" s="11">
        <f>Tabelle58971121[[#This Row],[Mindestauslastung durch]]*Tabelle58971121[[#This Row],[installierte Leistung MW durch]]</f>
        <v>0</v>
      </c>
      <c r="CV183" s="11">
        <f>Tabelle58971121[[#This Row],[Mindestauslastung min]]*Tabelle58971121[[#This Row],[installierte Leistung MW min]]</f>
        <v>0</v>
      </c>
      <c r="CW183" s="19">
        <f>Tabelle58971121[[#This Row],[Mindestauslastung max]]*Tabelle58971121[[#This Row],[installierte Leistung MW max]]</f>
        <v>0</v>
      </c>
      <c r="CX183" s="9">
        <v>0</v>
      </c>
      <c r="CY183" s="9">
        <v>0</v>
      </c>
      <c r="CZ183" s="9">
        <v>0</v>
      </c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39">
        <v>0.52</v>
      </c>
      <c r="ED183" s="39">
        <v>0.49</v>
      </c>
      <c r="EE183" s="39">
        <v>0.55000000000000004</v>
      </c>
      <c r="EF183" s="11">
        <f>Tabelle58971121[[#This Row],[Durchschnittsauslastung min]]*Tabelle58971121[[#This Row],[installierte Leistung MW min]]</f>
        <v>1422.0960000000002</v>
      </c>
      <c r="EG183" s="11">
        <f>Tabelle58971121[[#This Row],[Durchschnittsauslastung durch]]*Tabelle58971121[[#This Row],[installierte Leistung MW durch]]</f>
        <v>1340.0520000000001</v>
      </c>
      <c r="EH183" s="46">
        <f>Tabelle58971121[[#This Row],[Durchschnittsauslastung max]]*Tabelle58971121[[#This Row],[installierte Leistung MW max]]</f>
        <v>1504.1400000000003</v>
      </c>
      <c r="EI183" s="83">
        <f>Tabelle58971121[[#This Row],[Maximalauslastung durch]]*Tabelle58971121[[#This Row],[installierte Leistung MW min]]</f>
        <v>1586.184</v>
      </c>
      <c r="EJ183" s="46">
        <f>Tabelle58971121[[#This Row],[Maximalauslastung durch]]*Tabelle58971121[[#This Row],[installierte Leistung MW durch]]</f>
        <v>1586.184</v>
      </c>
      <c r="EK183" s="11">
        <f>Tabelle58971121[[#This Row],[Maximalauslastung max]]*Tabelle58971121[[#This Row],[installierte Leistung MW durch]]</f>
        <v>1668.2280000000001</v>
      </c>
      <c r="EL183" s="9">
        <v>0.57999999999999996</v>
      </c>
      <c r="EM183" s="9">
        <v>0.55000000000000004</v>
      </c>
      <c r="EN183" s="9">
        <v>0.61</v>
      </c>
      <c r="EO183" s="11">
        <v>2734.8</v>
      </c>
      <c r="EP183" s="11">
        <v>2734.8</v>
      </c>
      <c r="EQ183" s="11">
        <v>2734.8</v>
      </c>
      <c r="ER183" s="1">
        <v>0.762625</v>
      </c>
      <c r="ES183" s="1">
        <v>2.7777777777777778E-4</v>
      </c>
      <c r="ET183" s="54">
        <v>3</v>
      </c>
      <c r="EU183" s="1">
        <v>1.3888888888888889E-4</v>
      </c>
      <c r="EV183" s="1">
        <v>0</v>
      </c>
      <c r="EW183" s="54">
        <v>2.7777777777777778E-4</v>
      </c>
      <c r="EX183" s="1">
        <v>3.7</v>
      </c>
      <c r="EY183" s="1">
        <v>3.3000000000000003</v>
      </c>
      <c r="EZ183" s="54">
        <v>4.1000000000000005</v>
      </c>
      <c r="FA183" s="1">
        <v>3.7</v>
      </c>
      <c r="FB183" s="1">
        <v>3.3000000000000003</v>
      </c>
      <c r="FC183" s="54">
        <v>4.1000000000000005</v>
      </c>
      <c r="FD183" s="1">
        <v>1</v>
      </c>
      <c r="FE183" s="1">
        <v>0.9</v>
      </c>
      <c r="FF183" s="54">
        <v>1.1000000000000001</v>
      </c>
      <c r="FG183" s="1">
        <v>4.7</v>
      </c>
      <c r="FH183" s="1">
        <v>4.7</v>
      </c>
      <c r="FI183" s="54">
        <v>4.7</v>
      </c>
      <c r="FJ183" s="1">
        <v>1.1000000000000001</v>
      </c>
      <c r="FK183" s="1">
        <v>0.90000000000000013</v>
      </c>
      <c r="FL183" s="54">
        <v>1.3</v>
      </c>
      <c r="FN183" s="1" t="s">
        <v>646</v>
      </c>
      <c r="FP183" s="1">
        <v>50</v>
      </c>
      <c r="FQ183" s="1">
        <v>20</v>
      </c>
      <c r="FR183" s="1">
        <v>80</v>
      </c>
      <c r="FS183" s="1">
        <v>0</v>
      </c>
      <c r="FT183" s="1">
        <v>0</v>
      </c>
      <c r="FU183" s="1">
        <v>0</v>
      </c>
      <c r="FV183" s="1">
        <v>4000</v>
      </c>
      <c r="FW183" s="1">
        <v>3800</v>
      </c>
      <c r="FX183" s="1">
        <v>4200</v>
      </c>
      <c r="FY183" s="1">
        <v>0.61058823529411754</v>
      </c>
      <c r="FZ183" s="19">
        <v>0.10176470588235291</v>
      </c>
      <c r="GA183" s="19">
        <v>1.1194117647058823</v>
      </c>
      <c r="GB183" s="19">
        <v>274.76470588235293</v>
      </c>
      <c r="GC183" s="8">
        <v>183.17647058823528</v>
      </c>
      <c r="GD183" s="8">
        <v>366.35294117647055</v>
      </c>
      <c r="GE183" s="8">
        <v>573.95294117647052</v>
      </c>
      <c r="GF183" s="8">
        <v>534.26470588235293</v>
      </c>
      <c r="GG183" s="8">
        <v>613.64117647058822</v>
      </c>
      <c r="GH183" s="8">
        <v>33.582352941176467</v>
      </c>
      <c r="GI183" s="8">
        <v>33.582352941176467</v>
      </c>
      <c r="GJ183" s="8">
        <v>33.582352941176467</v>
      </c>
      <c r="GK183" s="8">
        <v>101.76470588235293</v>
      </c>
      <c r="GL183" s="8">
        <v>50.882352941176464</v>
      </c>
      <c r="GM183" s="8">
        <v>152.64705882352939</v>
      </c>
      <c r="GN183" s="8">
        <v>2.8494117647058821</v>
      </c>
      <c r="GO183" s="8">
        <v>1.1194117647058821</v>
      </c>
      <c r="GP183" s="8">
        <v>4.5794117647058821</v>
      </c>
      <c r="GS183" s="1">
        <v>220</v>
      </c>
      <c r="GT183" s="1">
        <v>220</v>
      </c>
      <c r="GV183" s="13" t="s">
        <v>643</v>
      </c>
      <c r="GW183" s="1" t="s">
        <v>643</v>
      </c>
      <c r="GX183" s="13">
        <v>182</v>
      </c>
      <c r="GY183" s="13"/>
      <c r="GZ183" s="13">
        <v>182</v>
      </c>
      <c r="HA183" s="13">
        <v>182</v>
      </c>
      <c r="HB183" s="1">
        <v>182</v>
      </c>
      <c r="HC183" s="13" t="s">
        <v>642</v>
      </c>
      <c r="HD183" s="13" t="s">
        <v>641</v>
      </c>
      <c r="HE183" s="1">
        <v>202</v>
      </c>
      <c r="HF183" s="1">
        <v>202</v>
      </c>
      <c r="HH183" s="1" t="s">
        <v>645</v>
      </c>
      <c r="HI183" s="1">
        <v>211</v>
      </c>
      <c r="HJ183" s="1">
        <v>214</v>
      </c>
      <c r="HK183" s="1">
        <v>220</v>
      </c>
      <c r="HL183" s="1">
        <v>214</v>
      </c>
      <c r="HO183" s="1" t="s">
        <v>644</v>
      </c>
    </row>
    <row r="184" spans="1:223" ht="12.75" customHeight="1" x14ac:dyDescent="0.25">
      <c r="A184" s="1" t="s">
        <v>81</v>
      </c>
      <c r="D184" s="1" t="s">
        <v>577</v>
      </c>
      <c r="E184" s="1" t="s">
        <v>126</v>
      </c>
      <c r="F184" s="1">
        <v>1</v>
      </c>
      <c r="G184" s="1">
        <v>2040</v>
      </c>
      <c r="H184" s="1">
        <v>1</v>
      </c>
      <c r="I184" s="1">
        <v>1</v>
      </c>
      <c r="J184" s="1">
        <v>0</v>
      </c>
      <c r="K184" s="19"/>
      <c r="L184" s="19"/>
      <c r="M184" s="19"/>
      <c r="N184" s="11">
        <v>1542.8</v>
      </c>
      <c r="O184" s="11">
        <v>1453.1999999999998</v>
      </c>
      <c r="P184" s="11">
        <v>1632.3999999999999</v>
      </c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9"/>
      <c r="CR184" s="11">
        <v>177.79999999999998</v>
      </c>
      <c r="CS184" s="11">
        <v>0</v>
      </c>
      <c r="CT184" s="11">
        <v>355.59999999999997</v>
      </c>
      <c r="CU184" s="11">
        <f>Tabelle58971121[[#This Row],[Mindestauslastung durch]]*Tabelle58971121[[#This Row],[installierte Leistung MW durch]]</f>
        <v>0</v>
      </c>
      <c r="CV184" s="11">
        <f>Tabelle58971121[[#This Row],[Mindestauslastung min]]*Tabelle58971121[[#This Row],[installierte Leistung MW min]]</f>
        <v>0</v>
      </c>
      <c r="CW184" s="19">
        <f>Tabelle58971121[[#This Row],[Mindestauslastung max]]*Tabelle58971121[[#This Row],[installierte Leistung MW max]]</f>
        <v>0</v>
      </c>
      <c r="CX184" s="9">
        <v>0</v>
      </c>
      <c r="CY184" s="9">
        <v>0</v>
      </c>
      <c r="CZ184" s="9">
        <v>0</v>
      </c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39">
        <v>0.52</v>
      </c>
      <c r="ED184" s="39">
        <v>0.49</v>
      </c>
      <c r="EE184" s="39">
        <v>0.55000000000000004</v>
      </c>
      <c r="EF184" s="11">
        <f>Tabelle58971121[[#This Row],[Durchschnittsauslastung min]]*Tabelle58971121[[#This Row],[installierte Leistung MW min]]</f>
        <v>1543.3600000000001</v>
      </c>
      <c r="EG184" s="11">
        <f>Tabelle58971121[[#This Row],[Durchschnittsauslastung durch]]*Tabelle58971121[[#This Row],[installierte Leistung MW durch]]</f>
        <v>1454.32</v>
      </c>
      <c r="EH184" s="46">
        <f>Tabelle58971121[[#This Row],[Durchschnittsauslastung max]]*Tabelle58971121[[#This Row],[installierte Leistung MW max]]</f>
        <v>1632.4</v>
      </c>
      <c r="EI184" s="83">
        <f>Tabelle58971121[[#This Row],[Maximalauslastung durch]]*Tabelle58971121[[#This Row],[installierte Leistung MW min]]</f>
        <v>1721.4399999999998</v>
      </c>
      <c r="EJ184" s="46">
        <f>Tabelle58971121[[#This Row],[Maximalauslastung durch]]*Tabelle58971121[[#This Row],[installierte Leistung MW durch]]</f>
        <v>1721.4399999999998</v>
      </c>
      <c r="EK184" s="11">
        <f>Tabelle58971121[[#This Row],[Maximalauslastung max]]*Tabelle58971121[[#This Row],[installierte Leistung MW durch]]</f>
        <v>1810.48</v>
      </c>
      <c r="EL184" s="9">
        <v>0.57999999999999996</v>
      </c>
      <c r="EM184" s="9">
        <v>0.55000000000000004</v>
      </c>
      <c r="EN184" s="9">
        <v>0.61</v>
      </c>
      <c r="EO184" s="11">
        <v>2968</v>
      </c>
      <c r="EP184" s="11">
        <v>2968</v>
      </c>
      <c r="EQ184" s="11">
        <v>2968</v>
      </c>
      <c r="ER184" s="1">
        <v>0.762625</v>
      </c>
      <c r="ES184" s="1">
        <v>2.7777777777777778E-4</v>
      </c>
      <c r="ET184" s="54">
        <v>3</v>
      </c>
      <c r="EU184" s="1">
        <v>1.3888888888888889E-4</v>
      </c>
      <c r="EV184" s="1">
        <v>0</v>
      </c>
      <c r="EW184" s="54">
        <v>2.7777777777777778E-4</v>
      </c>
      <c r="EX184" s="1">
        <v>3.7</v>
      </c>
      <c r="EY184" s="1">
        <v>3.3000000000000003</v>
      </c>
      <c r="EZ184" s="54">
        <v>4.1000000000000005</v>
      </c>
      <c r="FA184" s="1">
        <v>3.7</v>
      </c>
      <c r="FB184" s="1">
        <v>3.3000000000000003</v>
      </c>
      <c r="FC184" s="54">
        <v>4.1000000000000005</v>
      </c>
      <c r="FD184" s="1">
        <v>1</v>
      </c>
      <c r="FE184" s="1">
        <v>0.9</v>
      </c>
      <c r="FF184" s="54">
        <v>1.1000000000000001</v>
      </c>
      <c r="FG184" s="1">
        <v>4.7</v>
      </c>
      <c r="FH184" s="1">
        <v>4.7</v>
      </c>
      <c r="FI184" s="54">
        <v>4.7</v>
      </c>
      <c r="FJ184" s="1">
        <v>1.1000000000000001</v>
      </c>
      <c r="FK184" s="1">
        <v>0.90000000000000013</v>
      </c>
      <c r="FL184" s="54">
        <v>1.3</v>
      </c>
      <c r="FN184" s="1" t="s">
        <v>646</v>
      </c>
      <c r="FP184" s="1">
        <v>50</v>
      </c>
      <c r="FQ184" s="1">
        <v>20</v>
      </c>
      <c r="FR184" s="1">
        <v>80</v>
      </c>
      <c r="FS184" s="1">
        <v>0</v>
      </c>
      <c r="FT184" s="1">
        <v>0</v>
      </c>
      <c r="FU184" s="1">
        <v>0</v>
      </c>
      <c r="FV184" s="1">
        <v>4000</v>
      </c>
      <c r="FW184" s="1">
        <v>3800</v>
      </c>
      <c r="FX184" s="1">
        <v>4200</v>
      </c>
      <c r="FY184" s="1">
        <v>0.61058823529411754</v>
      </c>
      <c r="FZ184" s="19">
        <v>0.10176470588235291</v>
      </c>
      <c r="GA184" s="19">
        <v>1.1194117647058823</v>
      </c>
      <c r="GB184" s="19">
        <v>274.76470588235293</v>
      </c>
      <c r="GC184" s="8">
        <v>183.17647058823528</v>
      </c>
      <c r="GD184" s="8">
        <v>366.35294117647055</v>
      </c>
      <c r="GE184" s="8">
        <v>573.95294117647052</v>
      </c>
      <c r="GF184" s="8">
        <v>534.26470588235293</v>
      </c>
      <c r="GG184" s="8">
        <v>613.64117647058822</v>
      </c>
      <c r="GH184" s="8">
        <v>33.582352941176467</v>
      </c>
      <c r="GI184" s="8">
        <v>33.582352941176467</v>
      </c>
      <c r="GJ184" s="8">
        <v>33.582352941176467</v>
      </c>
      <c r="GK184" s="8">
        <v>101.76470588235293</v>
      </c>
      <c r="GL184" s="8">
        <v>50.882352941176464</v>
      </c>
      <c r="GM184" s="8">
        <v>152.64705882352939</v>
      </c>
      <c r="GN184" s="8">
        <v>2.8494117647058821</v>
      </c>
      <c r="GO184" s="8">
        <v>1.1194117647058821</v>
      </c>
      <c r="GP184" s="8">
        <v>4.5794117647058821</v>
      </c>
      <c r="GS184" s="1">
        <v>220</v>
      </c>
      <c r="GT184" s="1">
        <v>220</v>
      </c>
      <c r="GV184" s="13" t="s">
        <v>643</v>
      </c>
      <c r="GW184" s="1" t="s">
        <v>643</v>
      </c>
      <c r="GX184" s="13">
        <v>182</v>
      </c>
      <c r="GY184" s="13"/>
      <c r="GZ184" s="13">
        <v>182</v>
      </c>
      <c r="HA184" s="13">
        <v>182</v>
      </c>
      <c r="HB184" s="1">
        <v>182</v>
      </c>
      <c r="HC184" s="13" t="s">
        <v>642</v>
      </c>
      <c r="HD184" s="13" t="s">
        <v>641</v>
      </c>
      <c r="HE184" s="1">
        <v>202</v>
      </c>
      <c r="HF184" s="1">
        <v>202</v>
      </c>
      <c r="HH184" s="1" t="s">
        <v>645</v>
      </c>
      <c r="HI184" s="1">
        <v>211</v>
      </c>
      <c r="HJ184" s="1">
        <v>214</v>
      </c>
      <c r="HK184" s="1">
        <v>220</v>
      </c>
      <c r="HL184" s="1">
        <v>214</v>
      </c>
      <c r="HO184" s="1" t="s">
        <v>644</v>
      </c>
    </row>
    <row r="185" spans="1:223" ht="12.75" customHeight="1" x14ac:dyDescent="0.25">
      <c r="A185" s="1" t="s">
        <v>81</v>
      </c>
      <c r="D185" s="1" t="s">
        <v>577</v>
      </c>
      <c r="E185" s="1" t="s">
        <v>126</v>
      </c>
      <c r="F185" s="1">
        <v>1</v>
      </c>
      <c r="G185" s="1">
        <v>2045</v>
      </c>
      <c r="H185" s="1">
        <v>1</v>
      </c>
      <c r="I185" s="1">
        <v>1</v>
      </c>
      <c r="J185" s="1">
        <v>0</v>
      </c>
      <c r="K185" s="19"/>
      <c r="L185" s="19"/>
      <c r="M185" s="19"/>
      <c r="N185" s="11">
        <v>1664.02</v>
      </c>
      <c r="O185" s="11">
        <v>1567.38</v>
      </c>
      <c r="P185" s="11">
        <v>1760.66</v>
      </c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9"/>
      <c r="CR185" s="11">
        <v>191.77</v>
      </c>
      <c r="CS185" s="11">
        <v>0</v>
      </c>
      <c r="CT185" s="11">
        <v>383.54</v>
      </c>
      <c r="CU185" s="11">
        <f>Tabelle58971121[[#This Row],[Mindestauslastung durch]]*Tabelle58971121[[#This Row],[installierte Leistung MW durch]]</f>
        <v>0</v>
      </c>
      <c r="CV185" s="11">
        <f>Tabelle58971121[[#This Row],[Mindestauslastung min]]*Tabelle58971121[[#This Row],[installierte Leistung MW min]]</f>
        <v>0</v>
      </c>
      <c r="CW185" s="19">
        <f>Tabelle58971121[[#This Row],[Mindestauslastung max]]*Tabelle58971121[[#This Row],[installierte Leistung MW max]]</f>
        <v>0</v>
      </c>
      <c r="CX185" s="9">
        <v>0</v>
      </c>
      <c r="CY185" s="9">
        <v>0</v>
      </c>
      <c r="CZ185" s="9">
        <v>0</v>
      </c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39">
        <v>0.52</v>
      </c>
      <c r="ED185" s="39">
        <v>0.49</v>
      </c>
      <c r="EE185" s="39">
        <v>0.55000000000000004</v>
      </c>
      <c r="EF185" s="11">
        <f>Tabelle58971121[[#This Row],[Durchschnittsauslastung min]]*Tabelle58971121[[#This Row],[installierte Leistung MW min]]</f>
        <v>1664.624</v>
      </c>
      <c r="EG185" s="11">
        <f>Tabelle58971121[[#This Row],[Durchschnittsauslastung durch]]*Tabelle58971121[[#This Row],[installierte Leistung MW durch]]</f>
        <v>1568.588</v>
      </c>
      <c r="EH185" s="46">
        <f>Tabelle58971121[[#This Row],[Durchschnittsauslastung max]]*Tabelle58971121[[#This Row],[installierte Leistung MW max]]</f>
        <v>1760.66</v>
      </c>
      <c r="EI185" s="83">
        <f>Tabelle58971121[[#This Row],[Maximalauslastung durch]]*Tabelle58971121[[#This Row],[installierte Leistung MW min]]</f>
        <v>1856.6959999999997</v>
      </c>
      <c r="EJ185" s="46">
        <f>Tabelle58971121[[#This Row],[Maximalauslastung durch]]*Tabelle58971121[[#This Row],[installierte Leistung MW durch]]</f>
        <v>1856.6959999999997</v>
      </c>
      <c r="EK185" s="11">
        <f>Tabelle58971121[[#This Row],[Maximalauslastung max]]*Tabelle58971121[[#This Row],[installierte Leistung MW durch]]</f>
        <v>1952.7319999999997</v>
      </c>
      <c r="EL185" s="9">
        <v>0.57999999999999996</v>
      </c>
      <c r="EM185" s="9">
        <v>0.55000000000000004</v>
      </c>
      <c r="EN185" s="9">
        <v>0.61</v>
      </c>
      <c r="EO185" s="11">
        <v>3201.2</v>
      </c>
      <c r="EP185" s="11">
        <v>3201.2</v>
      </c>
      <c r="EQ185" s="11">
        <v>3201.2</v>
      </c>
      <c r="ER185" s="1">
        <v>0.762625</v>
      </c>
      <c r="ES185" s="1">
        <v>2.7777777777777778E-4</v>
      </c>
      <c r="ET185" s="54">
        <v>3</v>
      </c>
      <c r="EU185" s="1">
        <v>1.3888888888888889E-4</v>
      </c>
      <c r="EV185" s="1">
        <v>0</v>
      </c>
      <c r="EW185" s="54">
        <v>2.7777777777777778E-4</v>
      </c>
      <c r="EX185" s="1">
        <v>3.7</v>
      </c>
      <c r="EY185" s="1">
        <v>3.3000000000000003</v>
      </c>
      <c r="EZ185" s="54">
        <v>4.1000000000000005</v>
      </c>
      <c r="FA185" s="1">
        <v>3.7</v>
      </c>
      <c r="FB185" s="1">
        <v>3.3000000000000003</v>
      </c>
      <c r="FC185" s="54">
        <v>4.1000000000000005</v>
      </c>
      <c r="FD185" s="1">
        <v>1</v>
      </c>
      <c r="FE185" s="1">
        <v>0.9</v>
      </c>
      <c r="FF185" s="54">
        <v>1.1000000000000001</v>
      </c>
      <c r="FG185" s="1">
        <v>4.7</v>
      </c>
      <c r="FH185" s="1">
        <v>4.7</v>
      </c>
      <c r="FI185" s="54">
        <v>4.7</v>
      </c>
      <c r="FJ185" s="1">
        <v>1.1000000000000001</v>
      </c>
      <c r="FK185" s="1">
        <v>0.90000000000000013</v>
      </c>
      <c r="FL185" s="54">
        <v>1.3</v>
      </c>
      <c r="FN185" s="1" t="s">
        <v>646</v>
      </c>
      <c r="FP185" s="1">
        <v>50</v>
      </c>
      <c r="FQ185" s="1">
        <v>20</v>
      </c>
      <c r="FR185" s="1">
        <v>80</v>
      </c>
      <c r="FS185" s="1">
        <v>0</v>
      </c>
      <c r="FT185" s="1">
        <v>0</v>
      </c>
      <c r="FU185" s="1">
        <v>0</v>
      </c>
      <c r="FV185" s="1">
        <v>4000</v>
      </c>
      <c r="FW185" s="1">
        <v>3800</v>
      </c>
      <c r="FX185" s="1">
        <v>4200</v>
      </c>
      <c r="FY185" s="1">
        <v>0.61058823529411754</v>
      </c>
      <c r="FZ185" s="19">
        <v>0.10176470588235291</v>
      </c>
      <c r="GA185" s="19">
        <v>1.1194117647058823</v>
      </c>
      <c r="GB185" s="19">
        <v>274.76470588235293</v>
      </c>
      <c r="GC185" s="8">
        <v>183.17647058823528</v>
      </c>
      <c r="GD185" s="8">
        <v>366.35294117647055</v>
      </c>
      <c r="GE185" s="8">
        <v>573.95294117647052</v>
      </c>
      <c r="GF185" s="8">
        <v>534.26470588235293</v>
      </c>
      <c r="GG185" s="8">
        <v>613.64117647058822</v>
      </c>
      <c r="GH185" s="8">
        <v>33.582352941176467</v>
      </c>
      <c r="GI185" s="8">
        <v>33.582352941176467</v>
      </c>
      <c r="GJ185" s="8">
        <v>33.582352941176467</v>
      </c>
      <c r="GK185" s="8">
        <v>101.76470588235293</v>
      </c>
      <c r="GL185" s="8">
        <v>50.882352941176464</v>
      </c>
      <c r="GM185" s="8">
        <v>152.64705882352939</v>
      </c>
      <c r="GN185" s="8">
        <v>2.8494117647058821</v>
      </c>
      <c r="GO185" s="8">
        <v>1.1194117647058821</v>
      </c>
      <c r="GP185" s="8">
        <v>4.5794117647058821</v>
      </c>
      <c r="GS185" s="1">
        <v>220</v>
      </c>
      <c r="GT185" s="1">
        <v>220</v>
      </c>
      <c r="GV185" s="13" t="s">
        <v>643</v>
      </c>
      <c r="GW185" s="1" t="s">
        <v>643</v>
      </c>
      <c r="GX185" s="13">
        <v>182</v>
      </c>
      <c r="GY185" s="13"/>
      <c r="GZ185" s="13">
        <v>182</v>
      </c>
      <c r="HA185" s="13">
        <v>182</v>
      </c>
      <c r="HB185" s="1">
        <v>182</v>
      </c>
      <c r="HC185" s="13" t="s">
        <v>642</v>
      </c>
      <c r="HD185" s="13" t="s">
        <v>641</v>
      </c>
      <c r="HE185" s="1">
        <v>202</v>
      </c>
      <c r="HF185" s="1">
        <v>202</v>
      </c>
      <c r="HH185" s="1" t="s">
        <v>645</v>
      </c>
      <c r="HI185" s="1">
        <v>211</v>
      </c>
      <c r="HJ185" s="1">
        <v>214</v>
      </c>
      <c r="HK185" s="1">
        <v>220</v>
      </c>
      <c r="HL185" s="1">
        <v>214</v>
      </c>
      <c r="HO185" s="1" t="s">
        <v>644</v>
      </c>
    </row>
    <row r="186" spans="1:223" ht="12.75" customHeight="1" x14ac:dyDescent="0.25">
      <c r="A186" s="1" t="s">
        <v>189</v>
      </c>
      <c r="D186" s="1" t="s">
        <v>583</v>
      </c>
      <c r="E186" s="1" t="s">
        <v>126</v>
      </c>
      <c r="F186" s="1">
        <v>1</v>
      </c>
      <c r="G186" s="1">
        <v>2015</v>
      </c>
      <c r="H186" s="1">
        <v>1</v>
      </c>
      <c r="I186" s="1">
        <v>1</v>
      </c>
      <c r="J186" s="1">
        <v>0</v>
      </c>
      <c r="K186" s="19"/>
      <c r="L186" s="19"/>
      <c r="M186" s="19"/>
      <c r="N186" s="11">
        <v>25</v>
      </c>
      <c r="O186" s="11">
        <v>15</v>
      </c>
      <c r="P186" s="11">
        <v>35</v>
      </c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9"/>
      <c r="CR186" s="11">
        <v>35</v>
      </c>
      <c r="CS186" s="11">
        <v>22</v>
      </c>
      <c r="CT186" s="11">
        <v>48</v>
      </c>
      <c r="CU186" s="11">
        <f>Tabelle58971121[[#This Row],[Mindestauslastung durch]]*Tabelle58971121[[#This Row],[installierte Leistung MW durch]]</f>
        <v>0</v>
      </c>
      <c r="CV186" s="11">
        <f>Tabelle58971121[[#This Row],[Mindestauslastung min]]*Tabelle58971121[[#This Row],[installierte Leistung MW min]]</f>
        <v>0</v>
      </c>
      <c r="CW186" s="19">
        <f>Tabelle58971121[[#This Row],[Mindestauslastung max]]*Tabelle58971121[[#This Row],[installierte Leistung MW max]]</f>
        <v>0</v>
      </c>
      <c r="CX186" s="9">
        <v>0</v>
      </c>
      <c r="CY186" s="9">
        <v>0</v>
      </c>
      <c r="CZ186" s="9">
        <v>0</v>
      </c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39">
        <v>0.4</v>
      </c>
      <c r="ED186" s="39">
        <v>0.35</v>
      </c>
      <c r="EE186" s="39">
        <v>0.45</v>
      </c>
      <c r="EF186" s="11">
        <f>Tabelle58971121[[#This Row],[Durchschnittsauslastung min]]*Tabelle58971121[[#This Row],[installierte Leistung MW min]]</f>
        <v>18.400000000000002</v>
      </c>
      <c r="EG186" s="11">
        <f>Tabelle58971121[[#This Row],[Durchschnittsauslastung durch]]*Tabelle58971121[[#This Row],[installierte Leistung MW durch]]</f>
        <v>22.049999999999997</v>
      </c>
      <c r="EH186" s="46">
        <f>Tabelle58971121[[#This Row],[Durchschnittsauslastung max]]*Tabelle58971121[[#This Row],[installierte Leistung MW max]]</f>
        <v>36</v>
      </c>
      <c r="EI186" s="83">
        <f>Tabelle58971121[[#This Row],[Maximalauslastung durch]]*Tabelle58971121[[#This Row],[installierte Leistung MW min]]</f>
        <v>43.699999999999996</v>
      </c>
      <c r="EJ186" s="46">
        <f>Tabelle58971121[[#This Row],[Maximalauslastung durch]]*Tabelle58971121[[#This Row],[installierte Leistung MW durch]]</f>
        <v>59.849999999999994</v>
      </c>
      <c r="EK186" s="11">
        <f>Tabelle58971121[[#This Row],[Maximalauslastung max]]*Tabelle58971121[[#This Row],[installierte Leistung MW durch]]</f>
        <v>60.48</v>
      </c>
      <c r="EL186" s="9">
        <v>0.95</v>
      </c>
      <c r="EM186" s="9">
        <v>0.94</v>
      </c>
      <c r="EN186" s="9">
        <v>0.96</v>
      </c>
      <c r="EO186" s="11">
        <v>63</v>
      </c>
      <c r="EP186" s="11">
        <v>46</v>
      </c>
      <c r="EQ186" s="11">
        <v>80</v>
      </c>
      <c r="ER186" s="1">
        <v>2.8763888888888891E-2</v>
      </c>
      <c r="ES186" s="1">
        <v>0</v>
      </c>
      <c r="ET186" s="54">
        <v>8.3333333333333329E-2</v>
      </c>
      <c r="EU186" s="1">
        <v>2.8763888888888891E-2</v>
      </c>
      <c r="EV186" s="1">
        <v>0</v>
      </c>
      <c r="EW186" s="54">
        <v>8.3333333333333329E-2</v>
      </c>
      <c r="EX186" s="1">
        <v>6</v>
      </c>
      <c r="EY186" s="1">
        <v>4.8</v>
      </c>
      <c r="EZ186" s="54">
        <v>7.2</v>
      </c>
      <c r="FA186" s="1">
        <v>6</v>
      </c>
      <c r="FB186" s="1">
        <v>4.8</v>
      </c>
      <c r="FC186" s="54">
        <v>7.2</v>
      </c>
      <c r="FD186" s="1">
        <v>5</v>
      </c>
      <c r="FE186" s="1">
        <v>4</v>
      </c>
      <c r="FF186" s="54">
        <v>6</v>
      </c>
      <c r="FG186" s="1">
        <v>11</v>
      </c>
      <c r="FH186" s="1">
        <v>11</v>
      </c>
      <c r="FI186" s="54">
        <v>11</v>
      </c>
      <c r="FJ186" s="1">
        <v>10.4</v>
      </c>
      <c r="FK186" s="1">
        <v>6.4</v>
      </c>
      <c r="FL186" s="54">
        <v>14.4</v>
      </c>
      <c r="FN186" s="1" t="s">
        <v>646</v>
      </c>
      <c r="FP186" s="1">
        <v>600</v>
      </c>
      <c r="FQ186" s="1">
        <v>450</v>
      </c>
      <c r="FR186" s="1">
        <v>750</v>
      </c>
      <c r="FS186" s="1">
        <v>0</v>
      </c>
      <c r="FT186" s="1">
        <v>0</v>
      </c>
      <c r="FU186" s="1">
        <v>0</v>
      </c>
      <c r="FV186" s="1">
        <v>600</v>
      </c>
      <c r="FW186" s="1">
        <v>450</v>
      </c>
      <c r="FX186" s="1">
        <v>750</v>
      </c>
      <c r="FY186" s="1">
        <v>1.526470588235294</v>
      </c>
      <c r="FZ186" s="19">
        <v>0.50882352941176467</v>
      </c>
      <c r="GA186" s="19">
        <v>2.5441176470588234</v>
      </c>
      <c r="GB186" s="19">
        <v>122.11764705882352</v>
      </c>
      <c r="GC186" s="8">
        <v>71.235294117647058</v>
      </c>
      <c r="GD186" s="8">
        <v>173</v>
      </c>
      <c r="GE186" s="8">
        <v>834.47058823529403</v>
      </c>
      <c r="GF186" s="8">
        <v>791.72941176470579</v>
      </c>
      <c r="GG186" s="8">
        <v>877.21176470588227</v>
      </c>
      <c r="GH186" s="8">
        <v>45.794117647058819</v>
      </c>
      <c r="GI186" s="8">
        <v>29.511764705882349</v>
      </c>
      <c r="GJ186" s="8">
        <v>62.076470588235289</v>
      </c>
      <c r="GK186" s="8">
        <v>94.641176470588235</v>
      </c>
      <c r="GL186" s="8">
        <v>61.058823529411761</v>
      </c>
      <c r="GM186" s="8">
        <v>128.2235294117647</v>
      </c>
      <c r="GN186" s="8">
        <v>19.437058823529412</v>
      </c>
      <c r="GO186" s="8">
        <v>16.384117647058822</v>
      </c>
      <c r="GP186" s="8">
        <v>22.49</v>
      </c>
      <c r="GS186" s="1">
        <v>220</v>
      </c>
      <c r="GT186" s="1">
        <v>220</v>
      </c>
      <c r="GV186" s="13" t="s">
        <v>643</v>
      </c>
      <c r="GW186" s="1" t="s">
        <v>643</v>
      </c>
      <c r="GX186" s="13">
        <v>182</v>
      </c>
      <c r="GY186" s="13"/>
      <c r="GZ186" s="13">
        <v>182</v>
      </c>
      <c r="HA186" s="13">
        <v>182</v>
      </c>
      <c r="HB186" s="1">
        <v>182</v>
      </c>
      <c r="HC186" s="13" t="s">
        <v>642</v>
      </c>
      <c r="HD186" s="13" t="s">
        <v>641</v>
      </c>
      <c r="HE186" s="1">
        <v>202</v>
      </c>
      <c r="HF186" s="1">
        <v>202</v>
      </c>
      <c r="HH186" s="1" t="s">
        <v>645</v>
      </c>
      <c r="HI186" s="1">
        <v>211</v>
      </c>
      <c r="HJ186" s="1">
        <v>214</v>
      </c>
      <c r="HK186" s="1">
        <v>220</v>
      </c>
      <c r="HL186" s="1">
        <v>214</v>
      </c>
      <c r="HO186" s="1" t="s">
        <v>644</v>
      </c>
    </row>
    <row r="187" spans="1:223" ht="12.75" customHeight="1" x14ac:dyDescent="0.25">
      <c r="A187" s="1" t="s">
        <v>189</v>
      </c>
      <c r="D187" s="1" t="s">
        <v>583</v>
      </c>
      <c r="E187" s="1" t="s">
        <v>126</v>
      </c>
      <c r="F187" s="1">
        <v>1</v>
      </c>
      <c r="G187" s="1">
        <v>2020</v>
      </c>
      <c r="H187" s="1">
        <v>1</v>
      </c>
      <c r="I187" s="1">
        <v>1</v>
      </c>
      <c r="J187" s="1">
        <v>0</v>
      </c>
      <c r="K187" s="19"/>
      <c r="L187" s="19"/>
      <c r="M187" s="19"/>
      <c r="N187" s="11">
        <v>25</v>
      </c>
      <c r="O187" s="11">
        <v>15</v>
      </c>
      <c r="P187" s="11">
        <v>35</v>
      </c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9"/>
      <c r="CR187" s="11">
        <v>35</v>
      </c>
      <c r="CS187" s="11">
        <v>22</v>
      </c>
      <c r="CT187" s="11">
        <v>48</v>
      </c>
      <c r="CU187" s="11">
        <f>Tabelle58971121[[#This Row],[Mindestauslastung durch]]*Tabelle58971121[[#This Row],[installierte Leistung MW durch]]</f>
        <v>0</v>
      </c>
      <c r="CV187" s="11">
        <f>Tabelle58971121[[#This Row],[Mindestauslastung min]]*Tabelle58971121[[#This Row],[installierte Leistung MW min]]</f>
        <v>0</v>
      </c>
      <c r="CW187" s="19">
        <f>Tabelle58971121[[#This Row],[Mindestauslastung max]]*Tabelle58971121[[#This Row],[installierte Leistung MW max]]</f>
        <v>0</v>
      </c>
      <c r="CX187" s="9">
        <v>0</v>
      </c>
      <c r="CY187" s="9">
        <v>0</v>
      </c>
      <c r="CZ187" s="9">
        <v>0</v>
      </c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39">
        <v>0.4</v>
      </c>
      <c r="ED187" s="39">
        <v>0.35</v>
      </c>
      <c r="EE187" s="39">
        <v>0.45</v>
      </c>
      <c r="EF187" s="11">
        <f>Tabelle58971121[[#This Row],[Durchschnittsauslastung min]]*Tabelle58971121[[#This Row],[installierte Leistung MW min]]</f>
        <v>18.400000000000002</v>
      </c>
      <c r="EG187" s="11">
        <f>Tabelle58971121[[#This Row],[Durchschnittsauslastung durch]]*Tabelle58971121[[#This Row],[installierte Leistung MW durch]]</f>
        <v>22.049999999999997</v>
      </c>
      <c r="EH187" s="46">
        <f>Tabelle58971121[[#This Row],[Durchschnittsauslastung max]]*Tabelle58971121[[#This Row],[installierte Leistung MW max]]</f>
        <v>36</v>
      </c>
      <c r="EI187" s="83">
        <f>Tabelle58971121[[#This Row],[Maximalauslastung durch]]*Tabelle58971121[[#This Row],[installierte Leistung MW min]]</f>
        <v>43.699999999999996</v>
      </c>
      <c r="EJ187" s="46">
        <f>Tabelle58971121[[#This Row],[Maximalauslastung durch]]*Tabelle58971121[[#This Row],[installierte Leistung MW durch]]</f>
        <v>59.849999999999994</v>
      </c>
      <c r="EK187" s="11">
        <f>Tabelle58971121[[#This Row],[Maximalauslastung max]]*Tabelle58971121[[#This Row],[installierte Leistung MW durch]]</f>
        <v>60.48</v>
      </c>
      <c r="EL187" s="9">
        <v>0.95</v>
      </c>
      <c r="EM187" s="9">
        <v>0.94</v>
      </c>
      <c r="EN187" s="9">
        <v>0.96</v>
      </c>
      <c r="EO187" s="11">
        <v>63</v>
      </c>
      <c r="EP187" s="11">
        <v>46</v>
      </c>
      <c r="EQ187" s="11">
        <v>80</v>
      </c>
      <c r="ER187" s="1">
        <v>2.8763888888888891E-2</v>
      </c>
      <c r="ES187" s="1">
        <v>0</v>
      </c>
      <c r="ET187" s="54">
        <v>8.3333333333333329E-2</v>
      </c>
      <c r="EU187" s="1">
        <v>2.8763888888888891E-2</v>
      </c>
      <c r="EV187" s="1">
        <v>0</v>
      </c>
      <c r="EW187" s="54">
        <v>8.3333333333333329E-2</v>
      </c>
      <c r="EX187" s="1">
        <v>6</v>
      </c>
      <c r="EY187" s="1">
        <v>4.8</v>
      </c>
      <c r="EZ187" s="54">
        <v>7.2</v>
      </c>
      <c r="FA187" s="1">
        <v>6</v>
      </c>
      <c r="FB187" s="1">
        <v>4.8</v>
      </c>
      <c r="FC187" s="54">
        <v>7.2</v>
      </c>
      <c r="FD187" s="1">
        <v>5</v>
      </c>
      <c r="FE187" s="1">
        <v>4</v>
      </c>
      <c r="FF187" s="54">
        <v>6</v>
      </c>
      <c r="FG187" s="1">
        <v>11</v>
      </c>
      <c r="FH187" s="1">
        <v>11</v>
      </c>
      <c r="FI187" s="54">
        <v>11</v>
      </c>
      <c r="FJ187" s="1">
        <v>10.4</v>
      </c>
      <c r="FK187" s="1">
        <v>6.4</v>
      </c>
      <c r="FL187" s="54">
        <v>14.4</v>
      </c>
      <c r="FN187" s="1" t="s">
        <v>646</v>
      </c>
      <c r="FP187" s="1">
        <v>600</v>
      </c>
      <c r="FQ187" s="1">
        <v>450</v>
      </c>
      <c r="FR187" s="1">
        <v>750</v>
      </c>
      <c r="FS187" s="1">
        <v>0</v>
      </c>
      <c r="FT187" s="1">
        <v>0</v>
      </c>
      <c r="FU187" s="1">
        <v>0</v>
      </c>
      <c r="FV187" s="1">
        <v>600</v>
      </c>
      <c r="FW187" s="1">
        <v>450</v>
      </c>
      <c r="FX187" s="1">
        <v>750</v>
      </c>
      <c r="FY187" s="1">
        <v>1.526470588235294</v>
      </c>
      <c r="FZ187" s="19">
        <v>0.50882352941176467</v>
      </c>
      <c r="GA187" s="19">
        <v>2.5441176470588234</v>
      </c>
      <c r="GB187" s="19">
        <v>122.11764705882352</v>
      </c>
      <c r="GC187" s="8">
        <v>71.235294117647058</v>
      </c>
      <c r="GD187" s="8">
        <v>173</v>
      </c>
      <c r="GE187" s="8">
        <v>834.47058823529403</v>
      </c>
      <c r="GF187" s="8">
        <v>791.72941176470579</v>
      </c>
      <c r="GG187" s="8">
        <v>877.21176470588227</v>
      </c>
      <c r="GH187" s="8">
        <v>45.794117647058819</v>
      </c>
      <c r="GI187" s="8">
        <v>29.511764705882349</v>
      </c>
      <c r="GJ187" s="8">
        <v>62.076470588235289</v>
      </c>
      <c r="GK187" s="8">
        <v>94.641176470588235</v>
      </c>
      <c r="GL187" s="8">
        <v>61.058823529411761</v>
      </c>
      <c r="GM187" s="8">
        <v>128.2235294117647</v>
      </c>
      <c r="GN187" s="8">
        <v>19.437058823529412</v>
      </c>
      <c r="GO187" s="8">
        <v>16.384117647058822</v>
      </c>
      <c r="GP187" s="8">
        <v>22.49</v>
      </c>
      <c r="GS187" s="1">
        <v>220</v>
      </c>
      <c r="GT187" s="1">
        <v>220</v>
      </c>
      <c r="GV187" s="13" t="s">
        <v>643</v>
      </c>
      <c r="GW187" s="1" t="s">
        <v>643</v>
      </c>
      <c r="GX187" s="13">
        <v>182</v>
      </c>
      <c r="GY187" s="13"/>
      <c r="GZ187" s="13">
        <v>182</v>
      </c>
      <c r="HA187" s="13">
        <v>182</v>
      </c>
      <c r="HB187" s="1">
        <v>182</v>
      </c>
      <c r="HC187" s="13" t="s">
        <v>642</v>
      </c>
      <c r="HD187" s="13" t="s">
        <v>641</v>
      </c>
      <c r="HE187" s="1">
        <v>202</v>
      </c>
      <c r="HF187" s="1">
        <v>202</v>
      </c>
      <c r="HH187" s="1" t="s">
        <v>645</v>
      </c>
      <c r="HI187" s="1">
        <v>211</v>
      </c>
      <c r="HJ187" s="1">
        <v>214</v>
      </c>
      <c r="HK187" s="1">
        <v>220</v>
      </c>
      <c r="HL187" s="1">
        <v>214</v>
      </c>
      <c r="HO187" s="1" t="s">
        <v>644</v>
      </c>
    </row>
    <row r="188" spans="1:223" ht="12.75" customHeight="1" x14ac:dyDescent="0.25">
      <c r="A188" s="1" t="s">
        <v>189</v>
      </c>
      <c r="D188" s="1" t="s">
        <v>583</v>
      </c>
      <c r="E188" s="1" t="s">
        <v>126</v>
      </c>
      <c r="F188" s="1">
        <v>1</v>
      </c>
      <c r="G188" s="1">
        <v>2025</v>
      </c>
      <c r="H188" s="1">
        <v>1</v>
      </c>
      <c r="I188" s="1">
        <v>1</v>
      </c>
      <c r="J188" s="1">
        <v>0</v>
      </c>
      <c r="K188" s="19"/>
      <c r="L188" s="19"/>
      <c r="M188" s="19"/>
      <c r="N188" s="11">
        <v>25</v>
      </c>
      <c r="O188" s="11">
        <v>15</v>
      </c>
      <c r="P188" s="11">
        <v>35</v>
      </c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9"/>
      <c r="CR188" s="11">
        <v>35</v>
      </c>
      <c r="CS188" s="11">
        <v>22</v>
      </c>
      <c r="CT188" s="11">
        <v>48</v>
      </c>
      <c r="CU188" s="11">
        <f>Tabelle58971121[[#This Row],[Mindestauslastung durch]]*Tabelle58971121[[#This Row],[installierte Leistung MW durch]]</f>
        <v>0</v>
      </c>
      <c r="CV188" s="11">
        <f>Tabelle58971121[[#This Row],[Mindestauslastung min]]*Tabelle58971121[[#This Row],[installierte Leistung MW min]]</f>
        <v>0</v>
      </c>
      <c r="CW188" s="19">
        <f>Tabelle58971121[[#This Row],[Mindestauslastung max]]*Tabelle58971121[[#This Row],[installierte Leistung MW max]]</f>
        <v>0</v>
      </c>
      <c r="CX188" s="9">
        <v>0</v>
      </c>
      <c r="CY188" s="9">
        <v>0</v>
      </c>
      <c r="CZ188" s="9">
        <v>0</v>
      </c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39">
        <v>0.4</v>
      </c>
      <c r="ED188" s="39">
        <v>0.35</v>
      </c>
      <c r="EE188" s="39">
        <v>0.45</v>
      </c>
      <c r="EF188" s="11">
        <f>Tabelle58971121[[#This Row],[Durchschnittsauslastung min]]*Tabelle58971121[[#This Row],[installierte Leistung MW min]]</f>
        <v>18.400000000000002</v>
      </c>
      <c r="EG188" s="11">
        <f>Tabelle58971121[[#This Row],[Durchschnittsauslastung durch]]*Tabelle58971121[[#This Row],[installierte Leistung MW durch]]</f>
        <v>22.049999999999997</v>
      </c>
      <c r="EH188" s="46">
        <f>Tabelle58971121[[#This Row],[Durchschnittsauslastung max]]*Tabelle58971121[[#This Row],[installierte Leistung MW max]]</f>
        <v>36</v>
      </c>
      <c r="EI188" s="83">
        <f>Tabelle58971121[[#This Row],[Maximalauslastung durch]]*Tabelle58971121[[#This Row],[installierte Leistung MW min]]</f>
        <v>43.699999999999996</v>
      </c>
      <c r="EJ188" s="46">
        <f>Tabelle58971121[[#This Row],[Maximalauslastung durch]]*Tabelle58971121[[#This Row],[installierte Leistung MW durch]]</f>
        <v>59.849999999999994</v>
      </c>
      <c r="EK188" s="11">
        <f>Tabelle58971121[[#This Row],[Maximalauslastung max]]*Tabelle58971121[[#This Row],[installierte Leistung MW durch]]</f>
        <v>60.48</v>
      </c>
      <c r="EL188" s="9">
        <v>0.95</v>
      </c>
      <c r="EM188" s="9">
        <v>0.94</v>
      </c>
      <c r="EN188" s="9">
        <v>0.96</v>
      </c>
      <c r="EO188" s="11">
        <v>63</v>
      </c>
      <c r="EP188" s="11">
        <v>46</v>
      </c>
      <c r="EQ188" s="11">
        <v>80</v>
      </c>
      <c r="ER188" s="1">
        <v>2.8763888888888891E-2</v>
      </c>
      <c r="ES188" s="1">
        <v>0</v>
      </c>
      <c r="ET188" s="54">
        <v>8.3333333333333329E-2</v>
      </c>
      <c r="EU188" s="1">
        <v>2.8763888888888891E-2</v>
      </c>
      <c r="EV188" s="1">
        <v>0</v>
      </c>
      <c r="EW188" s="54">
        <v>8.3333333333333329E-2</v>
      </c>
      <c r="EX188" s="1">
        <v>6</v>
      </c>
      <c r="EY188" s="1">
        <v>4.8</v>
      </c>
      <c r="EZ188" s="54">
        <v>7.2</v>
      </c>
      <c r="FA188" s="1">
        <v>6</v>
      </c>
      <c r="FB188" s="1">
        <v>4.8</v>
      </c>
      <c r="FC188" s="54">
        <v>7.2</v>
      </c>
      <c r="FD188" s="1">
        <v>5</v>
      </c>
      <c r="FE188" s="1">
        <v>4</v>
      </c>
      <c r="FF188" s="54">
        <v>6</v>
      </c>
      <c r="FG188" s="1">
        <v>11</v>
      </c>
      <c r="FH188" s="1">
        <v>11</v>
      </c>
      <c r="FI188" s="54">
        <v>11</v>
      </c>
      <c r="FJ188" s="1">
        <v>10.4</v>
      </c>
      <c r="FK188" s="1">
        <v>6.4</v>
      </c>
      <c r="FL188" s="54">
        <v>14.4</v>
      </c>
      <c r="FN188" s="1" t="s">
        <v>646</v>
      </c>
      <c r="FP188" s="1">
        <v>600</v>
      </c>
      <c r="FQ188" s="1">
        <v>450</v>
      </c>
      <c r="FR188" s="1">
        <v>750</v>
      </c>
      <c r="FS188" s="1">
        <v>0</v>
      </c>
      <c r="FT188" s="1">
        <v>0</v>
      </c>
      <c r="FU188" s="1">
        <v>0</v>
      </c>
      <c r="FV188" s="1">
        <v>600</v>
      </c>
      <c r="FW188" s="1">
        <v>450</v>
      </c>
      <c r="FX188" s="1">
        <v>750</v>
      </c>
      <c r="FY188" s="1">
        <v>1.526470588235294</v>
      </c>
      <c r="FZ188" s="19">
        <v>0.50882352941176467</v>
      </c>
      <c r="GA188" s="19">
        <v>2.5441176470588234</v>
      </c>
      <c r="GB188" s="19">
        <v>122.11764705882352</v>
      </c>
      <c r="GC188" s="8">
        <v>71.235294117647058</v>
      </c>
      <c r="GD188" s="8">
        <v>173</v>
      </c>
      <c r="GE188" s="8">
        <v>834.47058823529403</v>
      </c>
      <c r="GF188" s="8">
        <v>791.72941176470579</v>
      </c>
      <c r="GG188" s="8">
        <v>877.21176470588227</v>
      </c>
      <c r="GH188" s="8">
        <v>45.794117647058819</v>
      </c>
      <c r="GI188" s="8">
        <v>29.511764705882349</v>
      </c>
      <c r="GJ188" s="8">
        <v>62.076470588235289</v>
      </c>
      <c r="GK188" s="8">
        <v>94.641176470588235</v>
      </c>
      <c r="GL188" s="8">
        <v>61.058823529411761</v>
      </c>
      <c r="GM188" s="8">
        <v>128.2235294117647</v>
      </c>
      <c r="GN188" s="8">
        <v>19.437058823529412</v>
      </c>
      <c r="GO188" s="8">
        <v>16.384117647058822</v>
      </c>
      <c r="GP188" s="8">
        <v>22.49</v>
      </c>
      <c r="GS188" s="1">
        <v>220</v>
      </c>
      <c r="GT188" s="1">
        <v>220</v>
      </c>
      <c r="GV188" s="13" t="s">
        <v>643</v>
      </c>
      <c r="GW188" s="1" t="s">
        <v>643</v>
      </c>
      <c r="GX188" s="13">
        <v>182</v>
      </c>
      <c r="GY188" s="13"/>
      <c r="GZ188" s="13">
        <v>182</v>
      </c>
      <c r="HA188" s="13">
        <v>182</v>
      </c>
      <c r="HB188" s="1">
        <v>182</v>
      </c>
      <c r="HC188" s="13" t="s">
        <v>642</v>
      </c>
      <c r="HD188" s="13" t="s">
        <v>641</v>
      </c>
      <c r="HE188" s="1">
        <v>202</v>
      </c>
      <c r="HF188" s="1">
        <v>202</v>
      </c>
      <c r="HH188" s="1" t="s">
        <v>645</v>
      </c>
      <c r="HI188" s="1">
        <v>211</v>
      </c>
      <c r="HJ188" s="1">
        <v>214</v>
      </c>
      <c r="HK188" s="1">
        <v>220</v>
      </c>
      <c r="HL188" s="1">
        <v>214</v>
      </c>
      <c r="HO188" s="1" t="s">
        <v>644</v>
      </c>
    </row>
    <row r="189" spans="1:223" ht="12.75" customHeight="1" x14ac:dyDescent="0.25">
      <c r="A189" s="1" t="s">
        <v>189</v>
      </c>
      <c r="D189" s="1" t="s">
        <v>583</v>
      </c>
      <c r="E189" s="1" t="s">
        <v>126</v>
      </c>
      <c r="F189" s="1">
        <v>1</v>
      </c>
      <c r="G189" s="1">
        <v>2030</v>
      </c>
      <c r="H189" s="1">
        <v>1</v>
      </c>
      <c r="I189" s="1">
        <v>1</v>
      </c>
      <c r="J189" s="1">
        <v>0</v>
      </c>
      <c r="K189" s="19"/>
      <c r="L189" s="19"/>
      <c r="M189" s="19"/>
      <c r="N189" s="11">
        <v>25</v>
      </c>
      <c r="O189" s="11">
        <v>15</v>
      </c>
      <c r="P189" s="11">
        <v>35</v>
      </c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9"/>
      <c r="CR189" s="11">
        <v>35</v>
      </c>
      <c r="CS189" s="11">
        <v>22</v>
      </c>
      <c r="CT189" s="11">
        <v>48</v>
      </c>
      <c r="CU189" s="11">
        <f>Tabelle58971121[[#This Row],[Mindestauslastung durch]]*Tabelle58971121[[#This Row],[installierte Leistung MW durch]]</f>
        <v>0</v>
      </c>
      <c r="CV189" s="11">
        <f>Tabelle58971121[[#This Row],[Mindestauslastung min]]*Tabelle58971121[[#This Row],[installierte Leistung MW min]]</f>
        <v>0</v>
      </c>
      <c r="CW189" s="19">
        <f>Tabelle58971121[[#This Row],[Mindestauslastung max]]*Tabelle58971121[[#This Row],[installierte Leistung MW max]]</f>
        <v>0</v>
      </c>
      <c r="CX189" s="9">
        <v>0</v>
      </c>
      <c r="CY189" s="9">
        <v>0</v>
      </c>
      <c r="CZ189" s="9">
        <v>0</v>
      </c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39">
        <v>0.4</v>
      </c>
      <c r="ED189" s="39">
        <v>0.35</v>
      </c>
      <c r="EE189" s="39">
        <v>0.45</v>
      </c>
      <c r="EF189" s="11">
        <f>Tabelle58971121[[#This Row],[Durchschnittsauslastung min]]*Tabelle58971121[[#This Row],[installierte Leistung MW min]]</f>
        <v>18.400000000000002</v>
      </c>
      <c r="EG189" s="11">
        <f>Tabelle58971121[[#This Row],[Durchschnittsauslastung durch]]*Tabelle58971121[[#This Row],[installierte Leistung MW durch]]</f>
        <v>22.049999999999997</v>
      </c>
      <c r="EH189" s="46">
        <f>Tabelle58971121[[#This Row],[Durchschnittsauslastung max]]*Tabelle58971121[[#This Row],[installierte Leistung MW max]]</f>
        <v>36</v>
      </c>
      <c r="EI189" s="83">
        <f>Tabelle58971121[[#This Row],[Maximalauslastung durch]]*Tabelle58971121[[#This Row],[installierte Leistung MW min]]</f>
        <v>43.699999999999996</v>
      </c>
      <c r="EJ189" s="46">
        <f>Tabelle58971121[[#This Row],[Maximalauslastung durch]]*Tabelle58971121[[#This Row],[installierte Leistung MW durch]]</f>
        <v>59.849999999999994</v>
      </c>
      <c r="EK189" s="11">
        <f>Tabelle58971121[[#This Row],[Maximalauslastung max]]*Tabelle58971121[[#This Row],[installierte Leistung MW durch]]</f>
        <v>60.48</v>
      </c>
      <c r="EL189" s="9">
        <v>0.95</v>
      </c>
      <c r="EM189" s="9">
        <v>0.94</v>
      </c>
      <c r="EN189" s="9">
        <v>0.96</v>
      </c>
      <c r="EO189" s="11">
        <v>63</v>
      </c>
      <c r="EP189" s="11">
        <v>46</v>
      </c>
      <c r="EQ189" s="11">
        <v>80</v>
      </c>
      <c r="ER189" s="1">
        <v>2.8763888888888891E-2</v>
      </c>
      <c r="ES189" s="1">
        <v>0</v>
      </c>
      <c r="ET189" s="54">
        <v>8.3333333333333329E-2</v>
      </c>
      <c r="EU189" s="1">
        <v>2.8763888888888891E-2</v>
      </c>
      <c r="EV189" s="1">
        <v>0</v>
      </c>
      <c r="EW189" s="54">
        <v>8.3333333333333329E-2</v>
      </c>
      <c r="EX189" s="1">
        <v>6</v>
      </c>
      <c r="EY189" s="1">
        <v>4.8</v>
      </c>
      <c r="EZ189" s="54">
        <v>7.2</v>
      </c>
      <c r="FA189" s="1">
        <v>6</v>
      </c>
      <c r="FB189" s="1">
        <v>4.8</v>
      </c>
      <c r="FC189" s="54">
        <v>7.2</v>
      </c>
      <c r="FD189" s="1">
        <v>5</v>
      </c>
      <c r="FE189" s="1">
        <v>4</v>
      </c>
      <c r="FF189" s="54">
        <v>6</v>
      </c>
      <c r="FG189" s="1">
        <v>11</v>
      </c>
      <c r="FH189" s="1">
        <v>11</v>
      </c>
      <c r="FI189" s="54">
        <v>11</v>
      </c>
      <c r="FJ189" s="1">
        <v>10.4</v>
      </c>
      <c r="FK189" s="1">
        <v>6.4</v>
      </c>
      <c r="FL189" s="54">
        <v>14.4</v>
      </c>
      <c r="FN189" s="1" t="s">
        <v>646</v>
      </c>
      <c r="FP189" s="1">
        <v>600</v>
      </c>
      <c r="FQ189" s="1">
        <v>450</v>
      </c>
      <c r="FR189" s="1">
        <v>750</v>
      </c>
      <c r="FS189" s="1">
        <v>0</v>
      </c>
      <c r="FT189" s="1">
        <v>0</v>
      </c>
      <c r="FU189" s="1">
        <v>0</v>
      </c>
      <c r="FV189" s="1">
        <v>600</v>
      </c>
      <c r="FW189" s="1">
        <v>450</v>
      </c>
      <c r="FX189" s="1">
        <v>750</v>
      </c>
      <c r="FY189" s="1">
        <v>1.526470588235294</v>
      </c>
      <c r="FZ189" s="19">
        <v>0.50882352941176467</v>
      </c>
      <c r="GA189" s="19">
        <v>2.5441176470588234</v>
      </c>
      <c r="GB189" s="19">
        <v>122.11764705882352</v>
      </c>
      <c r="GC189" s="8">
        <v>71.235294117647058</v>
      </c>
      <c r="GD189" s="8">
        <v>173</v>
      </c>
      <c r="GE189" s="8">
        <v>834.47058823529403</v>
      </c>
      <c r="GF189" s="8">
        <v>791.72941176470579</v>
      </c>
      <c r="GG189" s="8">
        <v>877.21176470588227</v>
      </c>
      <c r="GH189" s="8">
        <v>45.794117647058819</v>
      </c>
      <c r="GI189" s="8">
        <v>29.511764705882349</v>
      </c>
      <c r="GJ189" s="8">
        <v>62.076470588235289</v>
      </c>
      <c r="GK189" s="8">
        <v>94.641176470588235</v>
      </c>
      <c r="GL189" s="8">
        <v>61.058823529411761</v>
      </c>
      <c r="GM189" s="8">
        <v>128.2235294117647</v>
      </c>
      <c r="GN189" s="8">
        <v>19.437058823529412</v>
      </c>
      <c r="GO189" s="8">
        <v>16.384117647058822</v>
      </c>
      <c r="GP189" s="8">
        <v>22.49</v>
      </c>
      <c r="GS189" s="1">
        <v>220</v>
      </c>
      <c r="GT189" s="1">
        <v>220</v>
      </c>
      <c r="GV189" s="13" t="s">
        <v>643</v>
      </c>
      <c r="GW189" s="1" t="s">
        <v>643</v>
      </c>
      <c r="GX189" s="13">
        <v>182</v>
      </c>
      <c r="GY189" s="13"/>
      <c r="GZ189" s="13">
        <v>182</v>
      </c>
      <c r="HA189" s="13">
        <v>182</v>
      </c>
      <c r="HB189" s="1">
        <v>182</v>
      </c>
      <c r="HC189" s="13" t="s">
        <v>642</v>
      </c>
      <c r="HD189" s="13" t="s">
        <v>641</v>
      </c>
      <c r="HE189" s="1">
        <v>202</v>
      </c>
      <c r="HF189" s="1">
        <v>202</v>
      </c>
      <c r="HH189" s="1" t="s">
        <v>645</v>
      </c>
      <c r="HI189" s="1">
        <v>211</v>
      </c>
      <c r="HJ189" s="1">
        <v>214</v>
      </c>
      <c r="HK189" s="1">
        <v>220</v>
      </c>
      <c r="HL189" s="1">
        <v>214</v>
      </c>
      <c r="HO189" s="1" t="s">
        <v>644</v>
      </c>
    </row>
    <row r="190" spans="1:223" ht="12.75" customHeight="1" x14ac:dyDescent="0.25">
      <c r="A190" s="1" t="s">
        <v>189</v>
      </c>
      <c r="D190" s="1" t="s">
        <v>583</v>
      </c>
      <c r="E190" s="1" t="s">
        <v>126</v>
      </c>
      <c r="F190" s="1">
        <v>1</v>
      </c>
      <c r="G190" s="1">
        <v>2035</v>
      </c>
      <c r="H190" s="1">
        <v>1</v>
      </c>
      <c r="I190" s="1">
        <v>1</v>
      </c>
      <c r="J190" s="1">
        <v>0</v>
      </c>
      <c r="K190" s="19"/>
      <c r="L190" s="19"/>
      <c r="M190" s="19"/>
      <c r="N190" s="11">
        <v>25</v>
      </c>
      <c r="O190" s="11">
        <v>15</v>
      </c>
      <c r="P190" s="11">
        <v>35</v>
      </c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9"/>
      <c r="CR190" s="11">
        <v>35</v>
      </c>
      <c r="CS190" s="11">
        <v>22</v>
      </c>
      <c r="CT190" s="11">
        <v>48</v>
      </c>
      <c r="CU190" s="11">
        <f>Tabelle58971121[[#This Row],[Mindestauslastung durch]]*Tabelle58971121[[#This Row],[installierte Leistung MW durch]]</f>
        <v>0</v>
      </c>
      <c r="CV190" s="11">
        <f>Tabelle58971121[[#This Row],[Mindestauslastung min]]*Tabelle58971121[[#This Row],[installierte Leistung MW min]]</f>
        <v>0</v>
      </c>
      <c r="CW190" s="19">
        <f>Tabelle58971121[[#This Row],[Mindestauslastung max]]*Tabelle58971121[[#This Row],[installierte Leistung MW max]]</f>
        <v>0</v>
      </c>
      <c r="CX190" s="9">
        <v>0</v>
      </c>
      <c r="CY190" s="9">
        <v>0</v>
      </c>
      <c r="CZ190" s="9">
        <v>0</v>
      </c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39">
        <v>0.4</v>
      </c>
      <c r="ED190" s="39">
        <v>0.35</v>
      </c>
      <c r="EE190" s="39">
        <v>0.45</v>
      </c>
      <c r="EF190" s="11">
        <f>Tabelle58971121[[#This Row],[Durchschnittsauslastung min]]*Tabelle58971121[[#This Row],[installierte Leistung MW min]]</f>
        <v>18.400000000000002</v>
      </c>
      <c r="EG190" s="11">
        <f>Tabelle58971121[[#This Row],[Durchschnittsauslastung durch]]*Tabelle58971121[[#This Row],[installierte Leistung MW durch]]</f>
        <v>22.049999999999997</v>
      </c>
      <c r="EH190" s="46">
        <f>Tabelle58971121[[#This Row],[Durchschnittsauslastung max]]*Tabelle58971121[[#This Row],[installierte Leistung MW max]]</f>
        <v>36</v>
      </c>
      <c r="EI190" s="83">
        <f>Tabelle58971121[[#This Row],[Maximalauslastung durch]]*Tabelle58971121[[#This Row],[installierte Leistung MW min]]</f>
        <v>43.699999999999996</v>
      </c>
      <c r="EJ190" s="46">
        <f>Tabelle58971121[[#This Row],[Maximalauslastung durch]]*Tabelle58971121[[#This Row],[installierte Leistung MW durch]]</f>
        <v>59.849999999999994</v>
      </c>
      <c r="EK190" s="11">
        <f>Tabelle58971121[[#This Row],[Maximalauslastung max]]*Tabelle58971121[[#This Row],[installierte Leistung MW durch]]</f>
        <v>60.48</v>
      </c>
      <c r="EL190" s="9">
        <v>0.95</v>
      </c>
      <c r="EM190" s="9">
        <v>0.94</v>
      </c>
      <c r="EN190" s="9">
        <v>0.96</v>
      </c>
      <c r="EO190" s="11">
        <v>63</v>
      </c>
      <c r="EP190" s="11">
        <v>46</v>
      </c>
      <c r="EQ190" s="11">
        <v>80</v>
      </c>
      <c r="ER190" s="1">
        <v>2.8763888888888891E-2</v>
      </c>
      <c r="ES190" s="1">
        <v>0</v>
      </c>
      <c r="ET190" s="54">
        <v>8.3333333333333329E-2</v>
      </c>
      <c r="EU190" s="1">
        <v>2.8763888888888891E-2</v>
      </c>
      <c r="EV190" s="1">
        <v>0</v>
      </c>
      <c r="EW190" s="54">
        <v>8.3333333333333329E-2</v>
      </c>
      <c r="EX190" s="1">
        <v>6</v>
      </c>
      <c r="EY190" s="1">
        <v>4.8</v>
      </c>
      <c r="EZ190" s="54">
        <v>7.2</v>
      </c>
      <c r="FA190" s="1">
        <v>6</v>
      </c>
      <c r="FB190" s="1">
        <v>4.8</v>
      </c>
      <c r="FC190" s="54">
        <v>7.2</v>
      </c>
      <c r="FD190" s="1">
        <v>5</v>
      </c>
      <c r="FE190" s="1">
        <v>4</v>
      </c>
      <c r="FF190" s="54">
        <v>6</v>
      </c>
      <c r="FG190" s="1">
        <v>11</v>
      </c>
      <c r="FH190" s="1">
        <v>11</v>
      </c>
      <c r="FI190" s="54">
        <v>11</v>
      </c>
      <c r="FJ190" s="1">
        <v>10.4</v>
      </c>
      <c r="FK190" s="1">
        <v>6.4</v>
      </c>
      <c r="FL190" s="54">
        <v>14.4</v>
      </c>
      <c r="FN190" s="1" t="s">
        <v>646</v>
      </c>
      <c r="FP190" s="1">
        <v>600</v>
      </c>
      <c r="FQ190" s="1">
        <v>450</v>
      </c>
      <c r="FR190" s="1">
        <v>750</v>
      </c>
      <c r="FS190" s="1">
        <v>0</v>
      </c>
      <c r="FT190" s="1">
        <v>0</v>
      </c>
      <c r="FU190" s="1">
        <v>0</v>
      </c>
      <c r="FV190" s="1">
        <v>600</v>
      </c>
      <c r="FW190" s="1">
        <v>450</v>
      </c>
      <c r="FX190" s="1">
        <v>750</v>
      </c>
      <c r="FY190" s="1">
        <v>1.526470588235294</v>
      </c>
      <c r="FZ190" s="19">
        <v>0.50882352941176467</v>
      </c>
      <c r="GA190" s="19">
        <v>2.5441176470588234</v>
      </c>
      <c r="GB190" s="19">
        <v>122.11764705882352</v>
      </c>
      <c r="GC190" s="8">
        <v>71.235294117647058</v>
      </c>
      <c r="GD190" s="8">
        <v>173</v>
      </c>
      <c r="GE190" s="8">
        <v>834.47058823529403</v>
      </c>
      <c r="GF190" s="8">
        <v>791.72941176470579</v>
      </c>
      <c r="GG190" s="8">
        <v>877.21176470588227</v>
      </c>
      <c r="GH190" s="8">
        <v>45.794117647058819</v>
      </c>
      <c r="GI190" s="8">
        <v>29.511764705882349</v>
      </c>
      <c r="GJ190" s="8">
        <v>62.076470588235289</v>
      </c>
      <c r="GK190" s="8">
        <v>94.641176470588235</v>
      </c>
      <c r="GL190" s="8">
        <v>61.058823529411761</v>
      </c>
      <c r="GM190" s="8">
        <v>128.2235294117647</v>
      </c>
      <c r="GN190" s="8">
        <v>19.437058823529412</v>
      </c>
      <c r="GO190" s="8">
        <v>16.384117647058822</v>
      </c>
      <c r="GP190" s="8">
        <v>22.49</v>
      </c>
      <c r="GS190" s="1">
        <v>220</v>
      </c>
      <c r="GT190" s="1">
        <v>220</v>
      </c>
      <c r="GV190" s="13" t="s">
        <v>643</v>
      </c>
      <c r="GW190" s="1" t="s">
        <v>643</v>
      </c>
      <c r="GX190" s="13">
        <v>182</v>
      </c>
      <c r="GY190" s="13"/>
      <c r="GZ190" s="13">
        <v>182</v>
      </c>
      <c r="HA190" s="13">
        <v>182</v>
      </c>
      <c r="HB190" s="1">
        <v>182</v>
      </c>
      <c r="HC190" s="13" t="s">
        <v>642</v>
      </c>
      <c r="HD190" s="13" t="s">
        <v>641</v>
      </c>
      <c r="HE190" s="1">
        <v>202</v>
      </c>
      <c r="HF190" s="1">
        <v>202</v>
      </c>
      <c r="HH190" s="1" t="s">
        <v>645</v>
      </c>
      <c r="HI190" s="1">
        <v>211</v>
      </c>
      <c r="HJ190" s="1">
        <v>214</v>
      </c>
      <c r="HK190" s="1">
        <v>220</v>
      </c>
      <c r="HL190" s="1">
        <v>214</v>
      </c>
      <c r="HO190" s="1" t="s">
        <v>644</v>
      </c>
    </row>
    <row r="191" spans="1:223" ht="12.75" customHeight="1" x14ac:dyDescent="0.25">
      <c r="A191" s="1" t="s">
        <v>189</v>
      </c>
      <c r="D191" s="1" t="s">
        <v>583</v>
      </c>
      <c r="E191" s="1" t="s">
        <v>126</v>
      </c>
      <c r="F191" s="1">
        <v>1</v>
      </c>
      <c r="G191" s="1">
        <v>2040</v>
      </c>
      <c r="H191" s="1">
        <v>1</v>
      </c>
      <c r="I191" s="1">
        <v>1</v>
      </c>
      <c r="J191" s="1">
        <v>0</v>
      </c>
      <c r="K191" s="19"/>
      <c r="L191" s="19"/>
      <c r="M191" s="19"/>
      <c r="N191" s="11">
        <v>25</v>
      </c>
      <c r="O191" s="11">
        <v>15</v>
      </c>
      <c r="P191" s="11">
        <v>35</v>
      </c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9"/>
      <c r="CR191" s="11">
        <v>35</v>
      </c>
      <c r="CS191" s="11">
        <v>22</v>
      </c>
      <c r="CT191" s="11">
        <v>48</v>
      </c>
      <c r="CU191" s="11">
        <f>Tabelle58971121[[#This Row],[Mindestauslastung durch]]*Tabelle58971121[[#This Row],[installierte Leistung MW durch]]</f>
        <v>0</v>
      </c>
      <c r="CV191" s="11">
        <f>Tabelle58971121[[#This Row],[Mindestauslastung min]]*Tabelle58971121[[#This Row],[installierte Leistung MW min]]</f>
        <v>0</v>
      </c>
      <c r="CW191" s="19">
        <f>Tabelle58971121[[#This Row],[Mindestauslastung max]]*Tabelle58971121[[#This Row],[installierte Leistung MW max]]</f>
        <v>0</v>
      </c>
      <c r="CX191" s="9">
        <v>0</v>
      </c>
      <c r="CY191" s="9">
        <v>0</v>
      </c>
      <c r="CZ191" s="9">
        <v>0</v>
      </c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39">
        <v>0.4</v>
      </c>
      <c r="ED191" s="39">
        <v>0.35</v>
      </c>
      <c r="EE191" s="39">
        <v>0.45</v>
      </c>
      <c r="EF191" s="11">
        <f>Tabelle58971121[[#This Row],[Durchschnittsauslastung min]]*Tabelle58971121[[#This Row],[installierte Leistung MW min]]</f>
        <v>18.400000000000002</v>
      </c>
      <c r="EG191" s="11">
        <f>Tabelle58971121[[#This Row],[Durchschnittsauslastung durch]]*Tabelle58971121[[#This Row],[installierte Leistung MW durch]]</f>
        <v>22.049999999999997</v>
      </c>
      <c r="EH191" s="46">
        <f>Tabelle58971121[[#This Row],[Durchschnittsauslastung max]]*Tabelle58971121[[#This Row],[installierte Leistung MW max]]</f>
        <v>36</v>
      </c>
      <c r="EI191" s="83">
        <f>Tabelle58971121[[#This Row],[Maximalauslastung durch]]*Tabelle58971121[[#This Row],[installierte Leistung MW min]]</f>
        <v>43.699999999999996</v>
      </c>
      <c r="EJ191" s="46">
        <f>Tabelle58971121[[#This Row],[Maximalauslastung durch]]*Tabelle58971121[[#This Row],[installierte Leistung MW durch]]</f>
        <v>59.849999999999994</v>
      </c>
      <c r="EK191" s="11">
        <f>Tabelle58971121[[#This Row],[Maximalauslastung max]]*Tabelle58971121[[#This Row],[installierte Leistung MW durch]]</f>
        <v>60.48</v>
      </c>
      <c r="EL191" s="9">
        <v>0.95</v>
      </c>
      <c r="EM191" s="9">
        <v>0.94</v>
      </c>
      <c r="EN191" s="9">
        <v>0.96</v>
      </c>
      <c r="EO191" s="11">
        <v>63</v>
      </c>
      <c r="EP191" s="11">
        <v>46</v>
      </c>
      <c r="EQ191" s="11">
        <v>80</v>
      </c>
      <c r="ER191" s="1">
        <v>2.8763888888888891E-2</v>
      </c>
      <c r="ES191" s="1">
        <v>0</v>
      </c>
      <c r="ET191" s="54">
        <v>8.3333333333333329E-2</v>
      </c>
      <c r="EU191" s="1">
        <v>2.8763888888888891E-2</v>
      </c>
      <c r="EV191" s="1">
        <v>0</v>
      </c>
      <c r="EW191" s="54">
        <v>8.3333333333333329E-2</v>
      </c>
      <c r="EX191" s="1">
        <v>6</v>
      </c>
      <c r="EY191" s="1">
        <v>4.8</v>
      </c>
      <c r="EZ191" s="54">
        <v>7.2</v>
      </c>
      <c r="FA191" s="1">
        <v>6</v>
      </c>
      <c r="FB191" s="1">
        <v>4.8</v>
      </c>
      <c r="FC191" s="54">
        <v>7.2</v>
      </c>
      <c r="FD191" s="1">
        <v>5</v>
      </c>
      <c r="FE191" s="1">
        <v>4</v>
      </c>
      <c r="FF191" s="54">
        <v>6</v>
      </c>
      <c r="FG191" s="1">
        <v>11</v>
      </c>
      <c r="FH191" s="1">
        <v>11</v>
      </c>
      <c r="FI191" s="54">
        <v>11</v>
      </c>
      <c r="FJ191" s="1">
        <v>10.4</v>
      </c>
      <c r="FK191" s="1">
        <v>6.4</v>
      </c>
      <c r="FL191" s="54">
        <v>14.4</v>
      </c>
      <c r="FN191" s="1" t="s">
        <v>646</v>
      </c>
      <c r="FP191" s="1">
        <v>600</v>
      </c>
      <c r="FQ191" s="1">
        <v>450</v>
      </c>
      <c r="FR191" s="1">
        <v>750</v>
      </c>
      <c r="FS191" s="1">
        <v>0</v>
      </c>
      <c r="FT191" s="1">
        <v>0</v>
      </c>
      <c r="FU191" s="1">
        <v>0</v>
      </c>
      <c r="FV191" s="1">
        <v>600</v>
      </c>
      <c r="FW191" s="1">
        <v>450</v>
      </c>
      <c r="FX191" s="1">
        <v>750</v>
      </c>
      <c r="FY191" s="1">
        <v>1.526470588235294</v>
      </c>
      <c r="FZ191" s="19">
        <v>0.50882352941176467</v>
      </c>
      <c r="GA191" s="19">
        <v>2.5441176470588234</v>
      </c>
      <c r="GB191" s="19">
        <v>122.11764705882352</v>
      </c>
      <c r="GC191" s="8">
        <v>71.235294117647058</v>
      </c>
      <c r="GD191" s="8">
        <v>173</v>
      </c>
      <c r="GE191" s="8">
        <v>834.47058823529403</v>
      </c>
      <c r="GF191" s="8">
        <v>791.72941176470579</v>
      </c>
      <c r="GG191" s="8">
        <v>877.21176470588227</v>
      </c>
      <c r="GH191" s="8">
        <v>45.794117647058819</v>
      </c>
      <c r="GI191" s="8">
        <v>29.511764705882349</v>
      </c>
      <c r="GJ191" s="8">
        <v>62.076470588235289</v>
      </c>
      <c r="GK191" s="8">
        <v>94.641176470588235</v>
      </c>
      <c r="GL191" s="8">
        <v>61.058823529411761</v>
      </c>
      <c r="GM191" s="8">
        <v>128.2235294117647</v>
      </c>
      <c r="GN191" s="8">
        <v>19.437058823529412</v>
      </c>
      <c r="GO191" s="8">
        <v>16.384117647058822</v>
      </c>
      <c r="GP191" s="8">
        <v>22.49</v>
      </c>
      <c r="GS191" s="1">
        <v>220</v>
      </c>
      <c r="GT191" s="1">
        <v>220</v>
      </c>
      <c r="GV191" s="13" t="s">
        <v>643</v>
      </c>
      <c r="GW191" s="1" t="s">
        <v>643</v>
      </c>
      <c r="GX191" s="13">
        <v>182</v>
      </c>
      <c r="GY191" s="13"/>
      <c r="GZ191" s="13">
        <v>182</v>
      </c>
      <c r="HA191" s="13">
        <v>182</v>
      </c>
      <c r="HB191" s="1">
        <v>182</v>
      </c>
      <c r="HC191" s="13" t="s">
        <v>642</v>
      </c>
      <c r="HD191" s="13" t="s">
        <v>641</v>
      </c>
      <c r="HE191" s="1">
        <v>202</v>
      </c>
      <c r="HF191" s="1">
        <v>202</v>
      </c>
      <c r="HH191" s="1" t="s">
        <v>645</v>
      </c>
      <c r="HI191" s="1">
        <v>211</v>
      </c>
      <c r="HJ191" s="1">
        <v>214</v>
      </c>
      <c r="HK191" s="1">
        <v>220</v>
      </c>
      <c r="HL191" s="1">
        <v>214</v>
      </c>
      <c r="HO191" s="1" t="s">
        <v>644</v>
      </c>
    </row>
    <row r="192" spans="1:223" ht="12.75" customHeight="1" x14ac:dyDescent="0.25">
      <c r="A192" s="1" t="s">
        <v>189</v>
      </c>
      <c r="D192" s="1" t="s">
        <v>583</v>
      </c>
      <c r="E192" s="1" t="s">
        <v>126</v>
      </c>
      <c r="F192" s="1">
        <v>1</v>
      </c>
      <c r="G192" s="1">
        <v>2045</v>
      </c>
      <c r="H192" s="1">
        <v>1</v>
      </c>
      <c r="I192" s="1">
        <v>1</v>
      </c>
      <c r="J192" s="1">
        <v>0</v>
      </c>
      <c r="K192" s="19"/>
      <c r="L192" s="19"/>
      <c r="M192" s="19"/>
      <c r="N192" s="11">
        <v>25</v>
      </c>
      <c r="O192" s="11">
        <v>15</v>
      </c>
      <c r="P192" s="11">
        <v>35</v>
      </c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9"/>
      <c r="CR192" s="11">
        <v>35</v>
      </c>
      <c r="CS192" s="11">
        <v>22</v>
      </c>
      <c r="CT192" s="11">
        <v>48</v>
      </c>
      <c r="CU192" s="11">
        <f>Tabelle58971121[[#This Row],[Mindestauslastung durch]]*Tabelle58971121[[#This Row],[installierte Leistung MW durch]]</f>
        <v>0</v>
      </c>
      <c r="CV192" s="11">
        <f>Tabelle58971121[[#This Row],[Mindestauslastung min]]*Tabelle58971121[[#This Row],[installierte Leistung MW min]]</f>
        <v>0</v>
      </c>
      <c r="CW192" s="19">
        <f>Tabelle58971121[[#This Row],[Mindestauslastung max]]*Tabelle58971121[[#This Row],[installierte Leistung MW max]]</f>
        <v>0</v>
      </c>
      <c r="CX192" s="9">
        <v>0</v>
      </c>
      <c r="CY192" s="9">
        <v>0</v>
      </c>
      <c r="CZ192" s="9">
        <v>0</v>
      </c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39">
        <v>0.4</v>
      </c>
      <c r="ED192" s="39">
        <v>0.35</v>
      </c>
      <c r="EE192" s="39">
        <v>0.45</v>
      </c>
      <c r="EF192" s="11">
        <f>Tabelle58971121[[#This Row],[Durchschnittsauslastung min]]*Tabelle58971121[[#This Row],[installierte Leistung MW min]]</f>
        <v>18.400000000000002</v>
      </c>
      <c r="EG192" s="11">
        <f>Tabelle58971121[[#This Row],[Durchschnittsauslastung durch]]*Tabelle58971121[[#This Row],[installierte Leistung MW durch]]</f>
        <v>22.049999999999997</v>
      </c>
      <c r="EH192" s="46">
        <f>Tabelle58971121[[#This Row],[Durchschnittsauslastung max]]*Tabelle58971121[[#This Row],[installierte Leistung MW max]]</f>
        <v>36</v>
      </c>
      <c r="EI192" s="83">
        <f>Tabelle58971121[[#This Row],[Maximalauslastung durch]]*Tabelle58971121[[#This Row],[installierte Leistung MW min]]</f>
        <v>43.699999999999996</v>
      </c>
      <c r="EJ192" s="46">
        <f>Tabelle58971121[[#This Row],[Maximalauslastung durch]]*Tabelle58971121[[#This Row],[installierte Leistung MW durch]]</f>
        <v>59.849999999999994</v>
      </c>
      <c r="EK192" s="11">
        <f>Tabelle58971121[[#This Row],[Maximalauslastung max]]*Tabelle58971121[[#This Row],[installierte Leistung MW durch]]</f>
        <v>60.48</v>
      </c>
      <c r="EL192" s="9">
        <v>0.95</v>
      </c>
      <c r="EM192" s="9">
        <v>0.94</v>
      </c>
      <c r="EN192" s="9">
        <v>0.96</v>
      </c>
      <c r="EO192" s="11">
        <v>63</v>
      </c>
      <c r="EP192" s="11">
        <v>46</v>
      </c>
      <c r="EQ192" s="11">
        <v>80</v>
      </c>
      <c r="ER192" s="1">
        <v>2.8763888888888891E-2</v>
      </c>
      <c r="ES192" s="1">
        <v>0</v>
      </c>
      <c r="ET192" s="54">
        <v>8.3333333333333329E-2</v>
      </c>
      <c r="EU192" s="1">
        <v>2.8763888888888891E-2</v>
      </c>
      <c r="EV192" s="1">
        <v>0</v>
      </c>
      <c r="EW192" s="54">
        <v>8.3333333333333329E-2</v>
      </c>
      <c r="EX192" s="1">
        <v>6</v>
      </c>
      <c r="EY192" s="1">
        <v>4.8</v>
      </c>
      <c r="EZ192" s="54">
        <v>7.2</v>
      </c>
      <c r="FA192" s="1">
        <v>6</v>
      </c>
      <c r="FB192" s="1">
        <v>4.8</v>
      </c>
      <c r="FC192" s="54">
        <v>7.2</v>
      </c>
      <c r="FD192" s="1">
        <v>5</v>
      </c>
      <c r="FE192" s="1">
        <v>4</v>
      </c>
      <c r="FF192" s="54">
        <v>6</v>
      </c>
      <c r="FG192" s="1">
        <v>11</v>
      </c>
      <c r="FH192" s="1">
        <v>11</v>
      </c>
      <c r="FI192" s="54">
        <v>11</v>
      </c>
      <c r="FJ192" s="1">
        <v>10.4</v>
      </c>
      <c r="FK192" s="1">
        <v>6.4</v>
      </c>
      <c r="FL192" s="54">
        <v>14.4</v>
      </c>
      <c r="FN192" s="1" t="s">
        <v>646</v>
      </c>
      <c r="FP192" s="1">
        <v>600</v>
      </c>
      <c r="FQ192" s="1">
        <v>450</v>
      </c>
      <c r="FR192" s="1">
        <v>750</v>
      </c>
      <c r="FS192" s="1">
        <v>0</v>
      </c>
      <c r="FT192" s="1">
        <v>0</v>
      </c>
      <c r="FU192" s="1">
        <v>0</v>
      </c>
      <c r="FV192" s="1">
        <v>600</v>
      </c>
      <c r="FW192" s="1">
        <v>450</v>
      </c>
      <c r="FX192" s="1">
        <v>750</v>
      </c>
      <c r="FY192" s="1">
        <v>1.526470588235294</v>
      </c>
      <c r="FZ192" s="19">
        <v>0.50882352941176467</v>
      </c>
      <c r="GA192" s="19">
        <v>2.5441176470588234</v>
      </c>
      <c r="GB192" s="19">
        <v>122.11764705882352</v>
      </c>
      <c r="GC192" s="8">
        <v>71.235294117647058</v>
      </c>
      <c r="GD192" s="8">
        <v>173</v>
      </c>
      <c r="GE192" s="8">
        <v>834.47058823529403</v>
      </c>
      <c r="GF192" s="8">
        <v>791.72941176470579</v>
      </c>
      <c r="GG192" s="8">
        <v>877.21176470588227</v>
      </c>
      <c r="GH192" s="8">
        <v>45.794117647058819</v>
      </c>
      <c r="GI192" s="8">
        <v>29.511764705882349</v>
      </c>
      <c r="GJ192" s="8">
        <v>62.076470588235289</v>
      </c>
      <c r="GK192" s="8">
        <v>94.641176470588235</v>
      </c>
      <c r="GL192" s="8">
        <v>61.058823529411761</v>
      </c>
      <c r="GM192" s="8">
        <v>128.2235294117647</v>
      </c>
      <c r="GN192" s="8">
        <v>19.437058823529412</v>
      </c>
      <c r="GO192" s="8">
        <v>16.384117647058822</v>
      </c>
      <c r="GP192" s="8">
        <v>22.49</v>
      </c>
      <c r="GS192" s="1">
        <v>220</v>
      </c>
      <c r="GT192" s="1">
        <v>220</v>
      </c>
      <c r="GV192" s="13" t="s">
        <v>643</v>
      </c>
      <c r="GW192" s="1" t="s">
        <v>643</v>
      </c>
      <c r="GX192" s="13">
        <v>182</v>
      </c>
      <c r="GY192" s="13"/>
      <c r="GZ192" s="13">
        <v>182</v>
      </c>
      <c r="HA192" s="13">
        <v>182</v>
      </c>
      <c r="HB192" s="1">
        <v>182</v>
      </c>
      <c r="HC192" s="13" t="s">
        <v>642</v>
      </c>
      <c r="HD192" s="13" t="s">
        <v>641</v>
      </c>
      <c r="HE192" s="1">
        <v>202</v>
      </c>
      <c r="HF192" s="1">
        <v>202</v>
      </c>
      <c r="HH192" s="1" t="s">
        <v>645</v>
      </c>
      <c r="HI192" s="1">
        <v>211</v>
      </c>
      <c r="HJ192" s="1">
        <v>214</v>
      </c>
      <c r="HK192" s="1">
        <v>220</v>
      </c>
      <c r="HL192" s="1">
        <v>214</v>
      </c>
      <c r="HO192" s="1" t="s">
        <v>644</v>
      </c>
    </row>
    <row r="193" spans="1:223" ht="12.75" customHeight="1" x14ac:dyDescent="0.25">
      <c r="A193" s="1" t="s">
        <v>189</v>
      </c>
      <c r="D193" s="1" t="s">
        <v>583</v>
      </c>
      <c r="E193" s="1" t="s">
        <v>126</v>
      </c>
      <c r="F193" s="1">
        <v>1</v>
      </c>
      <c r="G193" s="1">
        <v>2050</v>
      </c>
      <c r="H193" s="1">
        <v>1</v>
      </c>
      <c r="I193" s="1">
        <v>1</v>
      </c>
      <c r="J193" s="1">
        <v>0</v>
      </c>
      <c r="K193" s="19"/>
      <c r="L193" s="19"/>
      <c r="M193" s="19"/>
      <c r="N193" s="11">
        <v>25</v>
      </c>
      <c r="O193" s="11">
        <v>15</v>
      </c>
      <c r="P193" s="11">
        <v>35</v>
      </c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9"/>
      <c r="CR193" s="11">
        <v>35</v>
      </c>
      <c r="CS193" s="11">
        <v>22</v>
      </c>
      <c r="CT193" s="11">
        <v>48</v>
      </c>
      <c r="CU193" s="11">
        <f>Tabelle58971121[[#This Row],[Mindestauslastung durch]]*Tabelle58971121[[#This Row],[installierte Leistung MW durch]]</f>
        <v>0</v>
      </c>
      <c r="CV193" s="11">
        <f>Tabelle58971121[[#This Row],[Mindestauslastung min]]*Tabelle58971121[[#This Row],[installierte Leistung MW min]]</f>
        <v>0</v>
      </c>
      <c r="CW193" s="19">
        <f>Tabelle58971121[[#This Row],[Mindestauslastung max]]*Tabelle58971121[[#This Row],[installierte Leistung MW max]]</f>
        <v>0</v>
      </c>
      <c r="CX193" s="9">
        <v>0</v>
      </c>
      <c r="CY193" s="9">
        <v>0</v>
      </c>
      <c r="CZ193" s="9">
        <v>0</v>
      </c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39">
        <v>0.4</v>
      </c>
      <c r="ED193" s="39">
        <v>0.35</v>
      </c>
      <c r="EE193" s="39">
        <v>0.45</v>
      </c>
      <c r="EF193" s="11">
        <f>Tabelle58971121[[#This Row],[Durchschnittsauslastung min]]*Tabelle58971121[[#This Row],[installierte Leistung MW min]]</f>
        <v>18.400000000000002</v>
      </c>
      <c r="EG193" s="11">
        <f>Tabelle58971121[[#This Row],[Durchschnittsauslastung durch]]*Tabelle58971121[[#This Row],[installierte Leistung MW durch]]</f>
        <v>22.049999999999997</v>
      </c>
      <c r="EH193" s="46">
        <f>Tabelle58971121[[#This Row],[Durchschnittsauslastung max]]*Tabelle58971121[[#This Row],[installierte Leistung MW max]]</f>
        <v>36</v>
      </c>
      <c r="EI193" s="83">
        <f>Tabelle58971121[[#This Row],[Maximalauslastung durch]]*Tabelle58971121[[#This Row],[installierte Leistung MW min]]</f>
        <v>43.699999999999996</v>
      </c>
      <c r="EJ193" s="46">
        <f>Tabelle58971121[[#This Row],[Maximalauslastung durch]]*Tabelle58971121[[#This Row],[installierte Leistung MW durch]]</f>
        <v>59.849999999999994</v>
      </c>
      <c r="EK193" s="11">
        <f>Tabelle58971121[[#This Row],[Maximalauslastung max]]*Tabelle58971121[[#This Row],[installierte Leistung MW durch]]</f>
        <v>60.48</v>
      </c>
      <c r="EL193" s="9">
        <v>0.95</v>
      </c>
      <c r="EM193" s="9">
        <v>0.94</v>
      </c>
      <c r="EN193" s="9">
        <v>0.96</v>
      </c>
      <c r="EO193" s="11">
        <v>63</v>
      </c>
      <c r="EP193" s="11">
        <v>46</v>
      </c>
      <c r="EQ193" s="11">
        <v>80</v>
      </c>
      <c r="ER193" s="1">
        <v>2.8763888888888891E-2</v>
      </c>
      <c r="ES193" s="1">
        <v>0</v>
      </c>
      <c r="ET193" s="54">
        <v>8.3333333333333329E-2</v>
      </c>
      <c r="EU193" s="1">
        <v>2.8763888888888891E-2</v>
      </c>
      <c r="EV193" s="1">
        <v>0</v>
      </c>
      <c r="EW193" s="54">
        <v>8.3333333333333329E-2</v>
      </c>
      <c r="EX193" s="1">
        <v>6</v>
      </c>
      <c r="EY193" s="1">
        <v>4.8</v>
      </c>
      <c r="EZ193" s="54">
        <v>7.2</v>
      </c>
      <c r="FA193" s="1">
        <v>6</v>
      </c>
      <c r="FB193" s="1">
        <v>4.8</v>
      </c>
      <c r="FC193" s="54">
        <v>7.2</v>
      </c>
      <c r="FD193" s="1">
        <v>5</v>
      </c>
      <c r="FE193" s="1">
        <v>4</v>
      </c>
      <c r="FF193" s="54">
        <v>6</v>
      </c>
      <c r="FG193" s="1">
        <v>11</v>
      </c>
      <c r="FH193" s="1">
        <v>11</v>
      </c>
      <c r="FI193" s="54">
        <v>11</v>
      </c>
      <c r="FJ193" s="1">
        <v>10.4</v>
      </c>
      <c r="FK193" s="1">
        <v>6.4</v>
      </c>
      <c r="FL193" s="54">
        <v>14.4</v>
      </c>
      <c r="FN193" s="1" t="s">
        <v>646</v>
      </c>
      <c r="FP193" s="1">
        <v>600</v>
      </c>
      <c r="FQ193" s="1">
        <v>450</v>
      </c>
      <c r="FR193" s="1">
        <v>750</v>
      </c>
      <c r="FS193" s="1">
        <v>0</v>
      </c>
      <c r="FT193" s="1">
        <v>0</v>
      </c>
      <c r="FU193" s="1">
        <v>0</v>
      </c>
      <c r="FV193" s="1">
        <v>600</v>
      </c>
      <c r="FW193" s="1">
        <v>450</v>
      </c>
      <c r="FX193" s="1">
        <v>750</v>
      </c>
      <c r="FY193" s="1">
        <v>1.526470588235294</v>
      </c>
      <c r="FZ193" s="19">
        <v>0.50882352941176467</v>
      </c>
      <c r="GA193" s="19">
        <v>2.5441176470588234</v>
      </c>
      <c r="GB193" s="19">
        <v>122.11764705882352</v>
      </c>
      <c r="GC193" s="8">
        <v>71.235294117647058</v>
      </c>
      <c r="GD193" s="8">
        <v>173</v>
      </c>
      <c r="GE193" s="8">
        <v>834.47058823529403</v>
      </c>
      <c r="GF193" s="8">
        <v>791.72941176470579</v>
      </c>
      <c r="GG193" s="8">
        <v>877.21176470588227</v>
      </c>
      <c r="GH193" s="8">
        <v>45.794117647058819</v>
      </c>
      <c r="GI193" s="8">
        <v>29.511764705882349</v>
      </c>
      <c r="GJ193" s="8">
        <v>62.076470588235289</v>
      </c>
      <c r="GK193" s="8">
        <v>94.641176470588235</v>
      </c>
      <c r="GL193" s="8">
        <v>61.058823529411761</v>
      </c>
      <c r="GM193" s="8">
        <v>128.2235294117647</v>
      </c>
      <c r="GN193" s="8">
        <v>19.437058823529412</v>
      </c>
      <c r="GO193" s="8">
        <v>16.384117647058822</v>
      </c>
      <c r="GP193" s="8">
        <v>22.49</v>
      </c>
      <c r="GS193" s="1">
        <v>220</v>
      </c>
      <c r="GT193" s="1">
        <v>220</v>
      </c>
      <c r="GV193" s="13" t="s">
        <v>643</v>
      </c>
      <c r="GW193" s="1" t="s">
        <v>643</v>
      </c>
      <c r="GX193" s="13">
        <v>182</v>
      </c>
      <c r="GY193" s="13"/>
      <c r="GZ193" s="13">
        <v>182</v>
      </c>
      <c r="HA193" s="13">
        <v>182</v>
      </c>
      <c r="HB193" s="1">
        <v>182</v>
      </c>
      <c r="HC193" s="13" t="s">
        <v>642</v>
      </c>
      <c r="HD193" s="13" t="s">
        <v>641</v>
      </c>
      <c r="HE193" s="1">
        <v>202</v>
      </c>
      <c r="HF193" s="1">
        <v>202</v>
      </c>
      <c r="HH193" s="1" t="s">
        <v>645</v>
      </c>
      <c r="HI193" s="1">
        <v>211</v>
      </c>
      <c r="HJ193" s="1">
        <v>214</v>
      </c>
      <c r="HK193" s="1">
        <v>220</v>
      </c>
      <c r="HL193" s="1">
        <v>214</v>
      </c>
      <c r="HO193" s="1" t="s">
        <v>644</v>
      </c>
    </row>
    <row r="194" spans="1:223" ht="12.75" customHeight="1" x14ac:dyDescent="0.25">
      <c r="A194" s="1" t="s">
        <v>571</v>
      </c>
      <c r="D194" s="1" t="s">
        <v>578</v>
      </c>
      <c r="E194" s="1" t="s">
        <v>126</v>
      </c>
      <c r="F194" s="1">
        <v>1</v>
      </c>
      <c r="G194" s="1">
        <v>2015</v>
      </c>
      <c r="H194" s="1">
        <v>1</v>
      </c>
      <c r="I194" s="1">
        <v>1</v>
      </c>
      <c r="J194" s="1">
        <v>0</v>
      </c>
      <c r="K194" s="19"/>
      <c r="L194" s="19"/>
      <c r="M194" s="19"/>
      <c r="N194" s="11">
        <v>115</v>
      </c>
      <c r="O194" s="11">
        <v>29</v>
      </c>
      <c r="P194" s="11">
        <v>201</v>
      </c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9"/>
      <c r="CR194" s="11">
        <v>25</v>
      </c>
      <c r="CS194" s="11">
        <v>3</v>
      </c>
      <c r="CT194" s="11">
        <v>47</v>
      </c>
      <c r="CU194" s="11">
        <f>Tabelle58971121[[#This Row],[Mindestauslastung durch]]*Tabelle58971121[[#This Row],[installierte Leistung MW durch]]</f>
        <v>0</v>
      </c>
      <c r="CV194" s="11">
        <f>Tabelle58971121[[#This Row],[Mindestauslastung min]]*Tabelle58971121[[#This Row],[installierte Leistung MW min]]</f>
        <v>0</v>
      </c>
      <c r="CW194" s="19">
        <f>Tabelle58971121[[#This Row],[Mindestauslastung max]]*Tabelle58971121[[#This Row],[installierte Leistung MW max]]</f>
        <v>0</v>
      </c>
      <c r="CX194" s="9">
        <v>0</v>
      </c>
      <c r="CY194" s="9">
        <v>0</v>
      </c>
      <c r="CZ194" s="9">
        <v>0</v>
      </c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39">
        <v>0.78</v>
      </c>
      <c r="ED194" s="39">
        <v>0.7</v>
      </c>
      <c r="EE194" s="39">
        <v>0.86</v>
      </c>
      <c r="EF194" s="11">
        <f>Tabelle58971121[[#This Row],[Durchschnittsauslastung min]]*Tabelle58971121[[#This Row],[installierte Leistung MW min]]</f>
        <v>35.1</v>
      </c>
      <c r="EG194" s="11">
        <f>Tabelle58971121[[#This Row],[Durchschnittsauslastung durch]]*Tabelle58971121[[#This Row],[installierte Leistung MW durch]]</f>
        <v>103.6</v>
      </c>
      <c r="EH194" s="46">
        <f>Tabelle58971121[[#This Row],[Durchschnittsauslastung max]]*Tabelle58971121[[#This Row],[installierte Leistung MW max]]</f>
        <v>215.85999999999999</v>
      </c>
      <c r="EI194" s="83">
        <f>Tabelle58971121[[#This Row],[Maximalauslastung durch]]*Tabelle58971121[[#This Row],[installierte Leistung MW min]]</f>
        <v>42.75</v>
      </c>
      <c r="EJ194" s="46">
        <f>Tabelle58971121[[#This Row],[Maximalauslastung durch]]*Tabelle58971121[[#This Row],[installierte Leistung MW durch]]</f>
        <v>140.6</v>
      </c>
      <c r="EK194" s="11">
        <f>Tabelle58971121[[#This Row],[Maximalauslastung max]]*Tabelle58971121[[#This Row],[installierte Leistung MW durch]]</f>
        <v>142.07999999999998</v>
      </c>
      <c r="EL194" s="9">
        <v>0.95</v>
      </c>
      <c r="EM194" s="9">
        <v>0.94</v>
      </c>
      <c r="EN194" s="9">
        <v>0.96</v>
      </c>
      <c r="EO194" s="11">
        <v>148</v>
      </c>
      <c r="EP194" s="11">
        <v>45</v>
      </c>
      <c r="EQ194" s="11">
        <v>251</v>
      </c>
      <c r="ER194" s="1">
        <v>0.16666666666666663</v>
      </c>
      <c r="ES194" s="1">
        <v>8.3333333333333329E-2</v>
      </c>
      <c r="ET194" s="54">
        <v>0.25</v>
      </c>
      <c r="EU194" s="1">
        <v>0.16666666666666663</v>
      </c>
      <c r="EV194" s="1">
        <v>8.3333333333333329E-2</v>
      </c>
      <c r="EW194" s="54">
        <v>0.25</v>
      </c>
      <c r="EX194" s="1">
        <v>2</v>
      </c>
      <c r="EY194" s="1">
        <v>1.6</v>
      </c>
      <c r="EZ194" s="54">
        <v>2.4</v>
      </c>
      <c r="FA194" s="1">
        <v>2</v>
      </c>
      <c r="FB194" s="1">
        <v>1.6</v>
      </c>
      <c r="FC194" s="54">
        <v>2.4</v>
      </c>
      <c r="FD194" s="1">
        <v>4</v>
      </c>
      <c r="FE194" s="1">
        <v>3.2</v>
      </c>
      <c r="FF194" s="54">
        <v>4.8</v>
      </c>
      <c r="FG194" s="1">
        <v>6</v>
      </c>
      <c r="FH194" s="1">
        <v>6</v>
      </c>
      <c r="FI194" s="54">
        <v>6</v>
      </c>
      <c r="FJ194" s="1">
        <v>4.9000000000000004</v>
      </c>
      <c r="FK194" s="1">
        <v>3.3000000000000003</v>
      </c>
      <c r="FL194" s="54">
        <v>6.5</v>
      </c>
      <c r="FN194" s="1" t="s">
        <v>646</v>
      </c>
      <c r="FP194" s="1">
        <v>50</v>
      </c>
      <c r="FQ194" s="1">
        <v>20</v>
      </c>
      <c r="FR194" s="1">
        <v>80</v>
      </c>
      <c r="FS194" s="1">
        <v>0</v>
      </c>
      <c r="FT194" s="1">
        <v>0</v>
      </c>
      <c r="FU194" s="1">
        <v>0</v>
      </c>
      <c r="FV194" s="1">
        <v>50</v>
      </c>
      <c r="FW194" s="1">
        <v>20</v>
      </c>
      <c r="FX194" s="1">
        <v>80</v>
      </c>
      <c r="FY194" s="1">
        <v>8.1411764705882348</v>
      </c>
      <c r="FZ194" s="19">
        <v>3.052941176470588</v>
      </c>
      <c r="GA194" s="19">
        <v>13.229411764705882</v>
      </c>
      <c r="GB194" s="19">
        <v>274.76470588235293</v>
      </c>
      <c r="GC194" s="8">
        <v>122.11764705882352</v>
      </c>
      <c r="GD194" s="8">
        <v>427.41176470588232</v>
      </c>
      <c r="GE194" s="8">
        <v>1519.8558823529411</v>
      </c>
      <c r="GF194" s="8">
        <v>1395.1941176470586</v>
      </c>
      <c r="GG194" s="8">
        <v>1644.5176470588235</v>
      </c>
      <c r="GH194" s="8">
        <v>30.52941176470588</v>
      </c>
      <c r="GI194" s="8">
        <v>0</v>
      </c>
      <c r="GJ194" s="8">
        <v>61.058823529411761</v>
      </c>
      <c r="GK194" s="8">
        <v>101.76470588235293</v>
      </c>
      <c r="GL194" s="8">
        <v>50.882352941176464</v>
      </c>
      <c r="GM194" s="8">
        <v>152.64705882352939</v>
      </c>
      <c r="GN194" s="8">
        <v>20.352941176470587</v>
      </c>
      <c r="GO194" s="8">
        <v>10.176470588235293</v>
      </c>
      <c r="GP194" s="8">
        <v>30.52941176470588</v>
      </c>
      <c r="GS194" s="1">
        <v>220</v>
      </c>
      <c r="GT194" s="1">
        <v>220</v>
      </c>
      <c r="GV194" s="13" t="s">
        <v>643</v>
      </c>
      <c r="GW194" s="1" t="s">
        <v>643</v>
      </c>
      <c r="GX194" s="13">
        <v>182</v>
      </c>
      <c r="GY194" s="13"/>
      <c r="GZ194" s="13">
        <v>182</v>
      </c>
      <c r="HA194" s="13">
        <v>182</v>
      </c>
      <c r="HB194" s="1">
        <v>182</v>
      </c>
      <c r="HC194" s="13" t="s">
        <v>642</v>
      </c>
      <c r="HD194" s="13" t="s">
        <v>641</v>
      </c>
      <c r="HE194" s="1">
        <v>202</v>
      </c>
      <c r="HF194" s="1">
        <v>202</v>
      </c>
      <c r="HH194" s="1" t="s">
        <v>645</v>
      </c>
      <c r="HI194" s="1">
        <v>211</v>
      </c>
      <c r="HJ194" s="1">
        <v>214</v>
      </c>
      <c r="HK194" s="1">
        <v>220</v>
      </c>
      <c r="HL194" s="1">
        <v>214</v>
      </c>
      <c r="HO194" s="1" t="s">
        <v>644</v>
      </c>
    </row>
    <row r="195" spans="1:223" ht="12.75" customHeight="1" x14ac:dyDescent="0.25">
      <c r="A195" s="1" t="s">
        <v>571</v>
      </c>
      <c r="D195" s="1" t="s">
        <v>578</v>
      </c>
      <c r="E195" s="1" t="s">
        <v>126</v>
      </c>
      <c r="F195" s="1">
        <v>1</v>
      </c>
      <c r="G195" s="1">
        <v>2020</v>
      </c>
      <c r="H195" s="1">
        <v>1</v>
      </c>
      <c r="I195" s="1">
        <v>1</v>
      </c>
      <c r="J195" s="1">
        <v>0</v>
      </c>
      <c r="K195" s="19"/>
      <c r="L195" s="19"/>
      <c r="M195" s="19"/>
      <c r="N195" s="11">
        <v>115</v>
      </c>
      <c r="O195" s="11">
        <v>29.000000000000007</v>
      </c>
      <c r="P195" s="11">
        <v>201</v>
      </c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9"/>
      <c r="CR195" s="11">
        <v>25</v>
      </c>
      <c r="CS195" s="11">
        <v>3.0000000000000009</v>
      </c>
      <c r="CT195" s="11">
        <v>47</v>
      </c>
      <c r="CU195" s="11">
        <f>Tabelle58971121[[#This Row],[Mindestauslastung durch]]*Tabelle58971121[[#This Row],[installierte Leistung MW durch]]</f>
        <v>0</v>
      </c>
      <c r="CV195" s="11">
        <f>Tabelle58971121[[#This Row],[Mindestauslastung min]]*Tabelle58971121[[#This Row],[installierte Leistung MW min]]</f>
        <v>0</v>
      </c>
      <c r="CW195" s="19">
        <f>Tabelle58971121[[#This Row],[Mindestauslastung max]]*Tabelle58971121[[#This Row],[installierte Leistung MW max]]</f>
        <v>0</v>
      </c>
      <c r="CX195" s="9">
        <v>0</v>
      </c>
      <c r="CY195" s="9">
        <v>0</v>
      </c>
      <c r="CZ195" s="9">
        <v>0</v>
      </c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39">
        <v>0.78</v>
      </c>
      <c r="ED195" s="39">
        <v>0.7</v>
      </c>
      <c r="EE195" s="39">
        <v>0.86</v>
      </c>
      <c r="EF195" s="11">
        <f>Tabelle58971121[[#This Row],[Durchschnittsauslastung min]]*Tabelle58971121[[#This Row],[installierte Leistung MW min]]</f>
        <v>35.1</v>
      </c>
      <c r="EG195" s="11">
        <f>Tabelle58971121[[#This Row],[Durchschnittsauslastung durch]]*Tabelle58971121[[#This Row],[installierte Leistung MW durch]]</f>
        <v>103.6</v>
      </c>
      <c r="EH195" s="46">
        <f>Tabelle58971121[[#This Row],[Durchschnittsauslastung max]]*Tabelle58971121[[#This Row],[installierte Leistung MW max]]</f>
        <v>215.85999999999999</v>
      </c>
      <c r="EI195" s="83">
        <f>Tabelle58971121[[#This Row],[Maximalauslastung durch]]*Tabelle58971121[[#This Row],[installierte Leistung MW min]]</f>
        <v>42.75</v>
      </c>
      <c r="EJ195" s="46">
        <f>Tabelle58971121[[#This Row],[Maximalauslastung durch]]*Tabelle58971121[[#This Row],[installierte Leistung MW durch]]</f>
        <v>140.6</v>
      </c>
      <c r="EK195" s="11">
        <f>Tabelle58971121[[#This Row],[Maximalauslastung max]]*Tabelle58971121[[#This Row],[installierte Leistung MW durch]]</f>
        <v>142.07999999999998</v>
      </c>
      <c r="EL195" s="9">
        <v>0.95</v>
      </c>
      <c r="EM195" s="9">
        <v>0.94000000000000017</v>
      </c>
      <c r="EN195" s="9">
        <v>0.96</v>
      </c>
      <c r="EO195" s="11">
        <v>148</v>
      </c>
      <c r="EP195" s="11">
        <v>45</v>
      </c>
      <c r="EQ195" s="11">
        <v>251</v>
      </c>
      <c r="ER195" s="1">
        <v>3.8817401960784308E-2</v>
      </c>
      <c r="ES195" s="1">
        <v>8.3333333333333329E-2</v>
      </c>
      <c r="ET195" s="54">
        <v>0.25</v>
      </c>
      <c r="EU195" s="1">
        <v>0.11913296568627449</v>
      </c>
      <c r="EV195" s="1">
        <v>8.3333333333333329E-2</v>
      </c>
      <c r="EW195" s="54">
        <v>0.25</v>
      </c>
      <c r="EX195" s="1">
        <v>2</v>
      </c>
      <c r="EY195" s="1">
        <v>1.6</v>
      </c>
      <c r="EZ195" s="54">
        <v>2.4</v>
      </c>
      <c r="FA195" s="1">
        <v>2</v>
      </c>
      <c r="FB195" s="1">
        <v>1.6</v>
      </c>
      <c r="FC195" s="54">
        <v>2.4</v>
      </c>
      <c r="FD195" s="1">
        <v>4</v>
      </c>
      <c r="FE195" s="1">
        <v>3.2</v>
      </c>
      <c r="FF195" s="54">
        <v>4.8</v>
      </c>
      <c r="FG195" s="1">
        <v>6</v>
      </c>
      <c r="FH195" s="1">
        <v>4.9000000000000004</v>
      </c>
      <c r="FI195" s="54">
        <v>4.9000000000000004</v>
      </c>
      <c r="FJ195" s="1">
        <v>4.9000000000000004</v>
      </c>
      <c r="FK195" s="1">
        <v>3.3000000000000003</v>
      </c>
      <c r="FL195" s="54">
        <v>6.5</v>
      </c>
      <c r="FN195" s="1" t="s">
        <v>646</v>
      </c>
      <c r="FP195" s="1">
        <v>50</v>
      </c>
      <c r="FQ195" s="1">
        <v>20</v>
      </c>
      <c r="FR195" s="1">
        <v>80</v>
      </c>
      <c r="FS195" s="1">
        <v>0</v>
      </c>
      <c r="FT195" s="1">
        <v>0</v>
      </c>
      <c r="FU195" s="1">
        <v>0</v>
      </c>
      <c r="FV195" s="1">
        <v>50</v>
      </c>
      <c r="FW195" s="1">
        <v>20</v>
      </c>
      <c r="FX195" s="1">
        <v>80</v>
      </c>
      <c r="FY195" s="1">
        <v>8.1411764705882348</v>
      </c>
      <c r="FZ195" s="19">
        <v>3.052941176470588</v>
      </c>
      <c r="GA195" s="19">
        <v>13.229411764705882</v>
      </c>
      <c r="GB195" s="19">
        <v>274.76470588235293</v>
      </c>
      <c r="GC195" s="8">
        <v>122.11764705882352</v>
      </c>
      <c r="GD195" s="8">
        <v>427.41176470588232</v>
      </c>
      <c r="GE195" s="8">
        <v>1519.8558823529411</v>
      </c>
      <c r="GF195" s="8">
        <v>1395.1941176470586</v>
      </c>
      <c r="GG195" s="8">
        <v>1644.5176470588235</v>
      </c>
      <c r="GH195" s="8">
        <v>30.52941176470588</v>
      </c>
      <c r="GI195" s="8">
        <v>0</v>
      </c>
      <c r="GJ195" s="8">
        <v>61.058823529411761</v>
      </c>
      <c r="GK195" s="8">
        <v>101.76470588235293</v>
      </c>
      <c r="GL195" s="8">
        <v>50.882352941176464</v>
      </c>
      <c r="GM195" s="8">
        <v>152.64705882352939</v>
      </c>
      <c r="GN195" s="8">
        <v>20.352941176470587</v>
      </c>
      <c r="GO195" s="8">
        <v>10.176470588235293</v>
      </c>
      <c r="GP195" s="8">
        <v>30.52941176470588</v>
      </c>
      <c r="GS195" s="1">
        <v>220</v>
      </c>
      <c r="GT195" s="1">
        <v>220</v>
      </c>
      <c r="GV195" s="13" t="s">
        <v>643</v>
      </c>
      <c r="GW195" s="1" t="s">
        <v>643</v>
      </c>
      <c r="GX195" s="13">
        <v>182</v>
      </c>
      <c r="GY195" s="13"/>
      <c r="GZ195" s="13">
        <v>182</v>
      </c>
      <c r="HA195" s="13">
        <v>182</v>
      </c>
      <c r="HB195" s="1">
        <v>182</v>
      </c>
      <c r="HC195" s="13" t="s">
        <v>642</v>
      </c>
      <c r="HD195" s="13" t="s">
        <v>641</v>
      </c>
      <c r="HE195" s="1">
        <v>202</v>
      </c>
      <c r="HF195" s="1">
        <v>202</v>
      </c>
      <c r="HH195" s="1" t="s">
        <v>645</v>
      </c>
      <c r="HI195" s="1">
        <v>211</v>
      </c>
      <c r="HJ195" s="1">
        <v>214</v>
      </c>
      <c r="HK195" s="1">
        <v>220</v>
      </c>
      <c r="HL195" s="1">
        <v>214</v>
      </c>
      <c r="HO195" s="1" t="s">
        <v>644</v>
      </c>
    </row>
    <row r="196" spans="1:223" ht="12.75" customHeight="1" x14ac:dyDescent="0.25">
      <c r="A196" s="1" t="s">
        <v>571</v>
      </c>
      <c r="D196" s="1" t="s">
        <v>578</v>
      </c>
      <c r="E196" s="1" t="s">
        <v>126</v>
      </c>
      <c r="F196" s="1">
        <v>1</v>
      </c>
      <c r="G196" s="1">
        <v>2025</v>
      </c>
      <c r="H196" s="1">
        <v>1</v>
      </c>
      <c r="I196" s="1">
        <v>1</v>
      </c>
      <c r="J196" s="1">
        <v>0</v>
      </c>
      <c r="K196" s="19"/>
      <c r="L196" s="19"/>
      <c r="M196" s="19"/>
      <c r="N196" s="11">
        <v>115</v>
      </c>
      <c r="O196" s="11">
        <v>29.000000000000007</v>
      </c>
      <c r="P196" s="11">
        <v>201</v>
      </c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9"/>
      <c r="CR196" s="11">
        <v>25</v>
      </c>
      <c r="CS196" s="11">
        <v>3.0000000000000009</v>
      </c>
      <c r="CT196" s="11">
        <v>47</v>
      </c>
      <c r="CU196" s="11">
        <f>Tabelle58971121[[#This Row],[Mindestauslastung durch]]*Tabelle58971121[[#This Row],[installierte Leistung MW durch]]</f>
        <v>0</v>
      </c>
      <c r="CV196" s="11">
        <f>Tabelle58971121[[#This Row],[Mindestauslastung min]]*Tabelle58971121[[#This Row],[installierte Leistung MW min]]</f>
        <v>0</v>
      </c>
      <c r="CW196" s="19">
        <f>Tabelle58971121[[#This Row],[Mindestauslastung max]]*Tabelle58971121[[#This Row],[installierte Leistung MW max]]</f>
        <v>0</v>
      </c>
      <c r="CX196" s="9">
        <v>0</v>
      </c>
      <c r="CY196" s="9">
        <v>0</v>
      </c>
      <c r="CZ196" s="9">
        <v>0</v>
      </c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39">
        <v>0.78</v>
      </c>
      <c r="ED196" s="39">
        <v>0.7</v>
      </c>
      <c r="EE196" s="39">
        <v>0.86</v>
      </c>
      <c r="EF196" s="11">
        <f>Tabelle58971121[[#This Row],[Durchschnittsauslastung min]]*Tabelle58971121[[#This Row],[installierte Leistung MW min]]</f>
        <v>35.1</v>
      </c>
      <c r="EG196" s="11">
        <f>Tabelle58971121[[#This Row],[Durchschnittsauslastung durch]]*Tabelle58971121[[#This Row],[installierte Leistung MW durch]]</f>
        <v>103.6</v>
      </c>
      <c r="EH196" s="46">
        <f>Tabelle58971121[[#This Row],[Durchschnittsauslastung max]]*Tabelle58971121[[#This Row],[installierte Leistung MW max]]</f>
        <v>215.85999999999999</v>
      </c>
      <c r="EI196" s="83">
        <f>Tabelle58971121[[#This Row],[Maximalauslastung durch]]*Tabelle58971121[[#This Row],[installierte Leistung MW min]]</f>
        <v>42.75</v>
      </c>
      <c r="EJ196" s="46">
        <f>Tabelle58971121[[#This Row],[Maximalauslastung durch]]*Tabelle58971121[[#This Row],[installierte Leistung MW durch]]</f>
        <v>140.6</v>
      </c>
      <c r="EK196" s="11">
        <f>Tabelle58971121[[#This Row],[Maximalauslastung max]]*Tabelle58971121[[#This Row],[installierte Leistung MW durch]]</f>
        <v>142.07999999999998</v>
      </c>
      <c r="EL196" s="9">
        <v>0.95</v>
      </c>
      <c r="EM196" s="9">
        <v>0.94000000000000017</v>
      </c>
      <c r="EN196" s="9">
        <v>0.96</v>
      </c>
      <c r="EO196" s="11">
        <v>148</v>
      </c>
      <c r="EP196" s="11">
        <v>45</v>
      </c>
      <c r="EQ196" s="11">
        <v>251</v>
      </c>
      <c r="ER196" s="1">
        <v>3.8817401960784308E-2</v>
      </c>
      <c r="ES196" s="1">
        <v>8.3333333333333329E-2</v>
      </c>
      <c r="ET196" s="54">
        <v>0.25</v>
      </c>
      <c r="EU196" s="1">
        <v>0.11913296568627449</v>
      </c>
      <c r="EV196" s="1">
        <v>8.3333333333333329E-2</v>
      </c>
      <c r="EW196" s="54">
        <v>0.25</v>
      </c>
      <c r="EX196" s="1">
        <v>2</v>
      </c>
      <c r="EY196" s="1">
        <v>1.6</v>
      </c>
      <c r="EZ196" s="54">
        <v>2.4</v>
      </c>
      <c r="FA196" s="1">
        <v>2</v>
      </c>
      <c r="FB196" s="1">
        <v>1.6</v>
      </c>
      <c r="FC196" s="54">
        <v>2.4</v>
      </c>
      <c r="FD196" s="1">
        <v>4</v>
      </c>
      <c r="FE196" s="1">
        <v>3.2</v>
      </c>
      <c r="FF196" s="54">
        <v>4.8</v>
      </c>
      <c r="FG196" s="1">
        <v>6</v>
      </c>
      <c r="FH196" s="1">
        <v>4.9000000000000004</v>
      </c>
      <c r="FI196" s="54">
        <v>4.9000000000000004</v>
      </c>
      <c r="FJ196" s="1">
        <v>4.9000000000000004</v>
      </c>
      <c r="FK196" s="1">
        <v>3.3000000000000003</v>
      </c>
      <c r="FL196" s="54">
        <v>6.5</v>
      </c>
      <c r="FN196" s="1" t="s">
        <v>646</v>
      </c>
      <c r="FP196" s="1">
        <v>50</v>
      </c>
      <c r="FQ196" s="1">
        <v>20</v>
      </c>
      <c r="FR196" s="1">
        <v>80</v>
      </c>
      <c r="FS196" s="1">
        <v>0</v>
      </c>
      <c r="FT196" s="1">
        <v>0</v>
      </c>
      <c r="FU196" s="1">
        <v>0</v>
      </c>
      <c r="FV196" s="1">
        <v>50</v>
      </c>
      <c r="FW196" s="1">
        <v>20</v>
      </c>
      <c r="FX196" s="1">
        <v>80</v>
      </c>
      <c r="FY196" s="1">
        <v>8.1411764705882348</v>
      </c>
      <c r="FZ196" s="19">
        <v>3.052941176470588</v>
      </c>
      <c r="GA196" s="19">
        <v>13.229411764705882</v>
      </c>
      <c r="GB196" s="19">
        <v>274.76470588235293</v>
      </c>
      <c r="GC196" s="8">
        <v>122.11764705882352</v>
      </c>
      <c r="GD196" s="8">
        <v>427.41176470588232</v>
      </c>
      <c r="GE196" s="8">
        <v>1519.8558823529411</v>
      </c>
      <c r="GF196" s="8">
        <v>1395.1941176470586</v>
      </c>
      <c r="GG196" s="8">
        <v>1644.5176470588235</v>
      </c>
      <c r="GH196" s="8">
        <v>30.52941176470588</v>
      </c>
      <c r="GI196" s="8">
        <v>0</v>
      </c>
      <c r="GJ196" s="8">
        <v>61.058823529411761</v>
      </c>
      <c r="GK196" s="8">
        <v>101.76470588235293</v>
      </c>
      <c r="GL196" s="8">
        <v>50.882352941176464</v>
      </c>
      <c r="GM196" s="8">
        <v>152.64705882352939</v>
      </c>
      <c r="GN196" s="8">
        <v>20.352941176470587</v>
      </c>
      <c r="GO196" s="8">
        <v>10.176470588235293</v>
      </c>
      <c r="GP196" s="8">
        <v>30.52941176470588</v>
      </c>
      <c r="GS196" s="1">
        <v>220</v>
      </c>
      <c r="GT196" s="1">
        <v>220</v>
      </c>
      <c r="GV196" s="13" t="s">
        <v>643</v>
      </c>
      <c r="GW196" s="1" t="s">
        <v>643</v>
      </c>
      <c r="GX196" s="13">
        <v>182</v>
      </c>
      <c r="GY196" s="13"/>
      <c r="GZ196" s="13">
        <v>182</v>
      </c>
      <c r="HA196" s="13">
        <v>182</v>
      </c>
      <c r="HB196" s="1">
        <v>182</v>
      </c>
      <c r="HC196" s="13" t="s">
        <v>642</v>
      </c>
      <c r="HD196" s="13" t="s">
        <v>641</v>
      </c>
      <c r="HE196" s="1">
        <v>202</v>
      </c>
      <c r="HF196" s="1">
        <v>202</v>
      </c>
      <c r="HH196" s="1" t="s">
        <v>645</v>
      </c>
      <c r="HI196" s="1">
        <v>211</v>
      </c>
      <c r="HJ196" s="1">
        <v>214</v>
      </c>
      <c r="HK196" s="1">
        <v>220</v>
      </c>
      <c r="HL196" s="1">
        <v>214</v>
      </c>
      <c r="HO196" s="1" t="s">
        <v>644</v>
      </c>
    </row>
    <row r="197" spans="1:223" ht="12.75" customHeight="1" x14ac:dyDescent="0.25">
      <c r="A197" s="1" t="s">
        <v>571</v>
      </c>
      <c r="D197" s="1" t="s">
        <v>578</v>
      </c>
      <c r="E197" s="1" t="s">
        <v>126</v>
      </c>
      <c r="F197" s="1">
        <v>1</v>
      </c>
      <c r="G197" s="1">
        <v>2030</v>
      </c>
      <c r="H197" s="1">
        <v>1</v>
      </c>
      <c r="I197" s="1">
        <v>1</v>
      </c>
      <c r="J197" s="1">
        <v>0</v>
      </c>
      <c r="K197" s="19"/>
      <c r="L197" s="19"/>
      <c r="M197" s="19"/>
      <c r="N197" s="11">
        <v>115</v>
      </c>
      <c r="O197" s="11">
        <v>29.000000000000007</v>
      </c>
      <c r="P197" s="11">
        <v>201</v>
      </c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9"/>
      <c r="CR197" s="11">
        <v>25</v>
      </c>
      <c r="CS197" s="11">
        <v>3.0000000000000009</v>
      </c>
      <c r="CT197" s="11">
        <v>47</v>
      </c>
      <c r="CU197" s="11">
        <f>Tabelle58971121[[#This Row],[Mindestauslastung durch]]*Tabelle58971121[[#This Row],[installierte Leistung MW durch]]</f>
        <v>0</v>
      </c>
      <c r="CV197" s="11">
        <f>Tabelle58971121[[#This Row],[Mindestauslastung min]]*Tabelle58971121[[#This Row],[installierte Leistung MW min]]</f>
        <v>0</v>
      </c>
      <c r="CW197" s="19">
        <f>Tabelle58971121[[#This Row],[Mindestauslastung max]]*Tabelle58971121[[#This Row],[installierte Leistung MW max]]</f>
        <v>0</v>
      </c>
      <c r="CX197" s="9">
        <v>0</v>
      </c>
      <c r="CY197" s="9">
        <v>0</v>
      </c>
      <c r="CZ197" s="9">
        <v>0</v>
      </c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39">
        <v>0.78</v>
      </c>
      <c r="ED197" s="39">
        <v>0.7</v>
      </c>
      <c r="EE197" s="39">
        <v>0.86</v>
      </c>
      <c r="EF197" s="11">
        <f>Tabelle58971121[[#This Row],[Durchschnittsauslastung min]]*Tabelle58971121[[#This Row],[installierte Leistung MW min]]</f>
        <v>35.1</v>
      </c>
      <c r="EG197" s="11">
        <f>Tabelle58971121[[#This Row],[Durchschnittsauslastung durch]]*Tabelle58971121[[#This Row],[installierte Leistung MW durch]]</f>
        <v>103.6</v>
      </c>
      <c r="EH197" s="46">
        <f>Tabelle58971121[[#This Row],[Durchschnittsauslastung max]]*Tabelle58971121[[#This Row],[installierte Leistung MW max]]</f>
        <v>215.85999999999999</v>
      </c>
      <c r="EI197" s="83">
        <f>Tabelle58971121[[#This Row],[Maximalauslastung durch]]*Tabelle58971121[[#This Row],[installierte Leistung MW min]]</f>
        <v>42.75</v>
      </c>
      <c r="EJ197" s="46">
        <f>Tabelle58971121[[#This Row],[Maximalauslastung durch]]*Tabelle58971121[[#This Row],[installierte Leistung MW durch]]</f>
        <v>140.6</v>
      </c>
      <c r="EK197" s="11">
        <f>Tabelle58971121[[#This Row],[Maximalauslastung max]]*Tabelle58971121[[#This Row],[installierte Leistung MW durch]]</f>
        <v>142.07999999999998</v>
      </c>
      <c r="EL197" s="9">
        <v>0.95</v>
      </c>
      <c r="EM197" s="9">
        <v>0.94000000000000017</v>
      </c>
      <c r="EN197" s="9">
        <v>0.96</v>
      </c>
      <c r="EO197" s="11">
        <v>148</v>
      </c>
      <c r="EP197" s="11">
        <v>45</v>
      </c>
      <c r="EQ197" s="11">
        <v>251</v>
      </c>
      <c r="ER197" s="1">
        <v>3.8817401960784308E-2</v>
      </c>
      <c r="ES197" s="1">
        <v>8.3333333333333329E-2</v>
      </c>
      <c r="ET197" s="54">
        <v>0.25</v>
      </c>
      <c r="EU197" s="1">
        <v>0.11913296568627449</v>
      </c>
      <c r="EV197" s="1">
        <v>8.3333333333333329E-2</v>
      </c>
      <c r="EW197" s="54">
        <v>0.25</v>
      </c>
      <c r="EX197" s="1">
        <v>2</v>
      </c>
      <c r="EY197" s="1">
        <v>1.6</v>
      </c>
      <c r="EZ197" s="54">
        <v>2.4</v>
      </c>
      <c r="FA197" s="1">
        <v>2</v>
      </c>
      <c r="FB197" s="1">
        <v>1.6</v>
      </c>
      <c r="FC197" s="54">
        <v>2.4</v>
      </c>
      <c r="FD197" s="1">
        <v>4</v>
      </c>
      <c r="FE197" s="1">
        <v>3.2</v>
      </c>
      <c r="FF197" s="54">
        <v>4.8</v>
      </c>
      <c r="FG197" s="1">
        <v>6</v>
      </c>
      <c r="FH197" s="1">
        <v>4.9000000000000004</v>
      </c>
      <c r="FI197" s="54">
        <v>4.9000000000000004</v>
      </c>
      <c r="FJ197" s="1">
        <v>4.9000000000000004</v>
      </c>
      <c r="FK197" s="1">
        <v>3.3000000000000003</v>
      </c>
      <c r="FL197" s="54">
        <v>6.5</v>
      </c>
      <c r="FN197" s="1" t="s">
        <v>646</v>
      </c>
      <c r="FP197" s="1">
        <v>50</v>
      </c>
      <c r="FQ197" s="1">
        <v>20</v>
      </c>
      <c r="FR197" s="1">
        <v>80</v>
      </c>
      <c r="FS197" s="1">
        <v>0</v>
      </c>
      <c r="FT197" s="1">
        <v>0</v>
      </c>
      <c r="FU197" s="1">
        <v>0</v>
      </c>
      <c r="FV197" s="1">
        <v>50</v>
      </c>
      <c r="FW197" s="1">
        <v>20</v>
      </c>
      <c r="FX197" s="1">
        <v>80</v>
      </c>
      <c r="FY197" s="1">
        <v>8.1411764705882348</v>
      </c>
      <c r="FZ197" s="19">
        <v>3.052941176470588</v>
      </c>
      <c r="GA197" s="19">
        <v>13.229411764705882</v>
      </c>
      <c r="GB197" s="19">
        <v>274.76470588235293</v>
      </c>
      <c r="GC197" s="8">
        <v>122.11764705882352</v>
      </c>
      <c r="GD197" s="8">
        <v>427.41176470588232</v>
      </c>
      <c r="GE197" s="8">
        <v>1519.8558823529411</v>
      </c>
      <c r="GF197" s="8">
        <v>1395.1941176470586</v>
      </c>
      <c r="GG197" s="8">
        <v>1644.5176470588235</v>
      </c>
      <c r="GH197" s="8">
        <v>30.52941176470588</v>
      </c>
      <c r="GI197" s="8">
        <v>0</v>
      </c>
      <c r="GJ197" s="8">
        <v>61.058823529411761</v>
      </c>
      <c r="GK197" s="8">
        <v>101.76470588235293</v>
      </c>
      <c r="GL197" s="8">
        <v>50.882352941176464</v>
      </c>
      <c r="GM197" s="8">
        <v>152.64705882352939</v>
      </c>
      <c r="GN197" s="8">
        <v>20.352941176470587</v>
      </c>
      <c r="GO197" s="8">
        <v>10.176470588235293</v>
      </c>
      <c r="GP197" s="8">
        <v>30.52941176470588</v>
      </c>
      <c r="GS197" s="1">
        <v>220</v>
      </c>
      <c r="GT197" s="1">
        <v>220</v>
      </c>
      <c r="GV197" s="13" t="s">
        <v>643</v>
      </c>
      <c r="GW197" s="1" t="s">
        <v>643</v>
      </c>
      <c r="GX197" s="13">
        <v>182</v>
      </c>
      <c r="GY197" s="13"/>
      <c r="GZ197" s="13">
        <v>182</v>
      </c>
      <c r="HA197" s="13">
        <v>182</v>
      </c>
      <c r="HB197" s="1">
        <v>182</v>
      </c>
      <c r="HC197" s="13" t="s">
        <v>642</v>
      </c>
      <c r="HD197" s="13" t="s">
        <v>641</v>
      </c>
      <c r="HE197" s="1">
        <v>202</v>
      </c>
      <c r="HF197" s="1">
        <v>202</v>
      </c>
      <c r="HH197" s="1" t="s">
        <v>645</v>
      </c>
      <c r="HI197" s="1">
        <v>211</v>
      </c>
      <c r="HJ197" s="1">
        <v>214</v>
      </c>
      <c r="HK197" s="1">
        <v>220</v>
      </c>
      <c r="HL197" s="1">
        <v>214</v>
      </c>
      <c r="HO197" s="1" t="s">
        <v>644</v>
      </c>
    </row>
    <row r="198" spans="1:223" ht="12.75" customHeight="1" x14ac:dyDescent="0.25">
      <c r="A198" s="1" t="s">
        <v>571</v>
      </c>
      <c r="D198" s="1" t="s">
        <v>578</v>
      </c>
      <c r="E198" s="1" t="s">
        <v>126</v>
      </c>
      <c r="F198" s="1">
        <v>1</v>
      </c>
      <c r="G198" s="1">
        <v>2035</v>
      </c>
      <c r="H198" s="1">
        <v>1</v>
      </c>
      <c r="I198" s="1">
        <v>1</v>
      </c>
      <c r="J198" s="1">
        <v>0</v>
      </c>
      <c r="K198" s="19"/>
      <c r="L198" s="19"/>
      <c r="M198" s="19"/>
      <c r="N198" s="11">
        <v>115</v>
      </c>
      <c r="O198" s="11">
        <v>29.000000000000007</v>
      </c>
      <c r="P198" s="11">
        <v>201</v>
      </c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9"/>
      <c r="CR198" s="11">
        <v>25</v>
      </c>
      <c r="CS198" s="11">
        <v>3.0000000000000009</v>
      </c>
      <c r="CT198" s="11">
        <v>47</v>
      </c>
      <c r="CU198" s="11">
        <f>Tabelle58971121[[#This Row],[Mindestauslastung durch]]*Tabelle58971121[[#This Row],[installierte Leistung MW durch]]</f>
        <v>0</v>
      </c>
      <c r="CV198" s="11">
        <f>Tabelle58971121[[#This Row],[Mindestauslastung min]]*Tabelle58971121[[#This Row],[installierte Leistung MW min]]</f>
        <v>0</v>
      </c>
      <c r="CW198" s="19">
        <f>Tabelle58971121[[#This Row],[Mindestauslastung max]]*Tabelle58971121[[#This Row],[installierte Leistung MW max]]</f>
        <v>0</v>
      </c>
      <c r="CX198" s="9">
        <v>0</v>
      </c>
      <c r="CY198" s="9">
        <v>0</v>
      </c>
      <c r="CZ198" s="9">
        <v>0</v>
      </c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39">
        <v>0.78</v>
      </c>
      <c r="ED198" s="39">
        <v>0.7</v>
      </c>
      <c r="EE198" s="39">
        <v>0.86</v>
      </c>
      <c r="EF198" s="11">
        <f>Tabelle58971121[[#This Row],[Durchschnittsauslastung min]]*Tabelle58971121[[#This Row],[installierte Leistung MW min]]</f>
        <v>35.1</v>
      </c>
      <c r="EG198" s="11">
        <f>Tabelle58971121[[#This Row],[Durchschnittsauslastung durch]]*Tabelle58971121[[#This Row],[installierte Leistung MW durch]]</f>
        <v>103.6</v>
      </c>
      <c r="EH198" s="46">
        <f>Tabelle58971121[[#This Row],[Durchschnittsauslastung max]]*Tabelle58971121[[#This Row],[installierte Leistung MW max]]</f>
        <v>215.85999999999999</v>
      </c>
      <c r="EI198" s="83">
        <f>Tabelle58971121[[#This Row],[Maximalauslastung durch]]*Tabelle58971121[[#This Row],[installierte Leistung MW min]]</f>
        <v>42.75</v>
      </c>
      <c r="EJ198" s="46">
        <f>Tabelle58971121[[#This Row],[Maximalauslastung durch]]*Tabelle58971121[[#This Row],[installierte Leistung MW durch]]</f>
        <v>140.6</v>
      </c>
      <c r="EK198" s="11">
        <f>Tabelle58971121[[#This Row],[Maximalauslastung max]]*Tabelle58971121[[#This Row],[installierte Leistung MW durch]]</f>
        <v>142.07999999999998</v>
      </c>
      <c r="EL198" s="9">
        <v>0.95</v>
      </c>
      <c r="EM198" s="9">
        <v>0.94000000000000017</v>
      </c>
      <c r="EN198" s="9">
        <v>0.96</v>
      </c>
      <c r="EO198" s="11">
        <v>148</v>
      </c>
      <c r="EP198" s="11">
        <v>45</v>
      </c>
      <c r="EQ198" s="11">
        <v>251</v>
      </c>
      <c r="ER198" s="1">
        <v>3.8817401960784308E-2</v>
      </c>
      <c r="ES198" s="1">
        <v>8.3333333333333329E-2</v>
      </c>
      <c r="ET198" s="54">
        <v>0.25</v>
      </c>
      <c r="EU198" s="1">
        <v>0.11913296568627449</v>
      </c>
      <c r="EV198" s="1">
        <v>8.3333333333333329E-2</v>
      </c>
      <c r="EW198" s="54">
        <v>0.25</v>
      </c>
      <c r="EX198" s="1">
        <v>2</v>
      </c>
      <c r="EY198" s="1">
        <v>1.6</v>
      </c>
      <c r="EZ198" s="54">
        <v>2.4</v>
      </c>
      <c r="FA198" s="1">
        <v>2</v>
      </c>
      <c r="FB198" s="1">
        <v>1.6</v>
      </c>
      <c r="FC198" s="54">
        <v>2.4</v>
      </c>
      <c r="FD198" s="1">
        <v>4</v>
      </c>
      <c r="FE198" s="1">
        <v>3.2</v>
      </c>
      <c r="FF198" s="54">
        <v>4.8</v>
      </c>
      <c r="FG198" s="1">
        <v>6</v>
      </c>
      <c r="FH198" s="1">
        <v>4.9000000000000004</v>
      </c>
      <c r="FI198" s="54">
        <v>4.9000000000000004</v>
      </c>
      <c r="FJ198" s="1">
        <v>4.9000000000000004</v>
      </c>
      <c r="FK198" s="1">
        <v>3.3000000000000003</v>
      </c>
      <c r="FL198" s="54">
        <v>6.5</v>
      </c>
      <c r="FN198" s="1" t="s">
        <v>646</v>
      </c>
      <c r="FP198" s="1">
        <v>50</v>
      </c>
      <c r="FQ198" s="1">
        <v>20</v>
      </c>
      <c r="FR198" s="1">
        <v>80</v>
      </c>
      <c r="FS198" s="1">
        <v>0</v>
      </c>
      <c r="FT198" s="1">
        <v>0</v>
      </c>
      <c r="FU198" s="1">
        <v>0</v>
      </c>
      <c r="FV198" s="1">
        <v>50</v>
      </c>
      <c r="FW198" s="1">
        <v>20</v>
      </c>
      <c r="FX198" s="1">
        <v>80</v>
      </c>
      <c r="FY198" s="1">
        <v>8.1411764705882348</v>
      </c>
      <c r="FZ198" s="19">
        <v>3.052941176470588</v>
      </c>
      <c r="GA198" s="19">
        <v>13.229411764705882</v>
      </c>
      <c r="GB198" s="19">
        <v>274.76470588235293</v>
      </c>
      <c r="GC198" s="8">
        <v>122.11764705882352</v>
      </c>
      <c r="GD198" s="8">
        <v>427.41176470588232</v>
      </c>
      <c r="GE198" s="8">
        <v>1519.8558823529411</v>
      </c>
      <c r="GF198" s="8">
        <v>1395.1941176470586</v>
      </c>
      <c r="GG198" s="8">
        <v>1644.5176470588235</v>
      </c>
      <c r="GH198" s="8">
        <v>30.52941176470588</v>
      </c>
      <c r="GI198" s="8">
        <v>0</v>
      </c>
      <c r="GJ198" s="8">
        <v>61.058823529411761</v>
      </c>
      <c r="GK198" s="8">
        <v>101.76470588235293</v>
      </c>
      <c r="GL198" s="8">
        <v>50.882352941176464</v>
      </c>
      <c r="GM198" s="8">
        <v>152.64705882352939</v>
      </c>
      <c r="GN198" s="8">
        <v>20.352941176470587</v>
      </c>
      <c r="GO198" s="8">
        <v>10.176470588235293</v>
      </c>
      <c r="GP198" s="8">
        <v>30.52941176470588</v>
      </c>
      <c r="GS198" s="1">
        <v>220</v>
      </c>
      <c r="GT198" s="1">
        <v>220</v>
      </c>
      <c r="GV198" s="13" t="s">
        <v>643</v>
      </c>
      <c r="GW198" s="1" t="s">
        <v>643</v>
      </c>
      <c r="GX198" s="13">
        <v>182</v>
      </c>
      <c r="GY198" s="13"/>
      <c r="GZ198" s="13">
        <v>182</v>
      </c>
      <c r="HA198" s="13">
        <v>182</v>
      </c>
      <c r="HB198" s="1">
        <v>182</v>
      </c>
      <c r="HC198" s="13" t="s">
        <v>642</v>
      </c>
      <c r="HD198" s="13" t="s">
        <v>641</v>
      </c>
      <c r="HE198" s="1">
        <v>202</v>
      </c>
      <c r="HF198" s="1">
        <v>202</v>
      </c>
      <c r="HH198" s="1" t="s">
        <v>645</v>
      </c>
      <c r="HI198" s="1">
        <v>211</v>
      </c>
      <c r="HJ198" s="1">
        <v>214</v>
      </c>
      <c r="HK198" s="1">
        <v>220</v>
      </c>
      <c r="HL198" s="1">
        <v>214</v>
      </c>
      <c r="HO198" s="1" t="s">
        <v>644</v>
      </c>
    </row>
    <row r="199" spans="1:223" ht="12.75" customHeight="1" x14ac:dyDescent="0.25">
      <c r="A199" s="1" t="s">
        <v>571</v>
      </c>
      <c r="D199" s="1" t="s">
        <v>578</v>
      </c>
      <c r="E199" s="1" t="s">
        <v>126</v>
      </c>
      <c r="F199" s="1">
        <v>1</v>
      </c>
      <c r="G199" s="1">
        <v>2040</v>
      </c>
      <c r="H199" s="1">
        <v>1</v>
      </c>
      <c r="I199" s="1">
        <v>1</v>
      </c>
      <c r="J199" s="1">
        <v>0</v>
      </c>
      <c r="K199" s="19"/>
      <c r="L199" s="19"/>
      <c r="M199" s="19"/>
      <c r="N199" s="11">
        <v>115</v>
      </c>
      <c r="O199" s="11">
        <v>29.000000000000007</v>
      </c>
      <c r="P199" s="11">
        <v>201</v>
      </c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9"/>
      <c r="CR199" s="11">
        <v>25</v>
      </c>
      <c r="CS199" s="11">
        <v>3.0000000000000009</v>
      </c>
      <c r="CT199" s="11">
        <v>47</v>
      </c>
      <c r="CU199" s="11">
        <f>Tabelle58971121[[#This Row],[Mindestauslastung durch]]*Tabelle58971121[[#This Row],[installierte Leistung MW durch]]</f>
        <v>0</v>
      </c>
      <c r="CV199" s="11">
        <f>Tabelle58971121[[#This Row],[Mindestauslastung min]]*Tabelle58971121[[#This Row],[installierte Leistung MW min]]</f>
        <v>0</v>
      </c>
      <c r="CW199" s="19">
        <f>Tabelle58971121[[#This Row],[Mindestauslastung max]]*Tabelle58971121[[#This Row],[installierte Leistung MW max]]</f>
        <v>0</v>
      </c>
      <c r="CX199" s="9">
        <v>0</v>
      </c>
      <c r="CY199" s="9">
        <v>0</v>
      </c>
      <c r="CZ199" s="9">
        <v>0</v>
      </c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39">
        <v>0.78</v>
      </c>
      <c r="ED199" s="39">
        <v>0.7</v>
      </c>
      <c r="EE199" s="39">
        <v>0.86</v>
      </c>
      <c r="EF199" s="11">
        <f>Tabelle58971121[[#This Row],[Durchschnittsauslastung min]]*Tabelle58971121[[#This Row],[installierte Leistung MW min]]</f>
        <v>35.1</v>
      </c>
      <c r="EG199" s="11">
        <f>Tabelle58971121[[#This Row],[Durchschnittsauslastung durch]]*Tabelle58971121[[#This Row],[installierte Leistung MW durch]]</f>
        <v>103.6</v>
      </c>
      <c r="EH199" s="46">
        <f>Tabelle58971121[[#This Row],[Durchschnittsauslastung max]]*Tabelle58971121[[#This Row],[installierte Leistung MW max]]</f>
        <v>215.85999999999999</v>
      </c>
      <c r="EI199" s="83">
        <f>Tabelle58971121[[#This Row],[Maximalauslastung durch]]*Tabelle58971121[[#This Row],[installierte Leistung MW min]]</f>
        <v>42.75</v>
      </c>
      <c r="EJ199" s="46">
        <f>Tabelle58971121[[#This Row],[Maximalauslastung durch]]*Tabelle58971121[[#This Row],[installierte Leistung MW durch]]</f>
        <v>140.6</v>
      </c>
      <c r="EK199" s="11">
        <f>Tabelle58971121[[#This Row],[Maximalauslastung max]]*Tabelle58971121[[#This Row],[installierte Leistung MW durch]]</f>
        <v>142.07999999999998</v>
      </c>
      <c r="EL199" s="9">
        <v>0.95</v>
      </c>
      <c r="EM199" s="9">
        <v>0.94000000000000017</v>
      </c>
      <c r="EN199" s="9">
        <v>0.96</v>
      </c>
      <c r="EO199" s="11">
        <v>148</v>
      </c>
      <c r="EP199" s="11">
        <v>45</v>
      </c>
      <c r="EQ199" s="11">
        <v>251</v>
      </c>
      <c r="ER199" s="1">
        <v>3.8817401960784308E-2</v>
      </c>
      <c r="ES199" s="1">
        <v>8.3333333333333329E-2</v>
      </c>
      <c r="ET199" s="54">
        <v>0.25</v>
      </c>
      <c r="EU199" s="1">
        <v>0.11913296568627449</v>
      </c>
      <c r="EV199" s="1">
        <v>8.3333333333333329E-2</v>
      </c>
      <c r="EW199" s="54">
        <v>0.25</v>
      </c>
      <c r="EX199" s="1">
        <v>2</v>
      </c>
      <c r="EY199" s="1">
        <v>1.6</v>
      </c>
      <c r="EZ199" s="54">
        <v>2.4</v>
      </c>
      <c r="FA199" s="1">
        <v>2</v>
      </c>
      <c r="FB199" s="1">
        <v>1.6</v>
      </c>
      <c r="FC199" s="54">
        <v>2.4</v>
      </c>
      <c r="FD199" s="1">
        <v>4</v>
      </c>
      <c r="FE199" s="1">
        <v>3.2</v>
      </c>
      <c r="FF199" s="54">
        <v>4.8</v>
      </c>
      <c r="FG199" s="1">
        <v>6</v>
      </c>
      <c r="FH199" s="1">
        <v>4.9000000000000004</v>
      </c>
      <c r="FI199" s="54">
        <v>4.9000000000000004</v>
      </c>
      <c r="FJ199" s="1">
        <v>4.9000000000000004</v>
      </c>
      <c r="FK199" s="1">
        <v>3.3000000000000003</v>
      </c>
      <c r="FL199" s="54">
        <v>6.5</v>
      </c>
      <c r="FN199" s="1" t="s">
        <v>646</v>
      </c>
      <c r="FP199" s="1">
        <v>50</v>
      </c>
      <c r="FQ199" s="1">
        <v>20</v>
      </c>
      <c r="FR199" s="1">
        <v>80</v>
      </c>
      <c r="FS199" s="1">
        <v>0</v>
      </c>
      <c r="FT199" s="1">
        <v>0</v>
      </c>
      <c r="FU199" s="1">
        <v>0</v>
      </c>
      <c r="FV199" s="1">
        <v>50</v>
      </c>
      <c r="FW199" s="1">
        <v>20</v>
      </c>
      <c r="FX199" s="1">
        <v>80</v>
      </c>
      <c r="FY199" s="1">
        <v>8.1411764705882348</v>
      </c>
      <c r="FZ199" s="19">
        <v>3.052941176470588</v>
      </c>
      <c r="GA199" s="19">
        <v>13.229411764705882</v>
      </c>
      <c r="GB199" s="19">
        <v>274.76470588235293</v>
      </c>
      <c r="GC199" s="8">
        <v>122.11764705882352</v>
      </c>
      <c r="GD199" s="8">
        <v>427.41176470588232</v>
      </c>
      <c r="GE199" s="8">
        <v>1519.8558823529411</v>
      </c>
      <c r="GF199" s="8">
        <v>1395.1941176470586</v>
      </c>
      <c r="GG199" s="8">
        <v>1644.5176470588235</v>
      </c>
      <c r="GH199" s="8">
        <v>30.52941176470588</v>
      </c>
      <c r="GI199" s="8">
        <v>0</v>
      </c>
      <c r="GJ199" s="8">
        <v>61.058823529411761</v>
      </c>
      <c r="GK199" s="8">
        <v>101.76470588235293</v>
      </c>
      <c r="GL199" s="8">
        <v>50.882352941176464</v>
      </c>
      <c r="GM199" s="8">
        <v>152.64705882352939</v>
      </c>
      <c r="GN199" s="8">
        <v>20.352941176470587</v>
      </c>
      <c r="GO199" s="8">
        <v>10.176470588235293</v>
      </c>
      <c r="GP199" s="8">
        <v>30.52941176470588</v>
      </c>
      <c r="GS199" s="1">
        <v>220</v>
      </c>
      <c r="GT199" s="1">
        <v>220</v>
      </c>
      <c r="GV199" s="13" t="s">
        <v>643</v>
      </c>
      <c r="GW199" s="1" t="s">
        <v>643</v>
      </c>
      <c r="GX199" s="13">
        <v>182</v>
      </c>
      <c r="GY199" s="13"/>
      <c r="GZ199" s="13">
        <v>182</v>
      </c>
      <c r="HA199" s="13">
        <v>182</v>
      </c>
      <c r="HB199" s="1">
        <v>182</v>
      </c>
      <c r="HC199" s="13" t="s">
        <v>642</v>
      </c>
      <c r="HD199" s="13" t="s">
        <v>641</v>
      </c>
      <c r="HE199" s="1">
        <v>202</v>
      </c>
      <c r="HF199" s="1">
        <v>202</v>
      </c>
      <c r="HH199" s="1" t="s">
        <v>645</v>
      </c>
      <c r="HI199" s="1">
        <v>211</v>
      </c>
      <c r="HJ199" s="1">
        <v>214</v>
      </c>
      <c r="HK199" s="1">
        <v>220</v>
      </c>
      <c r="HL199" s="1">
        <v>214</v>
      </c>
      <c r="HO199" s="1" t="s">
        <v>644</v>
      </c>
    </row>
    <row r="200" spans="1:223" ht="12.75" customHeight="1" x14ac:dyDescent="0.25">
      <c r="A200" s="1" t="s">
        <v>571</v>
      </c>
      <c r="D200" s="1" t="s">
        <v>578</v>
      </c>
      <c r="E200" s="1" t="s">
        <v>126</v>
      </c>
      <c r="F200" s="1">
        <v>1</v>
      </c>
      <c r="G200" s="1">
        <v>2045</v>
      </c>
      <c r="H200" s="1">
        <v>1</v>
      </c>
      <c r="I200" s="1">
        <v>1</v>
      </c>
      <c r="J200" s="1">
        <v>0</v>
      </c>
      <c r="K200" s="19"/>
      <c r="L200" s="19"/>
      <c r="M200" s="19"/>
      <c r="N200" s="11">
        <v>115</v>
      </c>
      <c r="O200" s="11">
        <v>29.000000000000007</v>
      </c>
      <c r="P200" s="11">
        <v>201</v>
      </c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9"/>
      <c r="CR200" s="11">
        <v>25</v>
      </c>
      <c r="CS200" s="11">
        <v>3.0000000000000009</v>
      </c>
      <c r="CT200" s="11">
        <v>47</v>
      </c>
      <c r="CU200" s="11">
        <f>Tabelle58971121[[#This Row],[Mindestauslastung durch]]*Tabelle58971121[[#This Row],[installierte Leistung MW durch]]</f>
        <v>0</v>
      </c>
      <c r="CV200" s="11">
        <f>Tabelle58971121[[#This Row],[Mindestauslastung min]]*Tabelle58971121[[#This Row],[installierte Leistung MW min]]</f>
        <v>0</v>
      </c>
      <c r="CW200" s="19">
        <f>Tabelle58971121[[#This Row],[Mindestauslastung max]]*Tabelle58971121[[#This Row],[installierte Leistung MW max]]</f>
        <v>0</v>
      </c>
      <c r="CX200" s="9">
        <v>0</v>
      </c>
      <c r="CY200" s="9">
        <v>0</v>
      </c>
      <c r="CZ200" s="9">
        <v>0</v>
      </c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39">
        <v>0.78</v>
      </c>
      <c r="ED200" s="39">
        <v>0.7</v>
      </c>
      <c r="EE200" s="39">
        <v>0.86</v>
      </c>
      <c r="EF200" s="11">
        <f>Tabelle58971121[[#This Row],[Durchschnittsauslastung min]]*Tabelle58971121[[#This Row],[installierte Leistung MW min]]</f>
        <v>35.1</v>
      </c>
      <c r="EG200" s="11">
        <f>Tabelle58971121[[#This Row],[Durchschnittsauslastung durch]]*Tabelle58971121[[#This Row],[installierte Leistung MW durch]]</f>
        <v>103.6</v>
      </c>
      <c r="EH200" s="46">
        <f>Tabelle58971121[[#This Row],[Durchschnittsauslastung max]]*Tabelle58971121[[#This Row],[installierte Leistung MW max]]</f>
        <v>215.85999999999999</v>
      </c>
      <c r="EI200" s="83">
        <f>Tabelle58971121[[#This Row],[Maximalauslastung durch]]*Tabelle58971121[[#This Row],[installierte Leistung MW min]]</f>
        <v>42.75</v>
      </c>
      <c r="EJ200" s="46">
        <f>Tabelle58971121[[#This Row],[Maximalauslastung durch]]*Tabelle58971121[[#This Row],[installierte Leistung MW durch]]</f>
        <v>140.6</v>
      </c>
      <c r="EK200" s="11">
        <f>Tabelle58971121[[#This Row],[Maximalauslastung max]]*Tabelle58971121[[#This Row],[installierte Leistung MW durch]]</f>
        <v>142.07999999999998</v>
      </c>
      <c r="EL200" s="9">
        <v>0.95</v>
      </c>
      <c r="EM200" s="9">
        <v>0.94000000000000017</v>
      </c>
      <c r="EN200" s="9">
        <v>0.96</v>
      </c>
      <c r="EO200" s="11">
        <v>148</v>
      </c>
      <c r="EP200" s="11">
        <v>45</v>
      </c>
      <c r="EQ200" s="11">
        <v>251</v>
      </c>
      <c r="ER200" s="1">
        <v>3.8817401960784308E-2</v>
      </c>
      <c r="ES200" s="1">
        <v>8.3333333333333329E-2</v>
      </c>
      <c r="ET200" s="54">
        <v>0.25</v>
      </c>
      <c r="EU200" s="1">
        <v>0.11913296568627449</v>
      </c>
      <c r="EV200" s="1">
        <v>8.3333333333333329E-2</v>
      </c>
      <c r="EW200" s="54">
        <v>0.25</v>
      </c>
      <c r="EX200" s="1">
        <v>2</v>
      </c>
      <c r="EY200" s="1">
        <v>1.6</v>
      </c>
      <c r="EZ200" s="54">
        <v>2.4</v>
      </c>
      <c r="FA200" s="1">
        <v>2</v>
      </c>
      <c r="FB200" s="1">
        <v>1.6</v>
      </c>
      <c r="FC200" s="54">
        <v>2.4</v>
      </c>
      <c r="FD200" s="1">
        <v>4</v>
      </c>
      <c r="FE200" s="1">
        <v>3.2</v>
      </c>
      <c r="FF200" s="54">
        <v>4.8</v>
      </c>
      <c r="FG200" s="1">
        <v>6</v>
      </c>
      <c r="FH200" s="1">
        <v>4.9000000000000004</v>
      </c>
      <c r="FI200" s="54">
        <v>4.9000000000000004</v>
      </c>
      <c r="FJ200" s="1">
        <v>4.9000000000000004</v>
      </c>
      <c r="FK200" s="1">
        <v>3.3000000000000003</v>
      </c>
      <c r="FL200" s="54">
        <v>6.5</v>
      </c>
      <c r="FN200" s="1" t="s">
        <v>646</v>
      </c>
      <c r="FP200" s="1">
        <v>50</v>
      </c>
      <c r="FQ200" s="1">
        <v>20</v>
      </c>
      <c r="FR200" s="1">
        <v>80</v>
      </c>
      <c r="FS200" s="1">
        <v>0</v>
      </c>
      <c r="FT200" s="1">
        <v>0</v>
      </c>
      <c r="FU200" s="1">
        <v>0</v>
      </c>
      <c r="FV200" s="1">
        <v>50</v>
      </c>
      <c r="FW200" s="1">
        <v>20</v>
      </c>
      <c r="FX200" s="1">
        <v>80</v>
      </c>
      <c r="FY200" s="1">
        <v>8.1411764705882348</v>
      </c>
      <c r="FZ200" s="19">
        <v>3.052941176470588</v>
      </c>
      <c r="GA200" s="19">
        <v>13.229411764705882</v>
      </c>
      <c r="GB200" s="19">
        <v>274.76470588235293</v>
      </c>
      <c r="GC200" s="8">
        <v>122.11764705882352</v>
      </c>
      <c r="GD200" s="8">
        <v>427.41176470588232</v>
      </c>
      <c r="GE200" s="8">
        <v>1519.8558823529411</v>
      </c>
      <c r="GF200" s="8">
        <v>1395.1941176470586</v>
      </c>
      <c r="GG200" s="8">
        <v>1644.5176470588235</v>
      </c>
      <c r="GH200" s="8">
        <v>30.52941176470588</v>
      </c>
      <c r="GI200" s="8">
        <v>0</v>
      </c>
      <c r="GJ200" s="8">
        <v>61.058823529411761</v>
      </c>
      <c r="GK200" s="8">
        <v>101.76470588235293</v>
      </c>
      <c r="GL200" s="8">
        <v>50.882352941176464</v>
      </c>
      <c r="GM200" s="8">
        <v>152.64705882352939</v>
      </c>
      <c r="GN200" s="8">
        <v>20.352941176470587</v>
      </c>
      <c r="GO200" s="8">
        <v>10.176470588235293</v>
      </c>
      <c r="GP200" s="8">
        <v>30.52941176470588</v>
      </c>
      <c r="GS200" s="1">
        <v>220</v>
      </c>
      <c r="GT200" s="1">
        <v>220</v>
      </c>
      <c r="GV200" s="13" t="s">
        <v>643</v>
      </c>
      <c r="GW200" s="1" t="s">
        <v>643</v>
      </c>
      <c r="GX200" s="13">
        <v>182</v>
      </c>
      <c r="GY200" s="13"/>
      <c r="GZ200" s="13">
        <v>182</v>
      </c>
      <c r="HA200" s="13">
        <v>182</v>
      </c>
      <c r="HB200" s="1">
        <v>182</v>
      </c>
      <c r="HC200" s="13" t="s">
        <v>642</v>
      </c>
      <c r="HD200" s="13" t="s">
        <v>641</v>
      </c>
      <c r="HE200" s="1">
        <v>202</v>
      </c>
      <c r="HF200" s="1">
        <v>202</v>
      </c>
      <c r="HH200" s="1" t="s">
        <v>645</v>
      </c>
      <c r="HI200" s="1">
        <v>211</v>
      </c>
      <c r="HJ200" s="1">
        <v>214</v>
      </c>
      <c r="HK200" s="1">
        <v>220</v>
      </c>
      <c r="HL200" s="1">
        <v>214</v>
      </c>
      <c r="HO200" s="1" t="s">
        <v>644</v>
      </c>
    </row>
    <row r="201" spans="1:223" ht="12.75" customHeight="1" x14ac:dyDescent="0.25">
      <c r="A201" s="1" t="s">
        <v>571</v>
      </c>
      <c r="D201" s="1" t="s">
        <v>578</v>
      </c>
      <c r="E201" s="1" t="s">
        <v>126</v>
      </c>
      <c r="F201" s="1">
        <v>1</v>
      </c>
      <c r="G201" s="1">
        <v>2050</v>
      </c>
      <c r="H201" s="1">
        <v>1</v>
      </c>
      <c r="I201" s="1">
        <v>1</v>
      </c>
      <c r="J201" s="1">
        <v>0</v>
      </c>
      <c r="K201" s="19"/>
      <c r="L201" s="19"/>
      <c r="M201" s="19"/>
      <c r="N201" s="11">
        <v>115</v>
      </c>
      <c r="O201" s="11">
        <v>29.000000000000007</v>
      </c>
      <c r="P201" s="11">
        <v>201</v>
      </c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9"/>
      <c r="CR201" s="11">
        <v>25</v>
      </c>
      <c r="CS201" s="11">
        <v>3.0000000000000009</v>
      </c>
      <c r="CT201" s="11">
        <v>47</v>
      </c>
      <c r="CU201" s="11">
        <f>Tabelle58971121[[#This Row],[Mindestauslastung durch]]*Tabelle58971121[[#This Row],[installierte Leistung MW durch]]</f>
        <v>0</v>
      </c>
      <c r="CV201" s="11">
        <f>Tabelle58971121[[#This Row],[Mindestauslastung min]]*Tabelle58971121[[#This Row],[installierte Leistung MW min]]</f>
        <v>0</v>
      </c>
      <c r="CW201" s="19">
        <f>Tabelle58971121[[#This Row],[Mindestauslastung max]]*Tabelle58971121[[#This Row],[installierte Leistung MW max]]</f>
        <v>0</v>
      </c>
      <c r="CX201" s="9">
        <v>0</v>
      </c>
      <c r="CY201" s="9">
        <v>0</v>
      </c>
      <c r="CZ201" s="9">
        <v>0</v>
      </c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39">
        <v>0.78</v>
      </c>
      <c r="ED201" s="39">
        <v>0.7</v>
      </c>
      <c r="EE201" s="39">
        <v>0.86</v>
      </c>
      <c r="EF201" s="11">
        <f>Tabelle58971121[[#This Row],[Durchschnittsauslastung min]]*Tabelle58971121[[#This Row],[installierte Leistung MW min]]</f>
        <v>35.1</v>
      </c>
      <c r="EG201" s="11">
        <f>Tabelle58971121[[#This Row],[Durchschnittsauslastung durch]]*Tabelle58971121[[#This Row],[installierte Leistung MW durch]]</f>
        <v>103.6</v>
      </c>
      <c r="EH201" s="46">
        <f>Tabelle58971121[[#This Row],[Durchschnittsauslastung max]]*Tabelle58971121[[#This Row],[installierte Leistung MW max]]</f>
        <v>215.85999999999999</v>
      </c>
      <c r="EI201" s="83">
        <f>Tabelle58971121[[#This Row],[Maximalauslastung durch]]*Tabelle58971121[[#This Row],[installierte Leistung MW min]]</f>
        <v>42.75</v>
      </c>
      <c r="EJ201" s="46">
        <f>Tabelle58971121[[#This Row],[Maximalauslastung durch]]*Tabelle58971121[[#This Row],[installierte Leistung MW durch]]</f>
        <v>140.6</v>
      </c>
      <c r="EK201" s="11">
        <f>Tabelle58971121[[#This Row],[Maximalauslastung max]]*Tabelle58971121[[#This Row],[installierte Leistung MW durch]]</f>
        <v>142.07999999999998</v>
      </c>
      <c r="EL201" s="9">
        <v>0.95</v>
      </c>
      <c r="EM201" s="9">
        <v>0.94000000000000017</v>
      </c>
      <c r="EN201" s="9">
        <v>0.96</v>
      </c>
      <c r="EO201" s="11">
        <v>148</v>
      </c>
      <c r="EP201" s="11">
        <v>45</v>
      </c>
      <c r="EQ201" s="11">
        <v>251</v>
      </c>
      <c r="ER201" s="1">
        <v>3.8817401960784308E-2</v>
      </c>
      <c r="ES201" s="1">
        <v>8.3333333333333329E-2</v>
      </c>
      <c r="ET201" s="54">
        <v>0.25</v>
      </c>
      <c r="EU201" s="1">
        <v>0.11913296568627449</v>
      </c>
      <c r="EV201" s="1">
        <v>8.3333333333333329E-2</v>
      </c>
      <c r="EW201" s="54">
        <v>0.25</v>
      </c>
      <c r="EX201" s="1">
        <v>2</v>
      </c>
      <c r="EY201" s="1">
        <v>1.6</v>
      </c>
      <c r="EZ201" s="54">
        <v>2.4</v>
      </c>
      <c r="FA201" s="1">
        <v>2</v>
      </c>
      <c r="FB201" s="1">
        <v>1.6</v>
      </c>
      <c r="FC201" s="54">
        <v>2.4</v>
      </c>
      <c r="FD201" s="1">
        <v>4</v>
      </c>
      <c r="FE201" s="1">
        <v>3.2</v>
      </c>
      <c r="FF201" s="54">
        <v>4.8</v>
      </c>
      <c r="FG201" s="1">
        <v>6</v>
      </c>
      <c r="FH201" s="1">
        <v>4.9000000000000004</v>
      </c>
      <c r="FI201" s="54">
        <v>4.9000000000000004</v>
      </c>
      <c r="FJ201" s="1">
        <v>4.9000000000000004</v>
      </c>
      <c r="FK201" s="1">
        <v>3.3000000000000003</v>
      </c>
      <c r="FL201" s="54">
        <v>6.5</v>
      </c>
      <c r="FN201" s="1" t="s">
        <v>646</v>
      </c>
      <c r="FP201" s="1">
        <v>50</v>
      </c>
      <c r="FQ201" s="1">
        <v>20</v>
      </c>
      <c r="FR201" s="1">
        <v>80</v>
      </c>
      <c r="FS201" s="1">
        <v>0</v>
      </c>
      <c r="FT201" s="1">
        <v>0</v>
      </c>
      <c r="FU201" s="1">
        <v>0</v>
      </c>
      <c r="FV201" s="1">
        <v>50</v>
      </c>
      <c r="FW201" s="1">
        <v>20</v>
      </c>
      <c r="FX201" s="1">
        <v>80</v>
      </c>
      <c r="FY201" s="1">
        <v>8.1411764705882348</v>
      </c>
      <c r="FZ201" s="19">
        <v>3.052941176470588</v>
      </c>
      <c r="GA201" s="19">
        <v>13.229411764705882</v>
      </c>
      <c r="GB201" s="19">
        <v>274.76470588235293</v>
      </c>
      <c r="GC201" s="8">
        <v>122.11764705882352</v>
      </c>
      <c r="GD201" s="8">
        <v>427.41176470588232</v>
      </c>
      <c r="GE201" s="8">
        <v>1519.8558823529411</v>
      </c>
      <c r="GF201" s="8">
        <v>1395.1941176470586</v>
      </c>
      <c r="GG201" s="8">
        <v>1644.5176470588235</v>
      </c>
      <c r="GH201" s="8">
        <v>30.52941176470588</v>
      </c>
      <c r="GI201" s="8">
        <v>0</v>
      </c>
      <c r="GJ201" s="8">
        <v>61.058823529411761</v>
      </c>
      <c r="GK201" s="8">
        <v>101.76470588235293</v>
      </c>
      <c r="GL201" s="8">
        <v>50.882352941176464</v>
      </c>
      <c r="GM201" s="8">
        <v>152.64705882352939</v>
      </c>
      <c r="GN201" s="8">
        <v>20.352941176470587</v>
      </c>
      <c r="GO201" s="8">
        <v>10.176470588235293</v>
      </c>
      <c r="GP201" s="8">
        <v>30.52941176470588</v>
      </c>
      <c r="GS201" s="1">
        <v>220</v>
      </c>
      <c r="GT201" s="1">
        <v>220</v>
      </c>
      <c r="GV201" s="13" t="s">
        <v>643</v>
      </c>
      <c r="GW201" s="1" t="s">
        <v>643</v>
      </c>
      <c r="GX201" s="13">
        <v>182</v>
      </c>
      <c r="GY201" s="13"/>
      <c r="GZ201" s="13">
        <v>182</v>
      </c>
      <c r="HA201" s="13">
        <v>182</v>
      </c>
      <c r="HB201" s="1">
        <v>182</v>
      </c>
      <c r="HC201" s="13" t="s">
        <v>642</v>
      </c>
      <c r="HD201" s="13" t="s">
        <v>641</v>
      </c>
      <c r="HE201" s="1">
        <v>202</v>
      </c>
      <c r="HF201" s="1">
        <v>202</v>
      </c>
      <c r="HH201" s="1" t="s">
        <v>645</v>
      </c>
      <c r="HI201" s="1">
        <v>211</v>
      </c>
      <c r="HJ201" s="1">
        <v>214</v>
      </c>
      <c r="HK201" s="1">
        <v>220</v>
      </c>
      <c r="HL201" s="1">
        <v>214</v>
      </c>
      <c r="HO201" s="1" t="s">
        <v>644</v>
      </c>
    </row>
    <row r="202" spans="1:223" ht="12.75" customHeight="1" x14ac:dyDescent="0.25">
      <c r="A202" s="1" t="s">
        <v>74</v>
      </c>
      <c r="D202" s="1" t="s">
        <v>579</v>
      </c>
      <c r="E202" s="1" t="s">
        <v>126</v>
      </c>
      <c r="F202" s="1">
        <v>1</v>
      </c>
      <c r="G202" s="1">
        <v>2015</v>
      </c>
      <c r="H202" s="1">
        <v>1</v>
      </c>
      <c r="I202" s="1">
        <v>1</v>
      </c>
      <c r="J202" s="1">
        <v>0</v>
      </c>
      <c r="K202" s="19"/>
      <c r="L202" s="19"/>
      <c r="M202" s="19"/>
      <c r="N202" s="11">
        <v>245</v>
      </c>
      <c r="O202" s="11">
        <v>133</v>
      </c>
      <c r="P202" s="11">
        <v>357</v>
      </c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9"/>
      <c r="CR202" s="11">
        <v>74</v>
      </c>
      <c r="CS202" s="11">
        <v>31</v>
      </c>
      <c r="CT202" s="11">
        <v>117</v>
      </c>
      <c r="CU202" s="11">
        <f>Tabelle58971121[[#This Row],[Mindestauslastung durch]]*Tabelle58971121[[#This Row],[installierte Leistung MW durch]]</f>
        <v>0</v>
      </c>
      <c r="CV202" s="11">
        <f>Tabelle58971121[[#This Row],[Mindestauslastung min]]*Tabelle58971121[[#This Row],[installierte Leistung MW min]]</f>
        <v>0</v>
      </c>
      <c r="CW202" s="19">
        <f>Tabelle58971121[[#This Row],[Mindestauslastung max]]*Tabelle58971121[[#This Row],[installierte Leistung MW max]]</f>
        <v>0</v>
      </c>
      <c r="CX202" s="9">
        <v>0</v>
      </c>
      <c r="CY202" s="9">
        <v>0</v>
      </c>
      <c r="CZ202" s="9">
        <v>0</v>
      </c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39">
        <v>0.73</v>
      </c>
      <c r="ED202" s="39">
        <v>0.69</v>
      </c>
      <c r="EE202" s="39">
        <v>0.77</v>
      </c>
      <c r="EF202" s="11">
        <f>Tabelle58971121[[#This Row],[Durchschnittsauslastung min]]*Tabelle58971121[[#This Row],[installierte Leistung MW min]]</f>
        <v>143.81</v>
      </c>
      <c r="EG202" s="11">
        <f>Tabelle58971121[[#This Row],[Durchschnittsauslastung durch]]*Tabelle58971121[[#This Row],[installierte Leistung MW durch]]</f>
        <v>231.83999999999997</v>
      </c>
      <c r="EH202" s="46">
        <f>Tabelle58971121[[#This Row],[Durchschnittsauslastung max]]*Tabelle58971121[[#This Row],[installierte Leistung MW max]]</f>
        <v>365.75</v>
      </c>
      <c r="EI202" s="83">
        <f>Tabelle58971121[[#This Row],[Maximalauslastung durch]]*Tabelle58971121[[#This Row],[installierte Leistung MW min]]</f>
        <v>187.14999999999998</v>
      </c>
      <c r="EJ202" s="46">
        <f>Tabelle58971121[[#This Row],[Maximalauslastung durch]]*Tabelle58971121[[#This Row],[installierte Leistung MW durch]]</f>
        <v>319.2</v>
      </c>
      <c r="EK202" s="11">
        <f>Tabelle58971121[[#This Row],[Maximalauslastung max]]*Tabelle58971121[[#This Row],[installierte Leistung MW durch]]</f>
        <v>322.56</v>
      </c>
      <c r="EL202" s="9">
        <v>0.95</v>
      </c>
      <c r="EM202" s="9">
        <v>0.94</v>
      </c>
      <c r="EN202" s="9">
        <v>0.96</v>
      </c>
      <c r="EO202" s="11">
        <v>336</v>
      </c>
      <c r="EP202" s="11">
        <v>197</v>
      </c>
      <c r="EQ202" s="11">
        <v>475</v>
      </c>
      <c r="ER202" s="1">
        <v>0.30041666666666667</v>
      </c>
      <c r="ES202" s="1">
        <v>8.3333333333333332E-3</v>
      </c>
      <c r="ET202" s="54">
        <v>0.5</v>
      </c>
      <c r="EU202" s="1">
        <v>0.77166666666666672</v>
      </c>
      <c r="EV202" s="1">
        <v>8.3333333333333329E-2</v>
      </c>
      <c r="EW202" s="54">
        <v>3</v>
      </c>
      <c r="EX202" s="1">
        <v>4.8</v>
      </c>
      <c r="EY202" s="1">
        <v>4.3</v>
      </c>
      <c r="EZ202" s="54">
        <v>5.3</v>
      </c>
      <c r="FA202" s="1">
        <v>4.8</v>
      </c>
      <c r="FB202" s="1">
        <v>4.3</v>
      </c>
      <c r="FC202" s="54">
        <v>5.3</v>
      </c>
      <c r="FD202" s="1">
        <v>6</v>
      </c>
      <c r="FE202" s="1">
        <v>5.4</v>
      </c>
      <c r="FF202" s="54">
        <v>6.6</v>
      </c>
      <c r="FG202" s="1">
        <v>10.8</v>
      </c>
      <c r="FH202" s="1">
        <v>10.8</v>
      </c>
      <c r="FI202" s="54">
        <v>10.8</v>
      </c>
      <c r="FJ202" s="1">
        <v>7.8</v>
      </c>
      <c r="FK202" s="1">
        <v>5.8</v>
      </c>
      <c r="FL202" s="54">
        <v>9.8000000000000007</v>
      </c>
      <c r="FN202" s="1" t="s">
        <v>647</v>
      </c>
      <c r="FP202" s="1">
        <v>1000</v>
      </c>
      <c r="FQ202" s="1">
        <v>500</v>
      </c>
      <c r="FR202" s="1">
        <v>1500</v>
      </c>
      <c r="FS202" s="1">
        <v>0</v>
      </c>
      <c r="FT202" s="1">
        <v>0</v>
      </c>
      <c r="FU202" s="1">
        <v>0</v>
      </c>
      <c r="FV202" s="1">
        <v>700</v>
      </c>
      <c r="FW202" s="1">
        <v>650</v>
      </c>
      <c r="FX202" s="1">
        <v>750</v>
      </c>
      <c r="FY202" s="1">
        <v>2.3405882352941174</v>
      </c>
      <c r="FZ202" s="19">
        <v>0.81411764705882328</v>
      </c>
      <c r="GA202" s="19">
        <v>3.8670588235294114</v>
      </c>
      <c r="GB202" s="19">
        <v>203.52941176470586</v>
      </c>
      <c r="GC202" s="8">
        <v>152.64705882352939</v>
      </c>
      <c r="GD202" s="8">
        <v>254.41176470588235</v>
      </c>
      <c r="GE202" s="8">
        <v>469.13529411764705</v>
      </c>
      <c r="GF202" s="8">
        <v>396.88235294117646</v>
      </c>
      <c r="GG202" s="8">
        <v>541.38823529411764</v>
      </c>
      <c r="GH202" s="8">
        <v>0</v>
      </c>
      <c r="GI202" s="8">
        <v>0</v>
      </c>
      <c r="GJ202" s="8">
        <v>30.52941176470588</v>
      </c>
      <c r="GK202" s="8">
        <v>44.776470588235291</v>
      </c>
      <c r="GL202" s="8">
        <v>24.423529411764704</v>
      </c>
      <c r="GM202" s="8">
        <v>65.129411764705878</v>
      </c>
      <c r="GN202" s="8">
        <v>2.0352941176470587</v>
      </c>
      <c r="GO202" s="8">
        <v>0</v>
      </c>
      <c r="GP202" s="8">
        <v>4.0705882352941174</v>
      </c>
      <c r="GS202" s="1">
        <v>220</v>
      </c>
      <c r="GT202" s="1">
        <v>220</v>
      </c>
      <c r="GV202" s="13" t="s">
        <v>643</v>
      </c>
      <c r="GW202" s="1" t="s">
        <v>643</v>
      </c>
      <c r="GX202" s="13">
        <v>182</v>
      </c>
      <c r="GY202" s="13"/>
      <c r="GZ202" s="13">
        <v>182</v>
      </c>
      <c r="HA202" s="13">
        <v>182</v>
      </c>
      <c r="HB202" s="1">
        <v>182</v>
      </c>
      <c r="HC202" s="13" t="s">
        <v>642</v>
      </c>
      <c r="HD202" s="13" t="s">
        <v>641</v>
      </c>
      <c r="HE202" s="1">
        <v>202</v>
      </c>
      <c r="HF202" s="1">
        <v>202</v>
      </c>
      <c r="HH202" s="1" t="s">
        <v>645</v>
      </c>
      <c r="HI202" s="1">
        <v>211</v>
      </c>
      <c r="HJ202" s="1">
        <v>214</v>
      </c>
      <c r="HK202" s="1">
        <v>220</v>
      </c>
      <c r="HL202" s="1">
        <v>214</v>
      </c>
      <c r="HO202" s="1" t="s">
        <v>644</v>
      </c>
    </row>
    <row r="203" spans="1:223" ht="12.75" customHeight="1" x14ac:dyDescent="0.25">
      <c r="A203" s="1" t="s">
        <v>74</v>
      </c>
      <c r="D203" s="1" t="s">
        <v>579</v>
      </c>
      <c r="E203" s="1" t="s">
        <v>126</v>
      </c>
      <c r="F203" s="1">
        <v>1</v>
      </c>
      <c r="G203" s="1">
        <v>2020</v>
      </c>
      <c r="H203" s="1">
        <v>1</v>
      </c>
      <c r="I203" s="1">
        <v>1</v>
      </c>
      <c r="J203" s="1">
        <v>0</v>
      </c>
      <c r="K203" s="19"/>
      <c r="L203" s="19"/>
      <c r="M203" s="19"/>
      <c r="N203" s="11">
        <v>242.55</v>
      </c>
      <c r="O203" s="11">
        <v>131.66999999999999</v>
      </c>
      <c r="P203" s="11">
        <v>353.43</v>
      </c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9"/>
      <c r="CR203" s="11">
        <v>73.260000000000005</v>
      </c>
      <c r="CS203" s="11">
        <v>30.69</v>
      </c>
      <c r="CT203" s="11">
        <v>115.83</v>
      </c>
      <c r="CU203" s="11">
        <f>Tabelle58971121[[#This Row],[Mindestauslastung durch]]*Tabelle58971121[[#This Row],[installierte Leistung MW durch]]</f>
        <v>0</v>
      </c>
      <c r="CV203" s="11">
        <f>Tabelle58971121[[#This Row],[Mindestauslastung min]]*Tabelle58971121[[#This Row],[installierte Leistung MW min]]</f>
        <v>0</v>
      </c>
      <c r="CW203" s="19">
        <f>Tabelle58971121[[#This Row],[Mindestauslastung max]]*Tabelle58971121[[#This Row],[installierte Leistung MW max]]</f>
        <v>0</v>
      </c>
      <c r="CX203" s="9">
        <v>0</v>
      </c>
      <c r="CY203" s="9">
        <v>0</v>
      </c>
      <c r="CZ203" s="9">
        <v>0</v>
      </c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39">
        <v>0.73</v>
      </c>
      <c r="ED203" s="39">
        <v>0.69</v>
      </c>
      <c r="EE203" s="39">
        <v>0.77</v>
      </c>
      <c r="EF203" s="11">
        <f>Tabelle58971121[[#This Row],[Durchschnittsauslastung min]]*Tabelle58971121[[#This Row],[installierte Leistung MW min]]</f>
        <v>142.37190000000001</v>
      </c>
      <c r="EG203" s="11">
        <f>Tabelle58971121[[#This Row],[Durchschnittsauslastung durch]]*Tabelle58971121[[#This Row],[installierte Leistung MW durch]]</f>
        <v>229.52159999999998</v>
      </c>
      <c r="EH203" s="46">
        <f>Tabelle58971121[[#This Row],[Durchschnittsauslastung max]]*Tabelle58971121[[#This Row],[installierte Leistung MW max]]</f>
        <v>362.09250000000003</v>
      </c>
      <c r="EI203" s="83">
        <f>Tabelle58971121[[#This Row],[Maximalauslastung durch]]*Tabelle58971121[[#This Row],[installierte Leistung MW min]]</f>
        <v>185.27849999999998</v>
      </c>
      <c r="EJ203" s="46">
        <f>Tabelle58971121[[#This Row],[Maximalauslastung durch]]*Tabelle58971121[[#This Row],[installierte Leistung MW durch]]</f>
        <v>316.00799999999998</v>
      </c>
      <c r="EK203" s="11">
        <f>Tabelle58971121[[#This Row],[Maximalauslastung max]]*Tabelle58971121[[#This Row],[installierte Leistung MW durch]]</f>
        <v>319.33439999999996</v>
      </c>
      <c r="EL203" s="9">
        <v>0.95</v>
      </c>
      <c r="EM203" s="9">
        <v>0.94</v>
      </c>
      <c r="EN203" s="9">
        <v>0.96</v>
      </c>
      <c r="EO203" s="11">
        <v>332.64</v>
      </c>
      <c r="EP203" s="11">
        <v>195.03</v>
      </c>
      <c r="EQ203" s="11">
        <v>470.25</v>
      </c>
      <c r="ER203" s="1">
        <v>0.30041666666666667</v>
      </c>
      <c r="ES203" s="1">
        <v>8.3333333333333332E-3</v>
      </c>
      <c r="ET203" s="54">
        <v>0.5</v>
      </c>
      <c r="EU203" s="1">
        <v>0.77166666666666672</v>
      </c>
      <c r="EV203" s="1">
        <v>8.3333333333333329E-2</v>
      </c>
      <c r="EW203" s="54">
        <v>3</v>
      </c>
      <c r="EX203" s="1">
        <v>4.7999999999999989</v>
      </c>
      <c r="EY203" s="1">
        <v>4.3</v>
      </c>
      <c r="EZ203" s="54">
        <v>5.3</v>
      </c>
      <c r="FA203" s="1">
        <v>4.7999999999999989</v>
      </c>
      <c r="FB203" s="1">
        <v>4.3</v>
      </c>
      <c r="FC203" s="54">
        <v>5.3</v>
      </c>
      <c r="FD203" s="1">
        <v>6</v>
      </c>
      <c r="FE203" s="1">
        <v>5.4</v>
      </c>
      <c r="FF203" s="54">
        <v>6.6</v>
      </c>
      <c r="FG203" s="1">
        <v>10.8</v>
      </c>
      <c r="FH203" s="1">
        <v>7.8</v>
      </c>
      <c r="FI203" s="54">
        <v>7.7999999999999989</v>
      </c>
      <c r="FJ203" s="1">
        <v>7.7999999999999989</v>
      </c>
      <c r="FK203" s="1">
        <v>5.8</v>
      </c>
      <c r="FL203" s="54">
        <v>9.8000000000000007</v>
      </c>
      <c r="FN203" s="1" t="s">
        <v>647</v>
      </c>
      <c r="FP203" s="1">
        <v>1000</v>
      </c>
      <c r="FQ203" s="1">
        <v>500</v>
      </c>
      <c r="FR203" s="1">
        <v>1500</v>
      </c>
      <c r="FS203" s="1">
        <v>0</v>
      </c>
      <c r="FT203" s="1">
        <v>0</v>
      </c>
      <c r="FU203" s="1">
        <v>0</v>
      </c>
      <c r="FV203" s="1">
        <v>700</v>
      </c>
      <c r="FW203" s="1">
        <v>650</v>
      </c>
      <c r="FX203" s="1">
        <v>750</v>
      </c>
      <c r="FY203" s="1">
        <v>2.3405882352941174</v>
      </c>
      <c r="FZ203" s="19">
        <v>0.81411764705882328</v>
      </c>
      <c r="GA203" s="19">
        <v>3.8670588235294114</v>
      </c>
      <c r="GB203" s="19">
        <v>203.52941176470586</v>
      </c>
      <c r="GC203" s="8">
        <v>152.64705882352939</v>
      </c>
      <c r="GD203" s="8">
        <v>254.41176470588235</v>
      </c>
      <c r="GE203" s="8">
        <v>469.13529411764705</v>
      </c>
      <c r="GF203" s="8">
        <v>396.88235294117646</v>
      </c>
      <c r="GG203" s="8">
        <v>541.38823529411764</v>
      </c>
      <c r="GH203" s="8">
        <v>0</v>
      </c>
      <c r="GI203" s="8">
        <v>0</v>
      </c>
      <c r="GJ203" s="8">
        <v>30.52941176470588</v>
      </c>
      <c r="GK203" s="8">
        <v>44.776470588235291</v>
      </c>
      <c r="GL203" s="8">
        <v>24.423529411764704</v>
      </c>
      <c r="GM203" s="8">
        <v>65.129411764705878</v>
      </c>
      <c r="GN203" s="8">
        <v>2.0352941176470587</v>
      </c>
      <c r="GO203" s="8">
        <v>0</v>
      </c>
      <c r="GP203" s="8">
        <v>4.0705882352941174</v>
      </c>
      <c r="GS203" s="1">
        <v>220</v>
      </c>
      <c r="GT203" s="1">
        <v>220</v>
      </c>
      <c r="GV203" s="13" t="s">
        <v>643</v>
      </c>
      <c r="GW203" s="1" t="s">
        <v>643</v>
      </c>
      <c r="GX203" s="13">
        <v>182</v>
      </c>
      <c r="GY203" s="13"/>
      <c r="GZ203" s="13">
        <v>182</v>
      </c>
      <c r="HA203" s="13">
        <v>182</v>
      </c>
      <c r="HB203" s="1">
        <v>182</v>
      </c>
      <c r="HC203" s="13" t="s">
        <v>642</v>
      </c>
      <c r="HD203" s="13" t="s">
        <v>641</v>
      </c>
      <c r="HE203" s="1">
        <v>202</v>
      </c>
      <c r="HF203" s="1">
        <v>202</v>
      </c>
      <c r="HH203" s="1" t="s">
        <v>645</v>
      </c>
      <c r="HI203" s="1">
        <v>211</v>
      </c>
      <c r="HJ203" s="1">
        <v>214</v>
      </c>
      <c r="HK203" s="1">
        <v>220</v>
      </c>
      <c r="HL203" s="1">
        <v>214</v>
      </c>
      <c r="HO203" s="1" t="s">
        <v>644</v>
      </c>
    </row>
    <row r="204" spans="1:223" ht="12.75" customHeight="1" x14ac:dyDescent="0.25">
      <c r="A204" s="1" t="s">
        <v>74</v>
      </c>
      <c r="D204" s="1" t="s">
        <v>579</v>
      </c>
      <c r="E204" s="1" t="s">
        <v>126</v>
      </c>
      <c r="F204" s="1">
        <v>1</v>
      </c>
      <c r="G204" s="1">
        <v>2025</v>
      </c>
      <c r="H204" s="1">
        <v>1</v>
      </c>
      <c r="I204" s="1">
        <v>1</v>
      </c>
      <c r="J204" s="1">
        <v>0</v>
      </c>
      <c r="K204" s="19"/>
      <c r="L204" s="19"/>
      <c r="M204" s="19"/>
      <c r="N204" s="11">
        <v>237.65000000000003</v>
      </c>
      <c r="O204" s="11">
        <v>129.01</v>
      </c>
      <c r="P204" s="11">
        <v>346.28999999999996</v>
      </c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9"/>
      <c r="CR204" s="11">
        <v>71.780000000000015</v>
      </c>
      <c r="CS204" s="11">
        <v>30.07</v>
      </c>
      <c r="CT204" s="11">
        <v>113.49</v>
      </c>
      <c r="CU204" s="11">
        <f>Tabelle58971121[[#This Row],[Mindestauslastung durch]]*Tabelle58971121[[#This Row],[installierte Leistung MW durch]]</f>
        <v>0</v>
      </c>
      <c r="CV204" s="11">
        <f>Tabelle58971121[[#This Row],[Mindestauslastung min]]*Tabelle58971121[[#This Row],[installierte Leistung MW min]]</f>
        <v>0</v>
      </c>
      <c r="CW204" s="19">
        <f>Tabelle58971121[[#This Row],[Mindestauslastung max]]*Tabelle58971121[[#This Row],[installierte Leistung MW max]]</f>
        <v>0</v>
      </c>
      <c r="CX204" s="9">
        <v>0</v>
      </c>
      <c r="CY204" s="9">
        <v>0</v>
      </c>
      <c r="CZ204" s="9">
        <v>0</v>
      </c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39">
        <v>0.73000000000000009</v>
      </c>
      <c r="ED204" s="39">
        <v>0.69</v>
      </c>
      <c r="EE204" s="39">
        <v>0.77</v>
      </c>
      <c r="EF204" s="11">
        <f>Tabelle58971121[[#This Row],[Durchschnittsauslastung min]]*Tabelle58971121[[#This Row],[installierte Leistung MW min]]</f>
        <v>139.49570000000003</v>
      </c>
      <c r="EG204" s="11">
        <f>Tabelle58971121[[#This Row],[Durchschnittsauslastung durch]]*Tabelle58971121[[#This Row],[installierte Leistung MW durch]]</f>
        <v>224.88479999999996</v>
      </c>
      <c r="EH204" s="46">
        <f>Tabelle58971121[[#This Row],[Durchschnittsauslastung max]]*Tabelle58971121[[#This Row],[installierte Leistung MW max]]</f>
        <v>354.77749999999997</v>
      </c>
      <c r="EI204" s="83">
        <f>Tabelle58971121[[#This Row],[Maximalauslastung durch]]*Tabelle58971121[[#This Row],[installierte Leistung MW min]]</f>
        <v>181.53550000000004</v>
      </c>
      <c r="EJ204" s="46">
        <f>Tabelle58971121[[#This Row],[Maximalauslastung durch]]*Tabelle58971121[[#This Row],[installierte Leistung MW durch]]</f>
        <v>309.62400000000002</v>
      </c>
      <c r="EK204" s="11">
        <f>Tabelle58971121[[#This Row],[Maximalauslastung max]]*Tabelle58971121[[#This Row],[installierte Leistung MW durch]]</f>
        <v>312.88319999999993</v>
      </c>
      <c r="EL204" s="9">
        <v>0.95000000000000018</v>
      </c>
      <c r="EM204" s="9">
        <v>0.94</v>
      </c>
      <c r="EN204" s="9">
        <v>0.96</v>
      </c>
      <c r="EO204" s="11">
        <v>325.91999999999996</v>
      </c>
      <c r="EP204" s="11">
        <v>191.09</v>
      </c>
      <c r="EQ204" s="11">
        <v>460.74999999999994</v>
      </c>
      <c r="ER204" s="1">
        <v>0.30041666666666667</v>
      </c>
      <c r="ES204" s="1">
        <v>8.3333333333333332E-3</v>
      </c>
      <c r="ET204" s="54">
        <v>0.5</v>
      </c>
      <c r="EU204" s="1">
        <v>0.77166666666666683</v>
      </c>
      <c r="EV204" s="1">
        <v>8.3333333333333329E-2</v>
      </c>
      <c r="EW204" s="54">
        <v>3</v>
      </c>
      <c r="EX204" s="1">
        <v>4.8000000000000007</v>
      </c>
      <c r="EY204" s="1">
        <v>4.3</v>
      </c>
      <c r="EZ204" s="54">
        <v>5.3</v>
      </c>
      <c r="FA204" s="1">
        <v>4.8000000000000007</v>
      </c>
      <c r="FB204" s="1">
        <v>4.3</v>
      </c>
      <c r="FC204" s="54">
        <v>5.3</v>
      </c>
      <c r="FD204" s="1">
        <v>6.0000000000000009</v>
      </c>
      <c r="FE204" s="1">
        <v>5.4</v>
      </c>
      <c r="FF204" s="54">
        <v>6.6</v>
      </c>
      <c r="FG204" s="1">
        <v>10.8</v>
      </c>
      <c r="FH204" s="1">
        <v>7.8</v>
      </c>
      <c r="FI204" s="54">
        <v>7.8</v>
      </c>
      <c r="FJ204" s="1">
        <v>7.8000000000000007</v>
      </c>
      <c r="FK204" s="1">
        <v>5.8</v>
      </c>
      <c r="FL204" s="54">
        <v>9.8000000000000007</v>
      </c>
      <c r="FN204" s="1" t="s">
        <v>647</v>
      </c>
      <c r="FP204" s="1">
        <v>1000</v>
      </c>
      <c r="FQ204" s="1">
        <v>500</v>
      </c>
      <c r="FR204" s="1">
        <v>1500</v>
      </c>
      <c r="FS204" s="1">
        <v>0</v>
      </c>
      <c r="FT204" s="1">
        <v>0</v>
      </c>
      <c r="FU204" s="1">
        <v>0</v>
      </c>
      <c r="FV204" s="1">
        <v>700</v>
      </c>
      <c r="FW204" s="1">
        <v>650</v>
      </c>
      <c r="FX204" s="1">
        <v>750</v>
      </c>
      <c r="FY204" s="1">
        <v>2.3405882352941174</v>
      </c>
      <c r="FZ204" s="19">
        <v>0.81411764705882328</v>
      </c>
      <c r="GA204" s="19">
        <v>3.8670588235294114</v>
      </c>
      <c r="GB204" s="19">
        <v>203.52941176470586</v>
      </c>
      <c r="GC204" s="8">
        <v>152.64705882352939</v>
      </c>
      <c r="GD204" s="8">
        <v>254.41176470588235</v>
      </c>
      <c r="GE204" s="8">
        <v>469.13529411764705</v>
      </c>
      <c r="GF204" s="8">
        <v>396.88235294117646</v>
      </c>
      <c r="GG204" s="8">
        <v>541.38823529411764</v>
      </c>
      <c r="GH204" s="8">
        <v>0</v>
      </c>
      <c r="GI204" s="8">
        <v>0</v>
      </c>
      <c r="GJ204" s="8">
        <v>30.52941176470588</v>
      </c>
      <c r="GK204" s="8">
        <v>44.776470588235291</v>
      </c>
      <c r="GL204" s="8">
        <v>24.423529411764704</v>
      </c>
      <c r="GM204" s="8">
        <v>65.129411764705878</v>
      </c>
      <c r="GN204" s="8">
        <v>2.0352941176470587</v>
      </c>
      <c r="GO204" s="8">
        <v>0</v>
      </c>
      <c r="GP204" s="8">
        <v>4.0705882352941174</v>
      </c>
      <c r="GS204" s="1">
        <v>220</v>
      </c>
      <c r="GT204" s="1">
        <v>220</v>
      </c>
      <c r="GV204" s="13" t="s">
        <v>643</v>
      </c>
      <c r="GW204" s="1" t="s">
        <v>643</v>
      </c>
      <c r="GX204" s="13">
        <v>182</v>
      </c>
      <c r="GY204" s="13"/>
      <c r="GZ204" s="13">
        <v>182</v>
      </c>
      <c r="HA204" s="13">
        <v>182</v>
      </c>
      <c r="HB204" s="1">
        <v>182</v>
      </c>
      <c r="HC204" s="13" t="s">
        <v>642</v>
      </c>
      <c r="HD204" s="13" t="s">
        <v>641</v>
      </c>
      <c r="HE204" s="1">
        <v>202</v>
      </c>
      <c r="HF204" s="1">
        <v>202</v>
      </c>
      <c r="HH204" s="1" t="s">
        <v>645</v>
      </c>
      <c r="HI204" s="1">
        <v>211</v>
      </c>
      <c r="HJ204" s="1">
        <v>214</v>
      </c>
      <c r="HK204" s="1">
        <v>220</v>
      </c>
      <c r="HL204" s="1">
        <v>214</v>
      </c>
      <c r="HO204" s="1" t="s">
        <v>644</v>
      </c>
    </row>
    <row r="205" spans="1:223" ht="12.75" customHeight="1" x14ac:dyDescent="0.25">
      <c r="A205" s="1" t="s">
        <v>74</v>
      </c>
      <c r="D205" s="1" t="s">
        <v>579</v>
      </c>
      <c r="E205" s="1" t="s">
        <v>126</v>
      </c>
      <c r="F205" s="1">
        <v>1</v>
      </c>
      <c r="G205" s="1">
        <v>2030</v>
      </c>
      <c r="H205" s="1">
        <v>1</v>
      </c>
      <c r="I205" s="1">
        <v>1</v>
      </c>
      <c r="J205" s="1">
        <v>0</v>
      </c>
      <c r="K205" s="19"/>
      <c r="L205" s="19"/>
      <c r="M205" s="19"/>
      <c r="N205" s="11">
        <v>235.2</v>
      </c>
      <c r="O205" s="11">
        <v>127.67999999999999</v>
      </c>
      <c r="P205" s="11">
        <v>342.71999999999997</v>
      </c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9"/>
      <c r="CR205" s="11">
        <v>71.039999999999992</v>
      </c>
      <c r="CS205" s="11">
        <v>29.759999999999998</v>
      </c>
      <c r="CT205" s="11">
        <v>112.32</v>
      </c>
      <c r="CU205" s="11">
        <f>Tabelle58971121[[#This Row],[Mindestauslastung durch]]*Tabelle58971121[[#This Row],[installierte Leistung MW durch]]</f>
        <v>0</v>
      </c>
      <c r="CV205" s="11">
        <f>Tabelle58971121[[#This Row],[Mindestauslastung min]]*Tabelle58971121[[#This Row],[installierte Leistung MW min]]</f>
        <v>0</v>
      </c>
      <c r="CW205" s="19">
        <f>Tabelle58971121[[#This Row],[Mindestauslastung max]]*Tabelle58971121[[#This Row],[installierte Leistung MW max]]</f>
        <v>0</v>
      </c>
      <c r="CX205" s="9">
        <v>0</v>
      </c>
      <c r="CY205" s="9">
        <v>0</v>
      </c>
      <c r="CZ205" s="9">
        <v>0</v>
      </c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39">
        <v>0.73</v>
      </c>
      <c r="ED205" s="39">
        <v>0.69</v>
      </c>
      <c r="EE205" s="39">
        <v>0.77</v>
      </c>
      <c r="EF205" s="11">
        <f>Tabelle58971121[[#This Row],[Durchschnittsauslastung min]]*Tabelle58971121[[#This Row],[installierte Leistung MW min]]</f>
        <v>138.05760000000001</v>
      </c>
      <c r="EG205" s="11">
        <f>Tabelle58971121[[#This Row],[Durchschnittsauslastung durch]]*Tabelle58971121[[#This Row],[installierte Leistung MW durch]]</f>
        <v>222.56639999999999</v>
      </c>
      <c r="EH205" s="46">
        <f>Tabelle58971121[[#This Row],[Durchschnittsauslastung max]]*Tabelle58971121[[#This Row],[installierte Leistung MW max]]</f>
        <v>351.11999999999995</v>
      </c>
      <c r="EI205" s="83">
        <f>Tabelle58971121[[#This Row],[Maximalauslastung durch]]*Tabelle58971121[[#This Row],[installierte Leistung MW min]]</f>
        <v>179.66399999999999</v>
      </c>
      <c r="EJ205" s="46">
        <f>Tabelle58971121[[#This Row],[Maximalauslastung durch]]*Tabelle58971121[[#This Row],[installierte Leistung MW durch]]</f>
        <v>306.43199999999996</v>
      </c>
      <c r="EK205" s="11">
        <f>Tabelle58971121[[#This Row],[Maximalauslastung max]]*Tabelle58971121[[#This Row],[installierte Leistung MW durch]]</f>
        <v>309.6576</v>
      </c>
      <c r="EL205" s="9">
        <v>0.95</v>
      </c>
      <c r="EM205" s="9">
        <v>0.94</v>
      </c>
      <c r="EN205" s="9">
        <v>0.96</v>
      </c>
      <c r="EO205" s="11">
        <v>322.56</v>
      </c>
      <c r="EP205" s="11">
        <v>189.12</v>
      </c>
      <c r="EQ205" s="11">
        <v>455.99999999999994</v>
      </c>
      <c r="ER205" s="1">
        <v>0.30041666666666667</v>
      </c>
      <c r="ES205" s="1">
        <v>8.3333333333333332E-3</v>
      </c>
      <c r="ET205" s="54">
        <v>0.5</v>
      </c>
      <c r="EU205" s="1">
        <v>0.77166666666666672</v>
      </c>
      <c r="EV205" s="1">
        <v>8.3333333333333329E-2</v>
      </c>
      <c r="EW205" s="54">
        <v>3</v>
      </c>
      <c r="EX205" s="1">
        <v>4.8</v>
      </c>
      <c r="EY205" s="1">
        <v>4.3</v>
      </c>
      <c r="EZ205" s="54">
        <v>5.3</v>
      </c>
      <c r="FA205" s="1">
        <v>4.8</v>
      </c>
      <c r="FB205" s="1">
        <v>4.3</v>
      </c>
      <c r="FC205" s="54">
        <v>5.3</v>
      </c>
      <c r="FD205" s="1">
        <v>6</v>
      </c>
      <c r="FE205" s="1">
        <v>5.4</v>
      </c>
      <c r="FF205" s="54">
        <v>6.6</v>
      </c>
      <c r="FG205" s="1">
        <v>10.8</v>
      </c>
      <c r="FH205" s="1">
        <v>7.8</v>
      </c>
      <c r="FI205" s="54">
        <v>7.7999999999999989</v>
      </c>
      <c r="FJ205" s="1">
        <v>7.8</v>
      </c>
      <c r="FK205" s="1">
        <v>5.8</v>
      </c>
      <c r="FL205" s="54">
        <v>9.8000000000000007</v>
      </c>
      <c r="FN205" s="1" t="s">
        <v>647</v>
      </c>
      <c r="FP205" s="1">
        <v>1000</v>
      </c>
      <c r="FQ205" s="1">
        <v>500</v>
      </c>
      <c r="FR205" s="1">
        <v>1500</v>
      </c>
      <c r="FS205" s="1">
        <v>0</v>
      </c>
      <c r="FT205" s="1">
        <v>0</v>
      </c>
      <c r="FU205" s="1">
        <v>0</v>
      </c>
      <c r="FV205" s="1">
        <v>700</v>
      </c>
      <c r="FW205" s="1">
        <v>650</v>
      </c>
      <c r="FX205" s="1">
        <v>750</v>
      </c>
      <c r="FY205" s="1">
        <v>2.3405882352941174</v>
      </c>
      <c r="FZ205" s="19">
        <v>0.81411764705882328</v>
      </c>
      <c r="GA205" s="19">
        <v>3.8670588235294114</v>
      </c>
      <c r="GB205" s="19">
        <v>203.52941176470586</v>
      </c>
      <c r="GC205" s="8">
        <v>152.64705882352939</v>
      </c>
      <c r="GD205" s="8">
        <v>254.41176470588235</v>
      </c>
      <c r="GE205" s="8">
        <v>469.13529411764705</v>
      </c>
      <c r="GF205" s="8">
        <v>396.88235294117646</v>
      </c>
      <c r="GG205" s="8">
        <v>541.38823529411764</v>
      </c>
      <c r="GH205" s="8">
        <v>0</v>
      </c>
      <c r="GI205" s="8">
        <v>0</v>
      </c>
      <c r="GJ205" s="8">
        <v>30.52941176470588</v>
      </c>
      <c r="GK205" s="8">
        <v>44.776470588235291</v>
      </c>
      <c r="GL205" s="8">
        <v>24.423529411764704</v>
      </c>
      <c r="GM205" s="8">
        <v>65.129411764705878</v>
      </c>
      <c r="GN205" s="8">
        <v>2.0352941176470587</v>
      </c>
      <c r="GO205" s="8">
        <v>0</v>
      </c>
      <c r="GP205" s="8">
        <v>4.0705882352941174</v>
      </c>
      <c r="GS205" s="1">
        <v>220</v>
      </c>
      <c r="GT205" s="1">
        <v>220</v>
      </c>
      <c r="GV205" s="13" t="s">
        <v>643</v>
      </c>
      <c r="GW205" s="1" t="s">
        <v>643</v>
      </c>
      <c r="GX205" s="13">
        <v>182</v>
      </c>
      <c r="GY205" s="13"/>
      <c r="GZ205" s="13">
        <v>182</v>
      </c>
      <c r="HA205" s="13">
        <v>182</v>
      </c>
      <c r="HB205" s="1">
        <v>182</v>
      </c>
      <c r="HC205" s="13" t="s">
        <v>642</v>
      </c>
      <c r="HD205" s="13" t="s">
        <v>641</v>
      </c>
      <c r="HE205" s="1">
        <v>202</v>
      </c>
      <c r="HF205" s="1">
        <v>202</v>
      </c>
      <c r="HH205" s="1" t="s">
        <v>645</v>
      </c>
      <c r="HI205" s="1">
        <v>211</v>
      </c>
      <c r="HJ205" s="1">
        <v>214</v>
      </c>
      <c r="HK205" s="1">
        <v>220</v>
      </c>
      <c r="HL205" s="1">
        <v>214</v>
      </c>
      <c r="HO205" s="1" t="s">
        <v>644</v>
      </c>
    </row>
    <row r="206" spans="1:223" ht="12.75" customHeight="1" x14ac:dyDescent="0.25">
      <c r="A206" s="1" t="s">
        <v>74</v>
      </c>
      <c r="D206" s="1" t="s">
        <v>579</v>
      </c>
      <c r="E206" s="1" t="s">
        <v>126</v>
      </c>
      <c r="F206" s="1">
        <v>1</v>
      </c>
      <c r="G206" s="1">
        <v>2035</v>
      </c>
      <c r="H206" s="1">
        <v>1</v>
      </c>
      <c r="I206" s="1">
        <v>1</v>
      </c>
      <c r="J206" s="1">
        <v>0</v>
      </c>
      <c r="K206" s="19"/>
      <c r="L206" s="19"/>
      <c r="M206" s="19"/>
      <c r="N206" s="11">
        <v>232.75</v>
      </c>
      <c r="O206" s="11">
        <v>126.35</v>
      </c>
      <c r="P206" s="11">
        <v>339.15</v>
      </c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9"/>
      <c r="CR206" s="11">
        <v>70.3</v>
      </c>
      <c r="CS206" s="11">
        <v>29.45</v>
      </c>
      <c r="CT206" s="11">
        <v>111.14999999999999</v>
      </c>
      <c r="CU206" s="11">
        <f>Tabelle58971121[[#This Row],[Mindestauslastung durch]]*Tabelle58971121[[#This Row],[installierte Leistung MW durch]]</f>
        <v>0</v>
      </c>
      <c r="CV206" s="11">
        <f>Tabelle58971121[[#This Row],[Mindestauslastung min]]*Tabelle58971121[[#This Row],[installierte Leistung MW min]]</f>
        <v>0</v>
      </c>
      <c r="CW206" s="19">
        <f>Tabelle58971121[[#This Row],[Mindestauslastung max]]*Tabelle58971121[[#This Row],[installierte Leistung MW max]]</f>
        <v>0</v>
      </c>
      <c r="CX206" s="9">
        <v>0</v>
      </c>
      <c r="CY206" s="9">
        <v>0</v>
      </c>
      <c r="CZ206" s="9">
        <v>0</v>
      </c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39">
        <v>0.73</v>
      </c>
      <c r="ED206" s="39">
        <v>0.69</v>
      </c>
      <c r="EE206" s="39">
        <v>0.77</v>
      </c>
      <c r="EF206" s="11">
        <f>Tabelle58971121[[#This Row],[Durchschnittsauslastung min]]*Tabelle58971121[[#This Row],[installierte Leistung MW min]]</f>
        <v>136.61949999999999</v>
      </c>
      <c r="EG206" s="11">
        <f>Tabelle58971121[[#This Row],[Durchschnittsauslastung durch]]*Tabelle58971121[[#This Row],[installierte Leistung MW durch]]</f>
        <v>220.24799999999996</v>
      </c>
      <c r="EH206" s="46">
        <f>Tabelle58971121[[#This Row],[Durchschnittsauslastung max]]*Tabelle58971121[[#This Row],[installierte Leistung MW max]]</f>
        <v>347.46249999999998</v>
      </c>
      <c r="EI206" s="83">
        <f>Tabelle58971121[[#This Row],[Maximalauslastung durch]]*Tabelle58971121[[#This Row],[installierte Leistung MW min]]</f>
        <v>177.79249999999999</v>
      </c>
      <c r="EJ206" s="46">
        <f>Tabelle58971121[[#This Row],[Maximalauslastung durch]]*Tabelle58971121[[#This Row],[installierte Leistung MW durch]]</f>
        <v>303.23999999999995</v>
      </c>
      <c r="EK206" s="11">
        <f>Tabelle58971121[[#This Row],[Maximalauslastung max]]*Tabelle58971121[[#This Row],[installierte Leistung MW durch]]</f>
        <v>306.43199999999996</v>
      </c>
      <c r="EL206" s="9">
        <v>0.95</v>
      </c>
      <c r="EM206" s="9">
        <v>0.94</v>
      </c>
      <c r="EN206" s="9">
        <v>0.96</v>
      </c>
      <c r="EO206" s="11">
        <v>319.2</v>
      </c>
      <c r="EP206" s="11">
        <v>187.15</v>
      </c>
      <c r="EQ206" s="11">
        <v>451.24999999999994</v>
      </c>
      <c r="ER206" s="1">
        <v>0.30041666666666667</v>
      </c>
      <c r="ES206" s="1">
        <v>8.3333333333333332E-3</v>
      </c>
      <c r="ET206" s="54">
        <v>0.5</v>
      </c>
      <c r="EU206" s="1">
        <v>0.77166666666666672</v>
      </c>
      <c r="EV206" s="1">
        <v>8.3333333333333329E-2</v>
      </c>
      <c r="EW206" s="54">
        <v>3</v>
      </c>
      <c r="EX206" s="1">
        <v>4.7999999999999989</v>
      </c>
      <c r="EY206" s="1">
        <v>4.3</v>
      </c>
      <c r="EZ206" s="54">
        <v>5.3</v>
      </c>
      <c r="FA206" s="1">
        <v>4.7999999999999989</v>
      </c>
      <c r="FB206" s="1">
        <v>4.3</v>
      </c>
      <c r="FC206" s="54">
        <v>5.3</v>
      </c>
      <c r="FD206" s="1">
        <v>6</v>
      </c>
      <c r="FE206" s="1">
        <v>5.4</v>
      </c>
      <c r="FF206" s="54">
        <v>6.6</v>
      </c>
      <c r="FG206" s="1">
        <v>10.8</v>
      </c>
      <c r="FH206" s="1">
        <v>7.8</v>
      </c>
      <c r="FI206" s="54">
        <v>7.8000000000000007</v>
      </c>
      <c r="FJ206" s="1">
        <v>7.7999999999999989</v>
      </c>
      <c r="FK206" s="1">
        <v>5.8</v>
      </c>
      <c r="FL206" s="54">
        <v>9.8000000000000007</v>
      </c>
      <c r="FN206" s="1" t="s">
        <v>647</v>
      </c>
      <c r="FP206" s="1">
        <v>1000</v>
      </c>
      <c r="FQ206" s="1">
        <v>500</v>
      </c>
      <c r="FR206" s="1">
        <v>1500</v>
      </c>
      <c r="FS206" s="1">
        <v>0</v>
      </c>
      <c r="FT206" s="1">
        <v>0</v>
      </c>
      <c r="FU206" s="1">
        <v>0</v>
      </c>
      <c r="FV206" s="1">
        <v>700</v>
      </c>
      <c r="FW206" s="1">
        <v>650</v>
      </c>
      <c r="FX206" s="1">
        <v>750</v>
      </c>
      <c r="FY206" s="1">
        <v>2.3405882352941174</v>
      </c>
      <c r="FZ206" s="19">
        <v>0.81411764705882328</v>
      </c>
      <c r="GA206" s="19">
        <v>3.8670588235294114</v>
      </c>
      <c r="GB206" s="19">
        <v>203.52941176470586</v>
      </c>
      <c r="GC206" s="8">
        <v>152.64705882352939</v>
      </c>
      <c r="GD206" s="8">
        <v>254.41176470588235</v>
      </c>
      <c r="GE206" s="8">
        <v>469.13529411764705</v>
      </c>
      <c r="GF206" s="8">
        <v>396.88235294117646</v>
      </c>
      <c r="GG206" s="8">
        <v>541.38823529411764</v>
      </c>
      <c r="GH206" s="8">
        <v>0</v>
      </c>
      <c r="GI206" s="8">
        <v>0</v>
      </c>
      <c r="GJ206" s="8">
        <v>30.52941176470588</v>
      </c>
      <c r="GK206" s="8">
        <v>44.776470588235291</v>
      </c>
      <c r="GL206" s="8">
        <v>24.423529411764704</v>
      </c>
      <c r="GM206" s="8">
        <v>65.129411764705878</v>
      </c>
      <c r="GN206" s="8">
        <v>2.0352941176470587</v>
      </c>
      <c r="GO206" s="8">
        <v>0</v>
      </c>
      <c r="GP206" s="8">
        <v>4.0705882352941174</v>
      </c>
      <c r="GS206" s="1">
        <v>220</v>
      </c>
      <c r="GT206" s="1">
        <v>220</v>
      </c>
      <c r="GV206" s="13" t="s">
        <v>643</v>
      </c>
      <c r="GW206" s="1" t="s">
        <v>643</v>
      </c>
      <c r="GX206" s="13">
        <v>182</v>
      </c>
      <c r="GY206" s="13"/>
      <c r="GZ206" s="13">
        <v>182</v>
      </c>
      <c r="HA206" s="13">
        <v>182</v>
      </c>
      <c r="HB206" s="1">
        <v>182</v>
      </c>
      <c r="HC206" s="13" t="s">
        <v>642</v>
      </c>
      <c r="HD206" s="13" t="s">
        <v>641</v>
      </c>
      <c r="HE206" s="1">
        <v>202</v>
      </c>
      <c r="HF206" s="1">
        <v>202</v>
      </c>
      <c r="HH206" s="1" t="s">
        <v>645</v>
      </c>
      <c r="HI206" s="1">
        <v>211</v>
      </c>
      <c r="HJ206" s="1">
        <v>214</v>
      </c>
      <c r="HK206" s="1">
        <v>220</v>
      </c>
      <c r="HL206" s="1">
        <v>214</v>
      </c>
      <c r="HO206" s="1" t="s">
        <v>644</v>
      </c>
    </row>
    <row r="207" spans="1:223" ht="12.75" customHeight="1" x14ac:dyDescent="0.25">
      <c r="A207" s="1" t="s">
        <v>74</v>
      </c>
      <c r="D207" s="1" t="s">
        <v>579</v>
      </c>
      <c r="E207" s="1" t="s">
        <v>126</v>
      </c>
      <c r="F207" s="1">
        <v>1</v>
      </c>
      <c r="G207" s="1">
        <v>2040</v>
      </c>
      <c r="H207" s="1">
        <v>1</v>
      </c>
      <c r="I207" s="1">
        <v>1</v>
      </c>
      <c r="J207" s="1">
        <v>0</v>
      </c>
      <c r="K207" s="19"/>
      <c r="L207" s="19"/>
      <c r="M207" s="19"/>
      <c r="N207" s="11">
        <v>227.85000000000002</v>
      </c>
      <c r="O207" s="11">
        <v>123.69000000000001</v>
      </c>
      <c r="P207" s="11">
        <v>332.01000000000005</v>
      </c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9"/>
      <c r="CR207" s="11">
        <v>68.820000000000007</v>
      </c>
      <c r="CS207" s="11">
        <v>28.830000000000002</v>
      </c>
      <c r="CT207" s="11">
        <v>108.81000000000002</v>
      </c>
      <c r="CU207" s="11">
        <f>Tabelle58971121[[#This Row],[Mindestauslastung durch]]*Tabelle58971121[[#This Row],[installierte Leistung MW durch]]</f>
        <v>0</v>
      </c>
      <c r="CV207" s="11">
        <f>Tabelle58971121[[#This Row],[Mindestauslastung min]]*Tabelle58971121[[#This Row],[installierte Leistung MW min]]</f>
        <v>0</v>
      </c>
      <c r="CW207" s="19">
        <f>Tabelle58971121[[#This Row],[Mindestauslastung max]]*Tabelle58971121[[#This Row],[installierte Leistung MW max]]</f>
        <v>0</v>
      </c>
      <c r="CX207" s="9">
        <v>0</v>
      </c>
      <c r="CY207" s="9">
        <v>0</v>
      </c>
      <c r="CZ207" s="9">
        <v>0</v>
      </c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39">
        <v>0.73</v>
      </c>
      <c r="ED207" s="39">
        <v>0.69</v>
      </c>
      <c r="EE207" s="39">
        <v>0.77</v>
      </c>
      <c r="EF207" s="11">
        <f>Tabelle58971121[[#This Row],[Durchschnittsauslastung min]]*Tabelle58971121[[#This Row],[installierte Leistung MW min]]</f>
        <v>133.74330000000003</v>
      </c>
      <c r="EG207" s="11">
        <f>Tabelle58971121[[#This Row],[Durchschnittsauslastung durch]]*Tabelle58971121[[#This Row],[installierte Leistung MW durch]]</f>
        <v>215.6112</v>
      </c>
      <c r="EH207" s="46">
        <f>Tabelle58971121[[#This Row],[Durchschnittsauslastung max]]*Tabelle58971121[[#This Row],[installierte Leistung MW max]]</f>
        <v>340.14749999999998</v>
      </c>
      <c r="EI207" s="83">
        <f>Tabelle58971121[[#This Row],[Maximalauslastung durch]]*Tabelle58971121[[#This Row],[installierte Leistung MW min]]</f>
        <v>174.04950000000002</v>
      </c>
      <c r="EJ207" s="46">
        <f>Tabelle58971121[[#This Row],[Maximalauslastung durch]]*Tabelle58971121[[#This Row],[installierte Leistung MW durch]]</f>
        <v>296.85599999999999</v>
      </c>
      <c r="EK207" s="11">
        <f>Tabelle58971121[[#This Row],[Maximalauslastung max]]*Tabelle58971121[[#This Row],[installierte Leistung MW durch]]</f>
        <v>299.98079999999999</v>
      </c>
      <c r="EL207" s="9">
        <v>0.95</v>
      </c>
      <c r="EM207" s="9">
        <v>0.94</v>
      </c>
      <c r="EN207" s="9">
        <v>0.96</v>
      </c>
      <c r="EO207" s="11">
        <v>312.48</v>
      </c>
      <c r="EP207" s="11">
        <v>183.21000000000004</v>
      </c>
      <c r="EQ207" s="11">
        <v>441.75</v>
      </c>
      <c r="ER207" s="1">
        <v>0.30041666666666667</v>
      </c>
      <c r="ES207" s="1">
        <v>8.3333333333333332E-3</v>
      </c>
      <c r="ET207" s="54">
        <v>0.5</v>
      </c>
      <c r="EU207" s="1">
        <v>0.77166666666666672</v>
      </c>
      <c r="EV207" s="1">
        <v>8.3333333333333329E-2</v>
      </c>
      <c r="EW207" s="54">
        <v>3</v>
      </c>
      <c r="EX207" s="1">
        <v>4.7999999999999989</v>
      </c>
      <c r="EY207" s="1">
        <v>4.3</v>
      </c>
      <c r="EZ207" s="54">
        <v>5.3</v>
      </c>
      <c r="FA207" s="1">
        <v>4.7999999999999989</v>
      </c>
      <c r="FB207" s="1">
        <v>4.3</v>
      </c>
      <c r="FC207" s="54">
        <v>5.3</v>
      </c>
      <c r="FD207" s="1">
        <v>6</v>
      </c>
      <c r="FE207" s="1">
        <v>5.4</v>
      </c>
      <c r="FF207" s="54">
        <v>6.6</v>
      </c>
      <c r="FG207" s="1">
        <v>10.8</v>
      </c>
      <c r="FH207" s="1">
        <v>7.8000000000000007</v>
      </c>
      <c r="FI207" s="54">
        <v>7.8000000000000007</v>
      </c>
      <c r="FJ207" s="1">
        <v>7.7999999999999989</v>
      </c>
      <c r="FK207" s="1">
        <v>5.8</v>
      </c>
      <c r="FL207" s="54">
        <v>9.8000000000000007</v>
      </c>
      <c r="FN207" s="1" t="s">
        <v>647</v>
      </c>
      <c r="FP207" s="1">
        <v>1000</v>
      </c>
      <c r="FQ207" s="1">
        <v>500</v>
      </c>
      <c r="FR207" s="1">
        <v>1500</v>
      </c>
      <c r="FS207" s="1">
        <v>0</v>
      </c>
      <c r="FT207" s="1">
        <v>0</v>
      </c>
      <c r="FU207" s="1">
        <v>0</v>
      </c>
      <c r="FV207" s="1">
        <v>700</v>
      </c>
      <c r="FW207" s="1">
        <v>650</v>
      </c>
      <c r="FX207" s="1">
        <v>750</v>
      </c>
      <c r="FY207" s="1">
        <v>2.3405882352941174</v>
      </c>
      <c r="FZ207" s="19">
        <v>0.81411764705882328</v>
      </c>
      <c r="GA207" s="19">
        <v>3.8670588235294114</v>
      </c>
      <c r="GB207" s="19">
        <v>203.52941176470586</v>
      </c>
      <c r="GC207" s="8">
        <v>152.64705882352939</v>
      </c>
      <c r="GD207" s="8">
        <v>254.41176470588235</v>
      </c>
      <c r="GE207" s="8">
        <v>469.13529411764705</v>
      </c>
      <c r="GF207" s="8">
        <v>396.88235294117646</v>
      </c>
      <c r="GG207" s="8">
        <v>541.38823529411764</v>
      </c>
      <c r="GH207" s="8">
        <v>0</v>
      </c>
      <c r="GI207" s="8">
        <v>0</v>
      </c>
      <c r="GJ207" s="8">
        <v>30.52941176470588</v>
      </c>
      <c r="GK207" s="8">
        <v>44.776470588235291</v>
      </c>
      <c r="GL207" s="8">
        <v>24.423529411764704</v>
      </c>
      <c r="GM207" s="8">
        <v>65.129411764705878</v>
      </c>
      <c r="GN207" s="8">
        <v>2.0352941176470587</v>
      </c>
      <c r="GO207" s="8">
        <v>0</v>
      </c>
      <c r="GP207" s="8">
        <v>4.0705882352941174</v>
      </c>
      <c r="GS207" s="1">
        <v>220</v>
      </c>
      <c r="GT207" s="1">
        <v>220</v>
      </c>
      <c r="GV207" s="13" t="s">
        <v>643</v>
      </c>
      <c r="GW207" s="1" t="s">
        <v>643</v>
      </c>
      <c r="GX207" s="13">
        <v>182</v>
      </c>
      <c r="GY207" s="13"/>
      <c r="GZ207" s="13">
        <v>182</v>
      </c>
      <c r="HA207" s="13">
        <v>182</v>
      </c>
      <c r="HB207" s="1">
        <v>182</v>
      </c>
      <c r="HC207" s="13" t="s">
        <v>642</v>
      </c>
      <c r="HD207" s="13" t="s">
        <v>641</v>
      </c>
      <c r="HE207" s="1">
        <v>202</v>
      </c>
      <c r="HF207" s="1">
        <v>202</v>
      </c>
      <c r="HH207" s="1" t="s">
        <v>645</v>
      </c>
      <c r="HI207" s="1">
        <v>211</v>
      </c>
      <c r="HJ207" s="1">
        <v>214</v>
      </c>
      <c r="HK207" s="1">
        <v>220</v>
      </c>
      <c r="HL207" s="1">
        <v>214</v>
      </c>
      <c r="HO207" s="1" t="s">
        <v>644</v>
      </c>
    </row>
    <row r="208" spans="1:223" ht="12.75" customHeight="1" x14ac:dyDescent="0.25">
      <c r="A208" s="1" t="s">
        <v>74</v>
      </c>
      <c r="D208" s="1" t="s">
        <v>579</v>
      </c>
      <c r="E208" s="1" t="s">
        <v>126</v>
      </c>
      <c r="F208" s="1">
        <v>1</v>
      </c>
      <c r="G208" s="1">
        <v>2045</v>
      </c>
      <c r="H208" s="1">
        <v>1</v>
      </c>
      <c r="I208" s="1">
        <v>1</v>
      </c>
      <c r="J208" s="1">
        <v>0</v>
      </c>
      <c r="K208" s="19"/>
      <c r="L208" s="19"/>
      <c r="M208" s="19"/>
      <c r="N208" s="11">
        <v>225.40000000000003</v>
      </c>
      <c r="O208" s="11">
        <v>122.36000000000001</v>
      </c>
      <c r="P208" s="11">
        <v>328.44000000000005</v>
      </c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9"/>
      <c r="CR208" s="11">
        <v>68.080000000000013</v>
      </c>
      <c r="CS208" s="11">
        <v>28.520000000000003</v>
      </c>
      <c r="CT208" s="11">
        <v>107.64000000000001</v>
      </c>
      <c r="CU208" s="11">
        <f>Tabelle58971121[[#This Row],[Mindestauslastung durch]]*Tabelle58971121[[#This Row],[installierte Leistung MW durch]]</f>
        <v>0</v>
      </c>
      <c r="CV208" s="11">
        <f>Tabelle58971121[[#This Row],[Mindestauslastung min]]*Tabelle58971121[[#This Row],[installierte Leistung MW min]]</f>
        <v>0</v>
      </c>
      <c r="CW208" s="19">
        <f>Tabelle58971121[[#This Row],[Mindestauslastung max]]*Tabelle58971121[[#This Row],[installierte Leistung MW max]]</f>
        <v>0</v>
      </c>
      <c r="CX208" s="9">
        <v>0</v>
      </c>
      <c r="CY208" s="9">
        <v>0</v>
      </c>
      <c r="CZ208" s="9">
        <v>0</v>
      </c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39">
        <v>0.73</v>
      </c>
      <c r="ED208" s="39">
        <v>0.69</v>
      </c>
      <c r="EE208" s="39">
        <v>0.77</v>
      </c>
      <c r="EF208" s="11">
        <f>Tabelle58971121[[#This Row],[Durchschnittsauslastung min]]*Tabelle58971121[[#This Row],[installierte Leistung MW min]]</f>
        <v>132.30520000000001</v>
      </c>
      <c r="EG208" s="11">
        <f>Tabelle58971121[[#This Row],[Durchschnittsauslastung durch]]*Tabelle58971121[[#This Row],[installierte Leistung MW durch]]</f>
        <v>213.2928</v>
      </c>
      <c r="EH208" s="46">
        <f>Tabelle58971121[[#This Row],[Durchschnittsauslastung max]]*Tabelle58971121[[#This Row],[installierte Leistung MW max]]</f>
        <v>336.49</v>
      </c>
      <c r="EI208" s="83">
        <f>Tabelle58971121[[#This Row],[Maximalauslastung durch]]*Tabelle58971121[[#This Row],[installierte Leistung MW min]]</f>
        <v>172.178</v>
      </c>
      <c r="EJ208" s="46">
        <f>Tabelle58971121[[#This Row],[Maximalauslastung durch]]*Tabelle58971121[[#This Row],[installierte Leistung MW durch]]</f>
        <v>293.66399999999999</v>
      </c>
      <c r="EK208" s="11">
        <f>Tabelle58971121[[#This Row],[Maximalauslastung max]]*Tabelle58971121[[#This Row],[installierte Leistung MW durch]]</f>
        <v>296.7552</v>
      </c>
      <c r="EL208" s="9">
        <v>0.95</v>
      </c>
      <c r="EM208" s="9">
        <v>0.94</v>
      </c>
      <c r="EN208" s="9">
        <v>0.96</v>
      </c>
      <c r="EO208" s="11">
        <v>309.12</v>
      </c>
      <c r="EP208" s="11">
        <v>181.24</v>
      </c>
      <c r="EQ208" s="11">
        <v>437</v>
      </c>
      <c r="ER208" s="1">
        <v>0.30041666666666667</v>
      </c>
      <c r="ES208" s="1">
        <v>8.3333333333333332E-3</v>
      </c>
      <c r="ET208" s="54">
        <v>0.5</v>
      </c>
      <c r="EU208" s="1">
        <v>0.77166666666666672</v>
      </c>
      <c r="EV208" s="1">
        <v>8.3333333333333329E-2</v>
      </c>
      <c r="EW208" s="54">
        <v>3</v>
      </c>
      <c r="EX208" s="1">
        <v>4.8</v>
      </c>
      <c r="EY208" s="1">
        <v>4.3</v>
      </c>
      <c r="EZ208" s="54">
        <v>5.3</v>
      </c>
      <c r="FA208" s="1">
        <v>4.8</v>
      </c>
      <c r="FB208" s="1">
        <v>4.3</v>
      </c>
      <c r="FC208" s="54">
        <v>5.3</v>
      </c>
      <c r="FD208" s="1">
        <v>6</v>
      </c>
      <c r="FE208" s="1">
        <v>5.4</v>
      </c>
      <c r="FF208" s="54">
        <v>6.6</v>
      </c>
      <c r="FG208" s="1">
        <v>10.8</v>
      </c>
      <c r="FH208" s="1">
        <v>7.8</v>
      </c>
      <c r="FI208" s="54">
        <v>7.7999999999999989</v>
      </c>
      <c r="FJ208" s="1">
        <v>7.8</v>
      </c>
      <c r="FK208" s="1">
        <v>5.8</v>
      </c>
      <c r="FL208" s="54">
        <v>9.8000000000000007</v>
      </c>
      <c r="FN208" s="1" t="s">
        <v>647</v>
      </c>
      <c r="FP208" s="1">
        <v>1000</v>
      </c>
      <c r="FQ208" s="1">
        <v>500</v>
      </c>
      <c r="FR208" s="1">
        <v>1500</v>
      </c>
      <c r="FS208" s="1">
        <v>0</v>
      </c>
      <c r="FT208" s="1">
        <v>0</v>
      </c>
      <c r="FU208" s="1">
        <v>0</v>
      </c>
      <c r="FV208" s="1">
        <v>700</v>
      </c>
      <c r="FW208" s="1">
        <v>650</v>
      </c>
      <c r="FX208" s="1">
        <v>750</v>
      </c>
      <c r="FY208" s="1">
        <v>2.3405882352941174</v>
      </c>
      <c r="FZ208" s="19">
        <v>0.81411764705882328</v>
      </c>
      <c r="GA208" s="19">
        <v>3.8670588235294114</v>
      </c>
      <c r="GB208" s="19">
        <v>203.52941176470586</v>
      </c>
      <c r="GC208" s="8">
        <v>152.64705882352939</v>
      </c>
      <c r="GD208" s="8">
        <v>254.41176470588235</v>
      </c>
      <c r="GE208" s="8">
        <v>469.13529411764705</v>
      </c>
      <c r="GF208" s="8">
        <v>396.88235294117646</v>
      </c>
      <c r="GG208" s="8">
        <v>541.38823529411764</v>
      </c>
      <c r="GH208" s="8">
        <v>0</v>
      </c>
      <c r="GI208" s="8">
        <v>0</v>
      </c>
      <c r="GJ208" s="8">
        <v>30.52941176470588</v>
      </c>
      <c r="GK208" s="8">
        <v>44.776470588235291</v>
      </c>
      <c r="GL208" s="8">
        <v>24.423529411764704</v>
      </c>
      <c r="GM208" s="8">
        <v>65.129411764705878</v>
      </c>
      <c r="GN208" s="8">
        <v>2.0352941176470587</v>
      </c>
      <c r="GO208" s="8">
        <v>0</v>
      </c>
      <c r="GP208" s="8">
        <v>4.0705882352941174</v>
      </c>
      <c r="GS208" s="1">
        <v>220</v>
      </c>
      <c r="GT208" s="1">
        <v>220</v>
      </c>
      <c r="GV208" s="13" t="s">
        <v>643</v>
      </c>
      <c r="GW208" s="1" t="s">
        <v>643</v>
      </c>
      <c r="GX208" s="13">
        <v>182</v>
      </c>
      <c r="GY208" s="13"/>
      <c r="GZ208" s="13">
        <v>182</v>
      </c>
      <c r="HA208" s="13">
        <v>182</v>
      </c>
      <c r="HB208" s="1">
        <v>182</v>
      </c>
      <c r="HC208" s="13" t="s">
        <v>642</v>
      </c>
      <c r="HD208" s="13" t="s">
        <v>641</v>
      </c>
      <c r="HE208" s="1">
        <v>202</v>
      </c>
      <c r="HF208" s="1">
        <v>202</v>
      </c>
      <c r="HH208" s="1" t="s">
        <v>645</v>
      </c>
      <c r="HI208" s="1">
        <v>211</v>
      </c>
      <c r="HJ208" s="1">
        <v>214</v>
      </c>
      <c r="HK208" s="1">
        <v>220</v>
      </c>
      <c r="HL208" s="1">
        <v>214</v>
      </c>
      <c r="HO208" s="1" t="s">
        <v>644</v>
      </c>
    </row>
    <row r="209" spans="1:223" ht="12.75" customHeight="1" x14ac:dyDescent="0.25">
      <c r="A209" s="1" t="s">
        <v>74</v>
      </c>
      <c r="D209" s="1" t="s">
        <v>579</v>
      </c>
      <c r="E209" s="1" t="s">
        <v>126</v>
      </c>
      <c r="F209" s="1">
        <v>1</v>
      </c>
      <c r="G209" s="1">
        <v>2050</v>
      </c>
      <c r="H209" s="1">
        <v>1</v>
      </c>
      <c r="I209" s="1">
        <v>1</v>
      </c>
      <c r="J209" s="1">
        <v>0</v>
      </c>
      <c r="K209" s="19"/>
      <c r="L209" s="19"/>
      <c r="M209" s="19"/>
      <c r="N209" s="11">
        <v>222.95000000000005</v>
      </c>
      <c r="O209" s="11">
        <v>121.03000000000002</v>
      </c>
      <c r="P209" s="11">
        <v>324.87000000000006</v>
      </c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9"/>
      <c r="CR209" s="11">
        <v>67.34</v>
      </c>
      <c r="CS209" s="11">
        <v>28.210000000000004</v>
      </c>
      <c r="CT209" s="11">
        <v>106.47000000000001</v>
      </c>
      <c r="CU209" s="11">
        <f>Tabelle58971121[[#This Row],[Mindestauslastung durch]]*Tabelle58971121[[#This Row],[installierte Leistung MW durch]]</f>
        <v>0</v>
      </c>
      <c r="CV209" s="11">
        <f>Tabelle58971121[[#This Row],[Mindestauslastung min]]*Tabelle58971121[[#This Row],[installierte Leistung MW min]]</f>
        <v>0</v>
      </c>
      <c r="CW209" s="19">
        <f>Tabelle58971121[[#This Row],[Mindestauslastung max]]*Tabelle58971121[[#This Row],[installierte Leistung MW max]]</f>
        <v>0</v>
      </c>
      <c r="CX209" s="9">
        <v>0</v>
      </c>
      <c r="CY209" s="9">
        <v>0</v>
      </c>
      <c r="CZ209" s="9">
        <v>0</v>
      </c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39">
        <v>0.73000000000000009</v>
      </c>
      <c r="ED209" s="39">
        <v>0.69</v>
      </c>
      <c r="EE209" s="39">
        <v>0.77</v>
      </c>
      <c r="EF209" s="11">
        <f>Tabelle58971121[[#This Row],[Durchschnittsauslastung min]]*Tabelle58971121[[#This Row],[installierte Leistung MW min]]</f>
        <v>130.86710000000005</v>
      </c>
      <c r="EG209" s="11">
        <f>Tabelle58971121[[#This Row],[Durchschnittsauslastung durch]]*Tabelle58971121[[#This Row],[installierte Leistung MW durch]]</f>
        <v>210.97439999999997</v>
      </c>
      <c r="EH209" s="46">
        <f>Tabelle58971121[[#This Row],[Durchschnittsauslastung max]]*Tabelle58971121[[#This Row],[installierte Leistung MW max]]</f>
        <v>332.83249999999998</v>
      </c>
      <c r="EI209" s="83">
        <f>Tabelle58971121[[#This Row],[Maximalauslastung durch]]*Tabelle58971121[[#This Row],[installierte Leistung MW min]]</f>
        <v>170.30650000000006</v>
      </c>
      <c r="EJ209" s="46">
        <f>Tabelle58971121[[#This Row],[Maximalauslastung durch]]*Tabelle58971121[[#This Row],[installierte Leistung MW durch]]</f>
        <v>290.47200000000004</v>
      </c>
      <c r="EK209" s="11">
        <f>Tabelle58971121[[#This Row],[Maximalauslastung max]]*Tabelle58971121[[#This Row],[installierte Leistung MW durch]]</f>
        <v>293.52959999999996</v>
      </c>
      <c r="EL209" s="9">
        <v>0.95000000000000018</v>
      </c>
      <c r="EM209" s="9">
        <v>0.94</v>
      </c>
      <c r="EN209" s="9">
        <v>0.96</v>
      </c>
      <c r="EO209" s="11">
        <v>305.76</v>
      </c>
      <c r="EP209" s="11">
        <v>179.27000000000004</v>
      </c>
      <c r="EQ209" s="11">
        <v>432.25</v>
      </c>
      <c r="ER209" s="1">
        <v>0.30041666666666667</v>
      </c>
      <c r="ES209" s="1">
        <v>8.3333333333333332E-3</v>
      </c>
      <c r="ET209" s="54">
        <v>0.5</v>
      </c>
      <c r="EU209" s="1">
        <v>0.77166666666666683</v>
      </c>
      <c r="EV209" s="1">
        <v>8.3333333333333329E-2</v>
      </c>
      <c r="EW209" s="54">
        <v>3</v>
      </c>
      <c r="EX209" s="1">
        <v>4.8</v>
      </c>
      <c r="EY209" s="1">
        <v>4.3</v>
      </c>
      <c r="EZ209" s="54">
        <v>5.3</v>
      </c>
      <c r="FA209" s="1">
        <v>4.8</v>
      </c>
      <c r="FB209" s="1">
        <v>4.3</v>
      </c>
      <c r="FC209" s="54">
        <v>5.3</v>
      </c>
      <c r="FD209" s="1">
        <v>6</v>
      </c>
      <c r="FE209" s="1">
        <v>5.4</v>
      </c>
      <c r="FF209" s="54">
        <v>6.6</v>
      </c>
      <c r="FG209" s="1">
        <v>10.8</v>
      </c>
      <c r="FH209" s="1">
        <v>7.8</v>
      </c>
      <c r="FI209" s="54">
        <v>7.8000000000000007</v>
      </c>
      <c r="FJ209" s="1">
        <v>7.8</v>
      </c>
      <c r="FK209" s="1">
        <v>5.8</v>
      </c>
      <c r="FL209" s="54">
        <v>9.8000000000000007</v>
      </c>
      <c r="FN209" s="1" t="s">
        <v>647</v>
      </c>
      <c r="FP209" s="1">
        <v>1000</v>
      </c>
      <c r="FQ209" s="1">
        <v>500</v>
      </c>
      <c r="FR209" s="1">
        <v>1500</v>
      </c>
      <c r="FS209" s="1">
        <v>0</v>
      </c>
      <c r="FT209" s="1">
        <v>0</v>
      </c>
      <c r="FU209" s="1">
        <v>0</v>
      </c>
      <c r="FV209" s="1">
        <v>700</v>
      </c>
      <c r="FW209" s="1">
        <v>650</v>
      </c>
      <c r="FX209" s="1">
        <v>750</v>
      </c>
      <c r="FY209" s="1">
        <v>2.3405882352941174</v>
      </c>
      <c r="FZ209" s="19">
        <v>0.81411764705882328</v>
      </c>
      <c r="GA209" s="19">
        <v>3.8670588235294114</v>
      </c>
      <c r="GB209" s="19">
        <v>203.52941176470586</v>
      </c>
      <c r="GC209" s="8">
        <v>152.64705882352939</v>
      </c>
      <c r="GD209" s="8">
        <v>254.41176470588235</v>
      </c>
      <c r="GE209" s="8">
        <v>469.13529411764705</v>
      </c>
      <c r="GF209" s="8">
        <v>396.88235294117646</v>
      </c>
      <c r="GG209" s="8">
        <v>541.38823529411764</v>
      </c>
      <c r="GH209" s="8">
        <v>0</v>
      </c>
      <c r="GI209" s="8">
        <v>0</v>
      </c>
      <c r="GJ209" s="8">
        <v>30.52941176470588</v>
      </c>
      <c r="GK209" s="8">
        <v>44.776470588235291</v>
      </c>
      <c r="GL209" s="8">
        <v>24.423529411764704</v>
      </c>
      <c r="GM209" s="8">
        <v>65.129411764705878</v>
      </c>
      <c r="GN209" s="8">
        <v>2.0352941176470587</v>
      </c>
      <c r="GO209" s="8">
        <v>0</v>
      </c>
      <c r="GP209" s="8">
        <v>4.0705882352941174</v>
      </c>
      <c r="GS209" s="1">
        <v>220</v>
      </c>
      <c r="GT209" s="1">
        <v>220</v>
      </c>
      <c r="GV209" s="13" t="s">
        <v>643</v>
      </c>
      <c r="GW209" s="1" t="s">
        <v>643</v>
      </c>
      <c r="GX209" s="13">
        <v>182</v>
      </c>
      <c r="GY209" s="13"/>
      <c r="GZ209" s="13">
        <v>182</v>
      </c>
      <c r="HA209" s="13">
        <v>182</v>
      </c>
      <c r="HB209" s="1">
        <v>182</v>
      </c>
      <c r="HC209" s="13" t="s">
        <v>642</v>
      </c>
      <c r="HD209" s="13" t="s">
        <v>641</v>
      </c>
      <c r="HE209" s="1">
        <v>202</v>
      </c>
      <c r="HF209" s="1">
        <v>202</v>
      </c>
      <c r="HH209" s="1" t="s">
        <v>645</v>
      </c>
      <c r="HI209" s="1">
        <v>211</v>
      </c>
      <c r="HJ209" s="1">
        <v>214</v>
      </c>
      <c r="HK209" s="1">
        <v>220</v>
      </c>
      <c r="HL209" s="1">
        <v>214</v>
      </c>
      <c r="HO209" s="1" t="s">
        <v>644</v>
      </c>
    </row>
    <row r="210" spans="1:223" ht="12.75" customHeight="1" x14ac:dyDescent="0.25">
      <c r="A210" s="1" t="s">
        <v>78</v>
      </c>
      <c r="D210" s="1" t="s">
        <v>78</v>
      </c>
      <c r="E210" s="1" t="s">
        <v>126</v>
      </c>
      <c r="F210" s="1">
        <v>1</v>
      </c>
      <c r="G210" s="1">
        <v>2015</v>
      </c>
      <c r="H210" s="1">
        <v>1</v>
      </c>
      <c r="I210" s="1">
        <v>1</v>
      </c>
      <c r="J210" s="1">
        <v>0</v>
      </c>
      <c r="K210" s="19"/>
      <c r="L210" s="19"/>
      <c r="M210" s="19"/>
      <c r="N210" s="11">
        <v>1214</v>
      </c>
      <c r="O210" s="11">
        <v>811</v>
      </c>
      <c r="P210" s="11">
        <v>1617</v>
      </c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9"/>
      <c r="CR210" s="11">
        <v>127</v>
      </c>
      <c r="CS210" s="11">
        <v>44</v>
      </c>
      <c r="CT210" s="11">
        <v>210</v>
      </c>
      <c r="CU210" s="11">
        <f>Tabelle58971121[[#This Row],[Mindestauslastung durch]]*Tabelle58971121[[#This Row],[installierte Leistung MW durch]]</f>
        <v>0</v>
      </c>
      <c r="CV210" s="11">
        <f>Tabelle58971121[[#This Row],[Mindestauslastung min]]*Tabelle58971121[[#This Row],[installierte Leistung MW min]]</f>
        <v>0</v>
      </c>
      <c r="CW210" s="19">
        <f>Tabelle58971121[[#This Row],[Mindestauslastung max]]*Tabelle58971121[[#This Row],[installierte Leistung MW max]]</f>
        <v>0</v>
      </c>
      <c r="CX210" s="9">
        <v>0</v>
      </c>
      <c r="CY210" s="9">
        <v>0</v>
      </c>
      <c r="CZ210" s="9">
        <v>0</v>
      </c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39">
        <v>0.86</v>
      </c>
      <c r="ED210" s="39">
        <v>0.83</v>
      </c>
      <c r="EE210" s="39">
        <v>0.89</v>
      </c>
      <c r="EF210" s="11">
        <f>Tabelle58971121[[#This Row],[Durchschnittsauslastung min]]*Tabelle58971121[[#This Row],[installierte Leistung MW min]]</f>
        <v>849.68</v>
      </c>
      <c r="EG210" s="11">
        <f>Tabelle58971121[[#This Row],[Durchschnittsauslastung durch]]*Tabelle58971121[[#This Row],[installierte Leistung MW durch]]</f>
        <v>1171.96</v>
      </c>
      <c r="EH210" s="46">
        <f>Tabelle58971121[[#This Row],[Durchschnittsauslastung max]]*Tabelle58971121[[#This Row],[installierte Leistung MW max]]</f>
        <v>1634.04</v>
      </c>
      <c r="EI210" s="83">
        <f>Tabelle58971121[[#This Row],[Maximalauslastung durch]]*Tabelle58971121[[#This Row],[installierte Leistung MW min]]</f>
        <v>938.59999999999991</v>
      </c>
      <c r="EJ210" s="46">
        <f>Tabelle58971121[[#This Row],[Maximalauslastung durch]]*Tabelle58971121[[#This Row],[installierte Leistung MW durch]]</f>
        <v>1341.3999999999999</v>
      </c>
      <c r="EK210" s="11">
        <f>Tabelle58971121[[#This Row],[Maximalauslastung max]]*Tabelle58971121[[#This Row],[installierte Leistung MW durch]]</f>
        <v>1355.52</v>
      </c>
      <c r="EL210" s="9">
        <v>0.95</v>
      </c>
      <c r="EM210" s="9">
        <v>0.94</v>
      </c>
      <c r="EN210" s="9">
        <v>0.96</v>
      </c>
      <c r="EO210" s="11">
        <v>1412</v>
      </c>
      <c r="EP210" s="11">
        <v>988</v>
      </c>
      <c r="EQ210" s="11">
        <v>1836</v>
      </c>
      <c r="ER210" s="1">
        <v>1.4624999999999999</v>
      </c>
      <c r="ES210" s="1">
        <v>0.25</v>
      </c>
      <c r="ET210" s="54">
        <v>3</v>
      </c>
      <c r="EU210" s="1">
        <v>1.625</v>
      </c>
      <c r="EV210" s="1">
        <v>0.5</v>
      </c>
      <c r="EW210" s="54">
        <v>3</v>
      </c>
      <c r="EX210" s="1">
        <v>5.2</v>
      </c>
      <c r="EY210" s="1">
        <v>4.7</v>
      </c>
      <c r="EZ210" s="54">
        <v>5.7</v>
      </c>
      <c r="FA210" s="1">
        <v>5.2</v>
      </c>
      <c r="FB210" s="1">
        <v>4.7</v>
      </c>
      <c r="FC210" s="54">
        <v>5.7</v>
      </c>
      <c r="FD210" s="1">
        <v>6</v>
      </c>
      <c r="FE210" s="1">
        <v>4.8</v>
      </c>
      <c r="FF210" s="54">
        <v>7.2</v>
      </c>
      <c r="FG210" s="1">
        <v>11.2</v>
      </c>
      <c r="FH210" s="1">
        <v>11.2</v>
      </c>
      <c r="FI210" s="54">
        <v>11.2</v>
      </c>
      <c r="FJ210" s="1">
        <v>6.6</v>
      </c>
      <c r="FK210" s="1">
        <v>4.8999999999999995</v>
      </c>
      <c r="FL210" s="54">
        <v>8.2999999999999989</v>
      </c>
      <c r="FN210" s="1" t="s">
        <v>646</v>
      </c>
      <c r="FP210" s="1">
        <v>500</v>
      </c>
      <c r="FQ210" s="1">
        <v>200</v>
      </c>
      <c r="FR210" s="1">
        <v>800</v>
      </c>
      <c r="FS210" s="1">
        <v>0</v>
      </c>
      <c r="FT210" s="1">
        <v>0</v>
      </c>
      <c r="FU210" s="1">
        <v>0</v>
      </c>
      <c r="FV210" s="1">
        <v>50</v>
      </c>
      <c r="FW210" s="1">
        <v>20</v>
      </c>
      <c r="FX210" s="1">
        <v>80</v>
      </c>
      <c r="FY210" s="1">
        <v>2.3405882352941174</v>
      </c>
      <c r="FZ210" s="19">
        <v>0.81411764705882328</v>
      </c>
      <c r="GA210" s="19">
        <v>3.8670588235294114</v>
      </c>
      <c r="GB210" s="19">
        <v>203.52941176470586</v>
      </c>
      <c r="GC210" s="8">
        <v>152.64705882352939</v>
      </c>
      <c r="GD210" s="8">
        <v>254.41176470588235</v>
      </c>
      <c r="GE210" s="8">
        <v>396.88235294117646</v>
      </c>
      <c r="GF210" s="8">
        <v>371.44117647058823</v>
      </c>
      <c r="GG210" s="8">
        <v>422.3235294117647</v>
      </c>
      <c r="GH210" s="8">
        <v>0</v>
      </c>
      <c r="GI210" s="8">
        <v>0</v>
      </c>
      <c r="GJ210" s="8">
        <v>30.52941176470588</v>
      </c>
      <c r="GK210" s="8">
        <v>44.776470588235291</v>
      </c>
      <c r="GL210" s="8">
        <v>24.423529411764704</v>
      </c>
      <c r="GM210" s="8">
        <v>65.129411764705878</v>
      </c>
      <c r="GN210" s="8">
        <v>2.0352941176470587</v>
      </c>
      <c r="GO210" s="8">
        <v>0</v>
      </c>
      <c r="GP210" s="8">
        <v>4.0705882352941174</v>
      </c>
      <c r="GS210" s="1">
        <v>220</v>
      </c>
      <c r="GT210" s="1">
        <v>220</v>
      </c>
      <c r="GV210" s="13" t="s">
        <v>643</v>
      </c>
      <c r="GW210" s="1" t="s">
        <v>643</v>
      </c>
      <c r="GX210" s="13">
        <v>182</v>
      </c>
      <c r="GY210" s="13"/>
      <c r="GZ210" s="13">
        <v>182</v>
      </c>
      <c r="HA210" s="13">
        <v>182</v>
      </c>
      <c r="HB210" s="1">
        <v>182</v>
      </c>
      <c r="HC210" s="13" t="s">
        <v>642</v>
      </c>
      <c r="HD210" s="13" t="s">
        <v>641</v>
      </c>
      <c r="HE210" s="1">
        <v>202</v>
      </c>
      <c r="HF210" s="1">
        <v>202</v>
      </c>
      <c r="HH210" s="1" t="s">
        <v>645</v>
      </c>
      <c r="HI210" s="1">
        <v>211</v>
      </c>
      <c r="HJ210" s="1">
        <v>214</v>
      </c>
      <c r="HK210" s="1">
        <v>220</v>
      </c>
      <c r="HL210" s="1">
        <v>214</v>
      </c>
      <c r="HO210" s="1" t="s">
        <v>644</v>
      </c>
    </row>
    <row r="211" spans="1:223" ht="12.75" customHeight="1" x14ac:dyDescent="0.25">
      <c r="A211" s="1" t="s">
        <v>78</v>
      </c>
      <c r="D211" s="1" t="s">
        <v>78</v>
      </c>
      <c r="E211" s="1" t="s">
        <v>126</v>
      </c>
      <c r="F211" s="1">
        <v>1</v>
      </c>
      <c r="G211" s="1">
        <v>2020</v>
      </c>
      <c r="H211" s="1">
        <v>1</v>
      </c>
      <c r="I211" s="1">
        <v>1</v>
      </c>
      <c r="J211" s="1">
        <v>0</v>
      </c>
      <c r="K211" s="19"/>
      <c r="L211" s="19"/>
      <c r="M211" s="19"/>
      <c r="N211" s="11">
        <v>1262.56</v>
      </c>
      <c r="O211" s="11">
        <v>843.44</v>
      </c>
      <c r="P211" s="11">
        <v>1681.68</v>
      </c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9"/>
      <c r="CR211" s="11">
        <v>132.08000000000001</v>
      </c>
      <c r="CS211" s="11">
        <v>45.760000000000005</v>
      </c>
      <c r="CT211" s="11">
        <v>218.4</v>
      </c>
      <c r="CU211" s="11">
        <f>Tabelle58971121[[#This Row],[Mindestauslastung durch]]*Tabelle58971121[[#This Row],[installierte Leistung MW durch]]</f>
        <v>0</v>
      </c>
      <c r="CV211" s="11">
        <f>Tabelle58971121[[#This Row],[Mindestauslastung min]]*Tabelle58971121[[#This Row],[installierte Leistung MW min]]</f>
        <v>0</v>
      </c>
      <c r="CW211" s="19">
        <f>Tabelle58971121[[#This Row],[Mindestauslastung max]]*Tabelle58971121[[#This Row],[installierte Leistung MW max]]</f>
        <v>0</v>
      </c>
      <c r="CX211" s="9">
        <v>0</v>
      </c>
      <c r="CY211" s="9">
        <v>0</v>
      </c>
      <c r="CZ211" s="9">
        <v>0</v>
      </c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39">
        <v>0.86</v>
      </c>
      <c r="ED211" s="39">
        <v>0.83</v>
      </c>
      <c r="EE211" s="39">
        <v>0.89</v>
      </c>
      <c r="EF211" s="11">
        <f>Tabelle58971121[[#This Row],[Durchschnittsauslastung min]]*Tabelle58971121[[#This Row],[installierte Leistung MW min]]</f>
        <v>883.66719999999998</v>
      </c>
      <c r="EG211" s="11">
        <f>Tabelle58971121[[#This Row],[Durchschnittsauslastung durch]]*Tabelle58971121[[#This Row],[installierte Leistung MW durch]]</f>
        <v>1218.8383999999999</v>
      </c>
      <c r="EH211" s="46">
        <f>Tabelle58971121[[#This Row],[Durchschnittsauslastung max]]*Tabelle58971121[[#This Row],[installierte Leistung MW max]]</f>
        <v>1699.4016000000001</v>
      </c>
      <c r="EI211" s="83">
        <f>Tabelle58971121[[#This Row],[Maximalauslastung durch]]*Tabelle58971121[[#This Row],[installierte Leistung MW min]]</f>
        <v>976.14399999999989</v>
      </c>
      <c r="EJ211" s="46">
        <f>Tabelle58971121[[#This Row],[Maximalauslastung durch]]*Tabelle58971121[[#This Row],[installierte Leistung MW durch]]</f>
        <v>1395.056</v>
      </c>
      <c r="EK211" s="11">
        <f>Tabelle58971121[[#This Row],[Maximalauslastung max]]*Tabelle58971121[[#This Row],[installierte Leistung MW durch]]</f>
        <v>1409.7408</v>
      </c>
      <c r="EL211" s="9">
        <v>0.95</v>
      </c>
      <c r="EM211" s="9">
        <v>0.94</v>
      </c>
      <c r="EN211" s="9">
        <v>0.96</v>
      </c>
      <c r="EO211" s="11">
        <v>1468.48</v>
      </c>
      <c r="EP211" s="11">
        <v>1027.52</v>
      </c>
      <c r="EQ211" s="11">
        <v>1909.44</v>
      </c>
      <c r="ER211" s="1">
        <v>1.4624999999999999</v>
      </c>
      <c r="ES211" s="1">
        <v>0.25</v>
      </c>
      <c r="ET211" s="54">
        <v>3</v>
      </c>
      <c r="EU211" s="1">
        <v>1.625</v>
      </c>
      <c r="EV211" s="1">
        <v>0.5</v>
      </c>
      <c r="EW211" s="54">
        <v>3</v>
      </c>
      <c r="EX211" s="1">
        <v>5.2</v>
      </c>
      <c r="EY211" s="1">
        <v>4.7</v>
      </c>
      <c r="EZ211" s="54">
        <v>5.7</v>
      </c>
      <c r="FA211" s="1">
        <v>5.2</v>
      </c>
      <c r="FB211" s="1">
        <v>4.7</v>
      </c>
      <c r="FC211" s="54">
        <v>5.7</v>
      </c>
      <c r="FD211" s="1">
        <v>6</v>
      </c>
      <c r="FE211" s="1">
        <v>4.8</v>
      </c>
      <c r="FF211" s="54">
        <v>7.2</v>
      </c>
      <c r="FG211" s="1">
        <v>11.2</v>
      </c>
      <c r="FH211" s="1">
        <v>11.2</v>
      </c>
      <c r="FI211" s="54">
        <v>11.2</v>
      </c>
      <c r="FJ211" s="1">
        <v>6.6</v>
      </c>
      <c r="FK211" s="1">
        <v>4.8999999999999995</v>
      </c>
      <c r="FL211" s="54">
        <v>8.2999999999999989</v>
      </c>
      <c r="FN211" s="1" t="s">
        <v>646</v>
      </c>
      <c r="FP211" s="1">
        <v>500</v>
      </c>
      <c r="FQ211" s="1">
        <v>200</v>
      </c>
      <c r="FR211" s="1">
        <v>800</v>
      </c>
      <c r="FS211" s="1">
        <v>0</v>
      </c>
      <c r="FT211" s="1">
        <v>0</v>
      </c>
      <c r="FU211" s="1">
        <v>0</v>
      </c>
      <c r="FV211" s="1">
        <v>50</v>
      </c>
      <c r="FW211" s="1">
        <v>20</v>
      </c>
      <c r="FX211" s="1">
        <v>80</v>
      </c>
      <c r="FY211" s="1">
        <v>2.3405882352941174</v>
      </c>
      <c r="FZ211" s="19">
        <v>0.81411764705882328</v>
      </c>
      <c r="GA211" s="19">
        <v>3.8670588235294114</v>
      </c>
      <c r="GB211" s="19">
        <v>203.52941176470586</v>
      </c>
      <c r="GC211" s="8">
        <v>152.64705882352939</v>
      </c>
      <c r="GD211" s="8">
        <v>254.41176470588235</v>
      </c>
      <c r="GE211" s="8">
        <v>396.88235294117646</v>
      </c>
      <c r="GF211" s="8">
        <v>371.44117647058823</v>
      </c>
      <c r="GG211" s="8">
        <v>422.3235294117647</v>
      </c>
      <c r="GH211" s="8">
        <v>0</v>
      </c>
      <c r="GI211" s="8">
        <v>0</v>
      </c>
      <c r="GJ211" s="8">
        <v>30.52941176470588</v>
      </c>
      <c r="GK211" s="8">
        <v>44.776470588235291</v>
      </c>
      <c r="GL211" s="8">
        <v>24.423529411764704</v>
      </c>
      <c r="GM211" s="8">
        <v>65.129411764705878</v>
      </c>
      <c r="GN211" s="8">
        <v>2.0352941176470587</v>
      </c>
      <c r="GO211" s="8">
        <v>0</v>
      </c>
      <c r="GP211" s="8">
        <v>4.0705882352941174</v>
      </c>
      <c r="GS211" s="1">
        <v>220</v>
      </c>
      <c r="GT211" s="1">
        <v>220</v>
      </c>
      <c r="GV211" s="13" t="s">
        <v>643</v>
      </c>
      <c r="GW211" s="1" t="s">
        <v>643</v>
      </c>
      <c r="GX211" s="13">
        <v>182</v>
      </c>
      <c r="GY211" s="13"/>
      <c r="GZ211" s="13">
        <v>182</v>
      </c>
      <c r="HA211" s="13">
        <v>182</v>
      </c>
      <c r="HB211" s="1">
        <v>182</v>
      </c>
      <c r="HC211" s="13" t="s">
        <v>642</v>
      </c>
      <c r="HD211" s="13" t="s">
        <v>641</v>
      </c>
      <c r="HE211" s="1">
        <v>202</v>
      </c>
      <c r="HF211" s="1">
        <v>202</v>
      </c>
      <c r="HH211" s="1" t="s">
        <v>645</v>
      </c>
      <c r="HI211" s="1">
        <v>211</v>
      </c>
      <c r="HJ211" s="1">
        <v>214</v>
      </c>
      <c r="HK211" s="1">
        <v>220</v>
      </c>
      <c r="HL211" s="1">
        <v>214</v>
      </c>
      <c r="HO211" s="1" t="s">
        <v>644</v>
      </c>
    </row>
    <row r="212" spans="1:223" ht="12.75" customHeight="1" x14ac:dyDescent="0.25">
      <c r="A212" s="1" t="s">
        <v>78</v>
      </c>
      <c r="D212" s="1" t="s">
        <v>78</v>
      </c>
      <c r="E212" s="1" t="s">
        <v>126</v>
      </c>
      <c r="F212" s="1">
        <v>1</v>
      </c>
      <c r="G212" s="1">
        <v>2025</v>
      </c>
      <c r="H212" s="1">
        <v>1</v>
      </c>
      <c r="I212" s="1">
        <v>1</v>
      </c>
      <c r="J212" s="1">
        <v>0</v>
      </c>
      <c r="K212" s="19"/>
      <c r="L212" s="19"/>
      <c r="M212" s="19"/>
      <c r="N212" s="11">
        <v>1311.1200000000001</v>
      </c>
      <c r="O212" s="11">
        <v>875.88000000000011</v>
      </c>
      <c r="P212" s="11">
        <v>1746.3600000000001</v>
      </c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9"/>
      <c r="CR212" s="11">
        <v>137.16</v>
      </c>
      <c r="CS212" s="11">
        <v>47.52</v>
      </c>
      <c r="CT212" s="11">
        <v>226.8</v>
      </c>
      <c r="CU212" s="11">
        <f>Tabelle58971121[[#This Row],[Mindestauslastung durch]]*Tabelle58971121[[#This Row],[installierte Leistung MW durch]]</f>
        <v>0</v>
      </c>
      <c r="CV212" s="11">
        <f>Tabelle58971121[[#This Row],[Mindestauslastung min]]*Tabelle58971121[[#This Row],[installierte Leistung MW min]]</f>
        <v>0</v>
      </c>
      <c r="CW212" s="19">
        <f>Tabelle58971121[[#This Row],[Mindestauslastung max]]*Tabelle58971121[[#This Row],[installierte Leistung MW max]]</f>
        <v>0</v>
      </c>
      <c r="CX212" s="9">
        <v>0</v>
      </c>
      <c r="CY212" s="9">
        <v>0</v>
      </c>
      <c r="CZ212" s="9">
        <v>0</v>
      </c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39">
        <v>0.86</v>
      </c>
      <c r="ED212" s="39">
        <v>0.83</v>
      </c>
      <c r="EE212" s="39">
        <v>0.89</v>
      </c>
      <c r="EF212" s="11">
        <f>Tabelle58971121[[#This Row],[Durchschnittsauslastung min]]*Tabelle58971121[[#This Row],[installierte Leistung MW min]]</f>
        <v>917.65440000000001</v>
      </c>
      <c r="EG212" s="11">
        <f>Tabelle58971121[[#This Row],[Durchschnittsauslastung durch]]*Tabelle58971121[[#This Row],[installierte Leistung MW durch]]</f>
        <v>1265.7167999999999</v>
      </c>
      <c r="EH212" s="46">
        <f>Tabelle58971121[[#This Row],[Durchschnittsauslastung max]]*Tabelle58971121[[#This Row],[installierte Leistung MW max]]</f>
        <v>1764.7632000000001</v>
      </c>
      <c r="EI212" s="83">
        <f>Tabelle58971121[[#This Row],[Maximalauslastung durch]]*Tabelle58971121[[#This Row],[installierte Leistung MW min]]</f>
        <v>1013.6879999999999</v>
      </c>
      <c r="EJ212" s="46">
        <f>Tabelle58971121[[#This Row],[Maximalauslastung durch]]*Tabelle58971121[[#This Row],[installierte Leistung MW durch]]</f>
        <v>1448.712</v>
      </c>
      <c r="EK212" s="11">
        <f>Tabelle58971121[[#This Row],[Maximalauslastung max]]*Tabelle58971121[[#This Row],[installierte Leistung MW durch]]</f>
        <v>1463.9616000000001</v>
      </c>
      <c r="EL212" s="9">
        <v>0.95</v>
      </c>
      <c r="EM212" s="9">
        <v>0.94</v>
      </c>
      <c r="EN212" s="9">
        <v>0.96</v>
      </c>
      <c r="EO212" s="11">
        <v>1524.96</v>
      </c>
      <c r="EP212" s="11">
        <v>1067.04</v>
      </c>
      <c r="EQ212" s="11">
        <v>1982.88</v>
      </c>
      <c r="ER212" s="1">
        <v>1.4624999999999999</v>
      </c>
      <c r="ES212" s="1">
        <v>0.25</v>
      </c>
      <c r="ET212" s="54">
        <v>3</v>
      </c>
      <c r="EU212" s="1">
        <v>1.625</v>
      </c>
      <c r="EV212" s="1">
        <v>0.5</v>
      </c>
      <c r="EW212" s="54">
        <v>3</v>
      </c>
      <c r="EX212" s="1">
        <v>5.2</v>
      </c>
      <c r="EY212" s="1">
        <v>4.7</v>
      </c>
      <c r="EZ212" s="54">
        <v>5.7</v>
      </c>
      <c r="FA212" s="1">
        <v>5.2</v>
      </c>
      <c r="FB212" s="1">
        <v>4.7</v>
      </c>
      <c r="FC212" s="54">
        <v>5.7</v>
      </c>
      <c r="FD212" s="1">
        <v>6</v>
      </c>
      <c r="FE212" s="1">
        <v>4.8</v>
      </c>
      <c r="FF212" s="54">
        <v>7.2</v>
      </c>
      <c r="FG212" s="1">
        <v>11.2</v>
      </c>
      <c r="FH212" s="1">
        <v>11.2</v>
      </c>
      <c r="FI212" s="54">
        <v>11.2</v>
      </c>
      <c r="FJ212" s="1">
        <v>6.6</v>
      </c>
      <c r="FK212" s="1">
        <v>4.8999999999999995</v>
      </c>
      <c r="FL212" s="54">
        <v>8.2999999999999989</v>
      </c>
      <c r="FN212" s="1" t="s">
        <v>646</v>
      </c>
      <c r="FP212" s="1">
        <v>500</v>
      </c>
      <c r="FQ212" s="1">
        <v>200</v>
      </c>
      <c r="FR212" s="1">
        <v>800</v>
      </c>
      <c r="FS212" s="1">
        <v>0</v>
      </c>
      <c r="FT212" s="1">
        <v>0</v>
      </c>
      <c r="FU212" s="1">
        <v>0</v>
      </c>
      <c r="FV212" s="1">
        <v>50</v>
      </c>
      <c r="FW212" s="1">
        <v>20</v>
      </c>
      <c r="FX212" s="1">
        <v>80</v>
      </c>
      <c r="FY212" s="1">
        <v>2.3405882352941174</v>
      </c>
      <c r="FZ212" s="19">
        <v>0.81411764705882328</v>
      </c>
      <c r="GA212" s="19">
        <v>3.8670588235294114</v>
      </c>
      <c r="GB212" s="19">
        <v>203.52941176470586</v>
      </c>
      <c r="GC212" s="8">
        <v>152.64705882352939</v>
      </c>
      <c r="GD212" s="8">
        <v>254.41176470588235</v>
      </c>
      <c r="GE212" s="8">
        <v>396.88235294117646</v>
      </c>
      <c r="GF212" s="8">
        <v>371.44117647058823</v>
      </c>
      <c r="GG212" s="8">
        <v>422.3235294117647</v>
      </c>
      <c r="GH212" s="8">
        <v>0</v>
      </c>
      <c r="GI212" s="8">
        <v>0</v>
      </c>
      <c r="GJ212" s="8">
        <v>30.52941176470588</v>
      </c>
      <c r="GK212" s="8">
        <v>44.776470588235291</v>
      </c>
      <c r="GL212" s="8">
        <v>24.423529411764704</v>
      </c>
      <c r="GM212" s="8">
        <v>65.129411764705878</v>
      </c>
      <c r="GN212" s="8">
        <v>2.0352941176470587</v>
      </c>
      <c r="GO212" s="8">
        <v>0</v>
      </c>
      <c r="GP212" s="8">
        <v>4.0705882352941174</v>
      </c>
      <c r="GS212" s="1">
        <v>220</v>
      </c>
      <c r="GT212" s="1">
        <v>220</v>
      </c>
      <c r="GV212" s="13" t="s">
        <v>643</v>
      </c>
      <c r="GW212" s="1" t="s">
        <v>643</v>
      </c>
      <c r="GX212" s="13">
        <v>182</v>
      </c>
      <c r="GY212" s="13"/>
      <c r="GZ212" s="13">
        <v>182</v>
      </c>
      <c r="HA212" s="13">
        <v>182</v>
      </c>
      <c r="HB212" s="1">
        <v>182</v>
      </c>
      <c r="HC212" s="13" t="s">
        <v>642</v>
      </c>
      <c r="HD212" s="13" t="s">
        <v>641</v>
      </c>
      <c r="HE212" s="1">
        <v>202</v>
      </c>
      <c r="HF212" s="1">
        <v>202</v>
      </c>
      <c r="HH212" s="1" t="s">
        <v>645</v>
      </c>
      <c r="HI212" s="1">
        <v>211</v>
      </c>
      <c r="HJ212" s="1">
        <v>214</v>
      </c>
      <c r="HK212" s="1">
        <v>220</v>
      </c>
      <c r="HL212" s="1">
        <v>214</v>
      </c>
      <c r="HO212" s="1" t="s">
        <v>644</v>
      </c>
    </row>
    <row r="213" spans="1:223" ht="12.75" customHeight="1" x14ac:dyDescent="0.25">
      <c r="A213" s="1" t="s">
        <v>78</v>
      </c>
      <c r="D213" s="1" t="s">
        <v>78</v>
      </c>
      <c r="E213" s="1" t="s">
        <v>126</v>
      </c>
      <c r="F213" s="1">
        <v>1</v>
      </c>
      <c r="G213" s="1">
        <v>2030</v>
      </c>
      <c r="H213" s="1">
        <v>1</v>
      </c>
      <c r="I213" s="1">
        <v>1</v>
      </c>
      <c r="J213" s="1">
        <v>0</v>
      </c>
      <c r="K213" s="19"/>
      <c r="L213" s="19"/>
      <c r="M213" s="19"/>
      <c r="N213" s="11">
        <v>1420.3799999999999</v>
      </c>
      <c r="O213" s="11">
        <v>948.86999999999989</v>
      </c>
      <c r="P213" s="11">
        <v>1891.8899999999999</v>
      </c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9"/>
      <c r="CR213" s="11">
        <v>148.59</v>
      </c>
      <c r="CS213" s="11">
        <v>51.48</v>
      </c>
      <c r="CT213" s="11">
        <v>245.7</v>
      </c>
      <c r="CU213" s="11">
        <f>Tabelle58971121[[#This Row],[Mindestauslastung durch]]*Tabelle58971121[[#This Row],[installierte Leistung MW durch]]</f>
        <v>0</v>
      </c>
      <c r="CV213" s="11">
        <f>Tabelle58971121[[#This Row],[Mindestauslastung min]]*Tabelle58971121[[#This Row],[installierte Leistung MW min]]</f>
        <v>0</v>
      </c>
      <c r="CW213" s="19">
        <f>Tabelle58971121[[#This Row],[Mindestauslastung max]]*Tabelle58971121[[#This Row],[installierte Leistung MW max]]</f>
        <v>0</v>
      </c>
      <c r="CX213" s="9">
        <v>0</v>
      </c>
      <c r="CY213" s="9">
        <v>0</v>
      </c>
      <c r="CZ213" s="9">
        <v>0</v>
      </c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39">
        <v>0.86</v>
      </c>
      <c r="ED213" s="39">
        <v>0.83</v>
      </c>
      <c r="EE213" s="39">
        <v>0.89</v>
      </c>
      <c r="EF213" s="11">
        <f>Tabelle58971121[[#This Row],[Durchschnittsauslastung min]]*Tabelle58971121[[#This Row],[installierte Leistung MW min]]</f>
        <v>994.12559999999996</v>
      </c>
      <c r="EG213" s="11">
        <f>Tabelle58971121[[#This Row],[Durchschnittsauslastung durch]]*Tabelle58971121[[#This Row],[installierte Leistung MW durch]]</f>
        <v>1371.1931999999999</v>
      </c>
      <c r="EH213" s="46">
        <f>Tabelle58971121[[#This Row],[Durchschnittsauslastung max]]*Tabelle58971121[[#This Row],[installierte Leistung MW max]]</f>
        <v>1911.8267999999998</v>
      </c>
      <c r="EI213" s="83">
        <f>Tabelle58971121[[#This Row],[Maximalauslastung durch]]*Tabelle58971121[[#This Row],[installierte Leistung MW min]]</f>
        <v>1098.162</v>
      </c>
      <c r="EJ213" s="46">
        <f>Tabelle58971121[[#This Row],[Maximalauslastung durch]]*Tabelle58971121[[#This Row],[installierte Leistung MW durch]]</f>
        <v>1569.4379999999999</v>
      </c>
      <c r="EK213" s="11">
        <f>Tabelle58971121[[#This Row],[Maximalauslastung max]]*Tabelle58971121[[#This Row],[installierte Leistung MW durch]]</f>
        <v>1585.9584</v>
      </c>
      <c r="EL213" s="9">
        <v>0.95</v>
      </c>
      <c r="EM213" s="9">
        <v>0.94</v>
      </c>
      <c r="EN213" s="9">
        <v>0.96</v>
      </c>
      <c r="EO213" s="11">
        <v>1652.04</v>
      </c>
      <c r="EP213" s="11">
        <v>1155.96</v>
      </c>
      <c r="EQ213" s="11">
        <v>2148.12</v>
      </c>
      <c r="ER213" s="1">
        <v>1.4624999999999999</v>
      </c>
      <c r="ES213" s="1">
        <v>0.25</v>
      </c>
      <c r="ET213" s="54">
        <v>3</v>
      </c>
      <c r="EU213" s="1">
        <v>1.625</v>
      </c>
      <c r="EV213" s="1">
        <v>0.5</v>
      </c>
      <c r="EW213" s="54">
        <v>3</v>
      </c>
      <c r="EX213" s="1">
        <v>5.2</v>
      </c>
      <c r="EY213" s="1">
        <v>4.7</v>
      </c>
      <c r="EZ213" s="54">
        <v>5.7</v>
      </c>
      <c r="FA213" s="1">
        <v>5.2</v>
      </c>
      <c r="FB213" s="1">
        <v>4.7</v>
      </c>
      <c r="FC213" s="54">
        <v>5.7</v>
      </c>
      <c r="FD213" s="1">
        <v>6</v>
      </c>
      <c r="FE213" s="1">
        <v>4.8</v>
      </c>
      <c r="FF213" s="54">
        <v>7.2</v>
      </c>
      <c r="FG213" s="1">
        <v>11.2</v>
      </c>
      <c r="FH213" s="1">
        <v>11.2</v>
      </c>
      <c r="FI213" s="54">
        <v>11.2</v>
      </c>
      <c r="FJ213" s="1">
        <v>6.6</v>
      </c>
      <c r="FK213" s="1">
        <v>4.8999999999999995</v>
      </c>
      <c r="FL213" s="54">
        <v>8.2999999999999989</v>
      </c>
      <c r="FN213" s="1" t="s">
        <v>646</v>
      </c>
      <c r="FP213" s="1">
        <v>500</v>
      </c>
      <c r="FQ213" s="1">
        <v>200</v>
      </c>
      <c r="FR213" s="1">
        <v>800</v>
      </c>
      <c r="FS213" s="1">
        <v>0</v>
      </c>
      <c r="FT213" s="1">
        <v>0</v>
      </c>
      <c r="FU213" s="1">
        <v>0</v>
      </c>
      <c r="FV213" s="1">
        <v>50</v>
      </c>
      <c r="FW213" s="1">
        <v>20</v>
      </c>
      <c r="FX213" s="1">
        <v>80</v>
      </c>
      <c r="FY213" s="1">
        <v>2.3405882352941174</v>
      </c>
      <c r="FZ213" s="19">
        <v>0.81411764705882328</v>
      </c>
      <c r="GA213" s="19">
        <v>3.8670588235294114</v>
      </c>
      <c r="GB213" s="19">
        <v>203.52941176470586</v>
      </c>
      <c r="GC213" s="8">
        <v>152.64705882352939</v>
      </c>
      <c r="GD213" s="8">
        <v>254.41176470588235</v>
      </c>
      <c r="GE213" s="8">
        <v>396.88235294117646</v>
      </c>
      <c r="GF213" s="8">
        <v>371.44117647058823</v>
      </c>
      <c r="GG213" s="8">
        <v>422.3235294117647</v>
      </c>
      <c r="GH213" s="8">
        <v>0</v>
      </c>
      <c r="GI213" s="8">
        <v>0</v>
      </c>
      <c r="GJ213" s="8">
        <v>30.52941176470588</v>
      </c>
      <c r="GK213" s="8">
        <v>44.776470588235291</v>
      </c>
      <c r="GL213" s="8">
        <v>24.423529411764704</v>
      </c>
      <c r="GM213" s="8">
        <v>65.129411764705878</v>
      </c>
      <c r="GN213" s="8">
        <v>2.0352941176470587</v>
      </c>
      <c r="GO213" s="8">
        <v>0</v>
      </c>
      <c r="GP213" s="8">
        <v>4.0705882352941174</v>
      </c>
      <c r="GS213" s="1">
        <v>220</v>
      </c>
      <c r="GT213" s="1">
        <v>220</v>
      </c>
      <c r="GV213" s="13" t="s">
        <v>643</v>
      </c>
      <c r="GW213" s="1" t="s">
        <v>643</v>
      </c>
      <c r="GX213" s="13">
        <v>182</v>
      </c>
      <c r="GY213" s="13"/>
      <c r="GZ213" s="13">
        <v>182</v>
      </c>
      <c r="HA213" s="13">
        <v>182</v>
      </c>
      <c r="HB213" s="1">
        <v>182</v>
      </c>
      <c r="HC213" s="13" t="s">
        <v>642</v>
      </c>
      <c r="HD213" s="13" t="s">
        <v>641</v>
      </c>
      <c r="HE213" s="1">
        <v>202</v>
      </c>
      <c r="HF213" s="1">
        <v>202</v>
      </c>
      <c r="HH213" s="1" t="s">
        <v>645</v>
      </c>
      <c r="HI213" s="1">
        <v>211</v>
      </c>
      <c r="HJ213" s="1">
        <v>214</v>
      </c>
      <c r="HK213" s="1">
        <v>220</v>
      </c>
      <c r="HL213" s="1">
        <v>214</v>
      </c>
      <c r="HO213" s="1" t="s">
        <v>644</v>
      </c>
    </row>
    <row r="214" spans="1:223" ht="12.75" customHeight="1" x14ac:dyDescent="0.25">
      <c r="A214" s="1" t="s">
        <v>78</v>
      </c>
      <c r="D214" s="1" t="s">
        <v>78</v>
      </c>
      <c r="E214" s="1" t="s">
        <v>126</v>
      </c>
      <c r="F214" s="1">
        <v>1</v>
      </c>
      <c r="G214" s="1">
        <v>2035</v>
      </c>
      <c r="H214" s="1">
        <v>1</v>
      </c>
      <c r="I214" s="1">
        <v>1</v>
      </c>
      <c r="J214" s="1">
        <v>0</v>
      </c>
      <c r="K214" s="19"/>
      <c r="L214" s="19"/>
      <c r="M214" s="19"/>
      <c r="N214" s="11">
        <v>1529.64</v>
      </c>
      <c r="O214" s="11">
        <v>1021.86</v>
      </c>
      <c r="P214" s="11">
        <v>2037.42</v>
      </c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9"/>
      <c r="CR214" s="11">
        <v>160.02000000000001</v>
      </c>
      <c r="CS214" s="11">
        <v>55.44</v>
      </c>
      <c r="CT214" s="11">
        <v>264.60000000000002</v>
      </c>
      <c r="CU214" s="11">
        <f>Tabelle58971121[[#This Row],[Mindestauslastung durch]]*Tabelle58971121[[#This Row],[installierte Leistung MW durch]]</f>
        <v>0</v>
      </c>
      <c r="CV214" s="11">
        <f>Tabelle58971121[[#This Row],[Mindestauslastung min]]*Tabelle58971121[[#This Row],[installierte Leistung MW min]]</f>
        <v>0</v>
      </c>
      <c r="CW214" s="19">
        <f>Tabelle58971121[[#This Row],[Mindestauslastung max]]*Tabelle58971121[[#This Row],[installierte Leistung MW max]]</f>
        <v>0</v>
      </c>
      <c r="CX214" s="9">
        <v>0</v>
      </c>
      <c r="CY214" s="9">
        <v>0</v>
      </c>
      <c r="CZ214" s="9">
        <v>0</v>
      </c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39">
        <v>0.86</v>
      </c>
      <c r="ED214" s="39">
        <v>0.83</v>
      </c>
      <c r="EE214" s="39">
        <v>0.89</v>
      </c>
      <c r="EF214" s="11">
        <f>Tabelle58971121[[#This Row],[Durchschnittsauslastung min]]*Tabelle58971121[[#This Row],[installierte Leistung MW min]]</f>
        <v>1070.5968</v>
      </c>
      <c r="EG214" s="11">
        <f>Tabelle58971121[[#This Row],[Durchschnittsauslastung durch]]*Tabelle58971121[[#This Row],[installierte Leistung MW durch]]</f>
        <v>1476.6695999999999</v>
      </c>
      <c r="EH214" s="46">
        <f>Tabelle58971121[[#This Row],[Durchschnittsauslastung max]]*Tabelle58971121[[#This Row],[installierte Leistung MW max]]</f>
        <v>2058.8904000000002</v>
      </c>
      <c r="EI214" s="83">
        <f>Tabelle58971121[[#This Row],[Maximalauslastung durch]]*Tabelle58971121[[#This Row],[installierte Leistung MW min]]</f>
        <v>1182.636</v>
      </c>
      <c r="EJ214" s="46">
        <f>Tabelle58971121[[#This Row],[Maximalauslastung durch]]*Tabelle58971121[[#This Row],[installierte Leistung MW durch]]</f>
        <v>1690.164</v>
      </c>
      <c r="EK214" s="11">
        <f>Tabelle58971121[[#This Row],[Maximalauslastung max]]*Tabelle58971121[[#This Row],[installierte Leistung MW durch]]</f>
        <v>1707.9552000000001</v>
      </c>
      <c r="EL214" s="9">
        <v>0.95</v>
      </c>
      <c r="EM214" s="9">
        <v>0.94</v>
      </c>
      <c r="EN214" s="9">
        <v>0.96</v>
      </c>
      <c r="EO214" s="11">
        <v>1779.1200000000001</v>
      </c>
      <c r="EP214" s="11">
        <v>1244.8800000000001</v>
      </c>
      <c r="EQ214" s="11">
        <v>2313.36</v>
      </c>
      <c r="ER214" s="1">
        <v>1.4624999999999999</v>
      </c>
      <c r="ES214" s="1">
        <v>0.25</v>
      </c>
      <c r="ET214" s="54">
        <v>3</v>
      </c>
      <c r="EU214" s="1">
        <v>1.625</v>
      </c>
      <c r="EV214" s="1">
        <v>0.5</v>
      </c>
      <c r="EW214" s="54">
        <v>3</v>
      </c>
      <c r="EX214" s="1">
        <v>5.2</v>
      </c>
      <c r="EY214" s="1">
        <v>4.7</v>
      </c>
      <c r="EZ214" s="54">
        <v>5.7</v>
      </c>
      <c r="FA214" s="1">
        <v>5.2</v>
      </c>
      <c r="FB214" s="1">
        <v>4.7</v>
      </c>
      <c r="FC214" s="54">
        <v>5.7</v>
      </c>
      <c r="FD214" s="1">
        <v>6</v>
      </c>
      <c r="FE214" s="1">
        <v>4.8</v>
      </c>
      <c r="FF214" s="54">
        <v>7.2</v>
      </c>
      <c r="FG214" s="1">
        <v>11.2</v>
      </c>
      <c r="FH214" s="1">
        <v>11.2</v>
      </c>
      <c r="FI214" s="54">
        <v>11.2</v>
      </c>
      <c r="FJ214" s="1">
        <v>6.6</v>
      </c>
      <c r="FK214" s="1">
        <v>4.8999999999999995</v>
      </c>
      <c r="FL214" s="54">
        <v>8.2999999999999989</v>
      </c>
      <c r="FN214" s="1" t="s">
        <v>646</v>
      </c>
      <c r="FP214" s="1">
        <v>500</v>
      </c>
      <c r="FQ214" s="1">
        <v>200</v>
      </c>
      <c r="FR214" s="1">
        <v>800</v>
      </c>
      <c r="FS214" s="1">
        <v>0</v>
      </c>
      <c r="FT214" s="1">
        <v>0</v>
      </c>
      <c r="FU214" s="1">
        <v>0</v>
      </c>
      <c r="FV214" s="1">
        <v>50</v>
      </c>
      <c r="FW214" s="1">
        <v>20</v>
      </c>
      <c r="FX214" s="1">
        <v>80</v>
      </c>
      <c r="FY214" s="1">
        <v>2.3405882352941174</v>
      </c>
      <c r="FZ214" s="19">
        <v>0.81411764705882328</v>
      </c>
      <c r="GA214" s="19">
        <v>3.8670588235294114</v>
      </c>
      <c r="GB214" s="19">
        <v>203.52941176470586</v>
      </c>
      <c r="GC214" s="8">
        <v>152.64705882352939</v>
      </c>
      <c r="GD214" s="8">
        <v>254.41176470588235</v>
      </c>
      <c r="GE214" s="8">
        <v>396.88235294117646</v>
      </c>
      <c r="GF214" s="8">
        <v>371.44117647058823</v>
      </c>
      <c r="GG214" s="8">
        <v>422.3235294117647</v>
      </c>
      <c r="GH214" s="8">
        <v>0</v>
      </c>
      <c r="GI214" s="8">
        <v>0</v>
      </c>
      <c r="GJ214" s="8">
        <v>30.52941176470588</v>
      </c>
      <c r="GK214" s="8">
        <v>44.776470588235291</v>
      </c>
      <c r="GL214" s="8">
        <v>24.423529411764704</v>
      </c>
      <c r="GM214" s="8">
        <v>65.129411764705878</v>
      </c>
      <c r="GN214" s="8">
        <v>2.0352941176470587</v>
      </c>
      <c r="GO214" s="8">
        <v>0</v>
      </c>
      <c r="GP214" s="8">
        <v>4.0705882352941174</v>
      </c>
      <c r="GS214" s="1">
        <v>220</v>
      </c>
      <c r="GT214" s="1">
        <v>220</v>
      </c>
      <c r="GV214" s="13" t="s">
        <v>643</v>
      </c>
      <c r="GW214" s="1" t="s">
        <v>643</v>
      </c>
      <c r="GX214" s="13">
        <v>182</v>
      </c>
      <c r="GY214" s="13"/>
      <c r="GZ214" s="13">
        <v>182</v>
      </c>
      <c r="HA214" s="13">
        <v>182</v>
      </c>
      <c r="HB214" s="1">
        <v>182</v>
      </c>
      <c r="HC214" s="13" t="s">
        <v>642</v>
      </c>
      <c r="HD214" s="13" t="s">
        <v>641</v>
      </c>
      <c r="HE214" s="1">
        <v>202</v>
      </c>
      <c r="HF214" s="1">
        <v>202</v>
      </c>
      <c r="HH214" s="1" t="s">
        <v>645</v>
      </c>
      <c r="HI214" s="1">
        <v>211</v>
      </c>
      <c r="HJ214" s="1">
        <v>214</v>
      </c>
      <c r="HK214" s="1">
        <v>220</v>
      </c>
      <c r="HL214" s="1">
        <v>214</v>
      </c>
      <c r="HO214" s="1" t="s">
        <v>644</v>
      </c>
    </row>
    <row r="215" spans="1:223" ht="12.75" customHeight="1" x14ac:dyDescent="0.25">
      <c r="A215" s="1" t="s">
        <v>78</v>
      </c>
      <c r="D215" s="1" t="s">
        <v>78</v>
      </c>
      <c r="E215" s="1" t="s">
        <v>126</v>
      </c>
      <c r="F215" s="1">
        <v>1</v>
      </c>
      <c r="G215" s="1">
        <v>2040</v>
      </c>
      <c r="H215" s="1">
        <v>1</v>
      </c>
      <c r="I215" s="1">
        <v>1</v>
      </c>
      <c r="J215" s="1">
        <v>0</v>
      </c>
      <c r="K215" s="19"/>
      <c r="L215" s="19"/>
      <c r="M215" s="19"/>
      <c r="N215" s="11">
        <v>1638.9</v>
      </c>
      <c r="O215" s="11">
        <v>1094.8500000000001</v>
      </c>
      <c r="P215" s="11">
        <v>2182.9500000000003</v>
      </c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9"/>
      <c r="CR215" s="11">
        <v>171.45000000000002</v>
      </c>
      <c r="CS215" s="11">
        <v>59.400000000000006</v>
      </c>
      <c r="CT215" s="11">
        <v>283.5</v>
      </c>
      <c r="CU215" s="11">
        <f>Tabelle58971121[[#This Row],[Mindestauslastung durch]]*Tabelle58971121[[#This Row],[installierte Leistung MW durch]]</f>
        <v>0</v>
      </c>
      <c r="CV215" s="11">
        <f>Tabelle58971121[[#This Row],[Mindestauslastung min]]*Tabelle58971121[[#This Row],[installierte Leistung MW min]]</f>
        <v>0</v>
      </c>
      <c r="CW215" s="19">
        <f>Tabelle58971121[[#This Row],[Mindestauslastung max]]*Tabelle58971121[[#This Row],[installierte Leistung MW max]]</f>
        <v>0</v>
      </c>
      <c r="CX215" s="9">
        <v>0</v>
      </c>
      <c r="CY215" s="9">
        <v>0</v>
      </c>
      <c r="CZ215" s="9">
        <v>0</v>
      </c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39">
        <v>0.86</v>
      </c>
      <c r="ED215" s="39">
        <v>0.83</v>
      </c>
      <c r="EE215" s="39">
        <v>0.89</v>
      </c>
      <c r="EF215" s="11">
        <f>Tabelle58971121[[#This Row],[Durchschnittsauslastung min]]*Tabelle58971121[[#This Row],[installierte Leistung MW min]]</f>
        <v>1147.0680000000002</v>
      </c>
      <c r="EG215" s="11">
        <f>Tabelle58971121[[#This Row],[Durchschnittsauslastung durch]]*Tabelle58971121[[#This Row],[installierte Leistung MW durch]]</f>
        <v>1582.146</v>
      </c>
      <c r="EH215" s="46">
        <f>Tabelle58971121[[#This Row],[Durchschnittsauslastung max]]*Tabelle58971121[[#This Row],[installierte Leistung MW max]]</f>
        <v>2205.9540000000002</v>
      </c>
      <c r="EI215" s="83">
        <f>Tabelle58971121[[#This Row],[Maximalauslastung durch]]*Tabelle58971121[[#This Row],[installierte Leistung MW min]]</f>
        <v>1267.1100000000001</v>
      </c>
      <c r="EJ215" s="46">
        <f>Tabelle58971121[[#This Row],[Maximalauslastung durch]]*Tabelle58971121[[#This Row],[installierte Leistung MW durch]]</f>
        <v>1810.8899999999999</v>
      </c>
      <c r="EK215" s="11">
        <f>Tabelle58971121[[#This Row],[Maximalauslastung max]]*Tabelle58971121[[#This Row],[installierte Leistung MW durch]]</f>
        <v>1829.952</v>
      </c>
      <c r="EL215" s="9">
        <v>0.95</v>
      </c>
      <c r="EM215" s="9">
        <v>0.94</v>
      </c>
      <c r="EN215" s="9">
        <v>0.96</v>
      </c>
      <c r="EO215" s="11">
        <v>1906.2</v>
      </c>
      <c r="EP215" s="11">
        <v>1333.8000000000002</v>
      </c>
      <c r="EQ215" s="11">
        <v>2478.6000000000004</v>
      </c>
      <c r="ER215" s="1">
        <v>1.4624999999999999</v>
      </c>
      <c r="ES215" s="1">
        <v>0.25</v>
      </c>
      <c r="ET215" s="54">
        <v>3</v>
      </c>
      <c r="EU215" s="1">
        <v>1.625</v>
      </c>
      <c r="EV215" s="1">
        <v>0.5</v>
      </c>
      <c r="EW215" s="54">
        <v>3</v>
      </c>
      <c r="EX215" s="1">
        <v>5.2</v>
      </c>
      <c r="EY215" s="1">
        <v>4.7</v>
      </c>
      <c r="EZ215" s="54">
        <v>5.7</v>
      </c>
      <c r="FA215" s="1">
        <v>5.2</v>
      </c>
      <c r="FB215" s="1">
        <v>4.7</v>
      </c>
      <c r="FC215" s="54">
        <v>5.7</v>
      </c>
      <c r="FD215" s="1">
        <v>6</v>
      </c>
      <c r="FE215" s="1">
        <v>4.8</v>
      </c>
      <c r="FF215" s="54">
        <v>7.2</v>
      </c>
      <c r="FG215" s="1">
        <v>11.2</v>
      </c>
      <c r="FH215" s="1">
        <v>11.2</v>
      </c>
      <c r="FI215" s="54">
        <v>11.2</v>
      </c>
      <c r="FJ215" s="1">
        <v>6.6</v>
      </c>
      <c r="FK215" s="1">
        <v>4.8999999999999995</v>
      </c>
      <c r="FL215" s="54">
        <v>8.2999999999999989</v>
      </c>
      <c r="FN215" s="1" t="s">
        <v>646</v>
      </c>
      <c r="FP215" s="1">
        <v>500</v>
      </c>
      <c r="FQ215" s="1">
        <v>200</v>
      </c>
      <c r="FR215" s="1">
        <v>800</v>
      </c>
      <c r="FS215" s="1">
        <v>0</v>
      </c>
      <c r="FT215" s="1">
        <v>0</v>
      </c>
      <c r="FU215" s="1">
        <v>0</v>
      </c>
      <c r="FV215" s="1">
        <v>50</v>
      </c>
      <c r="FW215" s="1">
        <v>20</v>
      </c>
      <c r="FX215" s="1">
        <v>80</v>
      </c>
      <c r="FY215" s="1">
        <v>2.3405882352941174</v>
      </c>
      <c r="FZ215" s="19">
        <v>0.81411764705882328</v>
      </c>
      <c r="GA215" s="19">
        <v>3.8670588235294114</v>
      </c>
      <c r="GB215" s="19">
        <v>203.52941176470586</v>
      </c>
      <c r="GC215" s="8">
        <v>152.64705882352939</v>
      </c>
      <c r="GD215" s="8">
        <v>254.41176470588235</v>
      </c>
      <c r="GE215" s="8">
        <v>396.88235294117646</v>
      </c>
      <c r="GF215" s="8">
        <v>371.44117647058823</v>
      </c>
      <c r="GG215" s="8">
        <v>422.3235294117647</v>
      </c>
      <c r="GH215" s="8">
        <v>0</v>
      </c>
      <c r="GI215" s="8">
        <v>0</v>
      </c>
      <c r="GJ215" s="8">
        <v>30.52941176470588</v>
      </c>
      <c r="GK215" s="8">
        <v>44.776470588235291</v>
      </c>
      <c r="GL215" s="8">
        <v>24.423529411764704</v>
      </c>
      <c r="GM215" s="8">
        <v>65.129411764705878</v>
      </c>
      <c r="GN215" s="8">
        <v>2.0352941176470587</v>
      </c>
      <c r="GO215" s="8">
        <v>0</v>
      </c>
      <c r="GP215" s="8">
        <v>4.0705882352941174</v>
      </c>
      <c r="GS215" s="1">
        <v>220</v>
      </c>
      <c r="GT215" s="1">
        <v>220</v>
      </c>
      <c r="GV215" s="13" t="s">
        <v>643</v>
      </c>
      <c r="GW215" s="1" t="s">
        <v>643</v>
      </c>
      <c r="GX215" s="13">
        <v>182</v>
      </c>
      <c r="GY215" s="13"/>
      <c r="GZ215" s="13">
        <v>182</v>
      </c>
      <c r="HA215" s="13">
        <v>182</v>
      </c>
      <c r="HB215" s="1">
        <v>182</v>
      </c>
      <c r="HC215" s="13" t="s">
        <v>642</v>
      </c>
      <c r="HD215" s="13" t="s">
        <v>641</v>
      </c>
      <c r="HE215" s="1">
        <v>202</v>
      </c>
      <c r="HF215" s="1">
        <v>202</v>
      </c>
      <c r="HH215" s="1" t="s">
        <v>645</v>
      </c>
      <c r="HI215" s="1">
        <v>211</v>
      </c>
      <c r="HJ215" s="1">
        <v>214</v>
      </c>
      <c r="HK215" s="1">
        <v>220</v>
      </c>
      <c r="HL215" s="1">
        <v>214</v>
      </c>
      <c r="HO215" s="1" t="s">
        <v>644</v>
      </c>
    </row>
    <row r="216" spans="1:223" ht="12.75" customHeight="1" x14ac:dyDescent="0.25">
      <c r="A216" s="1" t="s">
        <v>78</v>
      </c>
      <c r="D216" s="1" t="s">
        <v>78</v>
      </c>
      <c r="E216" s="1" t="s">
        <v>126</v>
      </c>
      <c r="F216" s="1">
        <v>1</v>
      </c>
      <c r="G216" s="1">
        <v>2045</v>
      </c>
      <c r="H216" s="1">
        <v>1</v>
      </c>
      <c r="I216" s="1">
        <v>1</v>
      </c>
      <c r="J216" s="1">
        <v>0</v>
      </c>
      <c r="K216" s="19"/>
      <c r="L216" s="19"/>
      <c r="M216" s="19"/>
      <c r="N216" s="11">
        <v>1772.44</v>
      </c>
      <c r="O216" s="11">
        <v>1184.06</v>
      </c>
      <c r="P216" s="11">
        <v>2360.8200000000002</v>
      </c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9"/>
      <c r="CR216" s="11">
        <v>185.42</v>
      </c>
      <c r="CS216" s="11">
        <v>64.239999999999995</v>
      </c>
      <c r="CT216" s="11">
        <v>306.59999999999997</v>
      </c>
      <c r="CU216" s="11">
        <f>Tabelle58971121[[#This Row],[Mindestauslastung durch]]*Tabelle58971121[[#This Row],[installierte Leistung MW durch]]</f>
        <v>0</v>
      </c>
      <c r="CV216" s="11">
        <f>Tabelle58971121[[#This Row],[Mindestauslastung min]]*Tabelle58971121[[#This Row],[installierte Leistung MW min]]</f>
        <v>0</v>
      </c>
      <c r="CW216" s="19">
        <f>Tabelle58971121[[#This Row],[Mindestauslastung max]]*Tabelle58971121[[#This Row],[installierte Leistung MW max]]</f>
        <v>0</v>
      </c>
      <c r="CX216" s="9">
        <v>0</v>
      </c>
      <c r="CY216" s="9">
        <v>0</v>
      </c>
      <c r="CZ216" s="9">
        <v>0</v>
      </c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39">
        <v>0.86</v>
      </c>
      <c r="ED216" s="39">
        <v>0.83</v>
      </c>
      <c r="EE216" s="39">
        <v>0.89</v>
      </c>
      <c r="EF216" s="11">
        <f>Tabelle58971121[[#This Row],[Durchschnittsauslastung min]]*Tabelle58971121[[#This Row],[installierte Leistung MW min]]</f>
        <v>1240.5328</v>
      </c>
      <c r="EG216" s="11">
        <f>Tabelle58971121[[#This Row],[Durchschnittsauslastung durch]]*Tabelle58971121[[#This Row],[installierte Leistung MW durch]]</f>
        <v>1711.0616</v>
      </c>
      <c r="EH216" s="46">
        <f>Tabelle58971121[[#This Row],[Durchschnittsauslastung max]]*Tabelle58971121[[#This Row],[installierte Leistung MW max]]</f>
        <v>2385.6983999999998</v>
      </c>
      <c r="EI216" s="83">
        <f>Tabelle58971121[[#This Row],[Maximalauslastung durch]]*Tabelle58971121[[#This Row],[installierte Leistung MW min]]</f>
        <v>1370.356</v>
      </c>
      <c r="EJ216" s="46">
        <f>Tabelle58971121[[#This Row],[Maximalauslastung durch]]*Tabelle58971121[[#This Row],[installierte Leistung MW durch]]</f>
        <v>1958.444</v>
      </c>
      <c r="EK216" s="11">
        <f>Tabelle58971121[[#This Row],[Maximalauslastung max]]*Tabelle58971121[[#This Row],[installierte Leistung MW durch]]</f>
        <v>1979.0591999999999</v>
      </c>
      <c r="EL216" s="9">
        <v>0.95</v>
      </c>
      <c r="EM216" s="9">
        <v>0.94</v>
      </c>
      <c r="EN216" s="9">
        <v>0.96</v>
      </c>
      <c r="EO216" s="11">
        <v>2061.52</v>
      </c>
      <c r="EP216" s="11">
        <v>1442.48</v>
      </c>
      <c r="EQ216" s="11">
        <v>2680.56</v>
      </c>
      <c r="ER216" s="1">
        <v>1.4624999999999999</v>
      </c>
      <c r="ES216" s="1">
        <v>0.25</v>
      </c>
      <c r="ET216" s="54">
        <v>3</v>
      </c>
      <c r="EU216" s="1">
        <v>1.625</v>
      </c>
      <c r="EV216" s="1">
        <v>0.5</v>
      </c>
      <c r="EW216" s="54">
        <v>3</v>
      </c>
      <c r="EX216" s="1">
        <v>5.2</v>
      </c>
      <c r="EY216" s="1">
        <v>4.7</v>
      </c>
      <c r="EZ216" s="54">
        <v>5.7</v>
      </c>
      <c r="FA216" s="1">
        <v>5.2</v>
      </c>
      <c r="FB216" s="1">
        <v>4.7</v>
      </c>
      <c r="FC216" s="54">
        <v>5.7</v>
      </c>
      <c r="FD216" s="1">
        <v>6</v>
      </c>
      <c r="FE216" s="1">
        <v>4.8</v>
      </c>
      <c r="FF216" s="54">
        <v>7.2</v>
      </c>
      <c r="FG216" s="1">
        <v>11.2</v>
      </c>
      <c r="FH216" s="1">
        <v>11.2</v>
      </c>
      <c r="FI216" s="54">
        <v>11.2</v>
      </c>
      <c r="FJ216" s="1">
        <v>6.6</v>
      </c>
      <c r="FK216" s="1">
        <v>4.8999999999999995</v>
      </c>
      <c r="FL216" s="54">
        <v>8.2999999999999989</v>
      </c>
      <c r="FN216" s="1" t="s">
        <v>646</v>
      </c>
      <c r="FP216" s="1">
        <v>500</v>
      </c>
      <c r="FQ216" s="1">
        <v>200</v>
      </c>
      <c r="FR216" s="1">
        <v>800</v>
      </c>
      <c r="FS216" s="1">
        <v>0</v>
      </c>
      <c r="FT216" s="1">
        <v>0</v>
      </c>
      <c r="FU216" s="1">
        <v>0</v>
      </c>
      <c r="FV216" s="1">
        <v>50</v>
      </c>
      <c r="FW216" s="1">
        <v>20</v>
      </c>
      <c r="FX216" s="1">
        <v>80</v>
      </c>
      <c r="FY216" s="1">
        <v>2.3405882352941174</v>
      </c>
      <c r="FZ216" s="19">
        <v>0.81411764705882328</v>
      </c>
      <c r="GA216" s="19">
        <v>3.8670588235294114</v>
      </c>
      <c r="GB216" s="19">
        <v>203.52941176470586</v>
      </c>
      <c r="GC216" s="8">
        <v>152.64705882352939</v>
      </c>
      <c r="GD216" s="8">
        <v>254.41176470588235</v>
      </c>
      <c r="GE216" s="8">
        <v>396.88235294117646</v>
      </c>
      <c r="GF216" s="8">
        <v>371.44117647058823</v>
      </c>
      <c r="GG216" s="8">
        <v>422.3235294117647</v>
      </c>
      <c r="GH216" s="8">
        <v>0</v>
      </c>
      <c r="GI216" s="8">
        <v>0</v>
      </c>
      <c r="GJ216" s="8">
        <v>30.52941176470588</v>
      </c>
      <c r="GK216" s="8">
        <v>44.776470588235291</v>
      </c>
      <c r="GL216" s="8">
        <v>24.423529411764704</v>
      </c>
      <c r="GM216" s="8">
        <v>65.129411764705878</v>
      </c>
      <c r="GN216" s="8">
        <v>2.0352941176470587</v>
      </c>
      <c r="GO216" s="8">
        <v>0</v>
      </c>
      <c r="GP216" s="8">
        <v>4.0705882352941174</v>
      </c>
      <c r="GS216" s="1">
        <v>220</v>
      </c>
      <c r="GT216" s="1">
        <v>220</v>
      </c>
      <c r="GV216" s="13" t="s">
        <v>643</v>
      </c>
      <c r="GW216" s="1" t="s">
        <v>643</v>
      </c>
      <c r="GX216" s="13">
        <v>182</v>
      </c>
      <c r="GY216" s="13"/>
      <c r="GZ216" s="13">
        <v>182</v>
      </c>
      <c r="HA216" s="13">
        <v>182</v>
      </c>
      <c r="HB216" s="1">
        <v>182</v>
      </c>
      <c r="HC216" s="13" t="s">
        <v>642</v>
      </c>
      <c r="HD216" s="13" t="s">
        <v>641</v>
      </c>
      <c r="HE216" s="1">
        <v>202</v>
      </c>
      <c r="HF216" s="1">
        <v>202</v>
      </c>
      <c r="HH216" s="1" t="s">
        <v>645</v>
      </c>
      <c r="HI216" s="1">
        <v>211</v>
      </c>
      <c r="HJ216" s="1">
        <v>214</v>
      </c>
      <c r="HK216" s="1">
        <v>220</v>
      </c>
      <c r="HL216" s="1">
        <v>214</v>
      </c>
      <c r="HO216" s="1" t="s">
        <v>644</v>
      </c>
    </row>
    <row r="217" spans="1:223" ht="12.75" customHeight="1" x14ac:dyDescent="0.25">
      <c r="A217" s="1" t="s">
        <v>78</v>
      </c>
      <c r="D217" s="1" t="s">
        <v>78</v>
      </c>
      <c r="E217" s="1" t="s">
        <v>126</v>
      </c>
      <c r="F217" s="1">
        <v>1</v>
      </c>
      <c r="G217" s="1">
        <v>2050</v>
      </c>
      <c r="H217" s="1">
        <v>1</v>
      </c>
      <c r="I217" s="1">
        <v>1</v>
      </c>
      <c r="J217" s="1">
        <v>0</v>
      </c>
      <c r="K217" s="19"/>
      <c r="L217" s="19"/>
      <c r="M217" s="19"/>
      <c r="N217" s="11">
        <v>1905.98</v>
      </c>
      <c r="O217" s="11">
        <v>1273.27</v>
      </c>
      <c r="P217" s="11">
        <v>2538.69</v>
      </c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9"/>
      <c r="CR217" s="11">
        <v>199.39000000000001</v>
      </c>
      <c r="CS217" s="11">
        <v>69.08</v>
      </c>
      <c r="CT217" s="11">
        <v>329.7</v>
      </c>
      <c r="CU217" s="11">
        <f>Tabelle58971121[[#This Row],[Mindestauslastung durch]]*Tabelle58971121[[#This Row],[installierte Leistung MW durch]]</f>
        <v>0</v>
      </c>
      <c r="CV217" s="11">
        <f>Tabelle58971121[[#This Row],[Mindestauslastung min]]*Tabelle58971121[[#This Row],[installierte Leistung MW min]]</f>
        <v>0</v>
      </c>
      <c r="CW217" s="19">
        <f>Tabelle58971121[[#This Row],[Mindestauslastung max]]*Tabelle58971121[[#This Row],[installierte Leistung MW max]]</f>
        <v>0</v>
      </c>
      <c r="CX217" s="9">
        <v>0</v>
      </c>
      <c r="CY217" s="9">
        <v>0</v>
      </c>
      <c r="CZ217" s="9">
        <v>0</v>
      </c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39">
        <v>0.86</v>
      </c>
      <c r="ED217" s="39">
        <v>0.83</v>
      </c>
      <c r="EE217" s="39">
        <v>0.89</v>
      </c>
      <c r="EF217" s="11">
        <f>Tabelle58971121[[#This Row],[Durchschnittsauslastung min]]*Tabelle58971121[[#This Row],[installierte Leistung MW min]]</f>
        <v>1333.9976000000001</v>
      </c>
      <c r="EG217" s="11">
        <f>Tabelle58971121[[#This Row],[Durchschnittsauslastung durch]]*Tabelle58971121[[#This Row],[installierte Leistung MW durch]]</f>
        <v>1839.9772</v>
      </c>
      <c r="EH217" s="46">
        <f>Tabelle58971121[[#This Row],[Durchschnittsauslastung max]]*Tabelle58971121[[#This Row],[installierte Leistung MW max]]</f>
        <v>2565.4427999999998</v>
      </c>
      <c r="EI217" s="83">
        <f>Tabelle58971121[[#This Row],[Maximalauslastung durch]]*Tabelle58971121[[#This Row],[installierte Leistung MW min]]</f>
        <v>1473.6020000000001</v>
      </c>
      <c r="EJ217" s="46">
        <f>Tabelle58971121[[#This Row],[Maximalauslastung durch]]*Tabelle58971121[[#This Row],[installierte Leistung MW durch]]</f>
        <v>2105.998</v>
      </c>
      <c r="EK217" s="11">
        <f>Tabelle58971121[[#This Row],[Maximalauslastung max]]*Tabelle58971121[[#This Row],[installierte Leistung MW durch]]</f>
        <v>2128.1664000000001</v>
      </c>
      <c r="EL217" s="9">
        <v>0.95</v>
      </c>
      <c r="EM217" s="9">
        <v>0.94</v>
      </c>
      <c r="EN217" s="9">
        <v>0.96</v>
      </c>
      <c r="EO217" s="11">
        <v>2216.84</v>
      </c>
      <c r="EP217" s="11">
        <v>1551.16</v>
      </c>
      <c r="EQ217" s="11">
        <v>2882.52</v>
      </c>
      <c r="ER217" s="1">
        <v>1.4624999999999999</v>
      </c>
      <c r="ES217" s="1">
        <v>0.25</v>
      </c>
      <c r="ET217" s="54">
        <v>3</v>
      </c>
      <c r="EU217" s="1">
        <v>1.625</v>
      </c>
      <c r="EV217" s="1">
        <v>0.5</v>
      </c>
      <c r="EW217" s="54">
        <v>3</v>
      </c>
      <c r="EX217" s="1">
        <v>5.2</v>
      </c>
      <c r="EY217" s="1">
        <v>4.7</v>
      </c>
      <c r="EZ217" s="54">
        <v>5.7</v>
      </c>
      <c r="FA217" s="1">
        <v>5.2</v>
      </c>
      <c r="FB217" s="1">
        <v>4.7</v>
      </c>
      <c r="FC217" s="54">
        <v>5.7</v>
      </c>
      <c r="FD217" s="1">
        <v>6</v>
      </c>
      <c r="FE217" s="1">
        <v>4.8</v>
      </c>
      <c r="FF217" s="54">
        <v>7.2</v>
      </c>
      <c r="FG217" s="1">
        <v>11.2</v>
      </c>
      <c r="FH217" s="1">
        <v>11.2</v>
      </c>
      <c r="FI217" s="54">
        <v>11.2</v>
      </c>
      <c r="FJ217" s="1">
        <v>6.6</v>
      </c>
      <c r="FK217" s="1">
        <v>4.8999999999999995</v>
      </c>
      <c r="FL217" s="54">
        <v>8.2999999999999989</v>
      </c>
      <c r="FN217" s="1" t="s">
        <v>646</v>
      </c>
      <c r="FP217" s="1">
        <v>500</v>
      </c>
      <c r="FQ217" s="1">
        <v>200</v>
      </c>
      <c r="FR217" s="1">
        <v>800</v>
      </c>
      <c r="FS217" s="1">
        <v>0</v>
      </c>
      <c r="FT217" s="1">
        <v>0</v>
      </c>
      <c r="FU217" s="1">
        <v>0</v>
      </c>
      <c r="FV217" s="1">
        <v>50</v>
      </c>
      <c r="FW217" s="1">
        <v>20</v>
      </c>
      <c r="FX217" s="1">
        <v>80</v>
      </c>
      <c r="FY217" s="1">
        <v>2.3405882352941174</v>
      </c>
      <c r="FZ217" s="19">
        <v>0.81411764705882328</v>
      </c>
      <c r="GA217" s="19">
        <v>3.8670588235294114</v>
      </c>
      <c r="GB217" s="19">
        <v>203.52941176470586</v>
      </c>
      <c r="GC217" s="8">
        <v>152.64705882352939</v>
      </c>
      <c r="GD217" s="8">
        <v>254.41176470588235</v>
      </c>
      <c r="GE217" s="8">
        <v>396.88235294117646</v>
      </c>
      <c r="GF217" s="8">
        <v>371.44117647058823</v>
      </c>
      <c r="GG217" s="8">
        <v>422.3235294117647</v>
      </c>
      <c r="GH217" s="8">
        <v>0</v>
      </c>
      <c r="GI217" s="8">
        <v>0</v>
      </c>
      <c r="GJ217" s="8">
        <v>30.52941176470588</v>
      </c>
      <c r="GK217" s="8">
        <v>44.776470588235291</v>
      </c>
      <c r="GL217" s="8">
        <v>24.423529411764704</v>
      </c>
      <c r="GM217" s="8">
        <v>65.129411764705878</v>
      </c>
      <c r="GN217" s="8">
        <v>2.0352941176470587</v>
      </c>
      <c r="GO217" s="8">
        <v>0</v>
      </c>
      <c r="GP217" s="8">
        <v>4.0705882352941174</v>
      </c>
      <c r="GS217" s="1">
        <v>220</v>
      </c>
      <c r="GT217" s="1">
        <v>220</v>
      </c>
      <c r="GV217" s="13" t="s">
        <v>643</v>
      </c>
      <c r="GW217" s="1" t="s">
        <v>643</v>
      </c>
      <c r="GX217" s="13">
        <v>182</v>
      </c>
      <c r="GY217" s="13"/>
      <c r="GZ217" s="13">
        <v>182</v>
      </c>
      <c r="HA217" s="13">
        <v>182</v>
      </c>
      <c r="HB217" s="1">
        <v>182</v>
      </c>
      <c r="HC217" s="13" t="s">
        <v>642</v>
      </c>
      <c r="HD217" s="13" t="s">
        <v>641</v>
      </c>
      <c r="HE217" s="1">
        <v>202</v>
      </c>
      <c r="HF217" s="1">
        <v>202</v>
      </c>
      <c r="HH217" s="1" t="s">
        <v>645</v>
      </c>
      <c r="HI217" s="1">
        <v>211</v>
      </c>
      <c r="HJ217" s="1">
        <v>214</v>
      </c>
      <c r="HK217" s="1">
        <v>220</v>
      </c>
      <c r="HL217" s="1">
        <v>214</v>
      </c>
      <c r="HO217" s="1" t="s">
        <v>644</v>
      </c>
    </row>
    <row r="218" spans="1:223" ht="12.75" customHeight="1" x14ac:dyDescent="0.25">
      <c r="A218" s="1" t="s">
        <v>39</v>
      </c>
      <c r="D218" s="1" t="s">
        <v>573</v>
      </c>
      <c r="E218" s="1" t="s">
        <v>126</v>
      </c>
      <c r="F218" s="1">
        <v>1</v>
      </c>
      <c r="G218" s="1">
        <v>2015</v>
      </c>
      <c r="H218" s="1">
        <v>1</v>
      </c>
      <c r="I218" s="1">
        <v>1</v>
      </c>
      <c r="J218" s="1">
        <v>0</v>
      </c>
      <c r="K218" s="19"/>
      <c r="L218" s="19"/>
      <c r="M218" s="19"/>
      <c r="N218" s="11">
        <v>146</v>
      </c>
      <c r="O218" s="11">
        <v>114</v>
      </c>
      <c r="P218" s="11">
        <v>178</v>
      </c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9"/>
      <c r="CR218" s="11">
        <v>27</v>
      </c>
      <c r="CS218" s="11">
        <v>9</v>
      </c>
      <c r="CT218" s="11">
        <v>45</v>
      </c>
      <c r="CU218" s="11">
        <f>Tabelle58971121[[#This Row],[Mindestauslastung durch]]*Tabelle58971121[[#This Row],[installierte Leistung MW durch]]</f>
        <v>0</v>
      </c>
      <c r="CV218" s="11">
        <f>Tabelle58971121[[#This Row],[Mindestauslastung min]]*Tabelle58971121[[#This Row],[installierte Leistung MW min]]</f>
        <v>0</v>
      </c>
      <c r="CW218" s="19">
        <f>Tabelle58971121[[#This Row],[Mindestauslastung max]]*Tabelle58971121[[#This Row],[installierte Leistung MW max]]</f>
        <v>0</v>
      </c>
      <c r="CX218" s="9">
        <v>0</v>
      </c>
      <c r="CY218" s="9">
        <v>0</v>
      </c>
      <c r="CZ218" s="9">
        <v>0</v>
      </c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39">
        <v>0.8</v>
      </c>
      <c r="ED218" s="39">
        <v>0.72</v>
      </c>
      <c r="EE218" s="39">
        <v>0.88</v>
      </c>
      <c r="EF218" s="11">
        <f>Tabelle58971121[[#This Row],[Durchschnittsauslastung min]]*Tabelle58971121[[#This Row],[installierte Leistung MW min]]</f>
        <v>128.80000000000001</v>
      </c>
      <c r="EG218" s="11">
        <f>Tabelle58971121[[#This Row],[Durchschnittsauslastung durch]]*Tabelle58971121[[#This Row],[installierte Leistung MW durch]]</f>
        <v>131.76</v>
      </c>
      <c r="EH218" s="46">
        <f>Tabelle58971121[[#This Row],[Durchschnittsauslastung max]]*Tabelle58971121[[#This Row],[installierte Leistung MW max]]</f>
        <v>180.4</v>
      </c>
      <c r="EI218" s="83">
        <f>Tabelle58971121[[#This Row],[Maximalauslastung durch]]*Tabelle58971121[[#This Row],[installierte Leistung MW min]]</f>
        <v>152.94999999999999</v>
      </c>
      <c r="EJ218" s="46">
        <f>Tabelle58971121[[#This Row],[Maximalauslastung durch]]*Tabelle58971121[[#This Row],[installierte Leistung MW durch]]</f>
        <v>173.85</v>
      </c>
      <c r="EK218" s="11">
        <f>Tabelle58971121[[#This Row],[Maximalauslastung max]]*Tabelle58971121[[#This Row],[installierte Leistung MW durch]]</f>
        <v>175.68</v>
      </c>
      <c r="EL218" s="9">
        <v>0.95</v>
      </c>
      <c r="EM218" s="9">
        <v>0.94</v>
      </c>
      <c r="EN218" s="9">
        <v>0.96</v>
      </c>
      <c r="EO218" s="11">
        <v>183</v>
      </c>
      <c r="EP218" s="11">
        <v>161</v>
      </c>
      <c r="EQ218" s="11">
        <v>205</v>
      </c>
      <c r="ER218" s="1">
        <v>0.24374999999999999</v>
      </c>
      <c r="ES218" s="1">
        <v>2.7777777777777778E-4</v>
      </c>
      <c r="ET218" s="54">
        <v>1</v>
      </c>
      <c r="EU218" s="1">
        <v>0.24374999999999999</v>
      </c>
      <c r="EV218" s="1">
        <v>2.7777777777777778E-4</v>
      </c>
      <c r="EW218" s="54">
        <v>1</v>
      </c>
      <c r="EX218" s="1">
        <v>2.8</v>
      </c>
      <c r="EY218" s="1">
        <v>2.5</v>
      </c>
      <c r="EZ218" s="54">
        <v>3.0999999999999996</v>
      </c>
      <c r="FA218" s="1">
        <v>2.8</v>
      </c>
      <c r="FB218" s="1">
        <v>2.5</v>
      </c>
      <c r="FC218" s="54">
        <v>3.0999999999999996</v>
      </c>
      <c r="FD218" s="1">
        <v>3</v>
      </c>
      <c r="FE218" s="1">
        <v>2.7</v>
      </c>
      <c r="FF218" s="54">
        <v>3.3</v>
      </c>
      <c r="FG218" s="1">
        <v>5.8</v>
      </c>
      <c r="FH218" s="1">
        <v>5.8</v>
      </c>
      <c r="FI218" s="54">
        <v>5.8</v>
      </c>
      <c r="FJ218" s="1">
        <v>3.6</v>
      </c>
      <c r="FK218" s="1">
        <v>2.9000000000000004</v>
      </c>
      <c r="FL218" s="54">
        <v>4.3</v>
      </c>
      <c r="FN218" s="1" t="s">
        <v>646</v>
      </c>
      <c r="FP218" s="1">
        <v>315</v>
      </c>
      <c r="FQ218" s="1">
        <v>265</v>
      </c>
      <c r="FR218" s="1">
        <v>365</v>
      </c>
      <c r="FS218" s="1">
        <v>35</v>
      </c>
      <c r="FT218" s="1">
        <v>20</v>
      </c>
      <c r="FU218" s="1">
        <v>50</v>
      </c>
      <c r="FV218" s="1">
        <v>315</v>
      </c>
      <c r="FW218" s="1">
        <v>265</v>
      </c>
      <c r="FX218" s="1">
        <v>365</v>
      </c>
      <c r="FY218" s="1">
        <v>7.8358823529411765</v>
      </c>
      <c r="FZ218" s="19">
        <v>4.7829411764705885</v>
      </c>
      <c r="GA218" s="19">
        <v>10.888823529411763</v>
      </c>
      <c r="GB218" s="19">
        <v>223.88235294117646</v>
      </c>
      <c r="GC218" s="8">
        <v>183.17647058823528</v>
      </c>
      <c r="GD218" s="8">
        <v>264.58823529411762</v>
      </c>
      <c r="GE218" s="8">
        <v>260.51764705882351</v>
      </c>
      <c r="GF218" s="8">
        <v>227.95294117647057</v>
      </c>
      <c r="GG218" s="8">
        <v>293.08235294117645</v>
      </c>
      <c r="GH218" s="8">
        <v>0</v>
      </c>
      <c r="GI218" s="8">
        <v>0</v>
      </c>
      <c r="GJ218" s="8">
        <v>0</v>
      </c>
      <c r="GK218" s="8">
        <v>0</v>
      </c>
      <c r="GL218" s="8">
        <v>0</v>
      </c>
      <c r="GM218" s="8">
        <v>0</v>
      </c>
      <c r="GN218" s="8">
        <v>2.0352941176470587</v>
      </c>
      <c r="GO218" s="8">
        <v>0</v>
      </c>
      <c r="GP218" s="8">
        <v>4.0705882352941174</v>
      </c>
      <c r="GS218" s="1">
        <v>220</v>
      </c>
      <c r="GT218" s="1">
        <v>220</v>
      </c>
      <c r="GV218" s="13" t="s">
        <v>643</v>
      </c>
      <c r="GW218" s="1" t="s">
        <v>643</v>
      </c>
      <c r="GX218" s="13">
        <v>182</v>
      </c>
      <c r="GY218" s="13"/>
      <c r="GZ218" s="13">
        <v>182</v>
      </c>
      <c r="HA218" s="13">
        <v>182</v>
      </c>
      <c r="HB218" s="1">
        <v>182</v>
      </c>
      <c r="HC218" s="13" t="s">
        <v>642</v>
      </c>
      <c r="HD218" s="13" t="s">
        <v>641</v>
      </c>
      <c r="HE218" s="1">
        <v>202</v>
      </c>
      <c r="HF218" s="1">
        <v>202</v>
      </c>
      <c r="HH218" s="1" t="s">
        <v>645</v>
      </c>
      <c r="HI218" s="1">
        <v>211</v>
      </c>
      <c r="HJ218" s="1">
        <v>214</v>
      </c>
      <c r="HK218" s="1">
        <v>220</v>
      </c>
      <c r="HL218" s="1">
        <v>214</v>
      </c>
      <c r="HO218" s="1" t="s">
        <v>644</v>
      </c>
    </row>
    <row r="219" spans="1:223" ht="12.75" customHeight="1" x14ac:dyDescent="0.25">
      <c r="A219" s="1" t="s">
        <v>39</v>
      </c>
      <c r="D219" s="1" t="s">
        <v>573</v>
      </c>
      <c r="E219" s="1" t="s">
        <v>126</v>
      </c>
      <c r="F219" s="1">
        <v>1</v>
      </c>
      <c r="G219" s="1">
        <v>2020</v>
      </c>
      <c r="H219" s="1">
        <v>1</v>
      </c>
      <c r="I219" s="1">
        <v>1</v>
      </c>
      <c r="J219" s="1">
        <v>0</v>
      </c>
      <c r="K219" s="19"/>
      <c r="L219" s="19"/>
      <c r="M219" s="19"/>
      <c r="N219" s="11">
        <v>147.46</v>
      </c>
      <c r="O219" s="11">
        <v>115.14</v>
      </c>
      <c r="P219" s="11">
        <v>179.78</v>
      </c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9"/>
      <c r="CR219" s="11">
        <v>27.27</v>
      </c>
      <c r="CS219" s="11">
        <v>9.09</v>
      </c>
      <c r="CT219" s="11">
        <v>45.45</v>
      </c>
      <c r="CU219" s="11">
        <f>Tabelle58971121[[#This Row],[Mindestauslastung durch]]*Tabelle58971121[[#This Row],[installierte Leistung MW durch]]</f>
        <v>0</v>
      </c>
      <c r="CV219" s="11">
        <f>Tabelle58971121[[#This Row],[Mindestauslastung min]]*Tabelle58971121[[#This Row],[installierte Leistung MW min]]</f>
        <v>0</v>
      </c>
      <c r="CW219" s="19">
        <f>Tabelle58971121[[#This Row],[Mindestauslastung max]]*Tabelle58971121[[#This Row],[installierte Leistung MW max]]</f>
        <v>0</v>
      </c>
      <c r="CX219" s="9">
        <v>0</v>
      </c>
      <c r="CY219" s="9">
        <v>0</v>
      </c>
      <c r="CZ219" s="9">
        <v>0</v>
      </c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39">
        <v>0.8</v>
      </c>
      <c r="ED219" s="39">
        <v>0.72</v>
      </c>
      <c r="EE219" s="39">
        <v>0.88</v>
      </c>
      <c r="EF219" s="11">
        <f>Tabelle58971121[[#This Row],[Durchschnittsauslastung min]]*Tabelle58971121[[#This Row],[installierte Leistung MW min]]</f>
        <v>130.08800000000002</v>
      </c>
      <c r="EG219" s="11">
        <f>Tabelle58971121[[#This Row],[Durchschnittsauslastung durch]]*Tabelle58971121[[#This Row],[installierte Leistung MW durch]]</f>
        <v>133.07760000000002</v>
      </c>
      <c r="EH219" s="46">
        <f>Tabelle58971121[[#This Row],[Durchschnittsauslastung max]]*Tabelle58971121[[#This Row],[installierte Leistung MW max]]</f>
        <v>182.20400000000001</v>
      </c>
      <c r="EI219" s="83">
        <f>Tabelle58971121[[#This Row],[Maximalauslastung durch]]*Tabelle58971121[[#This Row],[installierte Leistung MW min]]</f>
        <v>154.4795</v>
      </c>
      <c r="EJ219" s="46">
        <f>Tabelle58971121[[#This Row],[Maximalauslastung durch]]*Tabelle58971121[[#This Row],[installierte Leistung MW durch]]</f>
        <v>175.58850000000001</v>
      </c>
      <c r="EK219" s="11">
        <f>Tabelle58971121[[#This Row],[Maximalauslastung max]]*Tabelle58971121[[#This Row],[installierte Leistung MW durch]]</f>
        <v>177.43680000000001</v>
      </c>
      <c r="EL219" s="9">
        <v>0.95</v>
      </c>
      <c r="EM219" s="9">
        <v>0.94</v>
      </c>
      <c r="EN219" s="9">
        <v>0.96</v>
      </c>
      <c r="EO219" s="11">
        <v>184.83</v>
      </c>
      <c r="EP219" s="11">
        <v>162.61000000000001</v>
      </c>
      <c r="EQ219" s="11">
        <v>207.05</v>
      </c>
      <c r="ER219" s="1">
        <v>0.24374999999999999</v>
      </c>
      <c r="ES219" s="1">
        <v>2.7777777777777778E-4</v>
      </c>
      <c r="ET219" s="54">
        <v>1</v>
      </c>
      <c r="EU219" s="1">
        <v>0.24374999999999999</v>
      </c>
      <c r="EV219" s="1">
        <v>2.7777777777777778E-4</v>
      </c>
      <c r="EW219" s="54">
        <v>1</v>
      </c>
      <c r="EX219" s="1">
        <v>2.8</v>
      </c>
      <c r="EY219" s="1">
        <v>2.5</v>
      </c>
      <c r="EZ219" s="54">
        <v>3.0999999999999996</v>
      </c>
      <c r="FA219" s="1">
        <v>2.8</v>
      </c>
      <c r="FB219" s="1">
        <v>2.5</v>
      </c>
      <c r="FC219" s="54">
        <v>3.0999999999999996</v>
      </c>
      <c r="FD219" s="1">
        <v>3</v>
      </c>
      <c r="FE219" s="1">
        <v>2.7</v>
      </c>
      <c r="FF219" s="54">
        <v>3.3</v>
      </c>
      <c r="FG219" s="1">
        <v>5.8</v>
      </c>
      <c r="FH219" s="1">
        <v>5.8</v>
      </c>
      <c r="FI219" s="54">
        <v>5.8</v>
      </c>
      <c r="FJ219" s="1">
        <v>3.6</v>
      </c>
      <c r="FK219" s="1">
        <v>2.9000000000000004</v>
      </c>
      <c r="FL219" s="54">
        <v>4.3</v>
      </c>
      <c r="FN219" s="1" t="s">
        <v>646</v>
      </c>
      <c r="FP219" s="1">
        <v>315</v>
      </c>
      <c r="FQ219" s="1">
        <v>265</v>
      </c>
      <c r="FR219" s="1">
        <v>365</v>
      </c>
      <c r="FS219" s="1">
        <v>35</v>
      </c>
      <c r="FT219" s="1">
        <v>20</v>
      </c>
      <c r="FU219" s="1">
        <v>50</v>
      </c>
      <c r="FV219" s="1">
        <v>315</v>
      </c>
      <c r="FW219" s="1">
        <v>265</v>
      </c>
      <c r="FX219" s="1">
        <v>365</v>
      </c>
      <c r="FY219" s="1">
        <v>7.8358823529411765</v>
      </c>
      <c r="FZ219" s="19">
        <v>4.7829411764705885</v>
      </c>
      <c r="GA219" s="19">
        <v>10.888823529411763</v>
      </c>
      <c r="GB219" s="19">
        <v>223.88235294117646</v>
      </c>
      <c r="GC219" s="8">
        <v>183.17647058823528</v>
      </c>
      <c r="GD219" s="8">
        <v>264.58823529411762</v>
      </c>
      <c r="GE219" s="8">
        <v>260.51764705882351</v>
      </c>
      <c r="GF219" s="8">
        <v>227.95294117647057</v>
      </c>
      <c r="GG219" s="8">
        <v>293.08235294117645</v>
      </c>
      <c r="GH219" s="8">
        <v>0</v>
      </c>
      <c r="GI219" s="8">
        <v>0</v>
      </c>
      <c r="GJ219" s="8">
        <v>0</v>
      </c>
      <c r="GK219" s="8">
        <v>0</v>
      </c>
      <c r="GL219" s="8">
        <v>0</v>
      </c>
      <c r="GM219" s="8">
        <v>0</v>
      </c>
      <c r="GN219" s="8">
        <v>2.0352941176470587</v>
      </c>
      <c r="GO219" s="8">
        <v>0</v>
      </c>
      <c r="GP219" s="8">
        <v>4.0705882352941174</v>
      </c>
      <c r="GS219" s="1">
        <v>220</v>
      </c>
      <c r="GT219" s="1">
        <v>220</v>
      </c>
      <c r="GV219" s="13" t="s">
        <v>643</v>
      </c>
      <c r="GW219" s="1" t="s">
        <v>643</v>
      </c>
      <c r="GX219" s="13">
        <v>182</v>
      </c>
      <c r="GY219" s="13"/>
      <c r="GZ219" s="13">
        <v>182</v>
      </c>
      <c r="HA219" s="13">
        <v>182</v>
      </c>
      <c r="HB219" s="1">
        <v>182</v>
      </c>
      <c r="HC219" s="13" t="s">
        <v>642</v>
      </c>
      <c r="HD219" s="13" t="s">
        <v>641</v>
      </c>
      <c r="HE219" s="1">
        <v>202</v>
      </c>
      <c r="HF219" s="1">
        <v>202</v>
      </c>
      <c r="HH219" s="1" t="s">
        <v>645</v>
      </c>
      <c r="HI219" s="1">
        <v>211</v>
      </c>
      <c r="HJ219" s="1">
        <v>214</v>
      </c>
      <c r="HK219" s="1">
        <v>220</v>
      </c>
      <c r="HL219" s="1">
        <v>214</v>
      </c>
      <c r="HO219" s="1" t="s">
        <v>644</v>
      </c>
    </row>
    <row r="220" spans="1:223" ht="12.75" customHeight="1" x14ac:dyDescent="0.25">
      <c r="A220" s="1" t="s">
        <v>39</v>
      </c>
      <c r="D220" s="1" t="s">
        <v>573</v>
      </c>
      <c r="E220" s="1" t="s">
        <v>126</v>
      </c>
      <c r="F220" s="1">
        <v>1</v>
      </c>
      <c r="G220" s="1">
        <v>2025</v>
      </c>
      <c r="H220" s="1">
        <v>1</v>
      </c>
      <c r="I220" s="1">
        <v>1</v>
      </c>
      <c r="J220" s="1">
        <v>0</v>
      </c>
      <c r="K220" s="19"/>
      <c r="L220" s="19"/>
      <c r="M220" s="19"/>
      <c r="N220" s="11">
        <v>148.92000000000002</v>
      </c>
      <c r="O220" s="11">
        <v>116.28</v>
      </c>
      <c r="P220" s="11">
        <v>181.56</v>
      </c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9"/>
      <c r="CR220" s="11">
        <v>27.54</v>
      </c>
      <c r="CS220" s="11">
        <v>9.18</v>
      </c>
      <c r="CT220" s="11">
        <v>45.9</v>
      </c>
      <c r="CU220" s="11">
        <f>Tabelle58971121[[#This Row],[Mindestauslastung durch]]*Tabelle58971121[[#This Row],[installierte Leistung MW durch]]</f>
        <v>0</v>
      </c>
      <c r="CV220" s="11">
        <f>Tabelle58971121[[#This Row],[Mindestauslastung min]]*Tabelle58971121[[#This Row],[installierte Leistung MW min]]</f>
        <v>0</v>
      </c>
      <c r="CW220" s="19">
        <f>Tabelle58971121[[#This Row],[Mindestauslastung max]]*Tabelle58971121[[#This Row],[installierte Leistung MW max]]</f>
        <v>0</v>
      </c>
      <c r="CX220" s="9">
        <v>0</v>
      </c>
      <c r="CY220" s="9">
        <v>0</v>
      </c>
      <c r="CZ220" s="9">
        <v>0</v>
      </c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39">
        <v>0.8</v>
      </c>
      <c r="ED220" s="39">
        <v>0.72</v>
      </c>
      <c r="EE220" s="39">
        <v>0.88</v>
      </c>
      <c r="EF220" s="11">
        <f>Tabelle58971121[[#This Row],[Durchschnittsauslastung min]]*Tabelle58971121[[#This Row],[installierte Leistung MW min]]</f>
        <v>131.376</v>
      </c>
      <c r="EG220" s="11">
        <f>Tabelle58971121[[#This Row],[Durchschnittsauslastung durch]]*Tabelle58971121[[#This Row],[installierte Leistung MW durch]]</f>
        <v>134.39519999999999</v>
      </c>
      <c r="EH220" s="46">
        <f>Tabelle58971121[[#This Row],[Durchschnittsauslastung max]]*Tabelle58971121[[#This Row],[installierte Leistung MW max]]</f>
        <v>184.00800000000001</v>
      </c>
      <c r="EI220" s="83">
        <f>Tabelle58971121[[#This Row],[Maximalauslastung durch]]*Tabelle58971121[[#This Row],[installierte Leistung MW min]]</f>
        <v>156.00899999999999</v>
      </c>
      <c r="EJ220" s="46">
        <f>Tabelle58971121[[#This Row],[Maximalauslastung durch]]*Tabelle58971121[[#This Row],[installierte Leistung MW durch]]</f>
        <v>177.327</v>
      </c>
      <c r="EK220" s="11">
        <f>Tabelle58971121[[#This Row],[Maximalauslastung max]]*Tabelle58971121[[#This Row],[installierte Leistung MW durch]]</f>
        <v>179.1936</v>
      </c>
      <c r="EL220" s="9">
        <v>0.95</v>
      </c>
      <c r="EM220" s="9">
        <v>0.94</v>
      </c>
      <c r="EN220" s="9">
        <v>0.96</v>
      </c>
      <c r="EO220" s="11">
        <v>186.66</v>
      </c>
      <c r="EP220" s="11">
        <v>164.22</v>
      </c>
      <c r="EQ220" s="11">
        <v>209.1</v>
      </c>
      <c r="ER220" s="1">
        <v>0.24374999999999999</v>
      </c>
      <c r="ES220" s="1">
        <v>2.7777777777777778E-4</v>
      </c>
      <c r="ET220" s="54">
        <v>1</v>
      </c>
      <c r="EU220" s="1">
        <v>0.24374999999999999</v>
      </c>
      <c r="EV220" s="1">
        <v>2.7777777777777778E-4</v>
      </c>
      <c r="EW220" s="54">
        <v>1</v>
      </c>
      <c r="EX220" s="1">
        <v>2.8</v>
      </c>
      <c r="EY220" s="1">
        <v>2.5</v>
      </c>
      <c r="EZ220" s="54">
        <v>3.0999999999999996</v>
      </c>
      <c r="FA220" s="1">
        <v>2.8</v>
      </c>
      <c r="FB220" s="1">
        <v>2.5</v>
      </c>
      <c r="FC220" s="54">
        <v>3.0999999999999996</v>
      </c>
      <c r="FD220" s="1">
        <v>3</v>
      </c>
      <c r="FE220" s="1">
        <v>2.7</v>
      </c>
      <c r="FF220" s="54">
        <v>3.3</v>
      </c>
      <c r="FG220" s="1">
        <v>5.8</v>
      </c>
      <c r="FH220" s="1">
        <v>5.8</v>
      </c>
      <c r="FI220" s="54">
        <v>5.8</v>
      </c>
      <c r="FJ220" s="1">
        <v>3.6</v>
      </c>
      <c r="FK220" s="1">
        <v>2.9000000000000004</v>
      </c>
      <c r="FL220" s="54">
        <v>4.3</v>
      </c>
      <c r="FN220" s="1" t="s">
        <v>646</v>
      </c>
      <c r="FP220" s="1">
        <v>315</v>
      </c>
      <c r="FQ220" s="1">
        <v>265</v>
      </c>
      <c r="FR220" s="1">
        <v>365</v>
      </c>
      <c r="FS220" s="1">
        <v>35</v>
      </c>
      <c r="FT220" s="1">
        <v>20</v>
      </c>
      <c r="FU220" s="1">
        <v>50</v>
      </c>
      <c r="FV220" s="1">
        <v>315</v>
      </c>
      <c r="FW220" s="1">
        <v>265</v>
      </c>
      <c r="FX220" s="1">
        <v>365</v>
      </c>
      <c r="FY220" s="1">
        <v>7.8358823529411765</v>
      </c>
      <c r="FZ220" s="19">
        <v>4.7829411764705885</v>
      </c>
      <c r="GA220" s="19">
        <v>10.888823529411763</v>
      </c>
      <c r="GB220" s="19">
        <v>223.88235294117646</v>
      </c>
      <c r="GC220" s="8">
        <v>183.17647058823528</v>
      </c>
      <c r="GD220" s="8">
        <v>264.58823529411762</v>
      </c>
      <c r="GE220" s="8">
        <v>260.51764705882351</v>
      </c>
      <c r="GF220" s="8">
        <v>227.95294117647057</v>
      </c>
      <c r="GG220" s="8">
        <v>293.08235294117645</v>
      </c>
      <c r="GH220" s="8">
        <v>0</v>
      </c>
      <c r="GI220" s="8">
        <v>0</v>
      </c>
      <c r="GJ220" s="8">
        <v>0</v>
      </c>
      <c r="GK220" s="8">
        <v>0</v>
      </c>
      <c r="GL220" s="8">
        <v>0</v>
      </c>
      <c r="GM220" s="8">
        <v>0</v>
      </c>
      <c r="GN220" s="8">
        <v>2.0352941176470587</v>
      </c>
      <c r="GO220" s="8">
        <v>0</v>
      </c>
      <c r="GP220" s="8">
        <v>4.0705882352941174</v>
      </c>
      <c r="GS220" s="1">
        <v>220</v>
      </c>
      <c r="GT220" s="1">
        <v>220</v>
      </c>
      <c r="GV220" s="13" t="s">
        <v>643</v>
      </c>
      <c r="GW220" s="1" t="s">
        <v>643</v>
      </c>
      <c r="GX220" s="13">
        <v>182</v>
      </c>
      <c r="GY220" s="13"/>
      <c r="GZ220" s="13">
        <v>182</v>
      </c>
      <c r="HA220" s="13">
        <v>182</v>
      </c>
      <c r="HB220" s="1">
        <v>182</v>
      </c>
      <c r="HC220" s="13" t="s">
        <v>642</v>
      </c>
      <c r="HD220" s="13" t="s">
        <v>641</v>
      </c>
      <c r="HE220" s="1">
        <v>202</v>
      </c>
      <c r="HF220" s="1">
        <v>202</v>
      </c>
      <c r="HH220" s="1" t="s">
        <v>645</v>
      </c>
      <c r="HI220" s="1">
        <v>211</v>
      </c>
      <c r="HJ220" s="1">
        <v>214</v>
      </c>
      <c r="HK220" s="1">
        <v>220</v>
      </c>
      <c r="HL220" s="1">
        <v>214</v>
      </c>
      <c r="HO220" s="1" t="s">
        <v>644</v>
      </c>
    </row>
    <row r="221" spans="1:223" ht="12.75" customHeight="1" x14ac:dyDescent="0.25">
      <c r="A221" s="1" t="s">
        <v>39</v>
      </c>
      <c r="D221" s="1" t="s">
        <v>573</v>
      </c>
      <c r="E221" s="1" t="s">
        <v>126</v>
      </c>
      <c r="F221" s="1">
        <v>1</v>
      </c>
      <c r="G221" s="1">
        <v>2030</v>
      </c>
      <c r="H221" s="1">
        <v>1</v>
      </c>
      <c r="I221" s="1">
        <v>1</v>
      </c>
      <c r="J221" s="1">
        <v>0</v>
      </c>
      <c r="K221" s="19"/>
      <c r="L221" s="19"/>
      <c r="M221" s="19"/>
      <c r="N221" s="11">
        <v>150.38</v>
      </c>
      <c r="O221" s="11">
        <v>117.42</v>
      </c>
      <c r="P221" s="11">
        <v>183.34</v>
      </c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9"/>
      <c r="CR221" s="11">
        <v>27.810000000000002</v>
      </c>
      <c r="CS221" s="11">
        <v>9.27</v>
      </c>
      <c r="CT221" s="11">
        <v>46.35</v>
      </c>
      <c r="CU221" s="11">
        <f>Tabelle58971121[[#This Row],[Mindestauslastung durch]]*Tabelle58971121[[#This Row],[installierte Leistung MW durch]]</f>
        <v>0</v>
      </c>
      <c r="CV221" s="11">
        <f>Tabelle58971121[[#This Row],[Mindestauslastung min]]*Tabelle58971121[[#This Row],[installierte Leistung MW min]]</f>
        <v>0</v>
      </c>
      <c r="CW221" s="19">
        <f>Tabelle58971121[[#This Row],[Mindestauslastung max]]*Tabelle58971121[[#This Row],[installierte Leistung MW max]]</f>
        <v>0</v>
      </c>
      <c r="CX221" s="9">
        <v>0</v>
      </c>
      <c r="CY221" s="9">
        <v>0</v>
      </c>
      <c r="CZ221" s="9">
        <v>0</v>
      </c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39">
        <v>0.8</v>
      </c>
      <c r="ED221" s="39">
        <v>0.72</v>
      </c>
      <c r="EE221" s="39">
        <v>0.88</v>
      </c>
      <c r="EF221" s="11">
        <f>Tabelle58971121[[#This Row],[Durchschnittsauslastung min]]*Tabelle58971121[[#This Row],[installierte Leistung MW min]]</f>
        <v>132.66400000000002</v>
      </c>
      <c r="EG221" s="11">
        <f>Tabelle58971121[[#This Row],[Durchschnittsauslastung durch]]*Tabelle58971121[[#This Row],[installierte Leistung MW durch]]</f>
        <v>135.71280000000002</v>
      </c>
      <c r="EH221" s="46">
        <f>Tabelle58971121[[#This Row],[Durchschnittsauslastung max]]*Tabelle58971121[[#This Row],[installierte Leistung MW max]]</f>
        <v>185.81200000000001</v>
      </c>
      <c r="EI221" s="83">
        <f>Tabelle58971121[[#This Row],[Maximalauslastung durch]]*Tabelle58971121[[#This Row],[installierte Leistung MW min]]</f>
        <v>157.5385</v>
      </c>
      <c r="EJ221" s="46">
        <f>Tabelle58971121[[#This Row],[Maximalauslastung durch]]*Tabelle58971121[[#This Row],[installierte Leistung MW durch]]</f>
        <v>179.06550000000001</v>
      </c>
      <c r="EK221" s="11">
        <f>Tabelle58971121[[#This Row],[Maximalauslastung max]]*Tabelle58971121[[#This Row],[installierte Leistung MW durch]]</f>
        <v>180.9504</v>
      </c>
      <c r="EL221" s="9">
        <v>0.95</v>
      </c>
      <c r="EM221" s="9">
        <v>0.94</v>
      </c>
      <c r="EN221" s="9">
        <v>0.96</v>
      </c>
      <c r="EO221" s="11">
        <v>188.49</v>
      </c>
      <c r="EP221" s="11">
        <v>165.83</v>
      </c>
      <c r="EQ221" s="11">
        <v>211.15</v>
      </c>
      <c r="ER221" s="1">
        <v>0.24374999999999999</v>
      </c>
      <c r="ES221" s="1">
        <v>2.7777777777777778E-4</v>
      </c>
      <c r="ET221" s="54">
        <v>1</v>
      </c>
      <c r="EU221" s="1">
        <v>0.24374999999999999</v>
      </c>
      <c r="EV221" s="1">
        <v>2.7777777777777778E-4</v>
      </c>
      <c r="EW221" s="54">
        <v>1</v>
      </c>
      <c r="EX221" s="1">
        <v>2.8</v>
      </c>
      <c r="EY221" s="1">
        <v>2.5</v>
      </c>
      <c r="EZ221" s="54">
        <v>3.0999999999999996</v>
      </c>
      <c r="FA221" s="1">
        <v>2.8</v>
      </c>
      <c r="FB221" s="1">
        <v>2.5</v>
      </c>
      <c r="FC221" s="54">
        <v>3.0999999999999996</v>
      </c>
      <c r="FD221" s="1">
        <v>3</v>
      </c>
      <c r="FE221" s="1">
        <v>2.7</v>
      </c>
      <c r="FF221" s="54">
        <v>3.3</v>
      </c>
      <c r="FG221" s="1">
        <v>5.8</v>
      </c>
      <c r="FH221" s="1">
        <v>5.8</v>
      </c>
      <c r="FI221" s="54">
        <v>5.8</v>
      </c>
      <c r="FJ221" s="1">
        <v>3.6</v>
      </c>
      <c r="FK221" s="1">
        <v>2.9000000000000004</v>
      </c>
      <c r="FL221" s="54">
        <v>4.3</v>
      </c>
      <c r="FN221" s="1" t="s">
        <v>646</v>
      </c>
      <c r="FP221" s="1">
        <v>315</v>
      </c>
      <c r="FQ221" s="1">
        <v>265</v>
      </c>
      <c r="FR221" s="1">
        <v>365</v>
      </c>
      <c r="FS221" s="1">
        <v>35</v>
      </c>
      <c r="FT221" s="1">
        <v>20</v>
      </c>
      <c r="FU221" s="1">
        <v>50</v>
      </c>
      <c r="FV221" s="1">
        <v>315</v>
      </c>
      <c r="FW221" s="1">
        <v>265</v>
      </c>
      <c r="FX221" s="1">
        <v>365</v>
      </c>
      <c r="FY221" s="1">
        <v>7.8358823529411765</v>
      </c>
      <c r="FZ221" s="19">
        <v>4.7829411764705885</v>
      </c>
      <c r="GA221" s="19">
        <v>10.888823529411763</v>
      </c>
      <c r="GB221" s="19">
        <v>223.88235294117646</v>
      </c>
      <c r="GC221" s="8">
        <v>183.17647058823528</v>
      </c>
      <c r="GD221" s="8">
        <v>264.58823529411762</v>
      </c>
      <c r="GE221" s="8">
        <v>260.51764705882351</v>
      </c>
      <c r="GF221" s="8">
        <v>227.95294117647057</v>
      </c>
      <c r="GG221" s="8">
        <v>293.08235294117645</v>
      </c>
      <c r="GH221" s="8">
        <v>0</v>
      </c>
      <c r="GI221" s="8">
        <v>0</v>
      </c>
      <c r="GJ221" s="8">
        <v>0</v>
      </c>
      <c r="GK221" s="8">
        <v>0</v>
      </c>
      <c r="GL221" s="8">
        <v>0</v>
      </c>
      <c r="GM221" s="8">
        <v>0</v>
      </c>
      <c r="GN221" s="8">
        <v>2.0352941176470587</v>
      </c>
      <c r="GO221" s="8">
        <v>0</v>
      </c>
      <c r="GP221" s="8">
        <v>4.0705882352941174</v>
      </c>
      <c r="GS221" s="1">
        <v>220</v>
      </c>
      <c r="GT221" s="1">
        <v>220</v>
      </c>
      <c r="GV221" s="13" t="s">
        <v>643</v>
      </c>
      <c r="GW221" s="1" t="s">
        <v>643</v>
      </c>
      <c r="GX221" s="13">
        <v>182</v>
      </c>
      <c r="GY221" s="13"/>
      <c r="GZ221" s="13">
        <v>182</v>
      </c>
      <c r="HA221" s="13">
        <v>182</v>
      </c>
      <c r="HB221" s="1">
        <v>182</v>
      </c>
      <c r="HC221" s="13" t="s">
        <v>642</v>
      </c>
      <c r="HD221" s="13" t="s">
        <v>641</v>
      </c>
      <c r="HE221" s="1">
        <v>202</v>
      </c>
      <c r="HF221" s="1">
        <v>202</v>
      </c>
      <c r="HH221" s="1" t="s">
        <v>645</v>
      </c>
      <c r="HI221" s="1">
        <v>211</v>
      </c>
      <c r="HJ221" s="1">
        <v>214</v>
      </c>
      <c r="HK221" s="1">
        <v>220</v>
      </c>
      <c r="HL221" s="1">
        <v>214</v>
      </c>
      <c r="HO221" s="1" t="s">
        <v>644</v>
      </c>
    </row>
    <row r="222" spans="1:223" ht="12.75" customHeight="1" x14ac:dyDescent="0.25">
      <c r="A222" s="1" t="s">
        <v>39</v>
      </c>
      <c r="D222" s="1" t="s">
        <v>573</v>
      </c>
      <c r="E222" s="1" t="s">
        <v>126</v>
      </c>
      <c r="F222" s="1">
        <v>1</v>
      </c>
      <c r="G222" s="1">
        <v>2035</v>
      </c>
      <c r="H222" s="1">
        <v>1</v>
      </c>
      <c r="I222" s="1">
        <v>1</v>
      </c>
      <c r="J222" s="1">
        <v>0</v>
      </c>
      <c r="K222" s="19"/>
      <c r="L222" s="19"/>
      <c r="M222" s="19"/>
      <c r="N222" s="11">
        <v>151.84</v>
      </c>
      <c r="O222" s="11">
        <v>118.56</v>
      </c>
      <c r="P222" s="11">
        <v>185.12</v>
      </c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9"/>
      <c r="CR222" s="11">
        <v>28.080000000000002</v>
      </c>
      <c r="CS222" s="11">
        <v>9.36</v>
      </c>
      <c r="CT222" s="11">
        <v>46.800000000000004</v>
      </c>
      <c r="CU222" s="11">
        <f>Tabelle58971121[[#This Row],[Mindestauslastung durch]]*Tabelle58971121[[#This Row],[installierte Leistung MW durch]]</f>
        <v>0</v>
      </c>
      <c r="CV222" s="11">
        <f>Tabelle58971121[[#This Row],[Mindestauslastung min]]*Tabelle58971121[[#This Row],[installierte Leistung MW min]]</f>
        <v>0</v>
      </c>
      <c r="CW222" s="19">
        <f>Tabelle58971121[[#This Row],[Mindestauslastung max]]*Tabelle58971121[[#This Row],[installierte Leistung MW max]]</f>
        <v>0</v>
      </c>
      <c r="CX222" s="9">
        <v>0</v>
      </c>
      <c r="CY222" s="9">
        <v>0</v>
      </c>
      <c r="CZ222" s="9">
        <v>0</v>
      </c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39">
        <v>0.8</v>
      </c>
      <c r="ED222" s="39">
        <v>0.72</v>
      </c>
      <c r="EE222" s="39">
        <v>0.88</v>
      </c>
      <c r="EF222" s="11">
        <f>Tabelle58971121[[#This Row],[Durchschnittsauslastung min]]*Tabelle58971121[[#This Row],[installierte Leistung MW min]]</f>
        <v>133.952</v>
      </c>
      <c r="EG222" s="11">
        <f>Tabelle58971121[[#This Row],[Durchschnittsauslastung durch]]*Tabelle58971121[[#This Row],[installierte Leistung MW durch]]</f>
        <v>137.03039999999999</v>
      </c>
      <c r="EH222" s="46">
        <f>Tabelle58971121[[#This Row],[Durchschnittsauslastung max]]*Tabelle58971121[[#This Row],[installierte Leistung MW max]]</f>
        <v>187.61600000000001</v>
      </c>
      <c r="EI222" s="83">
        <f>Tabelle58971121[[#This Row],[Maximalauslastung durch]]*Tabelle58971121[[#This Row],[installierte Leistung MW min]]</f>
        <v>159.06799999999998</v>
      </c>
      <c r="EJ222" s="46">
        <f>Tabelle58971121[[#This Row],[Maximalauslastung durch]]*Tabelle58971121[[#This Row],[installierte Leistung MW durch]]</f>
        <v>180.80399999999997</v>
      </c>
      <c r="EK222" s="11">
        <f>Tabelle58971121[[#This Row],[Maximalauslastung max]]*Tabelle58971121[[#This Row],[installierte Leistung MW durch]]</f>
        <v>182.7072</v>
      </c>
      <c r="EL222" s="9">
        <v>0.95</v>
      </c>
      <c r="EM222" s="9">
        <v>0.94</v>
      </c>
      <c r="EN222" s="9">
        <v>0.96</v>
      </c>
      <c r="EO222" s="11">
        <v>190.32</v>
      </c>
      <c r="EP222" s="11">
        <v>167.44</v>
      </c>
      <c r="EQ222" s="11">
        <v>213.20000000000002</v>
      </c>
      <c r="ER222" s="1">
        <v>0.24374999999999999</v>
      </c>
      <c r="ES222" s="1">
        <v>2.7777777777777778E-4</v>
      </c>
      <c r="ET222" s="54">
        <v>1</v>
      </c>
      <c r="EU222" s="1">
        <v>0.24374999999999999</v>
      </c>
      <c r="EV222" s="1">
        <v>2.7777777777777778E-4</v>
      </c>
      <c r="EW222" s="54">
        <v>1</v>
      </c>
      <c r="EX222" s="1">
        <v>2.8</v>
      </c>
      <c r="EY222" s="1">
        <v>2.5</v>
      </c>
      <c r="EZ222" s="54">
        <v>3.0999999999999996</v>
      </c>
      <c r="FA222" s="1">
        <v>2.8</v>
      </c>
      <c r="FB222" s="1">
        <v>2.5</v>
      </c>
      <c r="FC222" s="54">
        <v>3.0999999999999996</v>
      </c>
      <c r="FD222" s="1">
        <v>3</v>
      </c>
      <c r="FE222" s="1">
        <v>2.7</v>
      </c>
      <c r="FF222" s="54">
        <v>3.3</v>
      </c>
      <c r="FG222" s="1">
        <v>5.8</v>
      </c>
      <c r="FH222" s="1">
        <v>5.8</v>
      </c>
      <c r="FI222" s="54">
        <v>5.8</v>
      </c>
      <c r="FJ222" s="1">
        <v>3.6</v>
      </c>
      <c r="FK222" s="1">
        <v>2.9000000000000004</v>
      </c>
      <c r="FL222" s="54">
        <v>4.3</v>
      </c>
      <c r="FN222" s="1" t="s">
        <v>646</v>
      </c>
      <c r="FP222" s="1">
        <v>315</v>
      </c>
      <c r="FQ222" s="1">
        <v>265</v>
      </c>
      <c r="FR222" s="1">
        <v>365</v>
      </c>
      <c r="FS222" s="1">
        <v>35</v>
      </c>
      <c r="FT222" s="1">
        <v>20</v>
      </c>
      <c r="FU222" s="1">
        <v>50</v>
      </c>
      <c r="FV222" s="1">
        <v>315</v>
      </c>
      <c r="FW222" s="1">
        <v>265</v>
      </c>
      <c r="FX222" s="1">
        <v>365</v>
      </c>
      <c r="FY222" s="1">
        <v>7.8358823529411765</v>
      </c>
      <c r="FZ222" s="19">
        <v>4.7829411764705885</v>
      </c>
      <c r="GA222" s="19">
        <v>10.888823529411763</v>
      </c>
      <c r="GB222" s="19">
        <v>223.88235294117646</v>
      </c>
      <c r="GC222" s="8">
        <v>183.17647058823528</v>
      </c>
      <c r="GD222" s="8">
        <v>264.58823529411762</v>
      </c>
      <c r="GE222" s="8">
        <v>260.51764705882351</v>
      </c>
      <c r="GF222" s="8">
        <v>227.95294117647057</v>
      </c>
      <c r="GG222" s="8">
        <v>293.08235294117645</v>
      </c>
      <c r="GH222" s="8">
        <v>0</v>
      </c>
      <c r="GI222" s="8">
        <v>0</v>
      </c>
      <c r="GJ222" s="8">
        <v>0</v>
      </c>
      <c r="GK222" s="8">
        <v>0</v>
      </c>
      <c r="GL222" s="8">
        <v>0</v>
      </c>
      <c r="GM222" s="8">
        <v>0</v>
      </c>
      <c r="GN222" s="8">
        <v>2.0352941176470587</v>
      </c>
      <c r="GO222" s="8">
        <v>0</v>
      </c>
      <c r="GP222" s="8">
        <v>4.0705882352941174</v>
      </c>
      <c r="GS222" s="1">
        <v>220</v>
      </c>
      <c r="GT222" s="1">
        <v>220</v>
      </c>
      <c r="GV222" s="13" t="s">
        <v>643</v>
      </c>
      <c r="GW222" s="1" t="s">
        <v>643</v>
      </c>
      <c r="GX222" s="13">
        <v>182</v>
      </c>
      <c r="GY222" s="13"/>
      <c r="GZ222" s="13">
        <v>182</v>
      </c>
      <c r="HA222" s="13">
        <v>182</v>
      </c>
      <c r="HB222" s="1">
        <v>182</v>
      </c>
      <c r="HC222" s="13" t="s">
        <v>642</v>
      </c>
      <c r="HD222" s="13" t="s">
        <v>641</v>
      </c>
      <c r="HE222" s="1">
        <v>202</v>
      </c>
      <c r="HF222" s="1">
        <v>202</v>
      </c>
      <c r="HH222" s="1" t="s">
        <v>645</v>
      </c>
      <c r="HI222" s="1">
        <v>211</v>
      </c>
      <c r="HJ222" s="1">
        <v>214</v>
      </c>
      <c r="HK222" s="1">
        <v>220</v>
      </c>
      <c r="HL222" s="1">
        <v>214</v>
      </c>
      <c r="HO222" s="1" t="s">
        <v>644</v>
      </c>
    </row>
    <row r="223" spans="1:223" ht="12.75" customHeight="1" x14ac:dyDescent="0.25">
      <c r="A223" s="1" t="s">
        <v>39</v>
      </c>
      <c r="D223" s="1" t="s">
        <v>573</v>
      </c>
      <c r="E223" s="1" t="s">
        <v>126</v>
      </c>
      <c r="F223" s="1">
        <v>1</v>
      </c>
      <c r="G223" s="1">
        <v>2040</v>
      </c>
      <c r="H223" s="1">
        <v>1</v>
      </c>
      <c r="I223" s="1">
        <v>1</v>
      </c>
      <c r="J223" s="1">
        <v>0</v>
      </c>
      <c r="K223" s="19"/>
      <c r="L223" s="19"/>
      <c r="M223" s="19"/>
      <c r="N223" s="11">
        <v>153.30000000000001</v>
      </c>
      <c r="O223" s="11">
        <v>119.7</v>
      </c>
      <c r="P223" s="11">
        <v>186.9</v>
      </c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9"/>
      <c r="CR223" s="11">
        <v>28.35</v>
      </c>
      <c r="CS223" s="11">
        <v>9.4500000000000011</v>
      </c>
      <c r="CT223" s="11">
        <v>47.25</v>
      </c>
      <c r="CU223" s="11">
        <f>Tabelle58971121[[#This Row],[Mindestauslastung durch]]*Tabelle58971121[[#This Row],[installierte Leistung MW durch]]</f>
        <v>0</v>
      </c>
      <c r="CV223" s="11">
        <f>Tabelle58971121[[#This Row],[Mindestauslastung min]]*Tabelle58971121[[#This Row],[installierte Leistung MW min]]</f>
        <v>0</v>
      </c>
      <c r="CW223" s="19">
        <f>Tabelle58971121[[#This Row],[Mindestauslastung max]]*Tabelle58971121[[#This Row],[installierte Leistung MW max]]</f>
        <v>0</v>
      </c>
      <c r="CX223" s="9">
        <v>0</v>
      </c>
      <c r="CY223" s="9">
        <v>0</v>
      </c>
      <c r="CZ223" s="9">
        <v>0</v>
      </c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39">
        <v>0.8</v>
      </c>
      <c r="ED223" s="39">
        <v>0.72</v>
      </c>
      <c r="EE223" s="39">
        <v>0.88</v>
      </c>
      <c r="EF223" s="11">
        <f>Tabelle58971121[[#This Row],[Durchschnittsauslastung min]]*Tabelle58971121[[#This Row],[installierte Leistung MW min]]</f>
        <v>135.24</v>
      </c>
      <c r="EG223" s="11">
        <f>Tabelle58971121[[#This Row],[Durchschnittsauslastung durch]]*Tabelle58971121[[#This Row],[installierte Leistung MW durch]]</f>
        <v>138.34800000000001</v>
      </c>
      <c r="EH223" s="46">
        <f>Tabelle58971121[[#This Row],[Durchschnittsauslastung max]]*Tabelle58971121[[#This Row],[installierte Leistung MW max]]</f>
        <v>189.42</v>
      </c>
      <c r="EI223" s="83">
        <f>Tabelle58971121[[#This Row],[Maximalauslastung durch]]*Tabelle58971121[[#This Row],[installierte Leistung MW min]]</f>
        <v>160.5975</v>
      </c>
      <c r="EJ223" s="46">
        <f>Tabelle58971121[[#This Row],[Maximalauslastung durch]]*Tabelle58971121[[#This Row],[installierte Leistung MW durch]]</f>
        <v>182.54249999999999</v>
      </c>
      <c r="EK223" s="11">
        <f>Tabelle58971121[[#This Row],[Maximalauslastung max]]*Tabelle58971121[[#This Row],[installierte Leistung MW durch]]</f>
        <v>184.464</v>
      </c>
      <c r="EL223" s="9">
        <v>0.95</v>
      </c>
      <c r="EM223" s="9">
        <v>0.94</v>
      </c>
      <c r="EN223" s="9">
        <v>0.96</v>
      </c>
      <c r="EO223" s="11">
        <v>192.15</v>
      </c>
      <c r="EP223" s="11">
        <v>169.05</v>
      </c>
      <c r="EQ223" s="11">
        <v>215.25</v>
      </c>
      <c r="ER223" s="1">
        <v>0.24374999999999999</v>
      </c>
      <c r="ES223" s="1">
        <v>2.7777777777777778E-4</v>
      </c>
      <c r="ET223" s="54">
        <v>1</v>
      </c>
      <c r="EU223" s="1">
        <v>0.24374999999999999</v>
      </c>
      <c r="EV223" s="1">
        <v>2.7777777777777778E-4</v>
      </c>
      <c r="EW223" s="54">
        <v>1</v>
      </c>
      <c r="EX223" s="1">
        <v>2.8</v>
      </c>
      <c r="EY223" s="1">
        <v>2.5</v>
      </c>
      <c r="EZ223" s="54">
        <v>3.0999999999999996</v>
      </c>
      <c r="FA223" s="1">
        <v>2.8</v>
      </c>
      <c r="FB223" s="1">
        <v>2.5</v>
      </c>
      <c r="FC223" s="54">
        <v>3.0999999999999996</v>
      </c>
      <c r="FD223" s="1">
        <v>3</v>
      </c>
      <c r="FE223" s="1">
        <v>2.7</v>
      </c>
      <c r="FF223" s="54">
        <v>3.3</v>
      </c>
      <c r="FG223" s="1">
        <v>5.8</v>
      </c>
      <c r="FH223" s="1">
        <v>5.8</v>
      </c>
      <c r="FI223" s="54">
        <v>5.8</v>
      </c>
      <c r="FJ223" s="1">
        <v>3.6</v>
      </c>
      <c r="FK223" s="1">
        <v>2.9000000000000004</v>
      </c>
      <c r="FL223" s="54">
        <v>4.3</v>
      </c>
      <c r="FN223" s="1" t="s">
        <v>646</v>
      </c>
      <c r="FP223" s="1">
        <v>315</v>
      </c>
      <c r="FQ223" s="1">
        <v>265</v>
      </c>
      <c r="FR223" s="1">
        <v>365</v>
      </c>
      <c r="FS223" s="1">
        <v>35</v>
      </c>
      <c r="FT223" s="1">
        <v>20</v>
      </c>
      <c r="FU223" s="1">
        <v>50</v>
      </c>
      <c r="FV223" s="1">
        <v>315</v>
      </c>
      <c r="FW223" s="1">
        <v>265</v>
      </c>
      <c r="FX223" s="1">
        <v>365</v>
      </c>
      <c r="FY223" s="1">
        <v>7.8358823529411765</v>
      </c>
      <c r="FZ223" s="19">
        <v>4.7829411764705885</v>
      </c>
      <c r="GA223" s="19">
        <v>10.888823529411763</v>
      </c>
      <c r="GB223" s="19">
        <v>223.88235294117646</v>
      </c>
      <c r="GC223" s="8">
        <v>183.17647058823528</v>
      </c>
      <c r="GD223" s="8">
        <v>264.58823529411762</v>
      </c>
      <c r="GE223" s="8">
        <v>260.51764705882351</v>
      </c>
      <c r="GF223" s="8">
        <v>227.95294117647057</v>
      </c>
      <c r="GG223" s="8">
        <v>293.08235294117645</v>
      </c>
      <c r="GH223" s="8">
        <v>0</v>
      </c>
      <c r="GI223" s="8">
        <v>0</v>
      </c>
      <c r="GJ223" s="8">
        <v>0</v>
      </c>
      <c r="GK223" s="8">
        <v>0</v>
      </c>
      <c r="GL223" s="8">
        <v>0</v>
      </c>
      <c r="GM223" s="8">
        <v>0</v>
      </c>
      <c r="GN223" s="8">
        <v>2.0352941176470587</v>
      </c>
      <c r="GO223" s="8">
        <v>0</v>
      </c>
      <c r="GP223" s="8">
        <v>4.0705882352941174</v>
      </c>
      <c r="GS223" s="1">
        <v>220</v>
      </c>
      <c r="GT223" s="1">
        <v>220</v>
      </c>
      <c r="GV223" s="13" t="s">
        <v>643</v>
      </c>
      <c r="GW223" s="1" t="s">
        <v>643</v>
      </c>
      <c r="GX223" s="13">
        <v>182</v>
      </c>
      <c r="GY223" s="13"/>
      <c r="GZ223" s="13">
        <v>182</v>
      </c>
      <c r="HA223" s="13">
        <v>182</v>
      </c>
      <c r="HB223" s="1">
        <v>182</v>
      </c>
      <c r="HC223" s="13" t="s">
        <v>642</v>
      </c>
      <c r="HD223" s="13" t="s">
        <v>641</v>
      </c>
      <c r="HE223" s="1">
        <v>202</v>
      </c>
      <c r="HF223" s="1">
        <v>202</v>
      </c>
      <c r="HH223" s="1" t="s">
        <v>645</v>
      </c>
      <c r="HI223" s="1">
        <v>211</v>
      </c>
      <c r="HJ223" s="1">
        <v>214</v>
      </c>
      <c r="HK223" s="1">
        <v>220</v>
      </c>
      <c r="HL223" s="1">
        <v>214</v>
      </c>
      <c r="HO223" s="1" t="s">
        <v>644</v>
      </c>
    </row>
    <row r="224" spans="1:223" ht="12.75" customHeight="1" x14ac:dyDescent="0.25">
      <c r="A224" s="1" t="s">
        <v>39</v>
      </c>
      <c r="D224" s="1" t="s">
        <v>573</v>
      </c>
      <c r="E224" s="1" t="s">
        <v>126</v>
      </c>
      <c r="F224" s="1">
        <v>1</v>
      </c>
      <c r="G224" s="1">
        <v>2045</v>
      </c>
      <c r="H224" s="1">
        <v>1</v>
      </c>
      <c r="I224" s="1">
        <v>1</v>
      </c>
      <c r="J224" s="1">
        <v>0</v>
      </c>
      <c r="K224" s="19"/>
      <c r="L224" s="19"/>
      <c r="M224" s="19"/>
      <c r="N224" s="11">
        <v>154.76000000000002</v>
      </c>
      <c r="O224" s="11">
        <v>120.84</v>
      </c>
      <c r="P224" s="11">
        <v>188.68</v>
      </c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9"/>
      <c r="CR224" s="11">
        <v>28.62</v>
      </c>
      <c r="CS224" s="11">
        <v>9.5400000000000009</v>
      </c>
      <c r="CT224" s="11">
        <v>47.7</v>
      </c>
      <c r="CU224" s="11">
        <f>Tabelle58971121[[#This Row],[Mindestauslastung durch]]*Tabelle58971121[[#This Row],[installierte Leistung MW durch]]</f>
        <v>0</v>
      </c>
      <c r="CV224" s="11">
        <f>Tabelle58971121[[#This Row],[Mindestauslastung min]]*Tabelle58971121[[#This Row],[installierte Leistung MW min]]</f>
        <v>0</v>
      </c>
      <c r="CW224" s="19">
        <f>Tabelle58971121[[#This Row],[Mindestauslastung max]]*Tabelle58971121[[#This Row],[installierte Leistung MW max]]</f>
        <v>0</v>
      </c>
      <c r="CX224" s="9">
        <v>0</v>
      </c>
      <c r="CY224" s="9">
        <v>0</v>
      </c>
      <c r="CZ224" s="9">
        <v>0</v>
      </c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39">
        <v>0.8</v>
      </c>
      <c r="ED224" s="39">
        <v>0.72</v>
      </c>
      <c r="EE224" s="39">
        <v>0.88</v>
      </c>
      <c r="EF224" s="11">
        <f>Tabelle58971121[[#This Row],[Durchschnittsauslastung min]]*Tabelle58971121[[#This Row],[installierte Leistung MW min]]</f>
        <v>136.52799999999999</v>
      </c>
      <c r="EG224" s="11">
        <f>Tabelle58971121[[#This Row],[Durchschnittsauslastung durch]]*Tabelle58971121[[#This Row],[installierte Leistung MW durch]]</f>
        <v>139.66560000000001</v>
      </c>
      <c r="EH224" s="46">
        <f>Tabelle58971121[[#This Row],[Durchschnittsauslastung max]]*Tabelle58971121[[#This Row],[installierte Leistung MW max]]</f>
        <v>191.22400000000002</v>
      </c>
      <c r="EI224" s="83">
        <f>Tabelle58971121[[#This Row],[Maximalauslastung durch]]*Tabelle58971121[[#This Row],[installierte Leistung MW min]]</f>
        <v>162.12699999999998</v>
      </c>
      <c r="EJ224" s="46">
        <f>Tabelle58971121[[#This Row],[Maximalauslastung durch]]*Tabelle58971121[[#This Row],[installierte Leistung MW durch]]</f>
        <v>184.28100000000001</v>
      </c>
      <c r="EK224" s="11">
        <f>Tabelle58971121[[#This Row],[Maximalauslastung max]]*Tabelle58971121[[#This Row],[installierte Leistung MW durch]]</f>
        <v>186.2208</v>
      </c>
      <c r="EL224" s="9">
        <v>0.95</v>
      </c>
      <c r="EM224" s="9">
        <v>0.94</v>
      </c>
      <c r="EN224" s="9">
        <v>0.96</v>
      </c>
      <c r="EO224" s="11">
        <v>193.98000000000002</v>
      </c>
      <c r="EP224" s="11">
        <v>170.66</v>
      </c>
      <c r="EQ224" s="11">
        <v>217.3</v>
      </c>
      <c r="ER224" s="1">
        <v>0.24374999999999999</v>
      </c>
      <c r="ES224" s="1">
        <v>2.7777777777777778E-4</v>
      </c>
      <c r="ET224" s="54">
        <v>1</v>
      </c>
      <c r="EU224" s="1">
        <v>0.24374999999999999</v>
      </c>
      <c r="EV224" s="1">
        <v>2.7777777777777778E-4</v>
      </c>
      <c r="EW224" s="54">
        <v>1</v>
      </c>
      <c r="EX224" s="1">
        <v>2.8</v>
      </c>
      <c r="EY224" s="1">
        <v>2.5</v>
      </c>
      <c r="EZ224" s="54">
        <v>3.0999999999999996</v>
      </c>
      <c r="FA224" s="1">
        <v>2.8</v>
      </c>
      <c r="FB224" s="1">
        <v>2.5</v>
      </c>
      <c r="FC224" s="54">
        <v>3.0999999999999996</v>
      </c>
      <c r="FD224" s="1">
        <v>3</v>
      </c>
      <c r="FE224" s="1">
        <v>2.7</v>
      </c>
      <c r="FF224" s="54">
        <v>3.3</v>
      </c>
      <c r="FG224" s="1">
        <v>5.8</v>
      </c>
      <c r="FH224" s="1">
        <v>5.8</v>
      </c>
      <c r="FI224" s="54">
        <v>5.8</v>
      </c>
      <c r="FJ224" s="1">
        <v>3.6</v>
      </c>
      <c r="FK224" s="1">
        <v>2.9000000000000004</v>
      </c>
      <c r="FL224" s="54">
        <v>4.3</v>
      </c>
      <c r="FN224" s="1" t="s">
        <v>646</v>
      </c>
      <c r="FP224" s="1">
        <v>315</v>
      </c>
      <c r="FQ224" s="1">
        <v>265</v>
      </c>
      <c r="FR224" s="1">
        <v>365</v>
      </c>
      <c r="FS224" s="1">
        <v>35</v>
      </c>
      <c r="FT224" s="1">
        <v>20</v>
      </c>
      <c r="FU224" s="1">
        <v>50</v>
      </c>
      <c r="FV224" s="1">
        <v>315</v>
      </c>
      <c r="FW224" s="1">
        <v>265</v>
      </c>
      <c r="FX224" s="1">
        <v>365</v>
      </c>
      <c r="FY224" s="1">
        <v>7.8358823529411765</v>
      </c>
      <c r="FZ224" s="19">
        <v>4.7829411764705885</v>
      </c>
      <c r="GA224" s="19">
        <v>10.888823529411763</v>
      </c>
      <c r="GB224" s="19">
        <v>223.88235294117646</v>
      </c>
      <c r="GC224" s="8">
        <v>183.17647058823528</v>
      </c>
      <c r="GD224" s="8">
        <v>264.58823529411762</v>
      </c>
      <c r="GE224" s="8">
        <v>260.51764705882351</v>
      </c>
      <c r="GF224" s="8">
        <v>227.95294117647057</v>
      </c>
      <c r="GG224" s="8">
        <v>293.08235294117645</v>
      </c>
      <c r="GH224" s="8">
        <v>0</v>
      </c>
      <c r="GI224" s="8">
        <v>0</v>
      </c>
      <c r="GJ224" s="8">
        <v>0</v>
      </c>
      <c r="GK224" s="8">
        <v>0</v>
      </c>
      <c r="GL224" s="8">
        <v>0</v>
      </c>
      <c r="GM224" s="8">
        <v>0</v>
      </c>
      <c r="GN224" s="8">
        <v>2.0352941176470587</v>
      </c>
      <c r="GO224" s="8">
        <v>0</v>
      </c>
      <c r="GP224" s="8">
        <v>4.0705882352941174</v>
      </c>
      <c r="GS224" s="1">
        <v>220</v>
      </c>
      <c r="GT224" s="1">
        <v>220</v>
      </c>
      <c r="GV224" s="13" t="s">
        <v>643</v>
      </c>
      <c r="GW224" s="1" t="s">
        <v>643</v>
      </c>
      <c r="GX224" s="13">
        <v>182</v>
      </c>
      <c r="GY224" s="13"/>
      <c r="GZ224" s="13">
        <v>182</v>
      </c>
      <c r="HA224" s="13">
        <v>182</v>
      </c>
      <c r="HB224" s="1">
        <v>182</v>
      </c>
      <c r="HC224" s="13" t="s">
        <v>642</v>
      </c>
      <c r="HD224" s="13" t="s">
        <v>641</v>
      </c>
      <c r="HE224" s="1">
        <v>202</v>
      </c>
      <c r="HF224" s="1">
        <v>202</v>
      </c>
      <c r="HH224" s="1" t="s">
        <v>645</v>
      </c>
      <c r="HI224" s="1">
        <v>211</v>
      </c>
      <c r="HJ224" s="1">
        <v>214</v>
      </c>
      <c r="HK224" s="1">
        <v>220</v>
      </c>
      <c r="HL224" s="1">
        <v>214</v>
      </c>
      <c r="HO224" s="1" t="s">
        <v>644</v>
      </c>
    </row>
    <row r="225" spans="1:223" ht="12.75" customHeight="1" x14ac:dyDescent="0.25">
      <c r="A225" s="1" t="s">
        <v>39</v>
      </c>
      <c r="D225" s="1" t="s">
        <v>573</v>
      </c>
      <c r="E225" s="1" t="s">
        <v>126</v>
      </c>
      <c r="F225" s="1">
        <v>1</v>
      </c>
      <c r="G225" s="1">
        <v>2050</v>
      </c>
      <c r="H225" s="1">
        <v>1</v>
      </c>
      <c r="I225" s="1">
        <v>1</v>
      </c>
      <c r="J225" s="1">
        <v>0</v>
      </c>
      <c r="K225" s="19"/>
      <c r="L225" s="19"/>
      <c r="M225" s="19"/>
      <c r="N225" s="11">
        <v>156.22</v>
      </c>
      <c r="O225" s="11">
        <v>121.98</v>
      </c>
      <c r="P225" s="11">
        <v>190.46</v>
      </c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9"/>
      <c r="CR225" s="11">
        <v>28.89</v>
      </c>
      <c r="CS225" s="11">
        <v>9.6300000000000008</v>
      </c>
      <c r="CT225" s="11">
        <v>48.150000000000006</v>
      </c>
      <c r="CU225" s="11">
        <f>Tabelle58971121[[#This Row],[Mindestauslastung durch]]*Tabelle58971121[[#This Row],[installierte Leistung MW durch]]</f>
        <v>0</v>
      </c>
      <c r="CV225" s="11">
        <f>Tabelle58971121[[#This Row],[Mindestauslastung min]]*Tabelle58971121[[#This Row],[installierte Leistung MW min]]</f>
        <v>0</v>
      </c>
      <c r="CW225" s="19">
        <f>Tabelle58971121[[#This Row],[Mindestauslastung max]]*Tabelle58971121[[#This Row],[installierte Leistung MW max]]</f>
        <v>0</v>
      </c>
      <c r="CX225" s="9">
        <v>0</v>
      </c>
      <c r="CY225" s="9">
        <v>0</v>
      </c>
      <c r="CZ225" s="9">
        <v>0</v>
      </c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39">
        <v>0.8</v>
      </c>
      <c r="ED225" s="39">
        <v>0.72</v>
      </c>
      <c r="EE225" s="39">
        <v>0.88</v>
      </c>
      <c r="EF225" s="11">
        <f>Tabelle58971121[[#This Row],[Durchschnittsauslastung min]]*Tabelle58971121[[#This Row],[installierte Leistung MW min]]</f>
        <v>137.816</v>
      </c>
      <c r="EG225" s="11">
        <f>Tabelle58971121[[#This Row],[Durchschnittsauslastung durch]]*Tabelle58971121[[#This Row],[installierte Leistung MW durch]]</f>
        <v>140.98319999999998</v>
      </c>
      <c r="EH225" s="46">
        <f>Tabelle58971121[[#This Row],[Durchschnittsauslastung max]]*Tabelle58971121[[#This Row],[installierte Leistung MW max]]</f>
        <v>193.02800000000002</v>
      </c>
      <c r="EI225" s="83">
        <f>Tabelle58971121[[#This Row],[Maximalauslastung durch]]*Tabelle58971121[[#This Row],[installierte Leistung MW min]]</f>
        <v>163.65649999999999</v>
      </c>
      <c r="EJ225" s="46">
        <f>Tabelle58971121[[#This Row],[Maximalauslastung durch]]*Tabelle58971121[[#This Row],[installierte Leistung MW durch]]</f>
        <v>186.01949999999999</v>
      </c>
      <c r="EK225" s="11">
        <f>Tabelle58971121[[#This Row],[Maximalauslastung max]]*Tabelle58971121[[#This Row],[installierte Leistung MW durch]]</f>
        <v>187.9776</v>
      </c>
      <c r="EL225" s="9">
        <v>0.95</v>
      </c>
      <c r="EM225" s="9">
        <v>0.94</v>
      </c>
      <c r="EN225" s="9">
        <v>0.96</v>
      </c>
      <c r="EO225" s="11">
        <v>195.81</v>
      </c>
      <c r="EP225" s="11">
        <v>172.27</v>
      </c>
      <c r="EQ225" s="11">
        <v>219.35000000000002</v>
      </c>
      <c r="ER225" s="1">
        <v>0.24374999999999999</v>
      </c>
      <c r="ES225" s="1">
        <v>2.7777777777777778E-4</v>
      </c>
      <c r="ET225" s="54">
        <v>1</v>
      </c>
      <c r="EU225" s="1">
        <v>0.24374999999999999</v>
      </c>
      <c r="EV225" s="1">
        <v>2.7777777777777778E-4</v>
      </c>
      <c r="EW225" s="54">
        <v>1</v>
      </c>
      <c r="EX225" s="1">
        <v>2.8</v>
      </c>
      <c r="EY225" s="1">
        <v>2.5</v>
      </c>
      <c r="EZ225" s="54">
        <v>3.0999999999999996</v>
      </c>
      <c r="FA225" s="1">
        <v>2.8</v>
      </c>
      <c r="FB225" s="1">
        <v>2.5</v>
      </c>
      <c r="FC225" s="54">
        <v>3.0999999999999996</v>
      </c>
      <c r="FD225" s="1">
        <v>3</v>
      </c>
      <c r="FE225" s="1">
        <v>2.7</v>
      </c>
      <c r="FF225" s="54">
        <v>3.3</v>
      </c>
      <c r="FG225" s="1">
        <v>5.8</v>
      </c>
      <c r="FH225" s="1">
        <v>5.8</v>
      </c>
      <c r="FI225" s="54">
        <v>5.8</v>
      </c>
      <c r="FJ225" s="1">
        <v>3.6</v>
      </c>
      <c r="FK225" s="1">
        <v>2.9000000000000004</v>
      </c>
      <c r="FL225" s="54">
        <v>4.3</v>
      </c>
      <c r="FN225" s="1" t="s">
        <v>646</v>
      </c>
      <c r="FP225" s="1">
        <v>315</v>
      </c>
      <c r="FQ225" s="1">
        <v>265</v>
      </c>
      <c r="FR225" s="1">
        <v>365</v>
      </c>
      <c r="FS225" s="1">
        <v>35</v>
      </c>
      <c r="FT225" s="1">
        <v>20</v>
      </c>
      <c r="FU225" s="1">
        <v>50</v>
      </c>
      <c r="FV225" s="1">
        <v>315</v>
      </c>
      <c r="FW225" s="1">
        <v>265</v>
      </c>
      <c r="FX225" s="1">
        <v>365</v>
      </c>
      <c r="FY225" s="1">
        <v>7.8358823529411765</v>
      </c>
      <c r="FZ225" s="19">
        <v>4.7829411764705885</v>
      </c>
      <c r="GA225" s="19">
        <v>10.888823529411763</v>
      </c>
      <c r="GB225" s="19">
        <v>223.88235294117646</v>
      </c>
      <c r="GC225" s="8">
        <v>183.17647058823528</v>
      </c>
      <c r="GD225" s="8">
        <v>264.58823529411762</v>
      </c>
      <c r="GE225" s="8">
        <v>260.51764705882351</v>
      </c>
      <c r="GF225" s="8">
        <v>227.95294117647057</v>
      </c>
      <c r="GG225" s="8">
        <v>293.08235294117645</v>
      </c>
      <c r="GH225" s="8">
        <v>0</v>
      </c>
      <c r="GI225" s="8">
        <v>0</v>
      </c>
      <c r="GJ225" s="8">
        <v>0</v>
      </c>
      <c r="GK225" s="8">
        <v>0</v>
      </c>
      <c r="GL225" s="8">
        <v>0</v>
      </c>
      <c r="GM225" s="8">
        <v>0</v>
      </c>
      <c r="GN225" s="8">
        <v>2.0352941176470587</v>
      </c>
      <c r="GO225" s="8">
        <v>0</v>
      </c>
      <c r="GP225" s="8">
        <v>4.0705882352941174</v>
      </c>
      <c r="GS225" s="1">
        <v>220</v>
      </c>
      <c r="GT225" s="1">
        <v>220</v>
      </c>
      <c r="GV225" s="13" t="s">
        <v>643</v>
      </c>
      <c r="GW225" s="1" t="s">
        <v>643</v>
      </c>
      <c r="GX225" s="13">
        <v>182</v>
      </c>
      <c r="GY225" s="13"/>
      <c r="GZ225" s="13">
        <v>182</v>
      </c>
      <c r="HA225" s="13">
        <v>182</v>
      </c>
      <c r="HB225" s="1">
        <v>182</v>
      </c>
      <c r="HC225" s="13" t="s">
        <v>642</v>
      </c>
      <c r="HD225" s="13" t="s">
        <v>641</v>
      </c>
      <c r="HE225" s="1">
        <v>202</v>
      </c>
      <c r="HF225" s="1">
        <v>202</v>
      </c>
      <c r="HH225" s="1" t="s">
        <v>645</v>
      </c>
      <c r="HI225" s="1">
        <v>211</v>
      </c>
      <c r="HJ225" s="1">
        <v>214</v>
      </c>
      <c r="HK225" s="1">
        <v>220</v>
      </c>
      <c r="HL225" s="1">
        <v>214</v>
      </c>
      <c r="HO225" s="1" t="s">
        <v>644</v>
      </c>
    </row>
    <row r="226" spans="1:223" ht="12.75" customHeight="1" x14ac:dyDescent="0.25">
      <c r="A226" s="1" t="s">
        <v>77</v>
      </c>
      <c r="D226" s="1" t="s">
        <v>580</v>
      </c>
      <c r="E226" s="1" t="s">
        <v>126</v>
      </c>
      <c r="F226" s="1">
        <v>1</v>
      </c>
      <c r="G226" s="1">
        <v>2015</v>
      </c>
      <c r="H226" s="1">
        <v>1</v>
      </c>
      <c r="I226" s="1">
        <v>1</v>
      </c>
      <c r="J226" s="1">
        <v>0</v>
      </c>
      <c r="K226" s="19"/>
      <c r="L226" s="19"/>
      <c r="M226" s="19"/>
      <c r="N226" s="11">
        <v>588</v>
      </c>
      <c r="O226" s="11">
        <v>391</v>
      </c>
      <c r="P226" s="11">
        <v>785</v>
      </c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9"/>
      <c r="CR226" s="11">
        <v>71</v>
      </c>
      <c r="CS226" s="11">
        <v>21</v>
      </c>
      <c r="CT226" s="11">
        <v>121</v>
      </c>
      <c r="CU226" s="11">
        <f>Tabelle58971121[[#This Row],[Mindestauslastung durch]]*Tabelle58971121[[#This Row],[installierte Leistung MW durch]]</f>
        <v>0</v>
      </c>
      <c r="CV226" s="11">
        <f>Tabelle58971121[[#This Row],[Mindestauslastung min]]*Tabelle58971121[[#This Row],[installierte Leistung MW min]]</f>
        <v>0</v>
      </c>
      <c r="CW226" s="19">
        <f>Tabelle58971121[[#This Row],[Mindestauslastung max]]*Tabelle58971121[[#This Row],[installierte Leistung MW max]]</f>
        <v>0</v>
      </c>
      <c r="CX226" s="9">
        <v>0</v>
      </c>
      <c r="CY226" s="9">
        <v>0</v>
      </c>
      <c r="CZ226" s="9">
        <v>0</v>
      </c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39">
        <v>0.84730659025787969</v>
      </c>
      <c r="ED226" s="39">
        <v>0.80401221995926675</v>
      </c>
      <c r="EE226" s="39">
        <v>0.89307182320441991</v>
      </c>
      <c r="EF226" s="11">
        <f>Tabelle58971121[[#This Row],[Durchschnittsauslastung min]]*Tabelle58971121[[#This Row],[installierte Leistung MW min]]</f>
        <v>416.87484240687678</v>
      </c>
      <c r="EG226" s="11">
        <f>Tabelle58971121[[#This Row],[Durchschnittsauslastung durch]]*Tabelle58971121[[#This Row],[installierte Leistung MW durch]]</f>
        <v>557.18046843177183</v>
      </c>
      <c r="EH226" s="46">
        <f>Tabelle58971121[[#This Row],[Durchschnittsauslastung max]]*Tabelle58971121[[#This Row],[installierte Leistung MW max]]</f>
        <v>798.40620994475137</v>
      </c>
      <c r="EI226" s="83">
        <f>Tabelle58971121[[#This Row],[Maximalauslastung durch]]*Tabelle58971121[[#This Row],[installierte Leistung MW min]]</f>
        <v>467.40000000000009</v>
      </c>
      <c r="EJ226" s="46">
        <f>Tabelle58971121[[#This Row],[Maximalauslastung durch]]*Tabelle58971121[[#This Row],[installierte Leistung MW durch]]</f>
        <v>658.35000000000014</v>
      </c>
      <c r="EK226" s="11">
        <f>Tabelle58971121[[#This Row],[Maximalauslastung max]]*Tabelle58971121[[#This Row],[installierte Leistung MW durch]]</f>
        <v>665.27999999999986</v>
      </c>
      <c r="EL226" s="9">
        <v>0.95000000000000018</v>
      </c>
      <c r="EM226" s="9">
        <v>0.94</v>
      </c>
      <c r="EN226" s="9">
        <v>0.95999999999999985</v>
      </c>
      <c r="EO226" s="11">
        <v>693</v>
      </c>
      <c r="EP226" s="11">
        <v>492</v>
      </c>
      <c r="EQ226" s="11">
        <v>894</v>
      </c>
      <c r="ER226" s="1">
        <v>0.24916666666666665</v>
      </c>
      <c r="ES226" s="1">
        <v>8.3333333333333332E-3</v>
      </c>
      <c r="ET226" s="54">
        <v>0.5</v>
      </c>
      <c r="EU226" s="1">
        <v>0.77166666666666672</v>
      </c>
      <c r="EV226" s="1">
        <v>8.3333333333333329E-2</v>
      </c>
      <c r="EW226" s="54">
        <v>3</v>
      </c>
      <c r="EX226" s="1">
        <v>1.3</v>
      </c>
      <c r="EY226" s="1">
        <v>0.5</v>
      </c>
      <c r="EZ226" s="54">
        <v>2.4</v>
      </c>
      <c r="FA226" s="1">
        <v>1.3</v>
      </c>
      <c r="FB226" s="1">
        <v>0.5</v>
      </c>
      <c r="FC226" s="54">
        <v>2.4</v>
      </c>
      <c r="FD226" s="1">
        <v>3</v>
      </c>
      <c r="FE226" s="1">
        <v>1</v>
      </c>
      <c r="FF226" s="54">
        <v>5</v>
      </c>
      <c r="FG226" s="1">
        <v>4.3</v>
      </c>
      <c r="FH226" s="1">
        <v>4.3</v>
      </c>
      <c r="FI226" s="54">
        <v>4.3</v>
      </c>
      <c r="FJ226" s="1">
        <v>3.4</v>
      </c>
      <c r="FK226" s="1">
        <v>1.6</v>
      </c>
      <c r="FL226" s="54">
        <v>5.8999999999999995</v>
      </c>
      <c r="FN226" s="1" t="s">
        <v>646</v>
      </c>
      <c r="FP226" s="1">
        <v>2525</v>
      </c>
      <c r="FQ226" s="1">
        <v>2010</v>
      </c>
      <c r="FR226" s="1">
        <v>3040</v>
      </c>
      <c r="FS226" s="1">
        <v>0</v>
      </c>
      <c r="FT226" s="1">
        <v>0</v>
      </c>
      <c r="FU226" s="1">
        <v>0</v>
      </c>
      <c r="FV226" s="1">
        <v>50</v>
      </c>
      <c r="FW226" s="1">
        <v>20</v>
      </c>
      <c r="FX226" s="1">
        <v>80</v>
      </c>
      <c r="FY226" s="1">
        <v>2.3405882352941174</v>
      </c>
      <c r="FZ226" s="19">
        <v>0.81411764705882328</v>
      </c>
      <c r="GA226" s="19">
        <v>3.8670588235294114</v>
      </c>
      <c r="GB226" s="19">
        <v>178.08823529411762</v>
      </c>
      <c r="GC226" s="8">
        <v>50.882352941176464</v>
      </c>
      <c r="GD226" s="8">
        <v>305.29411764705878</v>
      </c>
      <c r="GE226" s="8">
        <v>433.00882352941176</v>
      </c>
      <c r="GF226" s="8">
        <v>384.16176470588232</v>
      </c>
      <c r="GG226" s="8">
        <v>481.85588235294114</v>
      </c>
      <c r="GH226" s="8">
        <v>0</v>
      </c>
      <c r="GI226" s="8">
        <v>0</v>
      </c>
      <c r="GJ226" s="8">
        <v>30.52941176470588</v>
      </c>
      <c r="GK226" s="8">
        <v>44.776470588235291</v>
      </c>
      <c r="GL226" s="8">
        <v>24.423529411764704</v>
      </c>
      <c r="GM226" s="8">
        <v>65.129411764705878</v>
      </c>
      <c r="GN226" s="8">
        <v>2.0352941176470587</v>
      </c>
      <c r="GO226" s="8">
        <v>0</v>
      </c>
      <c r="GP226" s="8">
        <v>4.0705882352941174</v>
      </c>
      <c r="GS226" s="1">
        <v>220</v>
      </c>
      <c r="GT226" s="1">
        <v>220</v>
      </c>
      <c r="GV226" s="13" t="s">
        <v>643</v>
      </c>
      <c r="GW226" s="1" t="s">
        <v>643</v>
      </c>
      <c r="GX226" s="13">
        <v>182</v>
      </c>
      <c r="GY226" s="13"/>
      <c r="GZ226" s="13">
        <v>182</v>
      </c>
      <c r="HA226" s="13">
        <v>182</v>
      </c>
      <c r="HB226" s="1">
        <v>182</v>
      </c>
      <c r="HC226" s="13" t="s">
        <v>642</v>
      </c>
      <c r="HD226" s="13" t="s">
        <v>641</v>
      </c>
      <c r="HE226" s="1">
        <v>202</v>
      </c>
      <c r="HF226" s="1">
        <v>202</v>
      </c>
      <c r="HH226" s="1" t="s">
        <v>645</v>
      </c>
      <c r="HI226" s="1">
        <v>211</v>
      </c>
      <c r="HJ226" s="1">
        <v>214</v>
      </c>
      <c r="HK226" s="1">
        <v>220</v>
      </c>
      <c r="HL226" s="1">
        <v>214</v>
      </c>
      <c r="HO226" s="1" t="s">
        <v>644</v>
      </c>
    </row>
    <row r="227" spans="1:223" ht="12.75" customHeight="1" x14ac:dyDescent="0.25">
      <c r="A227" s="1" t="s">
        <v>77</v>
      </c>
      <c r="D227" s="1" t="s">
        <v>580</v>
      </c>
      <c r="E227" s="1" t="s">
        <v>126</v>
      </c>
      <c r="F227" s="1">
        <v>1</v>
      </c>
      <c r="G227" s="1">
        <v>2020</v>
      </c>
      <c r="H227" s="1">
        <v>1</v>
      </c>
      <c r="I227" s="1">
        <v>1</v>
      </c>
      <c r="J227" s="1">
        <v>0</v>
      </c>
      <c r="K227" s="19"/>
      <c r="L227" s="19"/>
      <c r="M227" s="19"/>
      <c r="N227" s="11">
        <v>638.8535463258786</v>
      </c>
      <c r="O227" s="11">
        <v>424.81587859424934</v>
      </c>
      <c r="P227" s="11">
        <v>852.89121405750802</v>
      </c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9"/>
      <c r="CR227" s="11">
        <v>77.140479233226841</v>
      </c>
      <c r="CS227" s="11">
        <v>22.8161980830671</v>
      </c>
      <c r="CT227" s="11">
        <v>131.46476038338659</v>
      </c>
      <c r="CU227" s="11">
        <f>Tabelle58971121[[#This Row],[Mindestauslastung durch]]*Tabelle58971121[[#This Row],[installierte Leistung MW durch]]</f>
        <v>0</v>
      </c>
      <c r="CV227" s="11">
        <f>Tabelle58971121[[#This Row],[Mindestauslastung min]]*Tabelle58971121[[#This Row],[installierte Leistung MW min]]</f>
        <v>0</v>
      </c>
      <c r="CW227" s="19">
        <f>Tabelle58971121[[#This Row],[Mindestauslastung max]]*Tabelle58971121[[#This Row],[installierte Leistung MW max]]</f>
        <v>0</v>
      </c>
      <c r="CX227" s="9">
        <v>0</v>
      </c>
      <c r="CY227" s="9">
        <v>0</v>
      </c>
      <c r="CZ227" s="9">
        <v>0</v>
      </c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39">
        <v>0.84754284054603546</v>
      </c>
      <c r="ED227" s="39">
        <v>0.80262852163810638</v>
      </c>
      <c r="EE227" s="39">
        <v>0.89245715945396453</v>
      </c>
      <c r="EF227" s="11">
        <f>Tabelle58971121[[#This Row],[Durchschnittsauslastung min]]*Tabelle58971121[[#This Row],[installierte Leistung MW min]]</f>
        <v>452.51298223495701</v>
      </c>
      <c r="EG227" s="11">
        <f>Tabelle58971121[[#This Row],[Durchschnittsauslastung durch]]*Tabelle58971121[[#This Row],[installierte Leistung MW durch]]</f>
        <v>603.6039928366763</v>
      </c>
      <c r="EH227" s="46">
        <f>Tabelle58971121[[#This Row],[Durchschnittsauslastung max]]*Tabelle58971121[[#This Row],[installierte Leistung MW max]]</f>
        <v>865.82311805157588</v>
      </c>
      <c r="EI227" s="83">
        <f>Tabelle58971121[[#This Row],[Maximalauslastung durch]]*Tabelle58971121[[#This Row],[installierte Leistung MW min]]</f>
        <v>507.2160515759312</v>
      </c>
      <c r="EJ227" s="46">
        <f>Tabelle58971121[[#This Row],[Maximalauslastung durch]]*Tabelle58971121[[#This Row],[installierte Leistung MW durch]]</f>
        <v>714.43236532951289</v>
      </c>
      <c r="EK227" s="11">
        <f>Tabelle58971121[[#This Row],[Maximalauslastung max]]*Tabelle58971121[[#This Row],[installierte Leistung MW durch]]</f>
        <v>721.95270601719199</v>
      </c>
      <c r="EL227" s="9">
        <v>0.95</v>
      </c>
      <c r="EM227" s="9">
        <v>0.94000000000000017</v>
      </c>
      <c r="EN227" s="9">
        <v>0.96</v>
      </c>
      <c r="EO227" s="11">
        <v>752.03406876790837</v>
      </c>
      <c r="EP227" s="11">
        <v>533.91163323782234</v>
      </c>
      <c r="EQ227" s="11">
        <v>970.15650429799427</v>
      </c>
      <c r="ER227" s="1">
        <v>0.21050960886823503</v>
      </c>
      <c r="ES227" s="1">
        <v>8.3333333333333332E-3</v>
      </c>
      <c r="ET227" s="54">
        <v>0.5</v>
      </c>
      <c r="EU227" s="1">
        <v>0.77166666666666672</v>
      </c>
      <c r="EV227" s="1">
        <v>8.3333333333333329E-2</v>
      </c>
      <c r="EW227" s="54">
        <v>3</v>
      </c>
      <c r="EX227" s="1">
        <v>0.77200116177751965</v>
      </c>
      <c r="EY227" s="1">
        <v>0.5</v>
      </c>
      <c r="EZ227" s="54">
        <v>2.4</v>
      </c>
      <c r="FA227" s="1">
        <v>0.77200116177751965</v>
      </c>
      <c r="FB227" s="1">
        <v>0.5</v>
      </c>
      <c r="FC227" s="54">
        <v>2.4</v>
      </c>
      <c r="FD227" s="1">
        <v>2.2457159453964568</v>
      </c>
      <c r="FE227" s="1">
        <v>1</v>
      </c>
      <c r="FF227" s="54">
        <v>5</v>
      </c>
      <c r="FG227" s="1">
        <v>3.0177171071739766</v>
      </c>
      <c r="FH227" s="1">
        <v>2.3674418604651164</v>
      </c>
      <c r="FI227" s="54">
        <v>2.6029526238088847</v>
      </c>
      <c r="FJ227" s="1">
        <v>2.4948591344757483</v>
      </c>
      <c r="FK227" s="1">
        <v>1.6</v>
      </c>
      <c r="FL227" s="54">
        <v>5.8999999999999995</v>
      </c>
      <c r="FN227" s="1" t="s">
        <v>646</v>
      </c>
      <c r="FP227" s="1">
        <v>2525</v>
      </c>
      <c r="FQ227" s="1">
        <v>2010</v>
      </c>
      <c r="FR227" s="1">
        <v>3040</v>
      </c>
      <c r="FS227" s="1">
        <v>0</v>
      </c>
      <c r="FT227" s="1">
        <v>0</v>
      </c>
      <c r="FU227" s="1">
        <v>0</v>
      </c>
      <c r="FV227" s="1">
        <v>50</v>
      </c>
      <c r="FW227" s="1">
        <v>20</v>
      </c>
      <c r="FX227" s="1">
        <v>80</v>
      </c>
      <c r="FY227" s="1">
        <v>2.3405882352941174</v>
      </c>
      <c r="FZ227" s="19">
        <v>0.81411764705882328</v>
      </c>
      <c r="GA227" s="19">
        <v>3.8670588235294114</v>
      </c>
      <c r="GB227" s="19">
        <v>178.08823529411762</v>
      </c>
      <c r="GC227" s="8">
        <v>50.882352941176464</v>
      </c>
      <c r="GD227" s="8">
        <v>305.29411764705878</v>
      </c>
      <c r="GE227" s="8">
        <v>433.00882352941176</v>
      </c>
      <c r="GF227" s="8">
        <v>384.16176470588232</v>
      </c>
      <c r="GG227" s="8">
        <v>481.85588235294114</v>
      </c>
      <c r="GH227" s="8">
        <v>0</v>
      </c>
      <c r="GI227" s="8">
        <v>0</v>
      </c>
      <c r="GJ227" s="8">
        <v>30.52941176470588</v>
      </c>
      <c r="GK227" s="8">
        <v>44.776470588235291</v>
      </c>
      <c r="GL227" s="8">
        <v>24.423529411764704</v>
      </c>
      <c r="GM227" s="8">
        <v>65.129411764705878</v>
      </c>
      <c r="GN227" s="8">
        <v>2.0352941176470587</v>
      </c>
      <c r="GO227" s="8">
        <v>0</v>
      </c>
      <c r="GP227" s="8">
        <v>4.0705882352941174</v>
      </c>
      <c r="GS227" s="1">
        <v>220</v>
      </c>
      <c r="GT227" s="1">
        <v>220</v>
      </c>
      <c r="GV227" s="13" t="s">
        <v>643</v>
      </c>
      <c r="GW227" s="1" t="s">
        <v>643</v>
      </c>
      <c r="GX227" s="13">
        <v>182</v>
      </c>
      <c r="GY227" s="13"/>
      <c r="GZ227" s="13">
        <v>182</v>
      </c>
      <c r="HA227" s="13">
        <v>182</v>
      </c>
      <c r="HB227" s="1">
        <v>182</v>
      </c>
      <c r="HC227" s="13" t="s">
        <v>642</v>
      </c>
      <c r="HD227" s="13" t="s">
        <v>641</v>
      </c>
      <c r="HE227" s="1">
        <v>202</v>
      </c>
      <c r="HF227" s="1">
        <v>202</v>
      </c>
      <c r="HH227" s="1" t="s">
        <v>645</v>
      </c>
      <c r="HI227" s="1">
        <v>211</v>
      </c>
      <c r="HJ227" s="1">
        <v>214</v>
      </c>
      <c r="HK227" s="1">
        <v>220</v>
      </c>
      <c r="HL227" s="1">
        <v>214</v>
      </c>
      <c r="HO227" s="1" t="s">
        <v>644</v>
      </c>
    </row>
    <row r="228" spans="1:223" ht="12.75" customHeight="1" x14ac:dyDescent="0.25">
      <c r="A228" s="1" t="s">
        <v>77</v>
      </c>
      <c r="D228" s="1" t="s">
        <v>580</v>
      </c>
      <c r="E228" s="1" t="s">
        <v>126</v>
      </c>
      <c r="F228" s="1">
        <v>1</v>
      </c>
      <c r="G228" s="1">
        <v>2025</v>
      </c>
      <c r="H228" s="1">
        <v>1</v>
      </c>
      <c r="I228" s="1">
        <v>1</v>
      </c>
      <c r="J228" s="1">
        <v>0</v>
      </c>
      <c r="K228" s="19"/>
      <c r="L228" s="19"/>
      <c r="M228" s="19"/>
      <c r="N228" s="11">
        <v>695.8267049463517</v>
      </c>
      <c r="O228" s="11">
        <v>462.70109121432569</v>
      </c>
      <c r="P228" s="11">
        <v>928.95231867837765</v>
      </c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9"/>
      <c r="CR228" s="11">
        <v>84.019891243522054</v>
      </c>
      <c r="CS228" s="11">
        <v>24.850953748083988</v>
      </c>
      <c r="CT228" s="11">
        <v>143.18882873896013</v>
      </c>
      <c r="CU228" s="11">
        <f>Tabelle58971121[[#This Row],[Mindestauslastung durch]]*Tabelle58971121[[#This Row],[installierte Leistung MW durch]]</f>
        <v>0</v>
      </c>
      <c r="CV228" s="11">
        <f>Tabelle58971121[[#This Row],[Mindestauslastung min]]*Tabelle58971121[[#This Row],[installierte Leistung MW min]]</f>
        <v>0</v>
      </c>
      <c r="CW228" s="19">
        <f>Tabelle58971121[[#This Row],[Mindestauslastung max]]*Tabelle58971121[[#This Row],[installierte Leistung MW max]]</f>
        <v>0</v>
      </c>
      <c r="CX228" s="9">
        <v>0</v>
      </c>
      <c r="CY228" s="9">
        <v>0</v>
      </c>
      <c r="CZ228" s="9">
        <v>0</v>
      </c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39">
        <v>0.84778156249239667</v>
      </c>
      <c r="ED228" s="39">
        <v>0.80334468747719034</v>
      </c>
      <c r="EE228" s="39">
        <v>0.89221843750760332</v>
      </c>
      <c r="EF228" s="11">
        <f>Tabelle58971121[[#This Row],[Durchschnittsauslastung min]]*Tabelle58971121[[#This Row],[installierte Leistung MW min]]</f>
        <v>491.21998968481364</v>
      </c>
      <c r="EG228" s="11">
        <f>Tabelle58971121[[#This Row],[Durchschnittsauslastung durch]]*Tabelle58971121[[#This Row],[installierte Leistung MW durch]]</f>
        <v>655.63498882521492</v>
      </c>
      <c r="EH228" s="46">
        <f>Tabelle58971121[[#This Row],[Durchschnittsauslastung max]]*Tabelle58971121[[#This Row],[installierte Leistung MW max]]</f>
        <v>939.36781031518626</v>
      </c>
      <c r="EI228" s="83">
        <f>Tabelle58971121[[#This Row],[Maximalauslastung durch]]*Tabelle58971121[[#This Row],[installierte Leistung MW min]]</f>
        <v>550.44720343839538</v>
      </c>
      <c r="EJ228" s="46">
        <f>Tabelle58971121[[#This Row],[Maximalauslastung durch]]*Tabelle58971121[[#This Row],[installierte Leistung MW durch]]</f>
        <v>775.3250243553008</v>
      </c>
      <c r="EK228" s="11">
        <f>Tabelle58971121[[#This Row],[Maximalauslastung max]]*Tabelle58971121[[#This Row],[installierte Leistung MW durch]]</f>
        <v>783.48634040114609</v>
      </c>
      <c r="EL228" s="9">
        <v>0.95</v>
      </c>
      <c r="EM228" s="9">
        <v>0.94000000000000017</v>
      </c>
      <c r="EN228" s="9">
        <v>0.96</v>
      </c>
      <c r="EO228" s="11">
        <v>816.13160458452717</v>
      </c>
      <c r="EP228" s="11">
        <v>579.41810888252144</v>
      </c>
      <c r="EQ228" s="11">
        <v>1052.8451002865329</v>
      </c>
      <c r="ER228" s="1">
        <v>0.20928615889313315</v>
      </c>
      <c r="ES228" s="1">
        <v>8.3333333333333332E-3</v>
      </c>
      <c r="ET228" s="54">
        <v>0.5</v>
      </c>
      <c r="EU228" s="1">
        <v>0.77166666666666672</v>
      </c>
      <c r="EV228" s="1">
        <v>8.3333333333333329E-2</v>
      </c>
      <c r="EW228" s="54">
        <v>3</v>
      </c>
      <c r="EX228" s="1">
        <v>0.75529062553222559</v>
      </c>
      <c r="EY228" s="1">
        <v>0.5</v>
      </c>
      <c r="EZ228" s="54">
        <v>2.4</v>
      </c>
      <c r="FA228" s="1">
        <v>0.75529062553222559</v>
      </c>
      <c r="FB228" s="1">
        <v>0.5</v>
      </c>
      <c r="FC228" s="54">
        <v>2.4</v>
      </c>
      <c r="FD228" s="1">
        <v>2.2218437507603221</v>
      </c>
      <c r="FE228" s="1">
        <v>1</v>
      </c>
      <c r="FF228" s="54">
        <v>5</v>
      </c>
      <c r="FG228" s="1">
        <v>2.9771343762925482</v>
      </c>
      <c r="FH228" s="1">
        <v>2.3502905100064559</v>
      </c>
      <c r="FI228" s="54">
        <v>2.5656282837869906</v>
      </c>
      <c r="FJ228" s="1">
        <v>2.4662125009123868</v>
      </c>
      <c r="FK228" s="1">
        <v>1.6</v>
      </c>
      <c r="FL228" s="54">
        <v>5.8999999999999995</v>
      </c>
      <c r="FN228" s="1" t="s">
        <v>646</v>
      </c>
      <c r="FP228" s="1">
        <v>2525</v>
      </c>
      <c r="FQ228" s="1">
        <v>2010</v>
      </c>
      <c r="FR228" s="1">
        <v>3040</v>
      </c>
      <c r="FS228" s="1">
        <v>0</v>
      </c>
      <c r="FT228" s="1">
        <v>0</v>
      </c>
      <c r="FU228" s="1">
        <v>0</v>
      </c>
      <c r="FV228" s="1">
        <v>50</v>
      </c>
      <c r="FW228" s="1">
        <v>20</v>
      </c>
      <c r="FX228" s="1">
        <v>80</v>
      </c>
      <c r="FY228" s="1">
        <v>2.3405882352941174</v>
      </c>
      <c r="FZ228" s="19">
        <v>0.81411764705882328</v>
      </c>
      <c r="GA228" s="19">
        <v>3.8670588235294114</v>
      </c>
      <c r="GB228" s="19">
        <v>178.08823529411762</v>
      </c>
      <c r="GC228" s="8">
        <v>50.882352941176464</v>
      </c>
      <c r="GD228" s="8">
        <v>305.29411764705878</v>
      </c>
      <c r="GE228" s="8">
        <v>433.00882352941176</v>
      </c>
      <c r="GF228" s="8">
        <v>384.16176470588232</v>
      </c>
      <c r="GG228" s="8">
        <v>481.85588235294114</v>
      </c>
      <c r="GH228" s="8">
        <v>0</v>
      </c>
      <c r="GI228" s="8">
        <v>0</v>
      </c>
      <c r="GJ228" s="8">
        <v>30.52941176470588</v>
      </c>
      <c r="GK228" s="8">
        <v>44.776470588235291</v>
      </c>
      <c r="GL228" s="8">
        <v>24.423529411764704</v>
      </c>
      <c r="GM228" s="8">
        <v>65.129411764705878</v>
      </c>
      <c r="GN228" s="8">
        <v>2.0352941176470587</v>
      </c>
      <c r="GO228" s="8">
        <v>0</v>
      </c>
      <c r="GP228" s="8">
        <v>4.0705882352941174</v>
      </c>
      <c r="GS228" s="1">
        <v>220</v>
      </c>
      <c r="GT228" s="1">
        <v>220</v>
      </c>
      <c r="GV228" s="13" t="s">
        <v>643</v>
      </c>
      <c r="GW228" s="1" t="s">
        <v>643</v>
      </c>
      <c r="GX228" s="13">
        <v>182</v>
      </c>
      <c r="GY228" s="13"/>
      <c r="GZ228" s="13">
        <v>182</v>
      </c>
      <c r="HA228" s="13">
        <v>182</v>
      </c>
      <c r="HB228" s="1">
        <v>182</v>
      </c>
      <c r="HC228" s="13" t="s">
        <v>642</v>
      </c>
      <c r="HD228" s="13" t="s">
        <v>641</v>
      </c>
      <c r="HE228" s="1">
        <v>202</v>
      </c>
      <c r="HF228" s="1">
        <v>202</v>
      </c>
      <c r="HH228" s="1" t="s">
        <v>645</v>
      </c>
      <c r="HI228" s="1">
        <v>211</v>
      </c>
      <c r="HJ228" s="1">
        <v>214</v>
      </c>
      <c r="HK228" s="1">
        <v>220</v>
      </c>
      <c r="HL228" s="1">
        <v>214</v>
      </c>
      <c r="HO228" s="1" t="s">
        <v>644</v>
      </c>
    </row>
    <row r="229" spans="1:223" ht="12.75" customHeight="1" x14ac:dyDescent="0.25">
      <c r="A229" s="1" t="s">
        <v>77</v>
      </c>
      <c r="D229" s="1" t="s">
        <v>580</v>
      </c>
      <c r="E229" s="1" t="s">
        <v>126</v>
      </c>
      <c r="F229" s="1">
        <v>1</v>
      </c>
      <c r="G229" s="1">
        <v>2030</v>
      </c>
      <c r="H229" s="1">
        <v>1</v>
      </c>
      <c r="I229" s="1">
        <v>1</v>
      </c>
      <c r="J229" s="1">
        <v>0</v>
      </c>
      <c r="K229" s="19"/>
      <c r="L229" s="19"/>
      <c r="M229" s="19"/>
      <c r="N229" s="11">
        <v>716.79484548767221</v>
      </c>
      <c r="O229" s="11">
        <v>476.6441914722447</v>
      </c>
      <c r="P229" s="11">
        <v>956.94549950309988</v>
      </c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9"/>
      <c r="CR229" s="11">
        <v>86.551758553783543</v>
      </c>
      <c r="CS229" s="11">
        <v>25.59981591027401</v>
      </c>
      <c r="CT229" s="11">
        <v>147.50370119729311</v>
      </c>
      <c r="CU229" s="11">
        <f>Tabelle58971121[[#This Row],[Mindestauslastung durch]]*Tabelle58971121[[#This Row],[installierte Leistung MW durch]]</f>
        <v>0</v>
      </c>
      <c r="CV229" s="11">
        <f>Tabelle58971121[[#This Row],[Mindestauslastung min]]*Tabelle58971121[[#This Row],[installierte Leistung MW min]]</f>
        <v>0</v>
      </c>
      <c r="CW229" s="19">
        <f>Tabelle58971121[[#This Row],[Mindestauslastung max]]*Tabelle58971121[[#This Row],[installierte Leistung MW max]]</f>
        <v>0</v>
      </c>
      <c r="CX229" s="9">
        <v>0</v>
      </c>
      <c r="CY229" s="9">
        <v>0</v>
      </c>
      <c r="CZ229" s="9">
        <v>0</v>
      </c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39">
        <v>0.84786474847380633</v>
      </c>
      <c r="ED229" s="39">
        <v>0.80359424542141877</v>
      </c>
      <c r="EE229" s="39">
        <v>0.89213525152619377</v>
      </c>
      <c r="EF229" s="11">
        <f>Tabelle58971121[[#This Row],[Durchschnittsauslastung min]]*Tabelle58971121[[#This Row],[installierte Leistung MW min]]</f>
        <v>505.14528137535819</v>
      </c>
      <c r="EG229" s="11">
        <f>Tabelle58971121[[#This Row],[Durchschnittsauslastung durch]]*Tabelle58971121[[#This Row],[installierte Leistung MW durch]]</f>
        <v>674.36445558739251</v>
      </c>
      <c r="EH229" s="46">
        <f>Tabelle58971121[[#This Row],[Durchschnittsauslastung max]]*Tabelle58971121[[#This Row],[installierte Leistung MW max]]</f>
        <v>965.81253524355293</v>
      </c>
      <c r="EI229" s="83">
        <f>Tabelle58971121[[#This Row],[Maximalauslastung durch]]*Tabelle58971121[[#This Row],[installierte Leistung MW min]]</f>
        <v>565.99595415472777</v>
      </c>
      <c r="EJ229" s="46">
        <f>Tabelle58971121[[#This Row],[Maximalauslastung durch]]*Tabelle58971121[[#This Row],[installierte Leistung MW durch]]</f>
        <v>797.22600859598845</v>
      </c>
      <c r="EK229" s="11">
        <f>Tabelle58971121[[#This Row],[Maximalauslastung max]]*Tabelle58971121[[#This Row],[installierte Leistung MW durch]]</f>
        <v>805.6178613180515</v>
      </c>
      <c r="EL229" s="9">
        <v>0.95</v>
      </c>
      <c r="EM229" s="9">
        <v>0.94000000000000017</v>
      </c>
      <c r="EN229" s="9">
        <v>0.96</v>
      </c>
      <c r="EO229" s="11">
        <v>839.18527220630369</v>
      </c>
      <c r="EP229" s="11">
        <v>595.78521489971342</v>
      </c>
      <c r="EQ229" s="11">
        <v>1082.5853295128938</v>
      </c>
      <c r="ER229" s="1">
        <v>0.20885983073840958</v>
      </c>
      <c r="ES229" s="1">
        <v>8.3333333333333332E-3</v>
      </c>
      <c r="ET229" s="54">
        <v>0.5</v>
      </c>
      <c r="EU229" s="1">
        <v>0.77166666666666672</v>
      </c>
      <c r="EV229" s="1">
        <v>8.3333333333333329E-2</v>
      </c>
      <c r="EW229" s="54">
        <v>3</v>
      </c>
      <c r="EX229" s="1">
        <v>0.74946760683356195</v>
      </c>
      <c r="EY229" s="1">
        <v>0.5</v>
      </c>
      <c r="EZ229" s="54">
        <v>2.4</v>
      </c>
      <c r="FA229" s="1">
        <v>0.74946760683356195</v>
      </c>
      <c r="FB229" s="1">
        <v>0.5</v>
      </c>
      <c r="FC229" s="54">
        <v>2.4</v>
      </c>
      <c r="FD229" s="1">
        <v>2.2135251526193742</v>
      </c>
      <c r="FE229" s="1">
        <v>1</v>
      </c>
      <c r="FF229" s="54">
        <v>5</v>
      </c>
      <c r="FG229" s="1">
        <v>2.9629927594529364</v>
      </c>
      <c r="FH229" s="1">
        <v>2.3443609022556395</v>
      </c>
      <c r="FI229" s="54">
        <v>2.5525340143542774</v>
      </c>
      <c r="FJ229" s="1">
        <v>2.4562301831432491</v>
      </c>
      <c r="FK229" s="1">
        <v>1.6</v>
      </c>
      <c r="FL229" s="54">
        <v>5.8999999999999995</v>
      </c>
      <c r="FN229" s="1" t="s">
        <v>646</v>
      </c>
      <c r="FP229" s="1">
        <v>2525</v>
      </c>
      <c r="FQ229" s="1">
        <v>2010</v>
      </c>
      <c r="FR229" s="1">
        <v>3040</v>
      </c>
      <c r="FS229" s="1">
        <v>0</v>
      </c>
      <c r="FT229" s="1">
        <v>0</v>
      </c>
      <c r="FU229" s="1">
        <v>0</v>
      </c>
      <c r="FV229" s="1">
        <v>50</v>
      </c>
      <c r="FW229" s="1">
        <v>20</v>
      </c>
      <c r="FX229" s="1">
        <v>80</v>
      </c>
      <c r="FY229" s="1">
        <v>2.3405882352941174</v>
      </c>
      <c r="FZ229" s="19">
        <v>0.81411764705882328</v>
      </c>
      <c r="GA229" s="19">
        <v>3.8670588235294114</v>
      </c>
      <c r="GB229" s="19">
        <v>178.08823529411762</v>
      </c>
      <c r="GC229" s="8">
        <v>50.882352941176464</v>
      </c>
      <c r="GD229" s="8">
        <v>305.29411764705878</v>
      </c>
      <c r="GE229" s="8">
        <v>433.00882352941176</v>
      </c>
      <c r="GF229" s="8">
        <v>384.16176470588232</v>
      </c>
      <c r="GG229" s="8">
        <v>481.85588235294114</v>
      </c>
      <c r="GH229" s="8">
        <v>0</v>
      </c>
      <c r="GI229" s="8">
        <v>0</v>
      </c>
      <c r="GJ229" s="8">
        <v>30.52941176470588</v>
      </c>
      <c r="GK229" s="8">
        <v>44.776470588235291</v>
      </c>
      <c r="GL229" s="8">
        <v>24.423529411764704</v>
      </c>
      <c r="GM229" s="8">
        <v>65.129411764705878</v>
      </c>
      <c r="GN229" s="8">
        <v>2.0352941176470587</v>
      </c>
      <c r="GO229" s="8">
        <v>0</v>
      </c>
      <c r="GP229" s="8">
        <v>4.0705882352941174</v>
      </c>
      <c r="GS229" s="1">
        <v>220</v>
      </c>
      <c r="GT229" s="1">
        <v>220</v>
      </c>
      <c r="GV229" s="13" t="s">
        <v>643</v>
      </c>
      <c r="GW229" s="1" t="s">
        <v>643</v>
      </c>
      <c r="GX229" s="13">
        <v>182</v>
      </c>
      <c r="GY229" s="13"/>
      <c r="GZ229" s="13">
        <v>182</v>
      </c>
      <c r="HA229" s="13">
        <v>182</v>
      </c>
      <c r="HB229" s="1">
        <v>182</v>
      </c>
      <c r="HC229" s="13" t="s">
        <v>642</v>
      </c>
      <c r="HD229" s="13" t="s">
        <v>641</v>
      </c>
      <c r="HE229" s="1">
        <v>202</v>
      </c>
      <c r="HF229" s="1">
        <v>202</v>
      </c>
      <c r="HH229" s="1" t="s">
        <v>645</v>
      </c>
      <c r="HI229" s="1">
        <v>211</v>
      </c>
      <c r="HJ229" s="1">
        <v>214</v>
      </c>
      <c r="HK229" s="1">
        <v>220</v>
      </c>
      <c r="HL229" s="1">
        <v>214</v>
      </c>
      <c r="HO229" s="1" t="s">
        <v>644</v>
      </c>
    </row>
    <row r="230" spans="1:223" ht="12.75" customHeight="1" x14ac:dyDescent="0.25">
      <c r="A230" s="1" t="s">
        <v>77</v>
      </c>
      <c r="D230" s="1" t="s">
        <v>580</v>
      </c>
      <c r="E230" s="1" t="s">
        <v>126</v>
      </c>
      <c r="F230" s="1">
        <v>1</v>
      </c>
      <c r="G230" s="1">
        <v>2035</v>
      </c>
      <c r="H230" s="1">
        <v>1</v>
      </c>
      <c r="I230" s="1">
        <v>1</v>
      </c>
      <c r="J230" s="1">
        <v>0</v>
      </c>
      <c r="K230" s="19"/>
      <c r="L230" s="19"/>
      <c r="M230" s="19"/>
      <c r="N230" s="11">
        <v>743.38463121783889</v>
      </c>
      <c r="O230" s="11">
        <v>494.3254945683247</v>
      </c>
      <c r="P230" s="11">
        <v>992.4437678673529</v>
      </c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9"/>
      <c r="CR230" s="11">
        <v>89.76242995997714</v>
      </c>
      <c r="CS230" s="11">
        <v>26.54945111492281</v>
      </c>
      <c r="CT230" s="11">
        <v>152.97540880503146</v>
      </c>
      <c r="CU230" s="11">
        <f>Tabelle58971121[[#This Row],[Mindestauslastung durch]]*Tabelle58971121[[#This Row],[installierte Leistung MW durch]]</f>
        <v>0</v>
      </c>
      <c r="CV230" s="11">
        <f>Tabelle58971121[[#This Row],[Mindestauslastung min]]*Tabelle58971121[[#This Row],[installierte Leistung MW min]]</f>
        <v>0</v>
      </c>
      <c r="CW230" s="19">
        <f>Tabelle58971121[[#This Row],[Mindestauslastung max]]*Tabelle58971121[[#This Row],[installierte Leistung MW max]]</f>
        <v>0</v>
      </c>
      <c r="CX230" s="9">
        <v>0</v>
      </c>
      <c r="CY230" s="9">
        <v>0</v>
      </c>
      <c r="CZ230" s="9">
        <v>0</v>
      </c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39">
        <v>0.84795769010863353</v>
      </c>
      <c r="ED230" s="39">
        <v>0.8038730703259005</v>
      </c>
      <c r="EE230" s="39">
        <v>0.89204230989136646</v>
      </c>
      <c r="EF230" s="11">
        <f>Tabelle58971121[[#This Row],[Durchschnittsauslastung min]]*Tabelle58971121[[#This Row],[installierte Leistung MW min]]</f>
        <v>522.68938108882526</v>
      </c>
      <c r="EG230" s="11">
        <f>Tabelle58971121[[#This Row],[Durchschnittsauslastung durch]]*Tabelle58971121[[#This Row],[installierte Leistung MW durch]]</f>
        <v>697.95127650429799</v>
      </c>
      <c r="EH230" s="46">
        <f>Tabelle58971121[[#This Row],[Durchschnittsauslastung max]]*Tabelle58971121[[#This Row],[installierte Leistung MW max]]</f>
        <v>999.14234097421195</v>
      </c>
      <c r="EI230" s="83">
        <f>Tabelle58971121[[#This Row],[Maximalauslastung durch]]*Tabelle58971121[[#This Row],[installierte Leistung MW min]]</f>
        <v>585.5892550143268</v>
      </c>
      <c r="EJ230" s="46">
        <f>Tabelle58971121[[#This Row],[Maximalauslastung durch]]*Tabelle58971121[[#This Row],[installierte Leistung MW durch]]</f>
        <v>824.82388968481393</v>
      </c>
      <c r="EK230" s="11">
        <f>Tabelle58971121[[#This Row],[Maximalauslastung max]]*Tabelle58971121[[#This Row],[installierte Leistung MW durch]]</f>
        <v>833.50624641833815</v>
      </c>
      <c r="EL230" s="9">
        <v>0.95000000000000018</v>
      </c>
      <c r="EM230" s="9">
        <v>0.94</v>
      </c>
      <c r="EN230" s="9">
        <v>0.96</v>
      </c>
      <c r="EO230" s="11">
        <v>868.23567335243558</v>
      </c>
      <c r="EP230" s="11">
        <v>616.40974212034382</v>
      </c>
      <c r="EQ230" s="11">
        <v>1120.0616045845272</v>
      </c>
      <c r="ER230" s="1">
        <v>0.20838350485991994</v>
      </c>
      <c r="ES230" s="1">
        <v>8.3333333333333332E-3</v>
      </c>
      <c r="ET230" s="54">
        <v>0.5</v>
      </c>
      <c r="EU230" s="1">
        <v>0.77166666666666683</v>
      </c>
      <c r="EV230" s="1">
        <v>8.3333333333333329E-2</v>
      </c>
      <c r="EW230" s="54">
        <v>3</v>
      </c>
      <c r="EX230" s="1">
        <v>0.74296169239565468</v>
      </c>
      <c r="EY230" s="1">
        <v>0.5</v>
      </c>
      <c r="EZ230" s="54">
        <v>2.4</v>
      </c>
      <c r="FA230" s="1">
        <v>0.74296169239565468</v>
      </c>
      <c r="FB230" s="1">
        <v>0.5</v>
      </c>
      <c r="FC230" s="54">
        <v>2.4</v>
      </c>
      <c r="FD230" s="1">
        <v>2.2042309891366498</v>
      </c>
      <c r="FE230" s="1">
        <v>1</v>
      </c>
      <c r="FF230" s="54">
        <v>5</v>
      </c>
      <c r="FG230" s="1">
        <v>2.9471926815323046</v>
      </c>
      <c r="FH230" s="1">
        <v>2.3377643504531727</v>
      </c>
      <c r="FI230" s="54">
        <v>2.5378497947870589</v>
      </c>
      <c r="FJ230" s="1">
        <v>2.4450771869639798</v>
      </c>
      <c r="FK230" s="1">
        <v>1.6</v>
      </c>
      <c r="FL230" s="54">
        <v>5.8999999999999995</v>
      </c>
      <c r="FN230" s="1" t="s">
        <v>646</v>
      </c>
      <c r="FP230" s="1">
        <v>2525</v>
      </c>
      <c r="FQ230" s="1">
        <v>2010</v>
      </c>
      <c r="FR230" s="1">
        <v>3040</v>
      </c>
      <c r="FS230" s="1">
        <v>0</v>
      </c>
      <c r="FT230" s="1">
        <v>0</v>
      </c>
      <c r="FU230" s="1">
        <v>0</v>
      </c>
      <c r="FV230" s="1">
        <v>50</v>
      </c>
      <c r="FW230" s="1">
        <v>20</v>
      </c>
      <c r="FX230" s="1">
        <v>80</v>
      </c>
      <c r="FY230" s="1">
        <v>2.3405882352941174</v>
      </c>
      <c r="FZ230" s="19">
        <v>0.81411764705882328</v>
      </c>
      <c r="GA230" s="19">
        <v>3.8670588235294114</v>
      </c>
      <c r="GB230" s="19">
        <v>178.08823529411762</v>
      </c>
      <c r="GC230" s="8">
        <v>50.882352941176464</v>
      </c>
      <c r="GD230" s="8">
        <v>305.29411764705878</v>
      </c>
      <c r="GE230" s="8">
        <v>433.00882352941176</v>
      </c>
      <c r="GF230" s="8">
        <v>384.16176470588232</v>
      </c>
      <c r="GG230" s="8">
        <v>481.85588235294114</v>
      </c>
      <c r="GH230" s="8">
        <v>0</v>
      </c>
      <c r="GI230" s="8">
        <v>0</v>
      </c>
      <c r="GJ230" s="8">
        <v>30.52941176470588</v>
      </c>
      <c r="GK230" s="8">
        <v>44.776470588235291</v>
      </c>
      <c r="GL230" s="8">
        <v>24.423529411764704</v>
      </c>
      <c r="GM230" s="8">
        <v>65.129411764705878</v>
      </c>
      <c r="GN230" s="8">
        <v>2.0352941176470587</v>
      </c>
      <c r="GO230" s="8">
        <v>0</v>
      </c>
      <c r="GP230" s="8">
        <v>4.0705882352941174</v>
      </c>
      <c r="GS230" s="1">
        <v>220</v>
      </c>
      <c r="GT230" s="1">
        <v>220</v>
      </c>
      <c r="GV230" s="13" t="s">
        <v>643</v>
      </c>
      <c r="GW230" s="1" t="s">
        <v>643</v>
      </c>
      <c r="GX230" s="13">
        <v>182</v>
      </c>
      <c r="GY230" s="13"/>
      <c r="GZ230" s="13">
        <v>182</v>
      </c>
      <c r="HA230" s="13">
        <v>182</v>
      </c>
      <c r="HB230" s="1">
        <v>182</v>
      </c>
      <c r="HC230" s="13" t="s">
        <v>642</v>
      </c>
      <c r="HD230" s="13" t="s">
        <v>641</v>
      </c>
      <c r="HE230" s="1">
        <v>202</v>
      </c>
      <c r="HF230" s="1">
        <v>202</v>
      </c>
      <c r="HH230" s="1" t="s">
        <v>645</v>
      </c>
      <c r="HI230" s="1">
        <v>211</v>
      </c>
      <c r="HJ230" s="1">
        <v>214</v>
      </c>
      <c r="HK230" s="1">
        <v>220</v>
      </c>
      <c r="HL230" s="1">
        <v>214</v>
      </c>
      <c r="HO230" s="1" t="s">
        <v>644</v>
      </c>
    </row>
    <row r="231" spans="1:223" ht="12.75" customHeight="1" x14ac:dyDescent="0.25">
      <c r="A231" s="1" t="s">
        <v>77</v>
      </c>
      <c r="D231" s="1" t="s">
        <v>580</v>
      </c>
      <c r="E231" s="1" t="s">
        <v>126</v>
      </c>
      <c r="F231" s="1">
        <v>1</v>
      </c>
      <c r="G231" s="1">
        <v>2040</v>
      </c>
      <c r="H231" s="1">
        <v>1</v>
      </c>
      <c r="I231" s="1">
        <v>1</v>
      </c>
      <c r="J231" s="1">
        <v>0</v>
      </c>
      <c r="K231" s="19"/>
      <c r="L231" s="19"/>
      <c r="M231" s="19"/>
      <c r="N231" s="11">
        <v>769.88687977669986</v>
      </c>
      <c r="O231" s="11">
        <v>511.94858842294144</v>
      </c>
      <c r="P231" s="11">
        <v>1027.8251711304579</v>
      </c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9"/>
      <c r="CR231" s="11">
        <v>92.962531401608317</v>
      </c>
      <c r="CS231" s="11">
        <v>27.495959992024989</v>
      </c>
      <c r="CT231" s="11">
        <v>158.4291028111916</v>
      </c>
      <c r="CU231" s="11">
        <f>Tabelle58971121[[#This Row],[Mindestauslastung durch]]*Tabelle58971121[[#This Row],[installierte Leistung MW durch]]</f>
        <v>0</v>
      </c>
      <c r="CV231" s="11">
        <f>Tabelle58971121[[#This Row],[Mindestauslastung min]]*Tabelle58971121[[#This Row],[installierte Leistung MW min]]</f>
        <v>0</v>
      </c>
      <c r="CW231" s="19">
        <f>Tabelle58971121[[#This Row],[Mindestauslastung max]]*Tabelle58971121[[#This Row],[installierte Leistung MW max]]</f>
        <v>0</v>
      </c>
      <c r="CX231" s="9">
        <v>0</v>
      </c>
      <c r="CY231" s="9">
        <v>0</v>
      </c>
      <c r="CZ231" s="9">
        <v>0</v>
      </c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39">
        <v>0.84806340134246028</v>
      </c>
      <c r="ED231" s="39">
        <v>0.80419020402738084</v>
      </c>
      <c r="EE231" s="39">
        <v>0.89193659865753971</v>
      </c>
      <c r="EF231" s="11">
        <f>Tabelle58971121[[#This Row],[Durchschnittsauslastung min]]*Tabelle58971121[[#This Row],[installierte Leistung MW min]]</f>
        <v>539.68354040114616</v>
      </c>
      <c r="EG231" s="11">
        <f>Tabelle58971121[[#This Row],[Durchschnittsauslastung durch]]*Tabelle58971121[[#This Row],[installierte Leistung MW durch]]</f>
        <v>720.83814756446986</v>
      </c>
      <c r="EH231" s="46">
        <f>Tabelle58971121[[#This Row],[Durchschnittsauslastung max]]*Tabelle58971121[[#This Row],[installierte Leistung MW max]]</f>
        <v>1031.3765484240689</v>
      </c>
      <c r="EI231" s="83">
        <f>Tabelle58971121[[#This Row],[Maximalauslastung durch]]*Tabelle58971121[[#This Row],[installierte Leistung MW min]]</f>
        <v>604.55310601719214</v>
      </c>
      <c r="EJ231" s="46">
        <f>Tabelle58971121[[#This Row],[Maximalauslastung durch]]*Tabelle58971121[[#This Row],[installierte Leistung MW durch]]</f>
        <v>851.53516762177674</v>
      </c>
      <c r="EK231" s="11">
        <f>Tabelle58971121[[#This Row],[Maximalauslastung max]]*Tabelle58971121[[#This Row],[installierte Leistung MW durch]]</f>
        <v>860.49869570200576</v>
      </c>
      <c r="EL231" s="9">
        <v>0.95000000000000018</v>
      </c>
      <c r="EM231" s="9">
        <v>0.94</v>
      </c>
      <c r="EN231" s="9">
        <v>0.96</v>
      </c>
      <c r="EO231" s="11">
        <v>896.35280802292266</v>
      </c>
      <c r="EP231" s="11">
        <v>636.37169054441267</v>
      </c>
      <c r="EQ231" s="11">
        <v>1156.3339255014328</v>
      </c>
      <c r="ER231" s="1">
        <v>0.20784173478655765</v>
      </c>
      <c r="ES231" s="1">
        <v>8.3333333333333332E-3</v>
      </c>
      <c r="ET231" s="54">
        <v>0.5</v>
      </c>
      <c r="EU231" s="1">
        <v>0.77166666666666683</v>
      </c>
      <c r="EV231" s="1">
        <v>8.3333333333333329E-2</v>
      </c>
      <c r="EW231" s="54">
        <v>3</v>
      </c>
      <c r="EX231" s="1">
        <v>0.7355619060277796</v>
      </c>
      <c r="EY231" s="1">
        <v>0.5</v>
      </c>
      <c r="EZ231" s="54">
        <v>2.4</v>
      </c>
      <c r="FA231" s="1">
        <v>0.7355619060277796</v>
      </c>
      <c r="FB231" s="1">
        <v>0.5</v>
      </c>
      <c r="FC231" s="54">
        <v>2.4</v>
      </c>
      <c r="FD231" s="1">
        <v>2.193659865753971</v>
      </c>
      <c r="FE231" s="1">
        <v>1</v>
      </c>
      <c r="FF231" s="54">
        <v>5</v>
      </c>
      <c r="FG231" s="1">
        <v>2.9292217717817506</v>
      </c>
      <c r="FH231" s="1">
        <v>2.3302977232924693</v>
      </c>
      <c r="FI231" s="54">
        <v>2.521077959576516</v>
      </c>
      <c r="FJ231" s="1">
        <v>2.4323918389047652</v>
      </c>
      <c r="FK231" s="1">
        <v>1.6</v>
      </c>
      <c r="FL231" s="54">
        <v>5.8999999999999995</v>
      </c>
      <c r="FN231" s="1" t="s">
        <v>646</v>
      </c>
      <c r="FP231" s="1">
        <v>2525</v>
      </c>
      <c r="FQ231" s="1">
        <v>2010</v>
      </c>
      <c r="FR231" s="1">
        <v>3040</v>
      </c>
      <c r="FS231" s="1">
        <v>0</v>
      </c>
      <c r="FT231" s="1">
        <v>0</v>
      </c>
      <c r="FU231" s="1">
        <v>0</v>
      </c>
      <c r="FV231" s="1">
        <v>50</v>
      </c>
      <c r="FW231" s="1">
        <v>20</v>
      </c>
      <c r="FX231" s="1">
        <v>80</v>
      </c>
      <c r="FY231" s="1">
        <v>2.3405882352941174</v>
      </c>
      <c r="FZ231" s="19">
        <v>0.81411764705882328</v>
      </c>
      <c r="GA231" s="19">
        <v>3.8670588235294114</v>
      </c>
      <c r="GB231" s="19">
        <v>178.08823529411762</v>
      </c>
      <c r="GC231" s="8">
        <v>50.882352941176464</v>
      </c>
      <c r="GD231" s="8">
        <v>305.29411764705878</v>
      </c>
      <c r="GE231" s="8">
        <v>433.00882352941176</v>
      </c>
      <c r="GF231" s="8">
        <v>384.16176470588232</v>
      </c>
      <c r="GG231" s="8">
        <v>481.85588235294114</v>
      </c>
      <c r="GH231" s="8">
        <v>0</v>
      </c>
      <c r="GI231" s="8">
        <v>0</v>
      </c>
      <c r="GJ231" s="8">
        <v>30.52941176470588</v>
      </c>
      <c r="GK231" s="8">
        <v>44.776470588235291</v>
      </c>
      <c r="GL231" s="8">
        <v>24.423529411764704</v>
      </c>
      <c r="GM231" s="8">
        <v>65.129411764705878</v>
      </c>
      <c r="GN231" s="8">
        <v>2.0352941176470587</v>
      </c>
      <c r="GO231" s="8">
        <v>0</v>
      </c>
      <c r="GP231" s="8">
        <v>4.0705882352941174</v>
      </c>
      <c r="GS231" s="1">
        <v>220</v>
      </c>
      <c r="GT231" s="1">
        <v>220</v>
      </c>
      <c r="GV231" s="13" t="s">
        <v>643</v>
      </c>
      <c r="GW231" s="1" t="s">
        <v>643</v>
      </c>
      <c r="GX231" s="13">
        <v>182</v>
      </c>
      <c r="GY231" s="13"/>
      <c r="GZ231" s="13">
        <v>182</v>
      </c>
      <c r="HA231" s="13">
        <v>182</v>
      </c>
      <c r="HB231" s="1">
        <v>182</v>
      </c>
      <c r="HC231" s="13" t="s">
        <v>642</v>
      </c>
      <c r="HD231" s="13" t="s">
        <v>641</v>
      </c>
      <c r="HE231" s="1">
        <v>202</v>
      </c>
      <c r="HF231" s="1">
        <v>202</v>
      </c>
      <c r="HH231" s="1" t="s">
        <v>645</v>
      </c>
      <c r="HI231" s="1">
        <v>211</v>
      </c>
      <c r="HJ231" s="1">
        <v>214</v>
      </c>
      <c r="HK231" s="1">
        <v>220</v>
      </c>
      <c r="HL231" s="1">
        <v>214</v>
      </c>
      <c r="HO231" s="1" t="s">
        <v>644</v>
      </c>
    </row>
    <row r="232" spans="1:223" ht="12.75" customHeight="1" x14ac:dyDescent="0.25">
      <c r="A232" s="1" t="s">
        <v>77</v>
      </c>
      <c r="D232" s="1" t="s">
        <v>580</v>
      </c>
      <c r="E232" s="1" t="s">
        <v>126</v>
      </c>
      <c r="F232" s="1">
        <v>1</v>
      </c>
      <c r="G232" s="1">
        <v>2045</v>
      </c>
      <c r="H232" s="1">
        <v>1</v>
      </c>
      <c r="I232" s="1">
        <v>1</v>
      </c>
      <c r="J232" s="1">
        <v>0</v>
      </c>
      <c r="K232" s="19"/>
      <c r="L232" s="19"/>
      <c r="M232" s="19"/>
      <c r="N232" s="11">
        <v>797.01328298000169</v>
      </c>
      <c r="O232" s="11">
        <v>529.98672388636157</v>
      </c>
      <c r="P232" s="11">
        <v>1064.0398420736412</v>
      </c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9"/>
      <c r="CR232" s="11">
        <v>96.237998455068222</v>
      </c>
      <c r="CS232" s="11">
        <v>28.464760106428628</v>
      </c>
      <c r="CT232" s="11">
        <v>164.01123680370776</v>
      </c>
      <c r="CU232" s="11">
        <f>Tabelle58971121[[#This Row],[Mindestauslastung durch]]*Tabelle58971121[[#This Row],[installierte Leistung MW durch]]</f>
        <v>0</v>
      </c>
      <c r="CV232" s="11">
        <f>Tabelle58971121[[#This Row],[Mindestauslastung min]]*Tabelle58971121[[#This Row],[installierte Leistung MW min]]</f>
        <v>0</v>
      </c>
      <c r="CW232" s="19">
        <f>Tabelle58971121[[#This Row],[Mindestauslastung max]]*Tabelle58971121[[#This Row],[installierte Leistung MW max]]</f>
        <v>0</v>
      </c>
      <c r="CX232" s="9">
        <v>0</v>
      </c>
      <c r="CY232" s="9">
        <v>0</v>
      </c>
      <c r="CZ232" s="9">
        <v>0</v>
      </c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39">
        <v>0.84814436529053305</v>
      </c>
      <c r="ED232" s="39">
        <v>0.80443309587159884</v>
      </c>
      <c r="EE232" s="39">
        <v>0.89185563470946705</v>
      </c>
      <c r="EF232" s="11">
        <f>Tabelle58971121[[#This Row],[Durchschnittsauslastung min]]*Tabelle58971121[[#This Row],[installierte Leistung MW min]]</f>
        <v>557.22764011461322</v>
      </c>
      <c r="EG232" s="11">
        <f>Tabelle58971121[[#This Row],[Durchschnittsauslastung durch]]*Tabelle58971121[[#This Row],[installierte Leistung MW durch]]</f>
        <v>744.42496848137523</v>
      </c>
      <c r="EH232" s="46">
        <f>Tabelle58971121[[#This Row],[Durchschnittsauslastung max]]*Tabelle58971121[[#This Row],[installierte Leistung MW max]]</f>
        <v>1064.7063541547277</v>
      </c>
      <c r="EI232" s="83">
        <f>Tabelle58971121[[#This Row],[Maximalauslastung durch]]*Tabelle58971121[[#This Row],[installierte Leistung MW min]]</f>
        <v>624.14640687679082</v>
      </c>
      <c r="EJ232" s="46">
        <f>Tabelle58971121[[#This Row],[Maximalauslastung durch]]*Tabelle58971121[[#This Row],[installierte Leistung MW durch]]</f>
        <v>879.13304871060166</v>
      </c>
      <c r="EK232" s="11">
        <f>Tabelle58971121[[#This Row],[Maximalauslastung max]]*Tabelle58971121[[#This Row],[installierte Leistung MW durch]]</f>
        <v>888.38708080229219</v>
      </c>
      <c r="EL232" s="9">
        <v>0.95</v>
      </c>
      <c r="EM232" s="9">
        <v>0.93999999999999984</v>
      </c>
      <c r="EN232" s="9">
        <v>0.96</v>
      </c>
      <c r="EO232" s="11">
        <v>925.40320916905443</v>
      </c>
      <c r="EP232" s="11">
        <v>656.99621776504296</v>
      </c>
      <c r="EQ232" s="11">
        <v>1193.8102005730657</v>
      </c>
      <c r="ER232" s="1">
        <v>0.20742679455268501</v>
      </c>
      <c r="ES232" s="1">
        <v>8.3333333333333332E-3</v>
      </c>
      <c r="ET232" s="54">
        <v>0.5</v>
      </c>
      <c r="EU232" s="1">
        <v>0.77166666666666683</v>
      </c>
      <c r="EV232" s="1">
        <v>8.3333333333333329E-2</v>
      </c>
      <c r="EW232" s="54">
        <v>3</v>
      </c>
      <c r="EX232" s="1">
        <v>0.72989442966268991</v>
      </c>
      <c r="EY232" s="1">
        <v>0.5</v>
      </c>
      <c r="EZ232" s="54">
        <v>2.4</v>
      </c>
      <c r="FA232" s="1">
        <v>0.72989442966268991</v>
      </c>
      <c r="FB232" s="1">
        <v>0.5</v>
      </c>
      <c r="FC232" s="54">
        <v>2.4</v>
      </c>
      <c r="FD232" s="1">
        <v>2.1855634709466996</v>
      </c>
      <c r="FE232" s="1">
        <v>1</v>
      </c>
      <c r="FF232" s="54">
        <v>5</v>
      </c>
      <c r="FG232" s="1">
        <v>2.9154579006093897</v>
      </c>
      <c r="FH232" s="1">
        <v>2.324604966139955</v>
      </c>
      <c r="FI232" s="54">
        <v>2.5081817086395954</v>
      </c>
      <c r="FJ232" s="1">
        <v>2.42267616513604</v>
      </c>
      <c r="FK232" s="1">
        <v>1.6</v>
      </c>
      <c r="FL232" s="54">
        <v>5.8999999999999995</v>
      </c>
      <c r="FN232" s="1" t="s">
        <v>646</v>
      </c>
      <c r="FP232" s="1">
        <v>2525</v>
      </c>
      <c r="FQ232" s="1">
        <v>2010</v>
      </c>
      <c r="FR232" s="1">
        <v>3040</v>
      </c>
      <c r="FS232" s="1">
        <v>0</v>
      </c>
      <c r="FT232" s="1">
        <v>0</v>
      </c>
      <c r="FU232" s="1">
        <v>0</v>
      </c>
      <c r="FV232" s="1">
        <v>50</v>
      </c>
      <c r="FW232" s="1">
        <v>20</v>
      </c>
      <c r="FX232" s="1">
        <v>80</v>
      </c>
      <c r="FY232" s="1">
        <v>2.3405882352941174</v>
      </c>
      <c r="FZ232" s="19">
        <v>0.81411764705882328</v>
      </c>
      <c r="GA232" s="19">
        <v>3.8670588235294114</v>
      </c>
      <c r="GB232" s="19">
        <v>178.08823529411762</v>
      </c>
      <c r="GC232" s="8">
        <v>50.882352941176464</v>
      </c>
      <c r="GD232" s="8">
        <v>305.29411764705878</v>
      </c>
      <c r="GE232" s="8">
        <v>433.00882352941176</v>
      </c>
      <c r="GF232" s="8">
        <v>384.16176470588232</v>
      </c>
      <c r="GG232" s="8">
        <v>481.85588235294114</v>
      </c>
      <c r="GH232" s="8">
        <v>0</v>
      </c>
      <c r="GI232" s="8">
        <v>0</v>
      </c>
      <c r="GJ232" s="8">
        <v>30.52941176470588</v>
      </c>
      <c r="GK232" s="8">
        <v>44.776470588235291</v>
      </c>
      <c r="GL232" s="8">
        <v>24.423529411764704</v>
      </c>
      <c r="GM232" s="8">
        <v>65.129411764705878</v>
      </c>
      <c r="GN232" s="8">
        <v>2.0352941176470587</v>
      </c>
      <c r="GO232" s="8">
        <v>0</v>
      </c>
      <c r="GP232" s="8">
        <v>4.0705882352941174</v>
      </c>
      <c r="GS232" s="1">
        <v>220</v>
      </c>
      <c r="GT232" s="1">
        <v>220</v>
      </c>
      <c r="GV232" s="13" t="s">
        <v>643</v>
      </c>
      <c r="GW232" s="1" t="s">
        <v>643</v>
      </c>
      <c r="GX232" s="13">
        <v>182</v>
      </c>
      <c r="GY232" s="13"/>
      <c r="GZ232" s="13">
        <v>182</v>
      </c>
      <c r="HA232" s="13">
        <v>182</v>
      </c>
      <c r="HB232" s="1">
        <v>182</v>
      </c>
      <c r="HC232" s="13" t="s">
        <v>642</v>
      </c>
      <c r="HD232" s="13" t="s">
        <v>641</v>
      </c>
      <c r="HE232" s="1">
        <v>202</v>
      </c>
      <c r="HF232" s="1">
        <v>202</v>
      </c>
      <c r="HH232" s="1" t="s">
        <v>645</v>
      </c>
      <c r="HI232" s="1">
        <v>211</v>
      </c>
      <c r="HJ232" s="1">
        <v>214</v>
      </c>
      <c r="HK232" s="1">
        <v>220</v>
      </c>
      <c r="HL232" s="1">
        <v>214</v>
      </c>
      <c r="HO232" s="1" t="s">
        <v>644</v>
      </c>
    </row>
    <row r="233" spans="1:223" ht="12.75" customHeight="1" x14ac:dyDescent="0.25">
      <c r="A233" s="1" t="s">
        <v>77</v>
      </c>
      <c r="D233" s="1" t="s">
        <v>580</v>
      </c>
      <c r="E233" s="1" t="s">
        <v>126</v>
      </c>
      <c r="F233" s="1">
        <v>1</v>
      </c>
      <c r="G233" s="1">
        <v>2050</v>
      </c>
      <c r="H233" s="1">
        <v>1</v>
      </c>
      <c r="I233" s="1">
        <v>1</v>
      </c>
      <c r="J233" s="1">
        <v>0</v>
      </c>
      <c r="K233" s="19"/>
      <c r="L233" s="19"/>
      <c r="M233" s="19"/>
      <c r="N233" s="11">
        <v>824.34708136559379</v>
      </c>
      <c r="O233" s="11">
        <v>548.16277009174689</v>
      </c>
      <c r="P233" s="11">
        <v>1100.5313926394408</v>
      </c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9"/>
      <c r="CR233" s="11">
        <v>99.538508124076799</v>
      </c>
      <c r="CS233" s="11">
        <v>29.440967191628349</v>
      </c>
      <c r="CT233" s="11">
        <v>169.63604905652525</v>
      </c>
      <c r="CU233" s="11">
        <f>Tabelle58971121[[#This Row],[Mindestauslastung durch]]*Tabelle58971121[[#This Row],[installierte Leistung MW durch]]</f>
        <v>0</v>
      </c>
      <c r="CV233" s="11">
        <f>Tabelle58971121[[#This Row],[Mindestauslastung min]]*Tabelle58971121[[#This Row],[installierte Leistung MW min]]</f>
        <v>0</v>
      </c>
      <c r="CW233" s="19">
        <f>Tabelle58971121[[#This Row],[Mindestauslastung max]]*Tabelle58971121[[#This Row],[installierte Leistung MW max]]</f>
        <v>0</v>
      </c>
      <c r="CX233" s="9">
        <v>0</v>
      </c>
      <c r="CY233" s="9">
        <v>0</v>
      </c>
      <c r="CZ233" s="9">
        <v>0</v>
      </c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39">
        <v>0.84822040069070259</v>
      </c>
      <c r="ED233" s="39">
        <v>0.80466120207210767</v>
      </c>
      <c r="EE233" s="39">
        <v>0.8917795993092974</v>
      </c>
      <c r="EF233" s="11">
        <f>Tabelle58971121[[#This Row],[Durchschnittsauslastung min]]*Tabelle58971121[[#This Row],[installierte Leistung MW min]]</f>
        <v>574.77173982808029</v>
      </c>
      <c r="EG233" s="11">
        <f>Tabelle58971121[[#This Row],[Durchschnittsauslastung durch]]*Tabelle58971121[[#This Row],[installierte Leistung MW durch]]</f>
        <v>768.01178939828071</v>
      </c>
      <c r="EH233" s="46">
        <f>Tabelle58971121[[#This Row],[Durchschnittsauslastung max]]*Tabelle58971121[[#This Row],[installierte Leistung MW max]]</f>
        <v>1098.0361598853867</v>
      </c>
      <c r="EI233" s="83">
        <f>Tabelle58971121[[#This Row],[Maximalauslastung durch]]*Tabelle58971121[[#This Row],[installierte Leistung MW min]]</f>
        <v>643.73970773638962</v>
      </c>
      <c r="EJ233" s="46">
        <f>Tabelle58971121[[#This Row],[Maximalauslastung durch]]*Tabelle58971121[[#This Row],[installierte Leistung MW durch]]</f>
        <v>906.7309297994268</v>
      </c>
      <c r="EK233" s="11">
        <f>Tabelle58971121[[#This Row],[Maximalauslastung max]]*Tabelle58971121[[#This Row],[installierte Leistung MW durch]]</f>
        <v>916.27546590257873</v>
      </c>
      <c r="EL233" s="9">
        <v>0.95</v>
      </c>
      <c r="EM233" s="9">
        <v>0.94</v>
      </c>
      <c r="EN233" s="9">
        <v>0.96</v>
      </c>
      <c r="EO233" s="11">
        <v>954.45361031518621</v>
      </c>
      <c r="EP233" s="11">
        <v>677.62074498567335</v>
      </c>
      <c r="EQ233" s="11">
        <v>1231.2864756446991</v>
      </c>
      <c r="ER233" s="1">
        <v>0.20703711312681602</v>
      </c>
      <c r="ES233" s="1">
        <v>8.3333333333333332E-3</v>
      </c>
      <c r="ET233" s="54">
        <v>0.5</v>
      </c>
      <c r="EU233" s="1">
        <v>0.77166666666666672</v>
      </c>
      <c r="EV233" s="1">
        <v>8.3333333333333329E-2</v>
      </c>
      <c r="EW233" s="54">
        <v>3</v>
      </c>
      <c r="EX233" s="1">
        <v>0.72457195165082078</v>
      </c>
      <c r="EY233" s="1">
        <v>0.5</v>
      </c>
      <c r="EZ233" s="54">
        <v>2.4</v>
      </c>
      <c r="FA233" s="1">
        <v>0.72457195165082078</v>
      </c>
      <c r="FB233" s="1">
        <v>0.5</v>
      </c>
      <c r="FC233" s="54">
        <v>2.4</v>
      </c>
      <c r="FD233" s="1">
        <v>2.1779599309297439</v>
      </c>
      <c r="FE233" s="1">
        <v>1</v>
      </c>
      <c r="FF233" s="54">
        <v>5</v>
      </c>
      <c r="FG233" s="1">
        <v>2.9025318825805648</v>
      </c>
      <c r="FH233" s="1">
        <v>2.3192790824685967</v>
      </c>
      <c r="FI233" s="54">
        <v>2.4960301904455431</v>
      </c>
      <c r="FJ233" s="1">
        <v>2.4135519171156927</v>
      </c>
      <c r="FK233" s="1">
        <v>1.6</v>
      </c>
      <c r="FL233" s="54">
        <v>5.8999999999999995</v>
      </c>
      <c r="FN233" s="1" t="s">
        <v>646</v>
      </c>
      <c r="FP233" s="1">
        <v>2525</v>
      </c>
      <c r="FQ233" s="1">
        <v>2010</v>
      </c>
      <c r="FR233" s="1">
        <v>3040</v>
      </c>
      <c r="FS233" s="1">
        <v>0</v>
      </c>
      <c r="FT233" s="1">
        <v>0</v>
      </c>
      <c r="FU233" s="1">
        <v>0</v>
      </c>
      <c r="FV233" s="1">
        <v>50</v>
      </c>
      <c r="FW233" s="1">
        <v>20</v>
      </c>
      <c r="FX233" s="1">
        <v>80</v>
      </c>
      <c r="FY233" s="1">
        <v>2.3405882352941174</v>
      </c>
      <c r="FZ233" s="19">
        <v>0.81411764705882328</v>
      </c>
      <c r="GA233" s="19">
        <v>3.8670588235294114</v>
      </c>
      <c r="GB233" s="19">
        <v>178.08823529411762</v>
      </c>
      <c r="GC233" s="8">
        <v>50.882352941176464</v>
      </c>
      <c r="GD233" s="8">
        <v>305.29411764705878</v>
      </c>
      <c r="GE233" s="8">
        <v>433.00882352941176</v>
      </c>
      <c r="GF233" s="8">
        <v>384.16176470588232</v>
      </c>
      <c r="GG233" s="8">
        <v>481.85588235294114</v>
      </c>
      <c r="GH233" s="8">
        <v>0</v>
      </c>
      <c r="GI233" s="8">
        <v>0</v>
      </c>
      <c r="GJ233" s="8">
        <v>30.52941176470588</v>
      </c>
      <c r="GK233" s="8">
        <v>44.776470588235291</v>
      </c>
      <c r="GL233" s="8">
        <v>24.423529411764704</v>
      </c>
      <c r="GM233" s="8">
        <v>65.129411764705878</v>
      </c>
      <c r="GN233" s="8">
        <v>2.0352941176470587</v>
      </c>
      <c r="GO233" s="8">
        <v>0</v>
      </c>
      <c r="GP233" s="8">
        <v>4.0705882352941174</v>
      </c>
      <c r="GS233" s="1">
        <v>220</v>
      </c>
      <c r="GT233" s="1">
        <v>220</v>
      </c>
      <c r="GV233" s="13" t="s">
        <v>643</v>
      </c>
      <c r="GW233" s="1" t="s">
        <v>643</v>
      </c>
      <c r="GX233" s="13">
        <v>182</v>
      </c>
      <c r="GY233" s="13"/>
      <c r="GZ233" s="13">
        <v>182</v>
      </c>
      <c r="HA233" s="13">
        <v>182</v>
      </c>
      <c r="HB233" s="1">
        <v>182</v>
      </c>
      <c r="HC233" s="13" t="s">
        <v>642</v>
      </c>
      <c r="HD233" s="13" t="s">
        <v>641</v>
      </c>
      <c r="HE233" s="1">
        <v>202</v>
      </c>
      <c r="HF233" s="1">
        <v>202</v>
      </c>
      <c r="HH233" s="1" t="s">
        <v>645</v>
      </c>
      <c r="HI233" s="1">
        <v>211</v>
      </c>
      <c r="HJ233" s="1">
        <v>214</v>
      </c>
      <c r="HK233" s="1">
        <v>220</v>
      </c>
      <c r="HL233" s="1">
        <v>214</v>
      </c>
      <c r="HO233" s="1" t="s">
        <v>644</v>
      </c>
    </row>
    <row r="234" spans="1:223" ht="12.75" customHeight="1" x14ac:dyDescent="0.25">
      <c r="A234" s="1" t="s">
        <v>938</v>
      </c>
      <c r="D234" s="1" t="s">
        <v>582</v>
      </c>
      <c r="E234" s="1" t="s">
        <v>126</v>
      </c>
      <c r="F234" s="1">
        <v>1</v>
      </c>
      <c r="G234" s="1">
        <v>2015</v>
      </c>
      <c r="H234" s="1">
        <v>1</v>
      </c>
      <c r="I234" s="1">
        <v>1</v>
      </c>
      <c r="J234" s="1">
        <v>0</v>
      </c>
      <c r="K234" s="19"/>
      <c r="L234" s="19"/>
      <c r="M234" s="19"/>
      <c r="N234" s="11">
        <v>341</v>
      </c>
      <c r="O234" s="11">
        <v>258</v>
      </c>
      <c r="P234" s="11">
        <v>424</v>
      </c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9"/>
      <c r="CR234" s="11">
        <v>62</v>
      </c>
      <c r="CS234" s="11">
        <v>22</v>
      </c>
      <c r="CT234" s="11">
        <v>102</v>
      </c>
      <c r="CU234" s="11">
        <f>Tabelle58971121[[#This Row],[Mindestauslastung durch]]*Tabelle58971121[[#This Row],[installierte Leistung MW durch]]</f>
        <v>0</v>
      </c>
      <c r="CV234" s="11">
        <f>Tabelle58971121[[#This Row],[Mindestauslastung min]]*Tabelle58971121[[#This Row],[installierte Leistung MW min]]</f>
        <v>0</v>
      </c>
      <c r="CW234" s="19">
        <f>Tabelle58971121[[#This Row],[Mindestauslastung max]]*Tabelle58971121[[#This Row],[installierte Leistung MW max]]</f>
        <v>0</v>
      </c>
      <c r="CX234" s="9">
        <v>0</v>
      </c>
      <c r="CY234" s="9">
        <v>0</v>
      </c>
      <c r="CZ234" s="9">
        <v>0</v>
      </c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39">
        <v>0.70128691983122371</v>
      </c>
      <c r="ED234" s="39">
        <v>0.66094594594594591</v>
      </c>
      <c r="EE234" s="39">
        <v>0.7415051903114187</v>
      </c>
      <c r="EF234" s="11">
        <f>Tabelle58971121[[#This Row],[Durchschnittsauslastung min]]*Tabelle58971121[[#This Row],[installierte Leistung MW min]]</f>
        <v>278.41090717299579</v>
      </c>
      <c r="EG234" s="11">
        <f>Tabelle58971121[[#This Row],[Durchschnittsauslastung durch]]*Tabelle58971121[[#This Row],[installierte Leistung MW durch]]</f>
        <v>322.54162162162163</v>
      </c>
      <c r="EH234" s="46">
        <f>Tabelle58971121[[#This Row],[Durchschnittsauslastung max]]*Tabelle58971121[[#This Row],[installierte Leistung MW max]]</f>
        <v>429.33150519031142</v>
      </c>
      <c r="EI234" s="83">
        <f>Tabelle58971121[[#This Row],[Maximalauslastung durch]]*Tabelle58971121[[#This Row],[installierte Leistung MW min]]</f>
        <v>328.4546835443038</v>
      </c>
      <c r="EJ234" s="46">
        <f>Tabelle58971121[[#This Row],[Maximalauslastung durch]]*Tabelle58971121[[#This Row],[installierte Leistung MW durch]]</f>
        <v>403.74278481012658</v>
      </c>
      <c r="EK234" s="11">
        <f>Tabelle58971121[[#This Row],[Maximalauslastung max]]*Tabelle58971121[[#This Row],[installierte Leistung MW durch]]</f>
        <v>416.54768166089968</v>
      </c>
      <c r="EL234" s="9">
        <v>0.82734177215189875</v>
      </c>
      <c r="EM234" s="9">
        <v>0.80094594594594581</v>
      </c>
      <c r="EN234" s="9">
        <v>0.85358131487889277</v>
      </c>
      <c r="EO234" s="11">
        <v>488</v>
      </c>
      <c r="EP234" s="11">
        <v>397</v>
      </c>
      <c r="EQ234" s="11">
        <v>579</v>
      </c>
      <c r="ER234" s="1">
        <v>0.16666666666666663</v>
      </c>
      <c r="ES234" s="1">
        <v>8.3333333333333329E-2</v>
      </c>
      <c r="ET234" s="54">
        <v>0.25</v>
      </c>
      <c r="EU234" s="1">
        <v>0.27083333333333331</v>
      </c>
      <c r="EV234" s="1">
        <v>8.3333333333333329E-2</v>
      </c>
      <c r="EW234" s="54">
        <v>0.5</v>
      </c>
      <c r="EX234" s="1">
        <v>9.9499999999999993</v>
      </c>
      <c r="EY234" s="1">
        <v>4</v>
      </c>
      <c r="EZ234" s="54">
        <v>16.399999999999999</v>
      </c>
      <c r="FA234" s="1">
        <v>9.9499999999999993</v>
      </c>
      <c r="FB234" s="1">
        <v>4</v>
      </c>
      <c r="FC234" s="54">
        <v>16.399999999999999</v>
      </c>
      <c r="FD234" s="1">
        <v>11.6</v>
      </c>
      <c r="FE234" s="1">
        <v>4.9000000000000004</v>
      </c>
      <c r="FF234" s="54">
        <v>18.899999999999999</v>
      </c>
      <c r="FG234" s="1">
        <v>21.4</v>
      </c>
      <c r="FH234" s="1">
        <v>21.4</v>
      </c>
      <c r="FI234" s="54">
        <v>21.4</v>
      </c>
      <c r="FJ234" s="1">
        <v>13.600000000000001</v>
      </c>
      <c r="FK234" s="1">
        <v>4.8</v>
      </c>
      <c r="FL234" s="54">
        <v>24.900000000000002</v>
      </c>
      <c r="FN234" s="1" t="s">
        <v>648</v>
      </c>
      <c r="FP234" s="1">
        <v>100</v>
      </c>
      <c r="FQ234" s="1">
        <v>50</v>
      </c>
      <c r="FR234" s="1">
        <v>150</v>
      </c>
      <c r="FS234" s="1">
        <v>0</v>
      </c>
      <c r="FT234" s="1">
        <v>0</v>
      </c>
      <c r="FU234" s="1">
        <v>0</v>
      </c>
      <c r="FV234" s="1">
        <v>100</v>
      </c>
      <c r="FW234" s="1">
        <v>50</v>
      </c>
      <c r="FX234" s="1">
        <v>150</v>
      </c>
      <c r="FY234" s="1">
        <v>1.526470588235294</v>
      </c>
      <c r="FZ234" s="19">
        <v>0.50882352941176467</v>
      </c>
      <c r="GA234" s="19">
        <v>2.5441176470588234</v>
      </c>
      <c r="GB234" s="19">
        <v>178.08823529411762</v>
      </c>
      <c r="GC234" s="8">
        <v>101.76470588235293</v>
      </c>
      <c r="GD234" s="8">
        <v>254.41176470588235</v>
      </c>
      <c r="GE234" s="8">
        <v>1330.0647058823529</v>
      </c>
      <c r="GF234" s="8">
        <v>1047.1588235294116</v>
      </c>
      <c r="GG234" s="8">
        <v>1612.9705882352939</v>
      </c>
      <c r="GH234" s="8">
        <v>0</v>
      </c>
      <c r="GI234" s="8">
        <v>0</v>
      </c>
      <c r="GJ234" s="8">
        <v>30.52941176470588</v>
      </c>
      <c r="GK234" s="8">
        <v>66.147058823529406</v>
      </c>
      <c r="GL234" s="8">
        <v>25.441176470588232</v>
      </c>
      <c r="GM234" s="8">
        <v>106.85294117647058</v>
      </c>
      <c r="GN234" s="8">
        <v>19.437058823529412</v>
      </c>
      <c r="GO234" s="8">
        <v>16.384117647058822</v>
      </c>
      <c r="GP234" s="8">
        <v>22.49</v>
      </c>
      <c r="GS234" s="1">
        <v>220</v>
      </c>
      <c r="GT234" s="1">
        <v>220</v>
      </c>
      <c r="GV234" s="13" t="s">
        <v>643</v>
      </c>
      <c r="GW234" s="1" t="s">
        <v>643</v>
      </c>
      <c r="GX234" s="13">
        <v>182</v>
      </c>
      <c r="GY234" s="13"/>
      <c r="GZ234" s="13">
        <v>182</v>
      </c>
      <c r="HA234" s="13">
        <v>182</v>
      </c>
      <c r="HB234" s="1">
        <v>182</v>
      </c>
      <c r="HC234" s="13" t="s">
        <v>642</v>
      </c>
      <c r="HD234" s="13" t="s">
        <v>641</v>
      </c>
      <c r="HE234" s="1">
        <v>202</v>
      </c>
      <c r="HF234" s="1">
        <v>202</v>
      </c>
      <c r="HH234" s="1" t="s">
        <v>645</v>
      </c>
      <c r="HI234" s="1">
        <v>211</v>
      </c>
      <c r="HJ234" s="1">
        <v>214</v>
      </c>
      <c r="HK234" s="1">
        <v>220</v>
      </c>
      <c r="HL234" s="1">
        <v>214</v>
      </c>
      <c r="HO234" s="1" t="s">
        <v>644</v>
      </c>
    </row>
    <row r="235" spans="1:223" ht="12.75" customHeight="1" x14ac:dyDescent="0.25">
      <c r="A235" s="1" t="s">
        <v>938</v>
      </c>
      <c r="D235" s="1" t="s">
        <v>582</v>
      </c>
      <c r="E235" s="1" t="s">
        <v>126</v>
      </c>
      <c r="F235" s="1">
        <v>1</v>
      </c>
      <c r="G235" s="1">
        <v>2020</v>
      </c>
      <c r="H235" s="1">
        <v>1</v>
      </c>
      <c r="I235" s="1">
        <v>1</v>
      </c>
      <c r="J235" s="1">
        <v>0</v>
      </c>
      <c r="K235" s="19"/>
      <c r="L235" s="19"/>
      <c r="M235" s="19"/>
      <c r="N235" s="11">
        <v>334.18</v>
      </c>
      <c r="O235" s="11">
        <v>252.84</v>
      </c>
      <c r="P235" s="11">
        <v>415.52</v>
      </c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9"/>
      <c r="CR235" s="11">
        <v>60.76</v>
      </c>
      <c r="CS235" s="11">
        <v>21.56</v>
      </c>
      <c r="CT235" s="11">
        <v>99.96</v>
      </c>
      <c r="CU235" s="11">
        <f>Tabelle58971121[[#This Row],[Mindestauslastung durch]]*Tabelle58971121[[#This Row],[installierte Leistung MW durch]]</f>
        <v>0</v>
      </c>
      <c r="CV235" s="11">
        <f>Tabelle58971121[[#This Row],[Mindestauslastung min]]*Tabelle58971121[[#This Row],[installierte Leistung MW min]]</f>
        <v>0</v>
      </c>
      <c r="CW235" s="19">
        <f>Tabelle58971121[[#This Row],[Mindestauslastung max]]*Tabelle58971121[[#This Row],[installierte Leistung MW max]]</f>
        <v>0</v>
      </c>
      <c r="CX235" s="9">
        <v>0</v>
      </c>
      <c r="CY235" s="9">
        <v>0</v>
      </c>
      <c r="CZ235" s="9">
        <v>0</v>
      </c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39">
        <v>0.70128691983122371</v>
      </c>
      <c r="ED235" s="39">
        <v>0.66128691983122356</v>
      </c>
      <c r="EE235" s="39">
        <v>0.74128691983122363</v>
      </c>
      <c r="EF235" s="11">
        <f>Tabelle58971121[[#This Row],[Durchschnittsauslastung min]]*Tabelle58971121[[#This Row],[installierte Leistung MW min]]</f>
        <v>272.84268902953596</v>
      </c>
      <c r="EG235" s="11">
        <f>Tabelle58971121[[#This Row],[Durchschnittsauslastung durch]]*Tabelle58971121[[#This Row],[installierte Leistung MW durch]]</f>
        <v>316.25385654008437</v>
      </c>
      <c r="EH235" s="46">
        <f>Tabelle58971121[[#This Row],[Durchschnittsauslastung max]]*Tabelle58971121[[#This Row],[installierte Leistung MW max]]</f>
        <v>420.62102405063297</v>
      </c>
      <c r="EI235" s="83">
        <f>Tabelle58971121[[#This Row],[Maximalauslastung durch]]*Tabelle58971121[[#This Row],[installierte Leistung MW min]]</f>
        <v>321.88558987341776</v>
      </c>
      <c r="EJ235" s="46">
        <f>Tabelle58971121[[#This Row],[Maximalauslastung durch]]*Tabelle58971121[[#This Row],[installierte Leistung MW durch]]</f>
        <v>395.66792911392406</v>
      </c>
      <c r="EK235" s="11">
        <f>Tabelle58971121[[#This Row],[Maximalauslastung max]]*Tabelle58971121[[#This Row],[installierte Leistung MW durch]]</f>
        <v>408.1284016877637</v>
      </c>
      <c r="EL235" s="9">
        <v>0.82734177215189875</v>
      </c>
      <c r="EM235" s="9">
        <v>0.80128691983122369</v>
      </c>
      <c r="EN235" s="9">
        <v>0.85339662447257381</v>
      </c>
      <c r="EO235" s="11">
        <v>478.24</v>
      </c>
      <c r="EP235" s="11">
        <v>389.06000000000006</v>
      </c>
      <c r="EQ235" s="11">
        <v>567.42000000000007</v>
      </c>
      <c r="ER235" s="1">
        <v>0.16666666666666663</v>
      </c>
      <c r="ES235" s="1">
        <v>8.3333333333333329E-2</v>
      </c>
      <c r="ET235" s="54">
        <v>0.25</v>
      </c>
      <c r="EU235" s="1">
        <v>0.27083333333333337</v>
      </c>
      <c r="EV235" s="1">
        <v>8.3333333333333329E-2</v>
      </c>
      <c r="EW235" s="54">
        <v>0.5</v>
      </c>
      <c r="EX235" s="1">
        <v>10.994303797468355</v>
      </c>
      <c r="EY235" s="1">
        <v>4</v>
      </c>
      <c r="EZ235" s="54">
        <v>16.399999999999999</v>
      </c>
      <c r="FA235" s="1">
        <v>10.994303797468355</v>
      </c>
      <c r="FB235" s="1">
        <v>4</v>
      </c>
      <c r="FC235" s="54">
        <v>16.399999999999999</v>
      </c>
      <c r="FD235" s="1">
        <v>12.781434599156119</v>
      </c>
      <c r="FE235" s="1">
        <v>4.9000000000000004</v>
      </c>
      <c r="FF235" s="54">
        <v>18.899999999999999</v>
      </c>
      <c r="FG235" s="1">
        <v>23.657383966244726</v>
      </c>
      <c r="FH235" s="1">
        <v>15.113513513513514</v>
      </c>
      <c r="FI235" s="54">
        <v>15.053287197231835</v>
      </c>
      <c r="FJ235" s="1">
        <v>15.076793248945149</v>
      </c>
      <c r="FK235" s="1">
        <v>4.8</v>
      </c>
      <c r="FL235" s="54">
        <v>24.900000000000002</v>
      </c>
      <c r="FN235" s="1" t="s">
        <v>648</v>
      </c>
      <c r="FP235" s="1">
        <v>100</v>
      </c>
      <c r="FQ235" s="1">
        <v>50</v>
      </c>
      <c r="FR235" s="1">
        <v>150</v>
      </c>
      <c r="FS235" s="1">
        <v>0</v>
      </c>
      <c r="FT235" s="1">
        <v>0</v>
      </c>
      <c r="FU235" s="1">
        <v>0</v>
      </c>
      <c r="FV235" s="1">
        <v>100</v>
      </c>
      <c r="FW235" s="1">
        <v>50</v>
      </c>
      <c r="FX235" s="1">
        <v>150</v>
      </c>
      <c r="FY235" s="1">
        <v>1.526470588235294</v>
      </c>
      <c r="FZ235" s="19">
        <v>0.50882352941176467</v>
      </c>
      <c r="GA235" s="19">
        <v>2.5441176470588234</v>
      </c>
      <c r="GB235" s="19">
        <v>178.08823529411762</v>
      </c>
      <c r="GC235" s="8">
        <v>101.76470588235293</v>
      </c>
      <c r="GD235" s="8">
        <v>254.41176470588235</v>
      </c>
      <c r="GE235" s="8">
        <v>1330.0647058823529</v>
      </c>
      <c r="GF235" s="8">
        <v>1047.1588235294116</v>
      </c>
      <c r="GG235" s="8">
        <v>1612.9705882352939</v>
      </c>
      <c r="GH235" s="8">
        <v>0</v>
      </c>
      <c r="GI235" s="8">
        <v>0</v>
      </c>
      <c r="GJ235" s="8">
        <v>30.52941176470588</v>
      </c>
      <c r="GK235" s="8">
        <v>66.147058823529406</v>
      </c>
      <c r="GL235" s="8">
        <v>25.441176470588232</v>
      </c>
      <c r="GM235" s="8">
        <v>106.85294117647058</v>
      </c>
      <c r="GN235" s="8">
        <v>19.437058823529412</v>
      </c>
      <c r="GO235" s="8">
        <v>16.384117647058822</v>
      </c>
      <c r="GP235" s="8">
        <v>22.49</v>
      </c>
      <c r="GS235" s="1">
        <v>220</v>
      </c>
      <c r="GT235" s="1">
        <v>220</v>
      </c>
      <c r="GV235" s="13" t="s">
        <v>643</v>
      </c>
      <c r="GW235" s="1" t="s">
        <v>643</v>
      </c>
      <c r="GX235" s="13">
        <v>182</v>
      </c>
      <c r="GY235" s="13"/>
      <c r="GZ235" s="13">
        <v>182</v>
      </c>
      <c r="HA235" s="13">
        <v>182</v>
      </c>
      <c r="HB235" s="1">
        <v>182</v>
      </c>
      <c r="HC235" s="13" t="s">
        <v>642</v>
      </c>
      <c r="HD235" s="13" t="s">
        <v>641</v>
      </c>
      <c r="HE235" s="1">
        <v>202</v>
      </c>
      <c r="HF235" s="1">
        <v>202</v>
      </c>
      <c r="HH235" s="1" t="s">
        <v>645</v>
      </c>
      <c r="HI235" s="1">
        <v>211</v>
      </c>
      <c r="HJ235" s="1">
        <v>214</v>
      </c>
      <c r="HK235" s="1">
        <v>220</v>
      </c>
      <c r="HL235" s="1">
        <v>214</v>
      </c>
      <c r="HO235" s="1" t="s">
        <v>644</v>
      </c>
    </row>
    <row r="236" spans="1:223" ht="12.75" customHeight="1" x14ac:dyDescent="0.25">
      <c r="A236" s="1" t="s">
        <v>938</v>
      </c>
      <c r="D236" s="1" t="s">
        <v>582</v>
      </c>
      <c r="E236" s="1" t="s">
        <v>126</v>
      </c>
      <c r="F236" s="1">
        <v>1</v>
      </c>
      <c r="G236" s="1">
        <v>2025</v>
      </c>
      <c r="H236" s="1">
        <v>1</v>
      </c>
      <c r="I236" s="1">
        <v>1</v>
      </c>
      <c r="J236" s="1">
        <v>0</v>
      </c>
      <c r="K236" s="19"/>
      <c r="L236" s="19"/>
      <c r="M236" s="19"/>
      <c r="N236" s="11">
        <v>323.95</v>
      </c>
      <c r="O236" s="11">
        <v>245.10000000000002</v>
      </c>
      <c r="P236" s="11">
        <v>402.79999999999995</v>
      </c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9"/>
      <c r="CR236" s="11">
        <v>58.9</v>
      </c>
      <c r="CS236" s="11">
        <v>20.900000000000002</v>
      </c>
      <c r="CT236" s="11">
        <v>96.899999999999991</v>
      </c>
      <c r="CU236" s="11">
        <f>Tabelle58971121[[#This Row],[Mindestauslastung durch]]*Tabelle58971121[[#This Row],[installierte Leistung MW durch]]</f>
        <v>0</v>
      </c>
      <c r="CV236" s="11">
        <f>Tabelle58971121[[#This Row],[Mindestauslastung min]]*Tabelle58971121[[#This Row],[installierte Leistung MW min]]</f>
        <v>0</v>
      </c>
      <c r="CW236" s="19">
        <f>Tabelle58971121[[#This Row],[Mindestauslastung max]]*Tabelle58971121[[#This Row],[installierte Leistung MW max]]</f>
        <v>0</v>
      </c>
      <c r="CX236" s="9">
        <v>0</v>
      </c>
      <c r="CY236" s="9">
        <v>0</v>
      </c>
      <c r="CZ236" s="9">
        <v>0</v>
      </c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39">
        <v>0.70128691983122371</v>
      </c>
      <c r="ED236" s="39">
        <v>0.66128691983122367</v>
      </c>
      <c r="EE236" s="39">
        <v>0.74128691983122363</v>
      </c>
      <c r="EF236" s="11">
        <f>Tabelle58971121[[#This Row],[Durchschnittsauslastung min]]*Tabelle58971121[[#This Row],[installierte Leistung MW min]]</f>
        <v>264.49036181434599</v>
      </c>
      <c r="EG236" s="11">
        <f>Tabelle58971121[[#This Row],[Durchschnittsauslastung durch]]*Tabelle58971121[[#This Row],[installierte Leistung MW durch]]</f>
        <v>306.57261603375531</v>
      </c>
      <c r="EH236" s="46">
        <f>Tabelle58971121[[#This Row],[Durchschnittsauslastung max]]*Tabelle58971121[[#This Row],[installierte Leistung MW max]]</f>
        <v>407.74487025316455</v>
      </c>
      <c r="EI236" s="83">
        <f>Tabelle58971121[[#This Row],[Maximalauslastung durch]]*Tabelle58971121[[#This Row],[installierte Leistung MW min]]</f>
        <v>312.0319493670886</v>
      </c>
      <c r="EJ236" s="46">
        <f>Tabelle58971121[[#This Row],[Maximalauslastung durch]]*Tabelle58971121[[#This Row],[installierte Leistung MW durch]]</f>
        <v>383.55564556962025</v>
      </c>
      <c r="EK236" s="11">
        <f>Tabelle58971121[[#This Row],[Maximalauslastung max]]*Tabelle58971121[[#This Row],[installierte Leistung MW durch]]</f>
        <v>395.63467510548526</v>
      </c>
      <c r="EL236" s="9">
        <v>0.82734177215189875</v>
      </c>
      <c r="EM236" s="9">
        <v>0.80128691983122369</v>
      </c>
      <c r="EN236" s="9">
        <v>0.85339662447257381</v>
      </c>
      <c r="EO236" s="11">
        <v>463.6</v>
      </c>
      <c r="EP236" s="11">
        <v>377.15</v>
      </c>
      <c r="EQ236" s="11">
        <v>550.04999999999995</v>
      </c>
      <c r="ER236" s="1">
        <v>0.16666666666666663</v>
      </c>
      <c r="ES236" s="1">
        <v>8.3333333333333329E-2</v>
      </c>
      <c r="ET236" s="54">
        <v>0.25</v>
      </c>
      <c r="EU236" s="1">
        <v>0.27083333333333331</v>
      </c>
      <c r="EV236" s="1">
        <v>8.3333333333333329E-2</v>
      </c>
      <c r="EW236" s="54">
        <v>0.5</v>
      </c>
      <c r="EX236" s="1">
        <v>10.994303797468355</v>
      </c>
      <c r="EY236" s="1">
        <v>4</v>
      </c>
      <c r="EZ236" s="54">
        <v>16.399999999999999</v>
      </c>
      <c r="FA236" s="1">
        <v>10.994303797468355</v>
      </c>
      <c r="FB236" s="1">
        <v>4</v>
      </c>
      <c r="FC236" s="54">
        <v>16.399999999999999</v>
      </c>
      <c r="FD236" s="1">
        <v>12.781434599156119</v>
      </c>
      <c r="FE236" s="1">
        <v>4.9000000000000004</v>
      </c>
      <c r="FF236" s="54">
        <v>18.899999999999999</v>
      </c>
      <c r="FG236" s="1">
        <v>23.65738396624473</v>
      </c>
      <c r="FH236" s="1">
        <v>15.113513513513514</v>
      </c>
      <c r="FI236" s="54">
        <v>15.053287197231835</v>
      </c>
      <c r="FJ236" s="1">
        <v>15.076793248945149</v>
      </c>
      <c r="FK236" s="1">
        <v>4.8</v>
      </c>
      <c r="FL236" s="54">
        <v>24.900000000000002</v>
      </c>
      <c r="FN236" s="1" t="s">
        <v>648</v>
      </c>
      <c r="FP236" s="1">
        <v>100</v>
      </c>
      <c r="FQ236" s="1">
        <v>50</v>
      </c>
      <c r="FR236" s="1">
        <v>150</v>
      </c>
      <c r="FS236" s="1">
        <v>0</v>
      </c>
      <c r="FT236" s="1">
        <v>0</v>
      </c>
      <c r="FU236" s="1">
        <v>0</v>
      </c>
      <c r="FV236" s="1">
        <v>100</v>
      </c>
      <c r="FW236" s="1">
        <v>50</v>
      </c>
      <c r="FX236" s="1">
        <v>150</v>
      </c>
      <c r="FY236" s="1">
        <v>1.526470588235294</v>
      </c>
      <c r="FZ236" s="19">
        <v>0.50882352941176467</v>
      </c>
      <c r="GA236" s="19">
        <v>2.5441176470588234</v>
      </c>
      <c r="GB236" s="19">
        <v>178.08823529411762</v>
      </c>
      <c r="GC236" s="8">
        <v>101.76470588235293</v>
      </c>
      <c r="GD236" s="8">
        <v>254.41176470588235</v>
      </c>
      <c r="GE236" s="8">
        <v>1330.0647058823529</v>
      </c>
      <c r="GF236" s="8">
        <v>1047.1588235294116</v>
      </c>
      <c r="GG236" s="8">
        <v>1612.9705882352939</v>
      </c>
      <c r="GH236" s="8">
        <v>0</v>
      </c>
      <c r="GI236" s="8">
        <v>0</v>
      </c>
      <c r="GJ236" s="8">
        <v>30.52941176470588</v>
      </c>
      <c r="GK236" s="8">
        <v>66.147058823529406</v>
      </c>
      <c r="GL236" s="8">
        <v>25.441176470588232</v>
      </c>
      <c r="GM236" s="8">
        <v>106.85294117647058</v>
      </c>
      <c r="GN236" s="8">
        <v>19.437058823529412</v>
      </c>
      <c r="GO236" s="8">
        <v>16.384117647058822</v>
      </c>
      <c r="GP236" s="8">
        <v>22.49</v>
      </c>
      <c r="GS236" s="1">
        <v>220</v>
      </c>
      <c r="GT236" s="1">
        <v>220</v>
      </c>
      <c r="GV236" s="13" t="s">
        <v>643</v>
      </c>
      <c r="GW236" s="1" t="s">
        <v>643</v>
      </c>
      <c r="GX236" s="13">
        <v>182</v>
      </c>
      <c r="GY236" s="13"/>
      <c r="GZ236" s="13">
        <v>182</v>
      </c>
      <c r="HA236" s="13">
        <v>182</v>
      </c>
      <c r="HB236" s="1">
        <v>182</v>
      </c>
      <c r="HC236" s="13" t="s">
        <v>642</v>
      </c>
      <c r="HD236" s="13" t="s">
        <v>641</v>
      </c>
      <c r="HE236" s="1">
        <v>202</v>
      </c>
      <c r="HF236" s="1">
        <v>202</v>
      </c>
      <c r="HH236" s="1" t="s">
        <v>645</v>
      </c>
      <c r="HI236" s="1">
        <v>211</v>
      </c>
      <c r="HJ236" s="1">
        <v>214</v>
      </c>
      <c r="HK236" s="1">
        <v>220</v>
      </c>
      <c r="HL236" s="1">
        <v>214</v>
      </c>
      <c r="HO236" s="1" t="s">
        <v>644</v>
      </c>
    </row>
    <row r="237" spans="1:223" ht="12.75" customHeight="1" x14ac:dyDescent="0.25">
      <c r="A237" s="1" t="s">
        <v>938</v>
      </c>
      <c r="D237" s="1" t="s">
        <v>582</v>
      </c>
      <c r="E237" s="1" t="s">
        <v>126</v>
      </c>
      <c r="F237" s="1">
        <v>1</v>
      </c>
      <c r="G237" s="1">
        <v>2030</v>
      </c>
      <c r="H237" s="1">
        <v>1</v>
      </c>
      <c r="I237" s="1">
        <v>1</v>
      </c>
      <c r="J237" s="1">
        <v>0</v>
      </c>
      <c r="K237" s="19"/>
      <c r="L237" s="19"/>
      <c r="M237" s="19"/>
      <c r="N237" s="11">
        <v>317.13000000000005</v>
      </c>
      <c r="O237" s="11">
        <v>239.94000000000005</v>
      </c>
      <c r="P237" s="11">
        <v>394.32000000000005</v>
      </c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9"/>
      <c r="CR237" s="11">
        <v>57.660000000000011</v>
      </c>
      <c r="CS237" s="11">
        <v>20.460000000000004</v>
      </c>
      <c r="CT237" s="11">
        <v>94.860000000000014</v>
      </c>
      <c r="CU237" s="11">
        <f>Tabelle58971121[[#This Row],[Mindestauslastung durch]]*Tabelle58971121[[#This Row],[installierte Leistung MW durch]]</f>
        <v>0</v>
      </c>
      <c r="CV237" s="11">
        <f>Tabelle58971121[[#This Row],[Mindestauslastung min]]*Tabelle58971121[[#This Row],[installierte Leistung MW min]]</f>
        <v>0</v>
      </c>
      <c r="CW237" s="19">
        <f>Tabelle58971121[[#This Row],[Mindestauslastung max]]*Tabelle58971121[[#This Row],[installierte Leistung MW max]]</f>
        <v>0</v>
      </c>
      <c r="CX237" s="9">
        <v>0</v>
      </c>
      <c r="CY237" s="9">
        <v>0</v>
      </c>
      <c r="CZ237" s="9">
        <v>0</v>
      </c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39">
        <v>0.70128691983122371</v>
      </c>
      <c r="ED237" s="39">
        <v>0.66128691983122367</v>
      </c>
      <c r="EE237" s="39">
        <v>0.74128691983122363</v>
      </c>
      <c r="EF237" s="11">
        <f>Tabelle58971121[[#This Row],[Durchschnittsauslastung min]]*Tabelle58971121[[#This Row],[installierte Leistung MW min]]</f>
        <v>258.92214367088616</v>
      </c>
      <c r="EG237" s="11">
        <f>Tabelle58971121[[#This Row],[Durchschnittsauslastung durch]]*Tabelle58971121[[#This Row],[installierte Leistung MW durch]]</f>
        <v>300.11845569620255</v>
      </c>
      <c r="EH237" s="46">
        <f>Tabelle58971121[[#This Row],[Durchschnittsauslastung max]]*Tabelle58971121[[#This Row],[installierte Leistung MW max]]</f>
        <v>399.16076772151899</v>
      </c>
      <c r="EI237" s="83">
        <f>Tabelle58971121[[#This Row],[Maximalauslastung durch]]*Tabelle58971121[[#This Row],[installierte Leistung MW min]]</f>
        <v>305.46285569620255</v>
      </c>
      <c r="EJ237" s="46">
        <f>Tabelle58971121[[#This Row],[Maximalauslastung durch]]*Tabelle58971121[[#This Row],[installierte Leistung MW durch]]</f>
        <v>375.48078987341773</v>
      </c>
      <c r="EK237" s="11">
        <f>Tabelle58971121[[#This Row],[Maximalauslastung max]]*Tabelle58971121[[#This Row],[installierte Leistung MW durch]]</f>
        <v>387.30552405063293</v>
      </c>
      <c r="EL237" s="9">
        <v>0.82734177215189875</v>
      </c>
      <c r="EM237" s="9">
        <v>0.80128691983122369</v>
      </c>
      <c r="EN237" s="9">
        <v>0.85339662447257381</v>
      </c>
      <c r="EO237" s="11">
        <v>453.84000000000003</v>
      </c>
      <c r="EP237" s="11">
        <v>369.21000000000004</v>
      </c>
      <c r="EQ237" s="11">
        <v>538.47</v>
      </c>
      <c r="ER237" s="1">
        <v>0.16666666666666663</v>
      </c>
      <c r="ES237" s="1">
        <v>8.3333333333333329E-2</v>
      </c>
      <c r="ET237" s="54">
        <v>0.25</v>
      </c>
      <c r="EU237" s="1">
        <v>0.27083333333333337</v>
      </c>
      <c r="EV237" s="1">
        <v>8.3333333333333329E-2</v>
      </c>
      <c r="EW237" s="54">
        <v>0.5</v>
      </c>
      <c r="EX237" s="1">
        <v>10.994303797468353</v>
      </c>
      <c r="EY237" s="1">
        <v>4</v>
      </c>
      <c r="EZ237" s="54">
        <v>16.399999999999999</v>
      </c>
      <c r="FA237" s="1">
        <v>10.994303797468353</v>
      </c>
      <c r="FB237" s="1">
        <v>4</v>
      </c>
      <c r="FC237" s="54">
        <v>16.399999999999999</v>
      </c>
      <c r="FD237" s="1">
        <v>12.781434599156118</v>
      </c>
      <c r="FE237" s="1">
        <v>4.9000000000000004</v>
      </c>
      <c r="FF237" s="54">
        <v>18.899999999999999</v>
      </c>
      <c r="FG237" s="1">
        <v>23.657383966244723</v>
      </c>
      <c r="FH237" s="1">
        <v>15.113513513513514</v>
      </c>
      <c r="FI237" s="54">
        <v>15.053287197231835</v>
      </c>
      <c r="FJ237" s="1">
        <v>15.076793248945147</v>
      </c>
      <c r="FK237" s="1">
        <v>4.8</v>
      </c>
      <c r="FL237" s="54">
        <v>24.900000000000002</v>
      </c>
      <c r="FN237" s="1" t="s">
        <v>648</v>
      </c>
      <c r="FP237" s="1">
        <v>100</v>
      </c>
      <c r="FQ237" s="1">
        <v>50</v>
      </c>
      <c r="FR237" s="1">
        <v>150</v>
      </c>
      <c r="FS237" s="1">
        <v>0</v>
      </c>
      <c r="FT237" s="1">
        <v>0</v>
      </c>
      <c r="FU237" s="1">
        <v>0</v>
      </c>
      <c r="FV237" s="1">
        <v>100</v>
      </c>
      <c r="FW237" s="1">
        <v>50</v>
      </c>
      <c r="FX237" s="1">
        <v>150</v>
      </c>
      <c r="FY237" s="1">
        <v>1.526470588235294</v>
      </c>
      <c r="FZ237" s="19">
        <v>0.50882352941176467</v>
      </c>
      <c r="GA237" s="19">
        <v>2.5441176470588234</v>
      </c>
      <c r="GB237" s="19">
        <v>178.08823529411762</v>
      </c>
      <c r="GC237" s="8">
        <v>101.76470588235293</v>
      </c>
      <c r="GD237" s="8">
        <v>254.41176470588235</v>
      </c>
      <c r="GE237" s="8">
        <v>1330.0647058823529</v>
      </c>
      <c r="GF237" s="8">
        <v>1047.1588235294116</v>
      </c>
      <c r="GG237" s="8">
        <v>1612.9705882352939</v>
      </c>
      <c r="GH237" s="8">
        <v>0</v>
      </c>
      <c r="GI237" s="8">
        <v>0</v>
      </c>
      <c r="GJ237" s="8">
        <v>30.52941176470588</v>
      </c>
      <c r="GK237" s="8">
        <v>66.147058823529406</v>
      </c>
      <c r="GL237" s="8">
        <v>25.441176470588232</v>
      </c>
      <c r="GM237" s="8">
        <v>106.85294117647058</v>
      </c>
      <c r="GN237" s="8">
        <v>19.437058823529412</v>
      </c>
      <c r="GO237" s="8">
        <v>16.384117647058822</v>
      </c>
      <c r="GP237" s="8">
        <v>22.49</v>
      </c>
      <c r="GS237" s="1">
        <v>220</v>
      </c>
      <c r="GT237" s="1">
        <v>220</v>
      </c>
      <c r="GV237" s="13" t="s">
        <v>643</v>
      </c>
      <c r="GW237" s="1" t="s">
        <v>643</v>
      </c>
      <c r="GX237" s="13">
        <v>182</v>
      </c>
      <c r="GY237" s="13"/>
      <c r="GZ237" s="13">
        <v>182</v>
      </c>
      <c r="HA237" s="13">
        <v>182</v>
      </c>
      <c r="HB237" s="1">
        <v>182</v>
      </c>
      <c r="HC237" s="13" t="s">
        <v>642</v>
      </c>
      <c r="HD237" s="13" t="s">
        <v>641</v>
      </c>
      <c r="HE237" s="1">
        <v>202</v>
      </c>
      <c r="HF237" s="1">
        <v>202</v>
      </c>
      <c r="HH237" s="1" t="s">
        <v>645</v>
      </c>
      <c r="HI237" s="1">
        <v>211</v>
      </c>
      <c r="HJ237" s="1">
        <v>214</v>
      </c>
      <c r="HK237" s="1">
        <v>220</v>
      </c>
      <c r="HL237" s="1">
        <v>214</v>
      </c>
      <c r="HO237" s="1" t="s">
        <v>644</v>
      </c>
    </row>
    <row r="238" spans="1:223" ht="12.75" customHeight="1" x14ac:dyDescent="0.25">
      <c r="A238" s="1" t="s">
        <v>938</v>
      </c>
      <c r="D238" s="1" t="s">
        <v>582</v>
      </c>
      <c r="E238" s="1" t="s">
        <v>126</v>
      </c>
      <c r="F238" s="1">
        <v>1</v>
      </c>
      <c r="G238" s="1">
        <v>2035</v>
      </c>
      <c r="H238" s="1">
        <v>1</v>
      </c>
      <c r="I238" s="1">
        <v>1</v>
      </c>
      <c r="J238" s="1">
        <v>0</v>
      </c>
      <c r="K238" s="19"/>
      <c r="L238" s="19"/>
      <c r="M238" s="19"/>
      <c r="N238" s="11">
        <v>306.90000000000003</v>
      </c>
      <c r="O238" s="11">
        <v>232.2</v>
      </c>
      <c r="P238" s="11">
        <v>381.6</v>
      </c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9"/>
      <c r="CR238" s="11">
        <v>55.800000000000011</v>
      </c>
      <c r="CS238" s="11">
        <v>19.799999999999997</v>
      </c>
      <c r="CT238" s="11">
        <v>91.8</v>
      </c>
      <c r="CU238" s="11">
        <f>Tabelle58971121[[#This Row],[Mindestauslastung durch]]*Tabelle58971121[[#This Row],[installierte Leistung MW durch]]</f>
        <v>0</v>
      </c>
      <c r="CV238" s="11">
        <f>Tabelle58971121[[#This Row],[Mindestauslastung min]]*Tabelle58971121[[#This Row],[installierte Leistung MW min]]</f>
        <v>0</v>
      </c>
      <c r="CW238" s="19">
        <f>Tabelle58971121[[#This Row],[Mindestauslastung max]]*Tabelle58971121[[#This Row],[installierte Leistung MW max]]</f>
        <v>0</v>
      </c>
      <c r="CX238" s="9">
        <v>0</v>
      </c>
      <c r="CY238" s="9">
        <v>0</v>
      </c>
      <c r="CZ238" s="9">
        <v>0</v>
      </c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39">
        <v>0.70128691983122371</v>
      </c>
      <c r="ED238" s="39">
        <v>0.66128691983122356</v>
      </c>
      <c r="EE238" s="39">
        <v>0.74128691983122363</v>
      </c>
      <c r="EF238" s="11">
        <f>Tabelle58971121[[#This Row],[Durchschnittsauslastung min]]*Tabelle58971121[[#This Row],[installierte Leistung MW min]]</f>
        <v>250.56981645569627</v>
      </c>
      <c r="EG238" s="11">
        <f>Tabelle58971121[[#This Row],[Durchschnittsauslastung durch]]*Tabelle58971121[[#This Row],[installierte Leistung MW durch]]</f>
        <v>290.43721518987343</v>
      </c>
      <c r="EH238" s="46">
        <f>Tabelle58971121[[#This Row],[Durchschnittsauslastung max]]*Tabelle58971121[[#This Row],[installierte Leistung MW max]]</f>
        <v>386.28461392405063</v>
      </c>
      <c r="EI238" s="83">
        <f>Tabelle58971121[[#This Row],[Maximalauslastung durch]]*Tabelle58971121[[#This Row],[installierte Leistung MW min]]</f>
        <v>295.60921518987345</v>
      </c>
      <c r="EJ238" s="46">
        <f>Tabelle58971121[[#This Row],[Maximalauslastung durch]]*Tabelle58971121[[#This Row],[installierte Leistung MW durch]]</f>
        <v>363.36850632911398</v>
      </c>
      <c r="EK238" s="11">
        <f>Tabelle58971121[[#This Row],[Maximalauslastung max]]*Tabelle58971121[[#This Row],[installierte Leistung MW durch]]</f>
        <v>374.81179746835443</v>
      </c>
      <c r="EL238" s="9">
        <v>0.82734177215189875</v>
      </c>
      <c r="EM238" s="9">
        <v>0.80128691983122369</v>
      </c>
      <c r="EN238" s="9">
        <v>0.85339662447257381</v>
      </c>
      <c r="EO238" s="11">
        <v>439.20000000000005</v>
      </c>
      <c r="EP238" s="11">
        <v>357.30000000000007</v>
      </c>
      <c r="EQ238" s="11">
        <v>521.1</v>
      </c>
      <c r="ER238" s="1">
        <v>0.16666666666666663</v>
      </c>
      <c r="ES238" s="1">
        <v>8.3333333333333329E-2</v>
      </c>
      <c r="ET238" s="54">
        <v>0.25</v>
      </c>
      <c r="EU238" s="1">
        <v>0.27083333333333331</v>
      </c>
      <c r="EV238" s="1">
        <v>8.3333333333333329E-2</v>
      </c>
      <c r="EW238" s="54">
        <v>0.5</v>
      </c>
      <c r="EX238" s="1">
        <v>10.994303797468355</v>
      </c>
      <c r="EY238" s="1">
        <v>4</v>
      </c>
      <c r="EZ238" s="54">
        <v>16.399999999999999</v>
      </c>
      <c r="FA238" s="1">
        <v>10.994303797468355</v>
      </c>
      <c r="FB238" s="1">
        <v>4</v>
      </c>
      <c r="FC238" s="54">
        <v>16.399999999999999</v>
      </c>
      <c r="FD238" s="1">
        <v>12.781434599156119</v>
      </c>
      <c r="FE238" s="1">
        <v>4.9000000000000004</v>
      </c>
      <c r="FF238" s="54">
        <v>18.899999999999999</v>
      </c>
      <c r="FG238" s="1">
        <v>23.657383966244726</v>
      </c>
      <c r="FH238" s="1">
        <v>15.113513513513514</v>
      </c>
      <c r="FI238" s="54">
        <v>15.053287197231835</v>
      </c>
      <c r="FJ238" s="1">
        <v>15.076793248945149</v>
      </c>
      <c r="FK238" s="1">
        <v>4.8</v>
      </c>
      <c r="FL238" s="54">
        <v>24.900000000000002</v>
      </c>
      <c r="FN238" s="1" t="s">
        <v>648</v>
      </c>
      <c r="FP238" s="1">
        <v>100</v>
      </c>
      <c r="FQ238" s="1">
        <v>50</v>
      </c>
      <c r="FR238" s="1">
        <v>150</v>
      </c>
      <c r="FS238" s="1">
        <v>0</v>
      </c>
      <c r="FT238" s="1">
        <v>0</v>
      </c>
      <c r="FU238" s="1">
        <v>0</v>
      </c>
      <c r="FV238" s="1">
        <v>100</v>
      </c>
      <c r="FW238" s="1">
        <v>50</v>
      </c>
      <c r="FX238" s="1">
        <v>150</v>
      </c>
      <c r="FY238" s="1">
        <v>1.526470588235294</v>
      </c>
      <c r="FZ238" s="19">
        <v>0.50882352941176467</v>
      </c>
      <c r="GA238" s="19">
        <v>2.5441176470588234</v>
      </c>
      <c r="GB238" s="19">
        <v>178.08823529411762</v>
      </c>
      <c r="GC238" s="8">
        <v>101.76470588235293</v>
      </c>
      <c r="GD238" s="8">
        <v>254.41176470588235</v>
      </c>
      <c r="GE238" s="8">
        <v>1330.0647058823529</v>
      </c>
      <c r="GF238" s="8">
        <v>1047.1588235294116</v>
      </c>
      <c r="GG238" s="8">
        <v>1612.9705882352939</v>
      </c>
      <c r="GH238" s="8">
        <v>0</v>
      </c>
      <c r="GI238" s="8">
        <v>0</v>
      </c>
      <c r="GJ238" s="8">
        <v>30.52941176470588</v>
      </c>
      <c r="GK238" s="8">
        <v>66.147058823529406</v>
      </c>
      <c r="GL238" s="8">
        <v>25.441176470588232</v>
      </c>
      <c r="GM238" s="8">
        <v>106.85294117647058</v>
      </c>
      <c r="GN238" s="8">
        <v>19.437058823529412</v>
      </c>
      <c r="GO238" s="8">
        <v>16.384117647058822</v>
      </c>
      <c r="GP238" s="8">
        <v>22.49</v>
      </c>
      <c r="GS238" s="1">
        <v>220</v>
      </c>
      <c r="GT238" s="1">
        <v>220</v>
      </c>
      <c r="GV238" s="13" t="s">
        <v>643</v>
      </c>
      <c r="GW238" s="1" t="s">
        <v>643</v>
      </c>
      <c r="GX238" s="13">
        <v>182</v>
      </c>
      <c r="GY238" s="13"/>
      <c r="GZ238" s="13">
        <v>182</v>
      </c>
      <c r="HA238" s="13">
        <v>182</v>
      </c>
      <c r="HB238" s="1">
        <v>182</v>
      </c>
      <c r="HC238" s="13" t="s">
        <v>642</v>
      </c>
      <c r="HD238" s="13" t="s">
        <v>641</v>
      </c>
      <c r="HE238" s="1">
        <v>202</v>
      </c>
      <c r="HF238" s="1">
        <v>202</v>
      </c>
      <c r="HH238" s="1" t="s">
        <v>645</v>
      </c>
      <c r="HI238" s="1">
        <v>211</v>
      </c>
      <c r="HJ238" s="1">
        <v>214</v>
      </c>
      <c r="HK238" s="1">
        <v>220</v>
      </c>
      <c r="HL238" s="1">
        <v>214</v>
      </c>
      <c r="HO238" s="1" t="s">
        <v>644</v>
      </c>
    </row>
    <row r="239" spans="1:223" ht="12.75" customHeight="1" x14ac:dyDescent="0.25">
      <c r="A239" s="1" t="s">
        <v>938</v>
      </c>
      <c r="D239" s="1" t="s">
        <v>582</v>
      </c>
      <c r="E239" s="1" t="s">
        <v>126</v>
      </c>
      <c r="F239" s="1">
        <v>1</v>
      </c>
      <c r="G239" s="1">
        <v>2040</v>
      </c>
      <c r="H239" s="1">
        <v>1</v>
      </c>
      <c r="I239" s="1">
        <v>1</v>
      </c>
      <c r="J239" s="1">
        <v>0</v>
      </c>
      <c r="K239" s="19"/>
      <c r="L239" s="19"/>
      <c r="M239" s="19"/>
      <c r="N239" s="11">
        <v>300.08</v>
      </c>
      <c r="O239" s="11">
        <v>227.04</v>
      </c>
      <c r="P239" s="11">
        <v>373.12000000000006</v>
      </c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9"/>
      <c r="CR239" s="11">
        <v>54.559999999999995</v>
      </c>
      <c r="CS239" s="11">
        <v>19.36</v>
      </c>
      <c r="CT239" s="11">
        <v>89.76</v>
      </c>
      <c r="CU239" s="11">
        <f>Tabelle58971121[[#This Row],[Mindestauslastung durch]]*Tabelle58971121[[#This Row],[installierte Leistung MW durch]]</f>
        <v>0</v>
      </c>
      <c r="CV239" s="11">
        <f>Tabelle58971121[[#This Row],[Mindestauslastung min]]*Tabelle58971121[[#This Row],[installierte Leistung MW min]]</f>
        <v>0</v>
      </c>
      <c r="CW239" s="19">
        <f>Tabelle58971121[[#This Row],[Mindestauslastung max]]*Tabelle58971121[[#This Row],[installierte Leistung MW max]]</f>
        <v>0</v>
      </c>
      <c r="CX239" s="9">
        <v>0</v>
      </c>
      <c r="CY239" s="9">
        <v>0</v>
      </c>
      <c r="CZ239" s="9">
        <v>0</v>
      </c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39">
        <v>0.70128691983122371</v>
      </c>
      <c r="ED239" s="39">
        <v>0.66128691983122367</v>
      </c>
      <c r="EE239" s="39">
        <v>0.74128691983122363</v>
      </c>
      <c r="EF239" s="11">
        <f>Tabelle58971121[[#This Row],[Durchschnittsauslastung min]]*Tabelle58971121[[#This Row],[installierte Leistung MW min]]</f>
        <v>245.00159831223633</v>
      </c>
      <c r="EG239" s="11">
        <f>Tabelle58971121[[#This Row],[Durchschnittsauslastung durch]]*Tabelle58971121[[#This Row],[installierte Leistung MW durch]]</f>
        <v>283.98305485232072</v>
      </c>
      <c r="EH239" s="46">
        <f>Tabelle58971121[[#This Row],[Durchschnittsauslastung max]]*Tabelle58971121[[#This Row],[installierte Leistung MW max]]</f>
        <v>377.70051139240508</v>
      </c>
      <c r="EI239" s="83">
        <f>Tabelle58971121[[#This Row],[Maximalauslastung durch]]*Tabelle58971121[[#This Row],[installierte Leistung MW min]]</f>
        <v>289.04012151898735</v>
      </c>
      <c r="EJ239" s="46">
        <f>Tabelle58971121[[#This Row],[Maximalauslastung durch]]*Tabelle58971121[[#This Row],[installierte Leistung MW durch]]</f>
        <v>355.29365063291146</v>
      </c>
      <c r="EK239" s="11">
        <f>Tabelle58971121[[#This Row],[Maximalauslastung max]]*Tabelle58971121[[#This Row],[installierte Leistung MW durch]]</f>
        <v>366.48264641350215</v>
      </c>
      <c r="EL239" s="9">
        <v>0.82734177215189875</v>
      </c>
      <c r="EM239" s="9">
        <v>0.80128691983122369</v>
      </c>
      <c r="EN239" s="9">
        <v>0.85339662447257381</v>
      </c>
      <c r="EO239" s="11">
        <v>429.44000000000005</v>
      </c>
      <c r="EP239" s="11">
        <v>349.36</v>
      </c>
      <c r="EQ239" s="11">
        <v>509.52000000000004</v>
      </c>
      <c r="ER239" s="1">
        <v>0.16666666666666663</v>
      </c>
      <c r="ES239" s="1">
        <v>8.3333333333333329E-2</v>
      </c>
      <c r="ET239" s="54">
        <v>0.25</v>
      </c>
      <c r="EU239" s="1">
        <v>0.27083333333333331</v>
      </c>
      <c r="EV239" s="1">
        <v>8.3333333333333329E-2</v>
      </c>
      <c r="EW239" s="54">
        <v>0.5</v>
      </c>
      <c r="EX239" s="1">
        <v>10.994303797468355</v>
      </c>
      <c r="EY239" s="1">
        <v>4</v>
      </c>
      <c r="EZ239" s="54">
        <v>16.399999999999999</v>
      </c>
      <c r="FA239" s="1">
        <v>10.994303797468355</v>
      </c>
      <c r="FB239" s="1">
        <v>4</v>
      </c>
      <c r="FC239" s="54">
        <v>16.399999999999999</v>
      </c>
      <c r="FD239" s="1">
        <v>12.781434599156119</v>
      </c>
      <c r="FE239" s="1">
        <v>4.9000000000000004</v>
      </c>
      <c r="FF239" s="54">
        <v>18.899999999999999</v>
      </c>
      <c r="FG239" s="1">
        <v>23.657383966244726</v>
      </c>
      <c r="FH239" s="1">
        <v>15.113513513513514</v>
      </c>
      <c r="FI239" s="54">
        <v>15.053287197231835</v>
      </c>
      <c r="FJ239" s="1">
        <v>15.076793248945149</v>
      </c>
      <c r="FK239" s="1">
        <v>4.8</v>
      </c>
      <c r="FL239" s="54">
        <v>24.900000000000002</v>
      </c>
      <c r="FN239" s="1" t="s">
        <v>648</v>
      </c>
      <c r="FP239" s="1">
        <v>100</v>
      </c>
      <c r="FQ239" s="1">
        <v>50</v>
      </c>
      <c r="FR239" s="1">
        <v>150</v>
      </c>
      <c r="FS239" s="1">
        <v>0</v>
      </c>
      <c r="FT239" s="1">
        <v>0</v>
      </c>
      <c r="FU239" s="1">
        <v>0</v>
      </c>
      <c r="FV239" s="1">
        <v>100</v>
      </c>
      <c r="FW239" s="1">
        <v>50</v>
      </c>
      <c r="FX239" s="1">
        <v>150</v>
      </c>
      <c r="FY239" s="1">
        <v>1.526470588235294</v>
      </c>
      <c r="FZ239" s="19">
        <v>0.50882352941176467</v>
      </c>
      <c r="GA239" s="19">
        <v>2.5441176470588234</v>
      </c>
      <c r="GB239" s="19">
        <v>178.08823529411762</v>
      </c>
      <c r="GC239" s="8">
        <v>101.76470588235293</v>
      </c>
      <c r="GD239" s="8">
        <v>254.41176470588235</v>
      </c>
      <c r="GE239" s="8">
        <v>1330.0647058823529</v>
      </c>
      <c r="GF239" s="8">
        <v>1047.1588235294116</v>
      </c>
      <c r="GG239" s="8">
        <v>1612.9705882352939</v>
      </c>
      <c r="GH239" s="8">
        <v>0</v>
      </c>
      <c r="GI239" s="8">
        <v>0</v>
      </c>
      <c r="GJ239" s="8">
        <v>30.52941176470588</v>
      </c>
      <c r="GK239" s="8">
        <v>66.147058823529406</v>
      </c>
      <c r="GL239" s="8">
        <v>25.441176470588232</v>
      </c>
      <c r="GM239" s="8">
        <v>106.85294117647058</v>
      </c>
      <c r="GN239" s="8">
        <v>19.437058823529412</v>
      </c>
      <c r="GO239" s="8">
        <v>16.384117647058822</v>
      </c>
      <c r="GP239" s="8">
        <v>22.49</v>
      </c>
      <c r="GS239" s="1">
        <v>220</v>
      </c>
      <c r="GT239" s="1">
        <v>220</v>
      </c>
      <c r="GV239" s="13" t="s">
        <v>643</v>
      </c>
      <c r="GW239" s="1" t="s">
        <v>643</v>
      </c>
      <c r="GX239" s="13">
        <v>182</v>
      </c>
      <c r="GY239" s="13"/>
      <c r="GZ239" s="13">
        <v>182</v>
      </c>
      <c r="HA239" s="13">
        <v>182</v>
      </c>
      <c r="HB239" s="1">
        <v>182</v>
      </c>
      <c r="HC239" s="13" t="s">
        <v>642</v>
      </c>
      <c r="HD239" s="13" t="s">
        <v>641</v>
      </c>
      <c r="HE239" s="1">
        <v>202</v>
      </c>
      <c r="HF239" s="1">
        <v>202</v>
      </c>
      <c r="HH239" s="1" t="s">
        <v>645</v>
      </c>
      <c r="HI239" s="1">
        <v>211</v>
      </c>
      <c r="HJ239" s="1">
        <v>214</v>
      </c>
      <c r="HK239" s="1">
        <v>220</v>
      </c>
      <c r="HL239" s="1">
        <v>214</v>
      </c>
      <c r="HO239" s="1" t="s">
        <v>644</v>
      </c>
    </row>
    <row r="240" spans="1:223" ht="12.75" customHeight="1" x14ac:dyDescent="0.25">
      <c r="A240" s="1" t="s">
        <v>938</v>
      </c>
      <c r="D240" s="1" t="s">
        <v>582</v>
      </c>
      <c r="E240" s="1" t="s">
        <v>126</v>
      </c>
      <c r="F240" s="1">
        <v>1</v>
      </c>
      <c r="G240" s="1">
        <v>2045</v>
      </c>
      <c r="H240" s="1">
        <v>1</v>
      </c>
      <c r="I240" s="1">
        <v>1</v>
      </c>
      <c r="J240" s="1">
        <v>0</v>
      </c>
      <c r="K240" s="19"/>
      <c r="L240" s="19"/>
      <c r="M240" s="19"/>
      <c r="N240" s="11">
        <v>293.26</v>
      </c>
      <c r="O240" s="11">
        <v>221.88</v>
      </c>
      <c r="P240" s="11">
        <v>364.64</v>
      </c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9"/>
      <c r="CR240" s="11">
        <v>53.32</v>
      </c>
      <c r="CS240" s="11">
        <v>18.919999999999998</v>
      </c>
      <c r="CT240" s="11">
        <v>87.72</v>
      </c>
      <c r="CU240" s="11">
        <f>Tabelle58971121[[#This Row],[Mindestauslastung durch]]*Tabelle58971121[[#This Row],[installierte Leistung MW durch]]</f>
        <v>0</v>
      </c>
      <c r="CV240" s="11">
        <f>Tabelle58971121[[#This Row],[Mindestauslastung min]]*Tabelle58971121[[#This Row],[installierte Leistung MW min]]</f>
        <v>0</v>
      </c>
      <c r="CW240" s="19">
        <f>Tabelle58971121[[#This Row],[Mindestauslastung max]]*Tabelle58971121[[#This Row],[installierte Leistung MW max]]</f>
        <v>0</v>
      </c>
      <c r="CX240" s="9">
        <v>0</v>
      </c>
      <c r="CY240" s="9">
        <v>0</v>
      </c>
      <c r="CZ240" s="9">
        <v>0</v>
      </c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39">
        <v>0.70128691983122371</v>
      </c>
      <c r="ED240" s="39">
        <v>0.66128691983122367</v>
      </c>
      <c r="EE240" s="39">
        <v>0.74128691983122363</v>
      </c>
      <c r="EF240" s="11">
        <f>Tabelle58971121[[#This Row],[Durchschnittsauslastung min]]*Tabelle58971121[[#This Row],[installierte Leistung MW min]]</f>
        <v>239.43338016877641</v>
      </c>
      <c r="EG240" s="11">
        <f>Tabelle58971121[[#This Row],[Durchschnittsauslastung durch]]*Tabelle58971121[[#This Row],[installierte Leistung MW durch]]</f>
        <v>277.52889451476796</v>
      </c>
      <c r="EH240" s="46">
        <f>Tabelle58971121[[#This Row],[Durchschnittsauslastung max]]*Tabelle58971121[[#This Row],[installierte Leistung MW max]]</f>
        <v>369.11640886075952</v>
      </c>
      <c r="EI240" s="83">
        <f>Tabelle58971121[[#This Row],[Maximalauslastung durch]]*Tabelle58971121[[#This Row],[installierte Leistung MW min]]</f>
        <v>282.4710278481013</v>
      </c>
      <c r="EJ240" s="46">
        <f>Tabelle58971121[[#This Row],[Maximalauslastung durch]]*Tabelle58971121[[#This Row],[installierte Leistung MW durch]]</f>
        <v>347.21879493670889</v>
      </c>
      <c r="EK240" s="11">
        <f>Tabelle58971121[[#This Row],[Maximalauslastung max]]*Tabelle58971121[[#This Row],[installierte Leistung MW durch]]</f>
        <v>358.15349535864976</v>
      </c>
      <c r="EL240" s="9">
        <v>0.82734177215189875</v>
      </c>
      <c r="EM240" s="9">
        <v>0.80128691983122369</v>
      </c>
      <c r="EN240" s="9">
        <v>0.85339662447257381</v>
      </c>
      <c r="EO240" s="11">
        <v>419.68</v>
      </c>
      <c r="EP240" s="11">
        <v>341.42</v>
      </c>
      <c r="EQ240" s="11">
        <v>497.94000000000005</v>
      </c>
      <c r="ER240" s="1">
        <v>0.16666666666666663</v>
      </c>
      <c r="ES240" s="1">
        <v>8.3333333333333329E-2</v>
      </c>
      <c r="ET240" s="54">
        <v>0.25</v>
      </c>
      <c r="EU240" s="1">
        <v>0.27083333333333331</v>
      </c>
      <c r="EV240" s="1">
        <v>8.3333333333333329E-2</v>
      </c>
      <c r="EW240" s="54">
        <v>0.5</v>
      </c>
      <c r="EX240" s="1">
        <v>10.994303797468355</v>
      </c>
      <c r="EY240" s="1">
        <v>4</v>
      </c>
      <c r="EZ240" s="54">
        <v>16.399999999999999</v>
      </c>
      <c r="FA240" s="1">
        <v>10.994303797468355</v>
      </c>
      <c r="FB240" s="1">
        <v>4</v>
      </c>
      <c r="FC240" s="54">
        <v>16.399999999999999</v>
      </c>
      <c r="FD240" s="1">
        <v>12.781434599156119</v>
      </c>
      <c r="FE240" s="1">
        <v>4.9000000000000004</v>
      </c>
      <c r="FF240" s="54">
        <v>18.899999999999999</v>
      </c>
      <c r="FG240" s="1">
        <v>23.657383966244726</v>
      </c>
      <c r="FH240" s="1">
        <v>15.113513513513514</v>
      </c>
      <c r="FI240" s="54">
        <v>15.053287197231835</v>
      </c>
      <c r="FJ240" s="1">
        <v>15.076793248945149</v>
      </c>
      <c r="FK240" s="1">
        <v>4.8</v>
      </c>
      <c r="FL240" s="54">
        <v>24.900000000000002</v>
      </c>
      <c r="FN240" s="1" t="s">
        <v>648</v>
      </c>
      <c r="FP240" s="1">
        <v>100</v>
      </c>
      <c r="FQ240" s="1">
        <v>50</v>
      </c>
      <c r="FR240" s="1">
        <v>150</v>
      </c>
      <c r="FS240" s="1">
        <v>0</v>
      </c>
      <c r="FT240" s="1">
        <v>0</v>
      </c>
      <c r="FU240" s="1">
        <v>0</v>
      </c>
      <c r="FV240" s="1">
        <v>100</v>
      </c>
      <c r="FW240" s="1">
        <v>50</v>
      </c>
      <c r="FX240" s="1">
        <v>150</v>
      </c>
      <c r="FY240" s="1">
        <v>1.526470588235294</v>
      </c>
      <c r="FZ240" s="19">
        <v>0.50882352941176467</v>
      </c>
      <c r="GA240" s="19">
        <v>2.5441176470588234</v>
      </c>
      <c r="GB240" s="19">
        <v>178.08823529411762</v>
      </c>
      <c r="GC240" s="8">
        <v>101.76470588235293</v>
      </c>
      <c r="GD240" s="8">
        <v>254.41176470588235</v>
      </c>
      <c r="GE240" s="8">
        <v>1330.0647058823529</v>
      </c>
      <c r="GF240" s="8">
        <v>1047.1588235294116</v>
      </c>
      <c r="GG240" s="8">
        <v>1612.9705882352939</v>
      </c>
      <c r="GH240" s="8">
        <v>0</v>
      </c>
      <c r="GI240" s="8">
        <v>0</v>
      </c>
      <c r="GJ240" s="8">
        <v>30.52941176470588</v>
      </c>
      <c r="GK240" s="8">
        <v>66.147058823529406</v>
      </c>
      <c r="GL240" s="8">
        <v>25.441176470588232</v>
      </c>
      <c r="GM240" s="8">
        <v>106.85294117647058</v>
      </c>
      <c r="GN240" s="8">
        <v>19.437058823529412</v>
      </c>
      <c r="GO240" s="8">
        <v>16.384117647058822</v>
      </c>
      <c r="GP240" s="8">
        <v>22.49</v>
      </c>
      <c r="GS240" s="1">
        <v>220</v>
      </c>
      <c r="GT240" s="1">
        <v>220</v>
      </c>
      <c r="GV240" s="13" t="s">
        <v>643</v>
      </c>
      <c r="GW240" s="1" t="s">
        <v>643</v>
      </c>
      <c r="GX240" s="13">
        <v>182</v>
      </c>
      <c r="GY240" s="13"/>
      <c r="GZ240" s="13">
        <v>182</v>
      </c>
      <c r="HA240" s="13">
        <v>182</v>
      </c>
      <c r="HB240" s="1">
        <v>182</v>
      </c>
      <c r="HC240" s="13" t="s">
        <v>642</v>
      </c>
      <c r="HD240" s="13" t="s">
        <v>641</v>
      </c>
      <c r="HE240" s="1">
        <v>202</v>
      </c>
      <c r="HF240" s="1">
        <v>202</v>
      </c>
      <c r="HH240" s="1" t="s">
        <v>645</v>
      </c>
      <c r="HI240" s="1">
        <v>211</v>
      </c>
      <c r="HJ240" s="1">
        <v>214</v>
      </c>
      <c r="HK240" s="1">
        <v>220</v>
      </c>
      <c r="HL240" s="1">
        <v>214</v>
      </c>
      <c r="HO240" s="1" t="s">
        <v>644</v>
      </c>
    </row>
    <row r="241" spans="1:223" ht="12.75" customHeight="1" x14ac:dyDescent="0.25">
      <c r="A241" s="1" t="s">
        <v>938</v>
      </c>
      <c r="D241" s="1" t="s">
        <v>582</v>
      </c>
      <c r="E241" s="1" t="s">
        <v>126</v>
      </c>
      <c r="F241" s="1">
        <v>1</v>
      </c>
      <c r="G241" s="1">
        <v>2050</v>
      </c>
      <c r="H241" s="1">
        <v>1</v>
      </c>
      <c r="I241" s="1">
        <v>1</v>
      </c>
      <c r="J241" s="1">
        <v>0</v>
      </c>
      <c r="K241" s="19"/>
      <c r="L241" s="19"/>
      <c r="M241" s="19"/>
      <c r="N241" s="11">
        <v>286.44000000000005</v>
      </c>
      <c r="O241" s="11">
        <v>216.72000000000003</v>
      </c>
      <c r="P241" s="11">
        <v>356.16</v>
      </c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9"/>
      <c r="CR241" s="11">
        <v>52.080000000000005</v>
      </c>
      <c r="CS241" s="11">
        <v>18.48</v>
      </c>
      <c r="CT241" s="11">
        <v>85.68</v>
      </c>
      <c r="CU241" s="11">
        <f>Tabelle58971121[[#This Row],[Mindestauslastung durch]]*Tabelle58971121[[#This Row],[installierte Leistung MW durch]]</f>
        <v>0</v>
      </c>
      <c r="CV241" s="11">
        <f>Tabelle58971121[[#This Row],[Mindestauslastung min]]*Tabelle58971121[[#This Row],[installierte Leistung MW min]]</f>
        <v>0</v>
      </c>
      <c r="CW241" s="19">
        <f>Tabelle58971121[[#This Row],[Mindestauslastung max]]*Tabelle58971121[[#This Row],[installierte Leistung MW max]]</f>
        <v>0</v>
      </c>
      <c r="CX241" s="9">
        <v>0</v>
      </c>
      <c r="CY241" s="9">
        <v>0</v>
      </c>
      <c r="CZ241" s="9">
        <v>0</v>
      </c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39">
        <v>0.70128691983122371</v>
      </c>
      <c r="ED241" s="39">
        <v>0.66128691983122367</v>
      </c>
      <c r="EE241" s="39">
        <v>0.74128691983122363</v>
      </c>
      <c r="EF241" s="11">
        <f>Tabelle58971121[[#This Row],[Durchschnittsauslastung min]]*Tabelle58971121[[#This Row],[installierte Leistung MW min]]</f>
        <v>233.86516202531649</v>
      </c>
      <c r="EG241" s="11">
        <f>Tabelle58971121[[#This Row],[Durchschnittsauslastung durch]]*Tabelle58971121[[#This Row],[installierte Leistung MW durch]]</f>
        <v>271.07473417721519</v>
      </c>
      <c r="EH241" s="46">
        <f>Tabelle58971121[[#This Row],[Durchschnittsauslastung max]]*Tabelle58971121[[#This Row],[installierte Leistung MW max]]</f>
        <v>360.53230632911396</v>
      </c>
      <c r="EI241" s="83">
        <f>Tabelle58971121[[#This Row],[Maximalauslastung durch]]*Tabelle58971121[[#This Row],[installierte Leistung MW min]]</f>
        <v>275.9019341772152</v>
      </c>
      <c r="EJ241" s="46">
        <f>Tabelle58971121[[#This Row],[Maximalauslastung durch]]*Tabelle58971121[[#This Row],[installierte Leistung MW durch]]</f>
        <v>339.14393924050631</v>
      </c>
      <c r="EK241" s="11">
        <f>Tabelle58971121[[#This Row],[Maximalauslastung max]]*Tabelle58971121[[#This Row],[installierte Leistung MW durch]]</f>
        <v>349.82434430379743</v>
      </c>
      <c r="EL241" s="9">
        <v>0.82734177215189875</v>
      </c>
      <c r="EM241" s="9">
        <v>0.80128691983122369</v>
      </c>
      <c r="EN241" s="9">
        <v>0.85339662447257381</v>
      </c>
      <c r="EO241" s="11">
        <v>409.91999999999996</v>
      </c>
      <c r="EP241" s="11">
        <v>333.48</v>
      </c>
      <c r="EQ241" s="11">
        <v>486.36</v>
      </c>
      <c r="ER241" s="1">
        <v>0.16666666666666663</v>
      </c>
      <c r="ES241" s="1">
        <v>8.3333333333333329E-2</v>
      </c>
      <c r="ET241" s="54">
        <v>0.25</v>
      </c>
      <c r="EU241" s="1">
        <v>0.27083333333333337</v>
      </c>
      <c r="EV241" s="1">
        <v>8.3333333333333329E-2</v>
      </c>
      <c r="EW241" s="54">
        <v>0.5</v>
      </c>
      <c r="EX241" s="1">
        <v>10.994303797468355</v>
      </c>
      <c r="EY241" s="1">
        <v>4</v>
      </c>
      <c r="EZ241" s="54">
        <v>16.399999999999999</v>
      </c>
      <c r="FA241" s="1">
        <v>10.994303797468355</v>
      </c>
      <c r="FB241" s="1">
        <v>4</v>
      </c>
      <c r="FC241" s="54">
        <v>16.399999999999999</v>
      </c>
      <c r="FD241" s="1">
        <v>12.781434599156119</v>
      </c>
      <c r="FE241" s="1">
        <v>4.9000000000000004</v>
      </c>
      <c r="FF241" s="54">
        <v>18.899999999999999</v>
      </c>
      <c r="FG241" s="1">
        <v>23.657383966244726</v>
      </c>
      <c r="FH241" s="1">
        <v>15.113513513513514</v>
      </c>
      <c r="FI241" s="54">
        <v>15.053287197231832</v>
      </c>
      <c r="FJ241" s="1">
        <v>15.076793248945149</v>
      </c>
      <c r="FK241" s="1">
        <v>4.8</v>
      </c>
      <c r="FL241" s="54">
        <v>24.900000000000002</v>
      </c>
      <c r="FN241" s="1" t="s">
        <v>648</v>
      </c>
      <c r="FP241" s="1">
        <v>100</v>
      </c>
      <c r="FQ241" s="1">
        <v>50</v>
      </c>
      <c r="FR241" s="1">
        <v>150</v>
      </c>
      <c r="FS241" s="1">
        <v>0</v>
      </c>
      <c r="FT241" s="1">
        <v>0</v>
      </c>
      <c r="FU241" s="1">
        <v>0</v>
      </c>
      <c r="FV241" s="1">
        <v>100</v>
      </c>
      <c r="FW241" s="1">
        <v>50</v>
      </c>
      <c r="FX241" s="1">
        <v>150</v>
      </c>
      <c r="FY241" s="1">
        <v>1.526470588235294</v>
      </c>
      <c r="FZ241" s="19">
        <v>0.50882352941176467</v>
      </c>
      <c r="GA241" s="19">
        <v>2.5441176470588234</v>
      </c>
      <c r="GB241" s="19">
        <v>178.08823529411762</v>
      </c>
      <c r="GC241" s="8">
        <v>101.76470588235293</v>
      </c>
      <c r="GD241" s="8">
        <v>254.41176470588235</v>
      </c>
      <c r="GE241" s="8">
        <v>1330.0647058823529</v>
      </c>
      <c r="GF241" s="8">
        <v>1047.1588235294116</v>
      </c>
      <c r="GG241" s="8">
        <v>1612.9705882352939</v>
      </c>
      <c r="GH241" s="8">
        <v>0</v>
      </c>
      <c r="GI241" s="8">
        <v>0</v>
      </c>
      <c r="GJ241" s="8">
        <v>30.52941176470588</v>
      </c>
      <c r="GK241" s="8">
        <v>66.147058823529406</v>
      </c>
      <c r="GL241" s="8">
        <v>25.441176470588232</v>
      </c>
      <c r="GM241" s="8">
        <v>106.85294117647058</v>
      </c>
      <c r="GN241" s="8">
        <v>19.437058823529412</v>
      </c>
      <c r="GO241" s="8">
        <v>16.384117647058822</v>
      </c>
      <c r="GP241" s="8">
        <v>22.49</v>
      </c>
      <c r="GS241" s="1">
        <v>220</v>
      </c>
      <c r="GT241" s="1">
        <v>220</v>
      </c>
      <c r="GV241" s="13" t="s">
        <v>643</v>
      </c>
      <c r="GW241" s="1" t="s">
        <v>643</v>
      </c>
      <c r="GX241" s="13">
        <v>182</v>
      </c>
      <c r="GY241" s="13"/>
      <c r="GZ241" s="13">
        <v>182</v>
      </c>
      <c r="HA241" s="13">
        <v>182</v>
      </c>
      <c r="HB241" s="1">
        <v>182</v>
      </c>
      <c r="HC241" s="13" t="s">
        <v>642</v>
      </c>
      <c r="HD241" s="13" t="s">
        <v>641</v>
      </c>
      <c r="HE241" s="1">
        <v>202</v>
      </c>
      <c r="HF241" s="1">
        <v>202</v>
      </c>
      <c r="HH241" s="1" t="s">
        <v>645</v>
      </c>
      <c r="HI241" s="1">
        <v>211</v>
      </c>
      <c r="HJ241" s="1">
        <v>214</v>
      </c>
      <c r="HK241" s="1">
        <v>220</v>
      </c>
      <c r="HL241" s="1">
        <v>214</v>
      </c>
      <c r="HO241" s="1" t="s">
        <v>644</v>
      </c>
    </row>
    <row r="242" spans="1:223" ht="12.75" customHeight="1" x14ac:dyDescent="0.25">
      <c r="A242" s="1" t="s">
        <v>572</v>
      </c>
      <c r="D242" s="1" t="s">
        <v>576</v>
      </c>
      <c r="E242" s="1" t="s">
        <v>126</v>
      </c>
      <c r="F242" s="1">
        <v>1</v>
      </c>
      <c r="G242" s="1">
        <v>2015</v>
      </c>
      <c r="H242" s="1">
        <v>1</v>
      </c>
      <c r="I242" s="1">
        <v>1</v>
      </c>
      <c r="J242" s="1">
        <v>0</v>
      </c>
      <c r="K242" s="19"/>
      <c r="L242" s="19"/>
      <c r="M242" s="19"/>
      <c r="N242" s="11">
        <v>160</v>
      </c>
      <c r="O242" s="11">
        <v>149</v>
      </c>
      <c r="P242" s="11">
        <v>171</v>
      </c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9"/>
      <c r="CR242" s="11">
        <v>15</v>
      </c>
      <c r="CS242" s="11">
        <v>7</v>
      </c>
      <c r="CT242" s="11">
        <v>23</v>
      </c>
      <c r="CU242" s="11">
        <f>Tabelle58971121[[#This Row],[Mindestauslastung durch]]*Tabelle58971121[[#This Row],[installierte Leistung MW durch]]</f>
        <v>0</v>
      </c>
      <c r="CV242" s="11">
        <f>Tabelle58971121[[#This Row],[Mindestauslastung min]]*Tabelle58971121[[#This Row],[installierte Leistung MW min]]</f>
        <v>0</v>
      </c>
      <c r="CW242" s="19">
        <f>Tabelle58971121[[#This Row],[Mindestauslastung max]]*Tabelle58971121[[#This Row],[installierte Leistung MW max]]</f>
        <v>0</v>
      </c>
      <c r="CX242" s="9">
        <v>0</v>
      </c>
      <c r="CY242" s="9">
        <v>0</v>
      </c>
      <c r="CZ242" s="9">
        <v>0</v>
      </c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39">
        <v>0.88100558659217887</v>
      </c>
      <c r="ED242" s="39">
        <v>0.84802816901408451</v>
      </c>
      <c r="EE242" s="39">
        <v>0.91537037037037039</v>
      </c>
      <c r="EF242" s="11">
        <f>Tabelle58971121[[#This Row],[Durchschnittsauslastung min]]*Tabelle58971121[[#This Row],[installierte Leistung MW min]]</f>
        <v>155.93798882681565</v>
      </c>
      <c r="EG242" s="11">
        <f>Tabelle58971121[[#This Row],[Durchschnittsauslastung durch]]*Tabelle58971121[[#This Row],[installierte Leistung MW durch]]</f>
        <v>154.34112676056338</v>
      </c>
      <c r="EH242" s="46">
        <f>Tabelle58971121[[#This Row],[Durchschnittsauslastung max]]*Tabelle58971121[[#This Row],[installierte Leistung MW max]]</f>
        <v>171.17425925925926</v>
      </c>
      <c r="EI242" s="83">
        <f>Tabelle58971121[[#This Row],[Maximalauslastung durch]]*Tabelle58971121[[#This Row],[installierte Leistung MW min]]</f>
        <v>170.25620111731845</v>
      </c>
      <c r="EJ242" s="46">
        <f>Tabelle58971121[[#This Row],[Maximalauslastung durch]]*Tabelle58971121[[#This Row],[installierte Leistung MW durch]]</f>
        <v>175.06569832402235</v>
      </c>
      <c r="EK242" s="11">
        <f>Tabelle58971121[[#This Row],[Maximalauslastung max]]*Tabelle58971121[[#This Row],[installierte Leistung MW durch]]</f>
        <v>176.20296296296294</v>
      </c>
      <c r="EL242" s="9">
        <v>0.9618994413407822</v>
      </c>
      <c r="EM242" s="9">
        <v>0.95521126760563391</v>
      </c>
      <c r="EN242" s="9">
        <v>0.96814814814814809</v>
      </c>
      <c r="EO242" s="11">
        <v>182</v>
      </c>
      <c r="EP242" s="11">
        <v>177</v>
      </c>
      <c r="EQ242" s="11">
        <v>187</v>
      </c>
      <c r="ER242" s="1">
        <v>2.6666666666666665E-2</v>
      </c>
      <c r="ES242" s="1">
        <v>2.7777777777777778E-4</v>
      </c>
      <c r="ET242" s="54">
        <v>0.25</v>
      </c>
      <c r="EU242" s="1">
        <v>0.10624999999999998</v>
      </c>
      <c r="EV242" s="1">
        <v>8.3333333333333332E-3</v>
      </c>
      <c r="EW242" s="54">
        <v>0.25</v>
      </c>
      <c r="EX242" s="1">
        <v>3</v>
      </c>
      <c r="EY242" s="1">
        <v>1.6</v>
      </c>
      <c r="EZ242" s="54">
        <v>7.2</v>
      </c>
      <c r="FA242" s="1">
        <v>3</v>
      </c>
      <c r="FB242" s="1">
        <v>1.6</v>
      </c>
      <c r="FC242" s="54">
        <v>7.2</v>
      </c>
      <c r="FD242" s="1">
        <v>4</v>
      </c>
      <c r="FE242" s="1">
        <v>3.2</v>
      </c>
      <c r="FF242" s="54">
        <v>4.8</v>
      </c>
      <c r="FG242" s="1">
        <v>7</v>
      </c>
      <c r="FH242" s="1">
        <v>7</v>
      </c>
      <c r="FI242" s="54">
        <v>7</v>
      </c>
      <c r="FJ242" s="1">
        <v>4.5500000000000007</v>
      </c>
      <c r="FK242" s="1">
        <v>3.1999999999999997</v>
      </c>
      <c r="FL242" s="54">
        <v>6.8000000000000007</v>
      </c>
      <c r="FN242" s="1" t="s">
        <v>646</v>
      </c>
      <c r="FP242" s="1">
        <v>50</v>
      </c>
      <c r="FQ242" s="1">
        <v>20</v>
      </c>
      <c r="FR242" s="1">
        <v>80</v>
      </c>
      <c r="FS242" s="1">
        <v>0</v>
      </c>
      <c r="FT242" s="1">
        <v>0</v>
      </c>
      <c r="FU242" s="1">
        <v>0</v>
      </c>
      <c r="FV242" s="1">
        <v>50</v>
      </c>
      <c r="FW242" s="1">
        <v>20</v>
      </c>
      <c r="FX242" s="1">
        <v>80</v>
      </c>
      <c r="FY242" s="1">
        <v>0</v>
      </c>
      <c r="FZ242" s="19">
        <v>0</v>
      </c>
      <c r="GA242" s="19">
        <v>0</v>
      </c>
      <c r="GB242" s="19">
        <v>178.08823529411762</v>
      </c>
      <c r="GC242" s="8">
        <v>101.76470588235293</v>
      </c>
      <c r="GD242" s="8">
        <v>254.41176470588235</v>
      </c>
      <c r="GE242" s="8">
        <v>2000.6941176470586</v>
      </c>
      <c r="GF242" s="8">
        <v>1359.0676470588235</v>
      </c>
      <c r="GG242" s="8">
        <v>2642.3205882352941</v>
      </c>
      <c r="GH242" s="8">
        <v>0</v>
      </c>
      <c r="GI242" s="8">
        <v>0</v>
      </c>
      <c r="GJ242" s="8">
        <v>30.52941176470588</v>
      </c>
      <c r="GK242" s="8">
        <v>58.514705882352935</v>
      </c>
      <c r="GL242" s="8">
        <v>17.808823529411764</v>
      </c>
      <c r="GM242" s="8">
        <v>99.220588235294116</v>
      </c>
      <c r="GN242" s="8">
        <v>2.0352941176470587</v>
      </c>
      <c r="GO242" s="8">
        <v>0</v>
      </c>
      <c r="GP242" s="8">
        <v>4.0705882352941174</v>
      </c>
      <c r="GS242" s="1">
        <v>220</v>
      </c>
      <c r="GT242" s="1">
        <v>220</v>
      </c>
      <c r="GV242" s="13" t="s">
        <v>643</v>
      </c>
      <c r="GW242" s="1" t="s">
        <v>643</v>
      </c>
      <c r="GX242" s="13">
        <v>182</v>
      </c>
      <c r="GY242" s="13"/>
      <c r="GZ242" s="13">
        <v>182</v>
      </c>
      <c r="HA242" s="13">
        <v>182</v>
      </c>
      <c r="HB242" s="1">
        <v>182</v>
      </c>
      <c r="HC242" s="13" t="s">
        <v>642</v>
      </c>
      <c r="HD242" s="13" t="s">
        <v>641</v>
      </c>
      <c r="HE242" s="1">
        <v>202</v>
      </c>
      <c r="HF242" s="1">
        <v>202</v>
      </c>
      <c r="HH242" s="1" t="s">
        <v>645</v>
      </c>
      <c r="HI242" s="1">
        <v>211</v>
      </c>
      <c r="HJ242" s="1">
        <v>214</v>
      </c>
      <c r="HK242" s="1">
        <v>220</v>
      </c>
      <c r="HL242" s="1">
        <v>214</v>
      </c>
      <c r="HO242" s="1" t="s">
        <v>644</v>
      </c>
    </row>
    <row r="243" spans="1:223" ht="12.75" customHeight="1" x14ac:dyDescent="0.25">
      <c r="A243" s="1" t="s">
        <v>572</v>
      </c>
      <c r="D243" s="1" t="s">
        <v>576</v>
      </c>
      <c r="E243" s="1" t="s">
        <v>126</v>
      </c>
      <c r="F243" s="1">
        <v>1</v>
      </c>
      <c r="G243" s="1">
        <v>2020</v>
      </c>
      <c r="H243" s="1">
        <v>1</v>
      </c>
      <c r="I243" s="1">
        <v>1</v>
      </c>
      <c r="J243" s="1">
        <v>0</v>
      </c>
      <c r="K243" s="19"/>
      <c r="L243" s="19"/>
      <c r="M243" s="19"/>
      <c r="N243" s="11">
        <v>160</v>
      </c>
      <c r="O243" s="11">
        <v>149</v>
      </c>
      <c r="P243" s="11">
        <v>171</v>
      </c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9"/>
      <c r="CR243" s="11">
        <v>15</v>
      </c>
      <c r="CS243" s="11">
        <v>7</v>
      </c>
      <c r="CT243" s="11">
        <v>23</v>
      </c>
      <c r="CU243" s="11">
        <f>Tabelle58971121[[#This Row],[Mindestauslastung durch]]*Tabelle58971121[[#This Row],[installierte Leistung MW durch]]</f>
        <v>0</v>
      </c>
      <c r="CV243" s="11">
        <f>Tabelle58971121[[#This Row],[Mindestauslastung min]]*Tabelle58971121[[#This Row],[installierte Leistung MW min]]</f>
        <v>0</v>
      </c>
      <c r="CW243" s="19">
        <f>Tabelle58971121[[#This Row],[Mindestauslastung max]]*Tabelle58971121[[#This Row],[installierte Leistung MW max]]</f>
        <v>0</v>
      </c>
      <c r="CX243" s="9">
        <v>0</v>
      </c>
      <c r="CY243" s="9">
        <v>0</v>
      </c>
      <c r="CZ243" s="9">
        <v>0</v>
      </c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39">
        <v>0.88100558659217887</v>
      </c>
      <c r="ED243" s="39">
        <v>0.84553072625698322</v>
      </c>
      <c r="EE243" s="39">
        <v>0.91648044692737429</v>
      </c>
      <c r="EF243" s="11">
        <f>Tabelle58971121[[#This Row],[Durchschnittsauslastung min]]*Tabelle58971121[[#This Row],[installierte Leistung MW min]]</f>
        <v>155.93798882681565</v>
      </c>
      <c r="EG243" s="11">
        <f>Tabelle58971121[[#This Row],[Durchschnittsauslastung durch]]*Tabelle58971121[[#This Row],[installierte Leistung MW durch]]</f>
        <v>153.88659217877094</v>
      </c>
      <c r="EH243" s="46">
        <f>Tabelle58971121[[#This Row],[Durchschnittsauslastung max]]*Tabelle58971121[[#This Row],[installierte Leistung MW max]]</f>
        <v>171.381843575419</v>
      </c>
      <c r="EI243" s="83">
        <f>Tabelle58971121[[#This Row],[Maximalauslastung durch]]*Tabelle58971121[[#This Row],[installierte Leistung MW min]]</f>
        <v>170.25620111731845</v>
      </c>
      <c r="EJ243" s="46">
        <f>Tabelle58971121[[#This Row],[Maximalauslastung durch]]*Tabelle58971121[[#This Row],[installierte Leistung MW durch]]</f>
        <v>175.06569832402235</v>
      </c>
      <c r="EK243" s="11">
        <f>Tabelle58971121[[#This Row],[Maximalauslastung max]]*Tabelle58971121[[#This Row],[installierte Leistung MW durch]]</f>
        <v>176.16379888268159</v>
      </c>
      <c r="EL243" s="9">
        <v>0.9618994413407822</v>
      </c>
      <c r="EM243" s="9">
        <v>0.95586592178770957</v>
      </c>
      <c r="EN243" s="9">
        <v>0.96793296089385483</v>
      </c>
      <c r="EO243" s="11">
        <v>182</v>
      </c>
      <c r="EP243" s="11">
        <v>177</v>
      </c>
      <c r="EQ243" s="11">
        <v>187</v>
      </c>
      <c r="ER243" s="1">
        <v>0.1609473929236499</v>
      </c>
      <c r="ES243" s="1">
        <v>2.7777777777777778E-4</v>
      </c>
      <c r="ET243" s="54">
        <v>0.25</v>
      </c>
      <c r="EU243" s="1">
        <v>8.8466014897579132E-2</v>
      </c>
      <c r="EV243" s="1">
        <v>8.3333333333333332E-3</v>
      </c>
      <c r="EW243" s="54">
        <v>0.25</v>
      </c>
      <c r="EX243" s="1">
        <v>3.58659217877095</v>
      </c>
      <c r="EY243" s="1">
        <v>1.6</v>
      </c>
      <c r="EZ243" s="54">
        <v>7.2</v>
      </c>
      <c r="FA243" s="1">
        <v>3.58659217877095</v>
      </c>
      <c r="FB243" s="1">
        <v>1.6</v>
      </c>
      <c r="FC243" s="54">
        <v>7.2</v>
      </c>
      <c r="FD243" s="1">
        <v>4</v>
      </c>
      <c r="FE243" s="1">
        <v>3.2</v>
      </c>
      <c r="FF243" s="54">
        <v>4.8</v>
      </c>
      <c r="FG243" s="1">
        <v>7.5865921787709496</v>
      </c>
      <c r="FH243" s="1">
        <v>4.3774647887323948</v>
      </c>
      <c r="FI243" s="54">
        <v>4.4037037037037035</v>
      </c>
      <c r="FJ243" s="1">
        <v>4.3932960893854744</v>
      </c>
      <c r="FK243" s="1">
        <v>3.1999999999999997</v>
      </c>
      <c r="FL243" s="54">
        <v>6.8000000000000007</v>
      </c>
      <c r="FN243" s="1" t="s">
        <v>646</v>
      </c>
      <c r="FP243" s="1">
        <v>50</v>
      </c>
      <c r="FQ243" s="1">
        <v>20</v>
      </c>
      <c r="FR243" s="1">
        <v>80</v>
      </c>
      <c r="FS243" s="1">
        <v>0</v>
      </c>
      <c r="FT243" s="1">
        <v>0</v>
      </c>
      <c r="FU243" s="1">
        <v>0</v>
      </c>
      <c r="FV243" s="1">
        <v>50</v>
      </c>
      <c r="FW243" s="1">
        <v>20</v>
      </c>
      <c r="FX243" s="1">
        <v>80</v>
      </c>
      <c r="FY243" s="1">
        <v>0</v>
      </c>
      <c r="FZ243" s="19">
        <v>0</v>
      </c>
      <c r="GA243" s="19">
        <v>0</v>
      </c>
      <c r="GB243" s="19">
        <v>178.08823529411762</v>
      </c>
      <c r="GC243" s="8">
        <v>101.76470588235293</v>
      </c>
      <c r="GD243" s="8">
        <v>254.41176470588235</v>
      </c>
      <c r="GE243" s="8">
        <v>2000.6941176470586</v>
      </c>
      <c r="GF243" s="8">
        <v>1359.0676470588235</v>
      </c>
      <c r="GG243" s="8">
        <v>2642.3205882352941</v>
      </c>
      <c r="GH243" s="8">
        <v>0</v>
      </c>
      <c r="GI243" s="8">
        <v>0</v>
      </c>
      <c r="GJ243" s="8">
        <v>30.52941176470588</v>
      </c>
      <c r="GK243" s="8">
        <v>58.514705882352935</v>
      </c>
      <c r="GL243" s="8">
        <v>17.808823529411764</v>
      </c>
      <c r="GM243" s="8">
        <v>99.220588235294116</v>
      </c>
      <c r="GN243" s="8">
        <v>2.0352941176470587</v>
      </c>
      <c r="GO243" s="8">
        <v>0</v>
      </c>
      <c r="GP243" s="8">
        <v>4.0705882352941174</v>
      </c>
      <c r="GS243" s="1">
        <v>220</v>
      </c>
      <c r="GT243" s="1">
        <v>220</v>
      </c>
      <c r="GV243" s="13" t="s">
        <v>643</v>
      </c>
      <c r="GW243" s="1" t="s">
        <v>643</v>
      </c>
      <c r="GX243" s="13">
        <v>182</v>
      </c>
      <c r="GY243" s="13"/>
      <c r="GZ243" s="13">
        <v>182</v>
      </c>
      <c r="HA243" s="13">
        <v>182</v>
      </c>
      <c r="HB243" s="1">
        <v>182</v>
      </c>
      <c r="HC243" s="13" t="s">
        <v>642</v>
      </c>
      <c r="HD243" s="13" t="s">
        <v>641</v>
      </c>
      <c r="HE243" s="1">
        <v>202</v>
      </c>
      <c r="HF243" s="1">
        <v>202</v>
      </c>
      <c r="HH243" s="1" t="s">
        <v>645</v>
      </c>
      <c r="HI243" s="1">
        <v>211</v>
      </c>
      <c r="HJ243" s="1">
        <v>214</v>
      </c>
      <c r="HK243" s="1">
        <v>220</v>
      </c>
      <c r="HL243" s="1">
        <v>214</v>
      </c>
      <c r="HO243" s="1" t="s">
        <v>644</v>
      </c>
    </row>
    <row r="244" spans="1:223" ht="12.75" customHeight="1" x14ac:dyDescent="0.25">
      <c r="A244" s="1" t="s">
        <v>572</v>
      </c>
      <c r="D244" s="1" t="s">
        <v>576</v>
      </c>
      <c r="E244" s="1" t="s">
        <v>126</v>
      </c>
      <c r="F244" s="1">
        <v>1</v>
      </c>
      <c r="G244" s="1">
        <v>2025</v>
      </c>
      <c r="H244" s="1">
        <v>1</v>
      </c>
      <c r="I244" s="1">
        <v>1</v>
      </c>
      <c r="J244" s="1">
        <v>0</v>
      </c>
      <c r="K244" s="19"/>
      <c r="L244" s="19"/>
      <c r="M244" s="19"/>
      <c r="N244" s="11">
        <v>160</v>
      </c>
      <c r="O244" s="11">
        <v>149</v>
      </c>
      <c r="P244" s="11">
        <v>171</v>
      </c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9"/>
      <c r="CR244" s="11">
        <v>15</v>
      </c>
      <c r="CS244" s="11">
        <v>7</v>
      </c>
      <c r="CT244" s="11">
        <v>23</v>
      </c>
      <c r="CU244" s="11">
        <f>Tabelle58971121[[#This Row],[Mindestauslastung durch]]*Tabelle58971121[[#This Row],[installierte Leistung MW durch]]</f>
        <v>0</v>
      </c>
      <c r="CV244" s="11">
        <f>Tabelle58971121[[#This Row],[Mindestauslastung min]]*Tabelle58971121[[#This Row],[installierte Leistung MW min]]</f>
        <v>0</v>
      </c>
      <c r="CW244" s="19">
        <f>Tabelle58971121[[#This Row],[Mindestauslastung max]]*Tabelle58971121[[#This Row],[installierte Leistung MW max]]</f>
        <v>0</v>
      </c>
      <c r="CX244" s="9">
        <v>0</v>
      </c>
      <c r="CY244" s="9">
        <v>0</v>
      </c>
      <c r="CZ244" s="9">
        <v>0</v>
      </c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39">
        <v>0.88100558659217887</v>
      </c>
      <c r="ED244" s="39">
        <v>0.84553072625698322</v>
      </c>
      <c r="EE244" s="39">
        <v>0.91648044692737429</v>
      </c>
      <c r="EF244" s="11">
        <f>Tabelle58971121[[#This Row],[Durchschnittsauslastung min]]*Tabelle58971121[[#This Row],[installierte Leistung MW min]]</f>
        <v>155.93798882681565</v>
      </c>
      <c r="EG244" s="11">
        <f>Tabelle58971121[[#This Row],[Durchschnittsauslastung durch]]*Tabelle58971121[[#This Row],[installierte Leistung MW durch]]</f>
        <v>153.88659217877094</v>
      </c>
      <c r="EH244" s="46">
        <f>Tabelle58971121[[#This Row],[Durchschnittsauslastung max]]*Tabelle58971121[[#This Row],[installierte Leistung MW max]]</f>
        <v>171.381843575419</v>
      </c>
      <c r="EI244" s="83">
        <f>Tabelle58971121[[#This Row],[Maximalauslastung durch]]*Tabelle58971121[[#This Row],[installierte Leistung MW min]]</f>
        <v>170.25620111731845</v>
      </c>
      <c r="EJ244" s="46">
        <f>Tabelle58971121[[#This Row],[Maximalauslastung durch]]*Tabelle58971121[[#This Row],[installierte Leistung MW durch]]</f>
        <v>175.06569832402235</v>
      </c>
      <c r="EK244" s="11">
        <f>Tabelle58971121[[#This Row],[Maximalauslastung max]]*Tabelle58971121[[#This Row],[installierte Leistung MW durch]]</f>
        <v>176.16379888268159</v>
      </c>
      <c r="EL244" s="9">
        <v>0.9618994413407822</v>
      </c>
      <c r="EM244" s="9">
        <v>0.95586592178770957</v>
      </c>
      <c r="EN244" s="9">
        <v>0.96793296089385483</v>
      </c>
      <c r="EO244" s="11">
        <v>182</v>
      </c>
      <c r="EP244" s="11">
        <v>177</v>
      </c>
      <c r="EQ244" s="11">
        <v>187</v>
      </c>
      <c r="ER244" s="1">
        <v>0.1609473929236499</v>
      </c>
      <c r="ES244" s="1">
        <v>2.7777777777777778E-4</v>
      </c>
      <c r="ET244" s="54">
        <v>0.25</v>
      </c>
      <c r="EU244" s="1">
        <v>8.8466014897579132E-2</v>
      </c>
      <c r="EV244" s="1">
        <v>8.3333333333333332E-3</v>
      </c>
      <c r="EW244" s="54">
        <v>0.25</v>
      </c>
      <c r="EX244" s="1">
        <v>3.58659217877095</v>
      </c>
      <c r="EY244" s="1">
        <v>1.6</v>
      </c>
      <c r="EZ244" s="54">
        <v>7.2</v>
      </c>
      <c r="FA244" s="1">
        <v>3.58659217877095</v>
      </c>
      <c r="FB244" s="1">
        <v>1.6</v>
      </c>
      <c r="FC244" s="54">
        <v>7.2</v>
      </c>
      <c r="FD244" s="1">
        <v>4</v>
      </c>
      <c r="FE244" s="1">
        <v>3.2</v>
      </c>
      <c r="FF244" s="54">
        <v>4.8</v>
      </c>
      <c r="FG244" s="1">
        <v>7.5865921787709496</v>
      </c>
      <c r="FH244" s="1">
        <v>4.3774647887323948</v>
      </c>
      <c r="FI244" s="54">
        <v>4.4037037037037035</v>
      </c>
      <c r="FJ244" s="1">
        <v>4.3932960893854744</v>
      </c>
      <c r="FK244" s="1">
        <v>3.1999999999999997</v>
      </c>
      <c r="FL244" s="54">
        <v>6.8000000000000007</v>
      </c>
      <c r="FN244" s="1" t="s">
        <v>646</v>
      </c>
      <c r="FP244" s="1">
        <v>50</v>
      </c>
      <c r="FQ244" s="1">
        <v>20</v>
      </c>
      <c r="FR244" s="1">
        <v>80</v>
      </c>
      <c r="FS244" s="1">
        <v>0</v>
      </c>
      <c r="FT244" s="1">
        <v>0</v>
      </c>
      <c r="FU244" s="1">
        <v>0</v>
      </c>
      <c r="FV244" s="1">
        <v>50</v>
      </c>
      <c r="FW244" s="1">
        <v>20</v>
      </c>
      <c r="FX244" s="1">
        <v>80</v>
      </c>
      <c r="FY244" s="1">
        <v>0</v>
      </c>
      <c r="FZ244" s="19">
        <v>0</v>
      </c>
      <c r="GA244" s="19">
        <v>0</v>
      </c>
      <c r="GB244" s="19">
        <v>178.08823529411762</v>
      </c>
      <c r="GC244" s="8">
        <v>101.76470588235293</v>
      </c>
      <c r="GD244" s="8">
        <v>254.41176470588235</v>
      </c>
      <c r="GE244" s="8">
        <v>2000.6941176470586</v>
      </c>
      <c r="GF244" s="8">
        <v>1359.0676470588235</v>
      </c>
      <c r="GG244" s="8">
        <v>2642.3205882352941</v>
      </c>
      <c r="GH244" s="8">
        <v>0</v>
      </c>
      <c r="GI244" s="8">
        <v>0</v>
      </c>
      <c r="GJ244" s="8">
        <v>30.52941176470588</v>
      </c>
      <c r="GK244" s="8">
        <v>58.514705882352935</v>
      </c>
      <c r="GL244" s="8">
        <v>17.808823529411764</v>
      </c>
      <c r="GM244" s="8">
        <v>99.220588235294116</v>
      </c>
      <c r="GN244" s="8">
        <v>2.0352941176470587</v>
      </c>
      <c r="GO244" s="8">
        <v>0</v>
      </c>
      <c r="GP244" s="8">
        <v>4.0705882352941174</v>
      </c>
      <c r="GS244" s="1">
        <v>220</v>
      </c>
      <c r="GT244" s="1">
        <v>220</v>
      </c>
      <c r="GV244" s="13" t="s">
        <v>643</v>
      </c>
      <c r="GW244" s="1" t="s">
        <v>643</v>
      </c>
      <c r="GX244" s="13">
        <v>182</v>
      </c>
      <c r="GY244" s="13"/>
      <c r="GZ244" s="13">
        <v>182</v>
      </c>
      <c r="HA244" s="13">
        <v>182</v>
      </c>
      <c r="HB244" s="1">
        <v>182</v>
      </c>
      <c r="HC244" s="13" t="s">
        <v>642</v>
      </c>
      <c r="HD244" s="13" t="s">
        <v>641</v>
      </c>
      <c r="HE244" s="1">
        <v>202</v>
      </c>
      <c r="HF244" s="1">
        <v>202</v>
      </c>
      <c r="HH244" s="1" t="s">
        <v>645</v>
      </c>
      <c r="HI244" s="1">
        <v>211</v>
      </c>
      <c r="HJ244" s="1">
        <v>214</v>
      </c>
      <c r="HK244" s="1">
        <v>220</v>
      </c>
      <c r="HL244" s="1">
        <v>214</v>
      </c>
      <c r="HO244" s="1" t="s">
        <v>644</v>
      </c>
    </row>
    <row r="245" spans="1:223" ht="12.75" customHeight="1" x14ac:dyDescent="0.25">
      <c r="A245" s="1" t="s">
        <v>572</v>
      </c>
      <c r="D245" s="1" t="s">
        <v>576</v>
      </c>
      <c r="E245" s="1" t="s">
        <v>126</v>
      </c>
      <c r="F245" s="1">
        <v>1</v>
      </c>
      <c r="G245" s="1">
        <v>2030</v>
      </c>
      <c r="H245" s="1">
        <v>1</v>
      </c>
      <c r="I245" s="1">
        <v>1</v>
      </c>
      <c r="J245" s="1">
        <v>0</v>
      </c>
      <c r="K245" s="19"/>
      <c r="L245" s="19"/>
      <c r="M245" s="19"/>
      <c r="N245" s="11">
        <v>158.39999999999998</v>
      </c>
      <c r="O245" s="11">
        <v>147.51</v>
      </c>
      <c r="P245" s="11">
        <v>169.29</v>
      </c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9"/>
      <c r="CR245" s="11">
        <v>14.849999999999998</v>
      </c>
      <c r="CS245" s="11">
        <v>6.93</v>
      </c>
      <c r="CT245" s="11">
        <v>22.77</v>
      </c>
      <c r="CU245" s="11">
        <f>Tabelle58971121[[#This Row],[Mindestauslastung durch]]*Tabelle58971121[[#This Row],[installierte Leistung MW durch]]</f>
        <v>0</v>
      </c>
      <c r="CV245" s="11">
        <f>Tabelle58971121[[#This Row],[Mindestauslastung min]]*Tabelle58971121[[#This Row],[installierte Leistung MW min]]</f>
        <v>0</v>
      </c>
      <c r="CW245" s="19">
        <f>Tabelle58971121[[#This Row],[Mindestauslastung max]]*Tabelle58971121[[#This Row],[installierte Leistung MW max]]</f>
        <v>0</v>
      </c>
      <c r="CX245" s="9">
        <v>0</v>
      </c>
      <c r="CY245" s="9">
        <v>0</v>
      </c>
      <c r="CZ245" s="9">
        <v>0</v>
      </c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39">
        <v>0.88100558659217865</v>
      </c>
      <c r="ED245" s="39">
        <v>0.84553072625698322</v>
      </c>
      <c r="EE245" s="39">
        <v>0.91648044692737429</v>
      </c>
      <c r="EF245" s="11">
        <f>Tabelle58971121[[#This Row],[Durchschnittsauslastung min]]*Tabelle58971121[[#This Row],[installierte Leistung MW min]]</f>
        <v>154.37860893854747</v>
      </c>
      <c r="EG245" s="11">
        <f>Tabelle58971121[[#This Row],[Durchschnittsauslastung durch]]*Tabelle58971121[[#This Row],[installierte Leistung MW durch]]</f>
        <v>152.34772625698324</v>
      </c>
      <c r="EH245" s="46">
        <f>Tabelle58971121[[#This Row],[Durchschnittsauslastung max]]*Tabelle58971121[[#This Row],[installierte Leistung MW max]]</f>
        <v>169.66802513966479</v>
      </c>
      <c r="EI245" s="83">
        <f>Tabelle58971121[[#This Row],[Maximalauslastung durch]]*Tabelle58971121[[#This Row],[installierte Leistung MW min]]</f>
        <v>168.55363910614525</v>
      </c>
      <c r="EJ245" s="46">
        <f>Tabelle58971121[[#This Row],[Maximalauslastung durch]]*Tabelle58971121[[#This Row],[installierte Leistung MW durch]]</f>
        <v>173.3150413407821</v>
      </c>
      <c r="EK245" s="11">
        <f>Tabelle58971121[[#This Row],[Maximalauslastung max]]*Tabelle58971121[[#This Row],[installierte Leistung MW durch]]</f>
        <v>174.40216089385478</v>
      </c>
      <c r="EL245" s="9">
        <v>0.96189944134078198</v>
      </c>
      <c r="EM245" s="9">
        <v>0.95586592178770946</v>
      </c>
      <c r="EN245" s="9">
        <v>0.96793296089385483</v>
      </c>
      <c r="EO245" s="11">
        <v>180.18</v>
      </c>
      <c r="EP245" s="11">
        <v>175.23000000000002</v>
      </c>
      <c r="EQ245" s="11">
        <v>185.13</v>
      </c>
      <c r="ER245" s="1">
        <v>0.16094739292364987</v>
      </c>
      <c r="ES245" s="1">
        <v>2.7777777777777778E-4</v>
      </c>
      <c r="ET245" s="54">
        <v>0.25</v>
      </c>
      <c r="EU245" s="1">
        <v>8.8466014897579132E-2</v>
      </c>
      <c r="EV245" s="1">
        <v>8.3333333333333332E-3</v>
      </c>
      <c r="EW245" s="54">
        <v>0.25</v>
      </c>
      <c r="EX245" s="1">
        <v>3.5865921787709505</v>
      </c>
      <c r="EY245" s="1">
        <v>1.6</v>
      </c>
      <c r="EZ245" s="54">
        <v>7.2</v>
      </c>
      <c r="FA245" s="1">
        <v>3.5865921787709505</v>
      </c>
      <c r="FB245" s="1">
        <v>1.6</v>
      </c>
      <c r="FC245" s="54">
        <v>7.2</v>
      </c>
      <c r="FD245" s="1">
        <v>4</v>
      </c>
      <c r="FE245" s="1">
        <v>3.2</v>
      </c>
      <c r="FF245" s="54">
        <v>4.8</v>
      </c>
      <c r="FG245" s="1">
        <v>7.5865921787709514</v>
      </c>
      <c r="FH245" s="1">
        <v>4.3774647887323948</v>
      </c>
      <c r="FI245" s="54">
        <v>4.4037037037037035</v>
      </c>
      <c r="FJ245" s="1">
        <v>4.3932960893854753</v>
      </c>
      <c r="FK245" s="1">
        <v>3.1999999999999997</v>
      </c>
      <c r="FL245" s="54">
        <v>6.8000000000000007</v>
      </c>
      <c r="FN245" s="1" t="s">
        <v>646</v>
      </c>
      <c r="FP245" s="1">
        <v>50</v>
      </c>
      <c r="FQ245" s="1">
        <v>20</v>
      </c>
      <c r="FR245" s="1">
        <v>80</v>
      </c>
      <c r="FS245" s="1">
        <v>0</v>
      </c>
      <c r="FT245" s="1">
        <v>0</v>
      </c>
      <c r="FU245" s="1">
        <v>0</v>
      </c>
      <c r="FV245" s="1">
        <v>50</v>
      </c>
      <c r="FW245" s="1">
        <v>20</v>
      </c>
      <c r="FX245" s="1">
        <v>80</v>
      </c>
      <c r="FY245" s="1">
        <v>0</v>
      </c>
      <c r="FZ245" s="19">
        <v>0</v>
      </c>
      <c r="GA245" s="19">
        <v>0</v>
      </c>
      <c r="GB245" s="19">
        <v>178.08823529411762</v>
      </c>
      <c r="GC245" s="8">
        <v>101.76470588235293</v>
      </c>
      <c r="GD245" s="8">
        <v>254.41176470588235</v>
      </c>
      <c r="GE245" s="8">
        <v>2000.6941176470586</v>
      </c>
      <c r="GF245" s="8">
        <v>1359.0676470588235</v>
      </c>
      <c r="GG245" s="8">
        <v>2642.3205882352941</v>
      </c>
      <c r="GH245" s="8">
        <v>0</v>
      </c>
      <c r="GI245" s="8">
        <v>0</v>
      </c>
      <c r="GJ245" s="8">
        <v>30.52941176470588</v>
      </c>
      <c r="GK245" s="8">
        <v>58.514705882352935</v>
      </c>
      <c r="GL245" s="8">
        <v>17.808823529411764</v>
      </c>
      <c r="GM245" s="8">
        <v>99.220588235294116</v>
      </c>
      <c r="GN245" s="8">
        <v>2.0352941176470587</v>
      </c>
      <c r="GO245" s="8">
        <v>0</v>
      </c>
      <c r="GP245" s="8">
        <v>4.0705882352941174</v>
      </c>
      <c r="GS245" s="1">
        <v>220</v>
      </c>
      <c r="GT245" s="1">
        <v>220</v>
      </c>
      <c r="GV245" s="13" t="s">
        <v>643</v>
      </c>
      <c r="GW245" s="1" t="s">
        <v>643</v>
      </c>
      <c r="GX245" s="13">
        <v>182</v>
      </c>
      <c r="GY245" s="13"/>
      <c r="GZ245" s="13">
        <v>182</v>
      </c>
      <c r="HA245" s="13">
        <v>182</v>
      </c>
      <c r="HB245" s="1">
        <v>182</v>
      </c>
      <c r="HC245" s="13" t="s">
        <v>642</v>
      </c>
      <c r="HD245" s="13" t="s">
        <v>641</v>
      </c>
      <c r="HE245" s="1">
        <v>202</v>
      </c>
      <c r="HF245" s="1">
        <v>202</v>
      </c>
      <c r="HH245" s="1" t="s">
        <v>645</v>
      </c>
      <c r="HI245" s="1">
        <v>211</v>
      </c>
      <c r="HJ245" s="1">
        <v>214</v>
      </c>
      <c r="HK245" s="1">
        <v>220</v>
      </c>
      <c r="HL245" s="1">
        <v>214</v>
      </c>
      <c r="HO245" s="1" t="s">
        <v>644</v>
      </c>
    </row>
    <row r="246" spans="1:223" ht="12.75" customHeight="1" x14ac:dyDescent="0.25">
      <c r="A246" s="1" t="s">
        <v>572</v>
      </c>
      <c r="D246" s="1" t="s">
        <v>576</v>
      </c>
      <c r="E246" s="1" t="s">
        <v>126</v>
      </c>
      <c r="F246" s="1">
        <v>1</v>
      </c>
      <c r="G246" s="1">
        <v>2035</v>
      </c>
      <c r="H246" s="1">
        <v>1</v>
      </c>
      <c r="I246" s="1">
        <v>1</v>
      </c>
      <c r="J246" s="1">
        <v>0</v>
      </c>
      <c r="K246" s="19"/>
      <c r="L246" s="19"/>
      <c r="M246" s="19"/>
      <c r="N246" s="11">
        <v>156.80000000000001</v>
      </c>
      <c r="O246" s="11">
        <v>146.02000000000001</v>
      </c>
      <c r="P246" s="11">
        <v>167.57999999999998</v>
      </c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9"/>
      <c r="CR246" s="11">
        <v>14.7</v>
      </c>
      <c r="CS246" s="11">
        <v>6.8599999999999994</v>
      </c>
      <c r="CT246" s="11">
        <v>22.54</v>
      </c>
      <c r="CU246" s="11">
        <f>Tabelle58971121[[#This Row],[Mindestauslastung durch]]*Tabelle58971121[[#This Row],[installierte Leistung MW durch]]</f>
        <v>0</v>
      </c>
      <c r="CV246" s="11">
        <f>Tabelle58971121[[#This Row],[Mindestauslastung min]]*Tabelle58971121[[#This Row],[installierte Leistung MW min]]</f>
        <v>0</v>
      </c>
      <c r="CW246" s="19">
        <f>Tabelle58971121[[#This Row],[Mindestauslastung max]]*Tabelle58971121[[#This Row],[installierte Leistung MW max]]</f>
        <v>0</v>
      </c>
      <c r="CX246" s="9">
        <v>0</v>
      </c>
      <c r="CY246" s="9">
        <v>0</v>
      </c>
      <c r="CZ246" s="9">
        <v>0</v>
      </c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39">
        <v>0.88100558659217887</v>
      </c>
      <c r="ED246" s="39">
        <v>0.84553072625698322</v>
      </c>
      <c r="EE246" s="39">
        <v>0.9164804469273744</v>
      </c>
      <c r="EF246" s="11">
        <f>Tabelle58971121[[#This Row],[Durchschnittsauslastung min]]*Tabelle58971121[[#This Row],[installierte Leistung MW min]]</f>
        <v>152.81922905027932</v>
      </c>
      <c r="EG246" s="11">
        <f>Tabelle58971121[[#This Row],[Durchschnittsauslastung durch]]*Tabelle58971121[[#This Row],[installierte Leistung MW durch]]</f>
        <v>150.8088603351955</v>
      </c>
      <c r="EH246" s="46">
        <f>Tabelle58971121[[#This Row],[Durchschnittsauslastung max]]*Tabelle58971121[[#This Row],[installierte Leistung MW max]]</f>
        <v>167.95420670391059</v>
      </c>
      <c r="EI246" s="83">
        <f>Tabelle58971121[[#This Row],[Maximalauslastung durch]]*Tabelle58971121[[#This Row],[installierte Leistung MW min]]</f>
        <v>166.85107709497208</v>
      </c>
      <c r="EJ246" s="46">
        <f>Tabelle58971121[[#This Row],[Maximalauslastung durch]]*Tabelle58971121[[#This Row],[installierte Leistung MW durch]]</f>
        <v>171.56438435754191</v>
      </c>
      <c r="EK246" s="11">
        <f>Tabelle58971121[[#This Row],[Maximalauslastung max]]*Tabelle58971121[[#This Row],[installierte Leistung MW durch]]</f>
        <v>172.64052290502792</v>
      </c>
      <c r="EL246" s="9">
        <v>0.96189944134078231</v>
      </c>
      <c r="EM246" s="9">
        <v>0.95586592178770957</v>
      </c>
      <c r="EN246" s="9">
        <v>0.96793296089385483</v>
      </c>
      <c r="EO246" s="11">
        <v>178.35999999999999</v>
      </c>
      <c r="EP246" s="11">
        <v>173.45999999999998</v>
      </c>
      <c r="EQ246" s="11">
        <v>183.25999999999996</v>
      </c>
      <c r="ER246" s="1">
        <v>0.1609473929236499</v>
      </c>
      <c r="ES246" s="1">
        <v>2.7777777777777778E-4</v>
      </c>
      <c r="ET246" s="54">
        <v>0.25</v>
      </c>
      <c r="EU246" s="1">
        <v>8.8466014897579132E-2</v>
      </c>
      <c r="EV246" s="1">
        <v>8.3333333333333332E-3</v>
      </c>
      <c r="EW246" s="54">
        <v>0.25</v>
      </c>
      <c r="EX246" s="1">
        <v>3.5865921787709496</v>
      </c>
      <c r="EY246" s="1">
        <v>1.6</v>
      </c>
      <c r="EZ246" s="54">
        <v>7.2</v>
      </c>
      <c r="FA246" s="1">
        <v>3.5865921787709496</v>
      </c>
      <c r="FB246" s="1">
        <v>1.6</v>
      </c>
      <c r="FC246" s="54">
        <v>7.2</v>
      </c>
      <c r="FD246" s="1">
        <v>4</v>
      </c>
      <c r="FE246" s="1">
        <v>3.2</v>
      </c>
      <c r="FF246" s="54">
        <v>4.8</v>
      </c>
      <c r="FG246" s="1">
        <v>7.5865921787709496</v>
      </c>
      <c r="FH246" s="1">
        <v>4.3774647887323948</v>
      </c>
      <c r="FI246" s="54">
        <v>4.4037037037037035</v>
      </c>
      <c r="FJ246" s="1">
        <v>4.3932960893854744</v>
      </c>
      <c r="FK246" s="1">
        <v>3.1999999999999997</v>
      </c>
      <c r="FL246" s="54">
        <v>6.8000000000000007</v>
      </c>
      <c r="FN246" s="1" t="s">
        <v>646</v>
      </c>
      <c r="FP246" s="1">
        <v>50</v>
      </c>
      <c r="FQ246" s="1">
        <v>20</v>
      </c>
      <c r="FR246" s="1">
        <v>80</v>
      </c>
      <c r="FS246" s="1">
        <v>0</v>
      </c>
      <c r="FT246" s="1">
        <v>0</v>
      </c>
      <c r="FU246" s="1">
        <v>0</v>
      </c>
      <c r="FV246" s="1">
        <v>50</v>
      </c>
      <c r="FW246" s="1">
        <v>20</v>
      </c>
      <c r="FX246" s="1">
        <v>80</v>
      </c>
      <c r="FY246" s="1">
        <v>0</v>
      </c>
      <c r="FZ246" s="19">
        <v>0</v>
      </c>
      <c r="GA246" s="19">
        <v>0</v>
      </c>
      <c r="GB246" s="19">
        <v>178.08823529411762</v>
      </c>
      <c r="GC246" s="8">
        <v>101.76470588235293</v>
      </c>
      <c r="GD246" s="8">
        <v>254.41176470588235</v>
      </c>
      <c r="GE246" s="8">
        <v>2000.6941176470586</v>
      </c>
      <c r="GF246" s="8">
        <v>1359.0676470588235</v>
      </c>
      <c r="GG246" s="8">
        <v>2642.3205882352941</v>
      </c>
      <c r="GH246" s="8">
        <v>0</v>
      </c>
      <c r="GI246" s="8">
        <v>0</v>
      </c>
      <c r="GJ246" s="8">
        <v>30.52941176470588</v>
      </c>
      <c r="GK246" s="8">
        <v>58.514705882352935</v>
      </c>
      <c r="GL246" s="8">
        <v>17.808823529411764</v>
      </c>
      <c r="GM246" s="8">
        <v>99.220588235294116</v>
      </c>
      <c r="GN246" s="8">
        <v>2.0352941176470587</v>
      </c>
      <c r="GO246" s="8">
        <v>0</v>
      </c>
      <c r="GP246" s="8">
        <v>4.0705882352941174</v>
      </c>
      <c r="GS246" s="1">
        <v>220</v>
      </c>
      <c r="GT246" s="1">
        <v>220</v>
      </c>
      <c r="GV246" s="13" t="s">
        <v>643</v>
      </c>
      <c r="GW246" s="1" t="s">
        <v>643</v>
      </c>
      <c r="GX246" s="13">
        <v>182</v>
      </c>
      <c r="GY246" s="13"/>
      <c r="GZ246" s="13">
        <v>182</v>
      </c>
      <c r="HA246" s="13">
        <v>182</v>
      </c>
      <c r="HB246" s="1">
        <v>182</v>
      </c>
      <c r="HC246" s="13" t="s">
        <v>642</v>
      </c>
      <c r="HD246" s="13" t="s">
        <v>641</v>
      </c>
      <c r="HE246" s="1">
        <v>202</v>
      </c>
      <c r="HF246" s="1">
        <v>202</v>
      </c>
      <c r="HH246" s="1" t="s">
        <v>645</v>
      </c>
      <c r="HI246" s="1">
        <v>211</v>
      </c>
      <c r="HJ246" s="1">
        <v>214</v>
      </c>
      <c r="HK246" s="1">
        <v>220</v>
      </c>
      <c r="HL246" s="1">
        <v>214</v>
      </c>
      <c r="HO246" s="1" t="s">
        <v>644</v>
      </c>
    </row>
    <row r="247" spans="1:223" ht="12.75" customHeight="1" x14ac:dyDescent="0.25">
      <c r="A247" s="1" t="s">
        <v>572</v>
      </c>
      <c r="D247" s="1" t="s">
        <v>576</v>
      </c>
      <c r="E247" s="1" t="s">
        <v>126</v>
      </c>
      <c r="F247" s="1">
        <v>1</v>
      </c>
      <c r="G247" s="1">
        <v>2040</v>
      </c>
      <c r="H247" s="1">
        <v>1</v>
      </c>
      <c r="I247" s="1">
        <v>1</v>
      </c>
      <c r="J247" s="1">
        <v>0</v>
      </c>
      <c r="K247" s="19"/>
      <c r="L247" s="19"/>
      <c r="M247" s="19"/>
      <c r="N247" s="11">
        <v>153.60000000000002</v>
      </c>
      <c r="O247" s="11">
        <v>143.04</v>
      </c>
      <c r="P247" s="11">
        <v>164.16</v>
      </c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9"/>
      <c r="CR247" s="11">
        <v>14.400000000000002</v>
      </c>
      <c r="CS247" s="11">
        <v>6.7199999999999989</v>
      </c>
      <c r="CT247" s="11">
        <v>22.08</v>
      </c>
      <c r="CU247" s="11">
        <f>Tabelle58971121[[#This Row],[Mindestauslastung durch]]*Tabelle58971121[[#This Row],[installierte Leistung MW durch]]</f>
        <v>0</v>
      </c>
      <c r="CV247" s="11">
        <f>Tabelle58971121[[#This Row],[Mindestauslastung min]]*Tabelle58971121[[#This Row],[installierte Leistung MW min]]</f>
        <v>0</v>
      </c>
      <c r="CW247" s="19">
        <f>Tabelle58971121[[#This Row],[Mindestauslastung max]]*Tabelle58971121[[#This Row],[installierte Leistung MW max]]</f>
        <v>0</v>
      </c>
      <c r="CX247" s="9">
        <v>0</v>
      </c>
      <c r="CY247" s="9">
        <v>0</v>
      </c>
      <c r="CZ247" s="9">
        <v>0</v>
      </c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39">
        <v>0.88100558659217887</v>
      </c>
      <c r="ED247" s="39">
        <v>0.84553072625698311</v>
      </c>
      <c r="EE247" s="39">
        <v>0.91648044692737429</v>
      </c>
      <c r="EF247" s="11">
        <f>Tabelle58971121[[#This Row],[Durchschnittsauslastung min]]*Tabelle58971121[[#This Row],[installierte Leistung MW min]]</f>
        <v>149.70046927374304</v>
      </c>
      <c r="EG247" s="11">
        <f>Tabelle58971121[[#This Row],[Durchschnittsauslastung durch]]*Tabelle58971121[[#This Row],[installierte Leistung MW durch]]</f>
        <v>147.73112849162007</v>
      </c>
      <c r="EH247" s="46">
        <f>Tabelle58971121[[#This Row],[Durchschnittsauslastung max]]*Tabelle58971121[[#This Row],[installierte Leistung MW max]]</f>
        <v>164.5265698324022</v>
      </c>
      <c r="EI247" s="83">
        <f>Tabelle58971121[[#This Row],[Maximalauslastung durch]]*Tabelle58971121[[#This Row],[installierte Leistung MW min]]</f>
        <v>163.44595307262574</v>
      </c>
      <c r="EJ247" s="46">
        <f>Tabelle58971121[[#This Row],[Maximalauslastung durch]]*Tabelle58971121[[#This Row],[installierte Leistung MW durch]]</f>
        <v>168.06307039106144</v>
      </c>
      <c r="EK247" s="11">
        <f>Tabelle58971121[[#This Row],[Maximalauslastung max]]*Tabelle58971121[[#This Row],[installierte Leistung MW durch]]</f>
        <v>169.11724692737428</v>
      </c>
      <c r="EL247" s="9">
        <v>0.96189944134078231</v>
      </c>
      <c r="EM247" s="9">
        <v>0.95586592178770946</v>
      </c>
      <c r="EN247" s="9">
        <v>0.96793296089385483</v>
      </c>
      <c r="EO247" s="11">
        <v>174.71999999999997</v>
      </c>
      <c r="EP247" s="11">
        <v>169.92000000000002</v>
      </c>
      <c r="EQ247" s="11">
        <v>179.51999999999998</v>
      </c>
      <c r="ER247" s="1">
        <v>0.16094739292364993</v>
      </c>
      <c r="ES247" s="1">
        <v>2.7777777777777778E-4</v>
      </c>
      <c r="ET247" s="54">
        <v>0.25</v>
      </c>
      <c r="EU247" s="1">
        <v>8.8466014897579145E-2</v>
      </c>
      <c r="EV247" s="1">
        <v>8.3333333333333332E-3</v>
      </c>
      <c r="EW247" s="54">
        <v>0.25</v>
      </c>
      <c r="EX247" s="1">
        <v>3.58659217877095</v>
      </c>
      <c r="EY247" s="1">
        <v>1.6</v>
      </c>
      <c r="EZ247" s="54">
        <v>7.2</v>
      </c>
      <c r="FA247" s="1">
        <v>3.58659217877095</v>
      </c>
      <c r="FB247" s="1">
        <v>1.6</v>
      </c>
      <c r="FC247" s="54">
        <v>7.2</v>
      </c>
      <c r="FD247" s="1">
        <v>4</v>
      </c>
      <c r="FE247" s="1">
        <v>3.2</v>
      </c>
      <c r="FF247" s="54">
        <v>4.8</v>
      </c>
      <c r="FG247" s="1">
        <v>7.5865921787709496</v>
      </c>
      <c r="FH247" s="1">
        <v>4.3774647887323948</v>
      </c>
      <c r="FI247" s="54">
        <v>4.4037037037037035</v>
      </c>
      <c r="FJ247" s="1">
        <v>4.3932960893854753</v>
      </c>
      <c r="FK247" s="1">
        <v>3.1999999999999997</v>
      </c>
      <c r="FL247" s="54">
        <v>6.8000000000000007</v>
      </c>
      <c r="FN247" s="1" t="s">
        <v>646</v>
      </c>
      <c r="FP247" s="1">
        <v>50</v>
      </c>
      <c r="FQ247" s="1">
        <v>20</v>
      </c>
      <c r="FR247" s="1">
        <v>80</v>
      </c>
      <c r="FS247" s="1">
        <v>0</v>
      </c>
      <c r="FT247" s="1">
        <v>0</v>
      </c>
      <c r="FU247" s="1">
        <v>0</v>
      </c>
      <c r="FV247" s="1">
        <v>50</v>
      </c>
      <c r="FW247" s="1">
        <v>20</v>
      </c>
      <c r="FX247" s="1">
        <v>80</v>
      </c>
      <c r="FY247" s="1">
        <v>0</v>
      </c>
      <c r="FZ247" s="19">
        <v>0</v>
      </c>
      <c r="GA247" s="19">
        <v>0</v>
      </c>
      <c r="GB247" s="19">
        <v>178.08823529411762</v>
      </c>
      <c r="GC247" s="8">
        <v>101.76470588235293</v>
      </c>
      <c r="GD247" s="8">
        <v>254.41176470588235</v>
      </c>
      <c r="GE247" s="8">
        <v>2000.6941176470586</v>
      </c>
      <c r="GF247" s="8">
        <v>1359.0676470588235</v>
      </c>
      <c r="GG247" s="8">
        <v>2642.3205882352941</v>
      </c>
      <c r="GH247" s="8">
        <v>0</v>
      </c>
      <c r="GI247" s="8">
        <v>0</v>
      </c>
      <c r="GJ247" s="8">
        <v>30.52941176470588</v>
      </c>
      <c r="GK247" s="8">
        <v>58.514705882352935</v>
      </c>
      <c r="GL247" s="8">
        <v>17.808823529411764</v>
      </c>
      <c r="GM247" s="8">
        <v>99.220588235294116</v>
      </c>
      <c r="GN247" s="8">
        <v>2.0352941176470587</v>
      </c>
      <c r="GO247" s="8">
        <v>0</v>
      </c>
      <c r="GP247" s="8">
        <v>4.0705882352941174</v>
      </c>
      <c r="GS247" s="1">
        <v>220</v>
      </c>
      <c r="GT247" s="1">
        <v>220</v>
      </c>
      <c r="GV247" s="13" t="s">
        <v>643</v>
      </c>
      <c r="GW247" s="1" t="s">
        <v>643</v>
      </c>
      <c r="GX247" s="13">
        <v>182</v>
      </c>
      <c r="GY247" s="13"/>
      <c r="GZ247" s="13">
        <v>182</v>
      </c>
      <c r="HA247" s="13">
        <v>182</v>
      </c>
      <c r="HB247" s="1">
        <v>182</v>
      </c>
      <c r="HC247" s="13" t="s">
        <v>642</v>
      </c>
      <c r="HD247" s="13" t="s">
        <v>641</v>
      </c>
      <c r="HE247" s="1">
        <v>202</v>
      </c>
      <c r="HF247" s="1">
        <v>202</v>
      </c>
      <c r="HH247" s="1" t="s">
        <v>645</v>
      </c>
      <c r="HI247" s="1">
        <v>211</v>
      </c>
      <c r="HJ247" s="1">
        <v>214</v>
      </c>
      <c r="HK247" s="1">
        <v>220</v>
      </c>
      <c r="HL247" s="1">
        <v>214</v>
      </c>
      <c r="HO247" s="1" t="s">
        <v>644</v>
      </c>
    </row>
    <row r="248" spans="1:223" ht="12.75" customHeight="1" x14ac:dyDescent="0.25">
      <c r="A248" s="1" t="s">
        <v>572</v>
      </c>
      <c r="D248" s="1" t="s">
        <v>576</v>
      </c>
      <c r="E248" s="1" t="s">
        <v>126</v>
      </c>
      <c r="F248" s="1">
        <v>1</v>
      </c>
      <c r="G248" s="1">
        <v>2045</v>
      </c>
      <c r="H248" s="1">
        <v>1</v>
      </c>
      <c r="I248" s="1">
        <v>1</v>
      </c>
      <c r="J248" s="1">
        <v>0</v>
      </c>
      <c r="K248" s="19"/>
      <c r="L248" s="19"/>
      <c r="M248" s="19"/>
      <c r="N248" s="11">
        <v>151.99999999999997</v>
      </c>
      <c r="O248" s="11">
        <v>141.54999999999998</v>
      </c>
      <c r="P248" s="11">
        <v>162.45000000000002</v>
      </c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9"/>
      <c r="CR248" s="11">
        <v>14.249999999999998</v>
      </c>
      <c r="CS248" s="11">
        <v>6.6499999999999986</v>
      </c>
      <c r="CT248" s="11">
        <v>21.85</v>
      </c>
      <c r="CU248" s="11">
        <f>Tabelle58971121[[#This Row],[Mindestauslastung durch]]*Tabelle58971121[[#This Row],[installierte Leistung MW durch]]</f>
        <v>0</v>
      </c>
      <c r="CV248" s="11">
        <f>Tabelle58971121[[#This Row],[Mindestauslastung min]]*Tabelle58971121[[#This Row],[installierte Leistung MW min]]</f>
        <v>0</v>
      </c>
      <c r="CW248" s="19">
        <f>Tabelle58971121[[#This Row],[Mindestauslastung max]]*Tabelle58971121[[#This Row],[installierte Leistung MW max]]</f>
        <v>0</v>
      </c>
      <c r="CX248" s="9">
        <v>0</v>
      </c>
      <c r="CY248" s="9">
        <v>0</v>
      </c>
      <c r="CZ248" s="9">
        <v>0</v>
      </c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39">
        <v>0.88100558659217887</v>
      </c>
      <c r="ED248" s="39">
        <v>0.84553072625698322</v>
      </c>
      <c r="EE248" s="39">
        <v>0.91648044692737429</v>
      </c>
      <c r="EF248" s="11">
        <f>Tabelle58971121[[#This Row],[Durchschnittsauslastung min]]*Tabelle58971121[[#This Row],[installierte Leistung MW min]]</f>
        <v>148.14108938547488</v>
      </c>
      <c r="EG248" s="11">
        <f>Tabelle58971121[[#This Row],[Durchschnittsauslastung durch]]*Tabelle58971121[[#This Row],[installierte Leistung MW durch]]</f>
        <v>146.19226256983239</v>
      </c>
      <c r="EH248" s="46">
        <f>Tabelle58971121[[#This Row],[Durchschnittsauslastung max]]*Tabelle58971121[[#This Row],[installierte Leistung MW max]]</f>
        <v>162.81275139664803</v>
      </c>
      <c r="EI248" s="83">
        <f>Tabelle58971121[[#This Row],[Maximalauslastung durch]]*Tabelle58971121[[#This Row],[installierte Leistung MW min]]</f>
        <v>161.74339106145254</v>
      </c>
      <c r="EJ248" s="46">
        <f>Tabelle58971121[[#This Row],[Maximalauslastung durch]]*Tabelle58971121[[#This Row],[installierte Leistung MW durch]]</f>
        <v>166.31241340782123</v>
      </c>
      <c r="EK248" s="11">
        <f>Tabelle58971121[[#This Row],[Maximalauslastung max]]*Tabelle58971121[[#This Row],[installierte Leistung MW durch]]</f>
        <v>167.35560893854748</v>
      </c>
      <c r="EL248" s="9">
        <v>0.9618994413407822</v>
      </c>
      <c r="EM248" s="9">
        <v>0.95586592178770946</v>
      </c>
      <c r="EN248" s="9">
        <v>0.96793296089385483</v>
      </c>
      <c r="EO248" s="11">
        <v>172.89999999999998</v>
      </c>
      <c r="EP248" s="11">
        <v>168.15</v>
      </c>
      <c r="EQ248" s="11">
        <v>177.64999999999998</v>
      </c>
      <c r="ER248" s="1">
        <v>0.1609473929236499</v>
      </c>
      <c r="ES248" s="1">
        <v>2.7777777777777778E-4</v>
      </c>
      <c r="ET248" s="54">
        <v>0.25</v>
      </c>
      <c r="EU248" s="1">
        <v>8.8466014897579132E-2</v>
      </c>
      <c r="EV248" s="1">
        <v>8.3333333333333332E-3</v>
      </c>
      <c r="EW248" s="54">
        <v>0.25</v>
      </c>
      <c r="EX248" s="1">
        <v>3.5865921787709496</v>
      </c>
      <c r="EY248" s="1">
        <v>1.6</v>
      </c>
      <c r="EZ248" s="54">
        <v>7.2</v>
      </c>
      <c r="FA248" s="1">
        <v>3.5865921787709496</v>
      </c>
      <c r="FB248" s="1">
        <v>1.6</v>
      </c>
      <c r="FC248" s="54">
        <v>7.2</v>
      </c>
      <c r="FD248" s="1">
        <v>4</v>
      </c>
      <c r="FE248" s="1">
        <v>3.2</v>
      </c>
      <c r="FF248" s="54">
        <v>4.8</v>
      </c>
      <c r="FG248" s="1">
        <v>7.5865921787709496</v>
      </c>
      <c r="FH248" s="1">
        <v>4.3774647887323939</v>
      </c>
      <c r="FI248" s="54">
        <v>4.4037037037037035</v>
      </c>
      <c r="FJ248" s="1">
        <v>4.3932960893854744</v>
      </c>
      <c r="FK248" s="1">
        <v>3.1999999999999997</v>
      </c>
      <c r="FL248" s="54">
        <v>6.8000000000000007</v>
      </c>
      <c r="FN248" s="1" t="s">
        <v>646</v>
      </c>
      <c r="FP248" s="1">
        <v>50</v>
      </c>
      <c r="FQ248" s="1">
        <v>20</v>
      </c>
      <c r="FR248" s="1">
        <v>80</v>
      </c>
      <c r="FS248" s="1">
        <v>0</v>
      </c>
      <c r="FT248" s="1">
        <v>0</v>
      </c>
      <c r="FU248" s="1">
        <v>0</v>
      </c>
      <c r="FV248" s="1">
        <v>50</v>
      </c>
      <c r="FW248" s="1">
        <v>20</v>
      </c>
      <c r="FX248" s="1">
        <v>80</v>
      </c>
      <c r="FY248" s="1">
        <v>0</v>
      </c>
      <c r="FZ248" s="19">
        <v>0</v>
      </c>
      <c r="GA248" s="19">
        <v>0</v>
      </c>
      <c r="GB248" s="19">
        <v>178.08823529411762</v>
      </c>
      <c r="GC248" s="8">
        <v>101.76470588235293</v>
      </c>
      <c r="GD248" s="8">
        <v>254.41176470588235</v>
      </c>
      <c r="GE248" s="8">
        <v>2000.6941176470586</v>
      </c>
      <c r="GF248" s="8">
        <v>1359.0676470588235</v>
      </c>
      <c r="GG248" s="8">
        <v>2642.3205882352941</v>
      </c>
      <c r="GH248" s="8">
        <v>0</v>
      </c>
      <c r="GI248" s="8">
        <v>0</v>
      </c>
      <c r="GJ248" s="8">
        <v>30.52941176470588</v>
      </c>
      <c r="GK248" s="8">
        <v>58.514705882352935</v>
      </c>
      <c r="GL248" s="8">
        <v>17.808823529411764</v>
      </c>
      <c r="GM248" s="8">
        <v>99.220588235294116</v>
      </c>
      <c r="GN248" s="8">
        <v>2.0352941176470587</v>
      </c>
      <c r="GO248" s="8">
        <v>0</v>
      </c>
      <c r="GP248" s="8">
        <v>4.0705882352941174</v>
      </c>
      <c r="GS248" s="1">
        <v>220</v>
      </c>
      <c r="GT248" s="1">
        <v>220</v>
      </c>
      <c r="GV248" s="13" t="s">
        <v>643</v>
      </c>
      <c r="GW248" s="1" t="s">
        <v>643</v>
      </c>
      <c r="GX248" s="13">
        <v>182</v>
      </c>
      <c r="GY248" s="13"/>
      <c r="GZ248" s="13">
        <v>182</v>
      </c>
      <c r="HA248" s="13">
        <v>182</v>
      </c>
      <c r="HB248" s="1">
        <v>182</v>
      </c>
      <c r="HC248" s="13" t="s">
        <v>642</v>
      </c>
      <c r="HD248" s="13" t="s">
        <v>641</v>
      </c>
      <c r="HE248" s="1">
        <v>202</v>
      </c>
      <c r="HF248" s="1">
        <v>202</v>
      </c>
      <c r="HH248" s="1" t="s">
        <v>645</v>
      </c>
      <c r="HI248" s="1">
        <v>211</v>
      </c>
      <c r="HJ248" s="1">
        <v>214</v>
      </c>
      <c r="HK248" s="1">
        <v>220</v>
      </c>
      <c r="HL248" s="1">
        <v>214</v>
      </c>
      <c r="HO248" s="1" t="s">
        <v>644</v>
      </c>
    </row>
    <row r="249" spans="1:223" ht="12.75" customHeight="1" x14ac:dyDescent="0.25">
      <c r="A249" s="1" t="s">
        <v>572</v>
      </c>
      <c r="D249" s="1" t="s">
        <v>576</v>
      </c>
      <c r="E249" s="1" t="s">
        <v>126</v>
      </c>
      <c r="F249" s="1">
        <v>1</v>
      </c>
      <c r="G249" s="1">
        <v>2050</v>
      </c>
      <c r="H249" s="1">
        <v>1</v>
      </c>
      <c r="I249" s="1">
        <v>1</v>
      </c>
      <c r="J249" s="1">
        <v>0</v>
      </c>
      <c r="K249" s="19"/>
      <c r="L249" s="19"/>
      <c r="M249" s="19"/>
      <c r="N249" s="11">
        <v>150.39999999999998</v>
      </c>
      <c r="O249" s="11">
        <v>140.06</v>
      </c>
      <c r="P249" s="11">
        <v>160.73999999999998</v>
      </c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9"/>
      <c r="CR249" s="11">
        <v>14.099999999999998</v>
      </c>
      <c r="CS249" s="11">
        <v>6.58</v>
      </c>
      <c r="CT249" s="11">
        <v>21.619999999999997</v>
      </c>
      <c r="CU249" s="11">
        <f>Tabelle58971121[[#This Row],[Mindestauslastung durch]]*Tabelle58971121[[#This Row],[installierte Leistung MW durch]]</f>
        <v>0</v>
      </c>
      <c r="CV249" s="11">
        <f>Tabelle58971121[[#This Row],[Mindestauslastung min]]*Tabelle58971121[[#This Row],[installierte Leistung MW min]]</f>
        <v>0</v>
      </c>
      <c r="CW249" s="19">
        <f>Tabelle58971121[[#This Row],[Mindestauslastung max]]*Tabelle58971121[[#This Row],[installierte Leistung MW max]]</f>
        <v>0</v>
      </c>
      <c r="CX249" s="9">
        <v>0</v>
      </c>
      <c r="CY249" s="9">
        <v>0</v>
      </c>
      <c r="CZ249" s="9">
        <v>0</v>
      </c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39">
        <v>0.88100558659217887</v>
      </c>
      <c r="ED249" s="39">
        <v>0.84553072625698322</v>
      </c>
      <c r="EE249" s="39">
        <v>0.91648044692737429</v>
      </c>
      <c r="EF249" s="11">
        <f>Tabelle58971121[[#This Row],[Durchschnittsauslastung min]]*Tabelle58971121[[#This Row],[installierte Leistung MW min]]</f>
        <v>146.5817094972067</v>
      </c>
      <c r="EG249" s="11">
        <f>Tabelle58971121[[#This Row],[Durchschnittsauslastung durch]]*Tabelle58971121[[#This Row],[installierte Leistung MW durch]]</f>
        <v>144.65339664804466</v>
      </c>
      <c r="EH249" s="46">
        <f>Tabelle58971121[[#This Row],[Durchschnittsauslastung max]]*Tabelle58971121[[#This Row],[installierte Leistung MW max]]</f>
        <v>161.09893296089382</v>
      </c>
      <c r="EI249" s="83">
        <f>Tabelle58971121[[#This Row],[Maximalauslastung durch]]*Tabelle58971121[[#This Row],[installierte Leistung MW min]]</f>
        <v>160.04082905027934</v>
      </c>
      <c r="EJ249" s="46">
        <f>Tabelle58971121[[#This Row],[Maximalauslastung durch]]*Tabelle58971121[[#This Row],[installierte Leistung MW durch]]</f>
        <v>164.56175642458101</v>
      </c>
      <c r="EK249" s="11">
        <f>Tabelle58971121[[#This Row],[Maximalauslastung max]]*Tabelle58971121[[#This Row],[installierte Leistung MW durch]]</f>
        <v>165.59397094972067</v>
      </c>
      <c r="EL249" s="9">
        <v>0.9618994413407822</v>
      </c>
      <c r="EM249" s="9">
        <v>0.95586592178770946</v>
      </c>
      <c r="EN249" s="9">
        <v>0.96793296089385483</v>
      </c>
      <c r="EO249" s="11">
        <v>171.07999999999998</v>
      </c>
      <c r="EP249" s="11">
        <v>166.38</v>
      </c>
      <c r="EQ249" s="11">
        <v>175.77999999999997</v>
      </c>
      <c r="ER249" s="1">
        <v>0.1609473929236499</v>
      </c>
      <c r="ES249" s="1">
        <v>2.7777777777777778E-4</v>
      </c>
      <c r="ET249" s="54">
        <v>0.25</v>
      </c>
      <c r="EU249" s="1">
        <v>8.8466014897579132E-2</v>
      </c>
      <c r="EV249" s="1">
        <v>8.3333333333333332E-3</v>
      </c>
      <c r="EW249" s="54">
        <v>0.25</v>
      </c>
      <c r="EX249" s="1">
        <v>3.5865921787709496</v>
      </c>
      <c r="EY249" s="1">
        <v>1.6</v>
      </c>
      <c r="EZ249" s="54">
        <v>7.2</v>
      </c>
      <c r="FA249" s="1">
        <v>3.5865921787709496</v>
      </c>
      <c r="FB249" s="1">
        <v>1.6</v>
      </c>
      <c r="FC249" s="54">
        <v>7.2</v>
      </c>
      <c r="FD249" s="1">
        <v>4</v>
      </c>
      <c r="FE249" s="1">
        <v>3.2</v>
      </c>
      <c r="FF249" s="54">
        <v>4.8</v>
      </c>
      <c r="FG249" s="1">
        <v>7.5865921787709496</v>
      </c>
      <c r="FH249" s="1">
        <v>4.3774647887323948</v>
      </c>
      <c r="FI249" s="54">
        <v>4.4037037037037035</v>
      </c>
      <c r="FJ249" s="1">
        <v>4.3932960893854744</v>
      </c>
      <c r="FK249" s="1">
        <v>3.1999999999999997</v>
      </c>
      <c r="FL249" s="54">
        <v>6.8000000000000007</v>
      </c>
      <c r="FN249" s="1" t="s">
        <v>646</v>
      </c>
      <c r="FP249" s="1">
        <v>50</v>
      </c>
      <c r="FQ249" s="1">
        <v>20</v>
      </c>
      <c r="FR249" s="1">
        <v>80</v>
      </c>
      <c r="FS249" s="1">
        <v>0</v>
      </c>
      <c r="FT249" s="1">
        <v>0</v>
      </c>
      <c r="FU249" s="1">
        <v>0</v>
      </c>
      <c r="FV249" s="1">
        <v>50</v>
      </c>
      <c r="FW249" s="1">
        <v>20</v>
      </c>
      <c r="FX249" s="1">
        <v>80</v>
      </c>
      <c r="FY249" s="1">
        <v>0</v>
      </c>
      <c r="FZ249" s="19">
        <v>0</v>
      </c>
      <c r="GA249" s="19">
        <v>0</v>
      </c>
      <c r="GB249" s="19">
        <v>178.08823529411762</v>
      </c>
      <c r="GC249" s="8">
        <v>101.76470588235293</v>
      </c>
      <c r="GD249" s="8">
        <v>254.41176470588235</v>
      </c>
      <c r="GE249" s="8">
        <v>2000.6941176470586</v>
      </c>
      <c r="GF249" s="8">
        <v>1359.0676470588235</v>
      </c>
      <c r="GG249" s="8">
        <v>2642.3205882352941</v>
      </c>
      <c r="GH249" s="8">
        <v>0</v>
      </c>
      <c r="GI249" s="8">
        <v>0</v>
      </c>
      <c r="GJ249" s="8">
        <v>30.52941176470588</v>
      </c>
      <c r="GK249" s="8">
        <v>58.514705882352935</v>
      </c>
      <c r="GL249" s="8">
        <v>17.808823529411764</v>
      </c>
      <c r="GM249" s="8">
        <v>99.220588235294116</v>
      </c>
      <c r="GN249" s="8">
        <v>2.0352941176470587</v>
      </c>
      <c r="GO249" s="8">
        <v>0</v>
      </c>
      <c r="GP249" s="8">
        <v>4.0705882352941174</v>
      </c>
      <c r="GS249" s="1">
        <v>220</v>
      </c>
      <c r="GT249" s="1">
        <v>220</v>
      </c>
      <c r="GV249" s="13" t="s">
        <v>643</v>
      </c>
      <c r="GW249" s="1" t="s">
        <v>643</v>
      </c>
      <c r="GX249" s="13">
        <v>182</v>
      </c>
      <c r="GY249" s="13"/>
      <c r="GZ249" s="13">
        <v>182</v>
      </c>
      <c r="HA249" s="13">
        <v>182</v>
      </c>
      <c r="HB249" s="1">
        <v>182</v>
      </c>
      <c r="HC249" s="13" t="s">
        <v>642</v>
      </c>
      <c r="HD249" s="13" t="s">
        <v>641</v>
      </c>
      <c r="HE249" s="1">
        <v>202</v>
      </c>
      <c r="HF249" s="1">
        <v>202</v>
      </c>
      <c r="HH249" s="1" t="s">
        <v>645</v>
      </c>
      <c r="HI249" s="1">
        <v>211</v>
      </c>
      <c r="HJ249" s="1">
        <v>214</v>
      </c>
      <c r="HK249" s="1">
        <v>220</v>
      </c>
      <c r="HL249" s="1">
        <v>214</v>
      </c>
      <c r="HO249" s="1" t="s">
        <v>644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200-000001000000}">
          <x14:formula1>
            <xm:f>Dropdown!$C$2:$C$4</xm:f>
          </x14:formula1>
          <xm:sqref>E2:E249</xm:sqref>
        </x14:dataValidation>
        <x14:dataValidation type="list" allowBlank="1" showInputMessage="1" showErrorMessage="1" xr:uid="{00000000-0002-0000-1200-000000000000}">
          <x14:formula1>
            <xm:f>Dropdown!$A$2:$A$92</xm:f>
          </x14:formula1>
          <xm:sqref>B154:B161 A2:A249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30"/>
  <dimension ref="A1:BR55"/>
  <sheetViews>
    <sheetView zoomScale="85" zoomScaleNormal="85" workbookViewId="0">
      <pane xSplit="3" ySplit="1" topLeftCell="D19" activePane="bottomRight" state="frozen"/>
      <selection pane="topRight" activeCell="D1" sqref="D1"/>
      <selection pane="bottomLeft" activeCell="A2" sqref="A2"/>
      <selection pane="bottomRight" sqref="A1:XFD55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28.81640625" style="1" bestFit="1" customWidth="1"/>
    <col min="7" max="7" width="38.81640625" style="1" bestFit="1" customWidth="1"/>
    <col min="8" max="8" width="29.26953125" style="1" bestFit="1" customWidth="1"/>
    <col min="9" max="11" width="29.26953125" style="1" customWidth="1"/>
    <col min="12" max="14" width="24.54296875" style="1" customWidth="1"/>
    <col min="15" max="15" width="24.453125" style="1" bestFit="1" customWidth="1"/>
    <col min="16" max="20" width="24.453125" style="1" customWidth="1"/>
    <col min="21" max="21" width="37.7265625" style="1" bestFit="1" customWidth="1"/>
    <col min="22" max="23" width="24.7265625" style="1" customWidth="1"/>
    <col min="24" max="24" width="28.453125" style="1" customWidth="1"/>
    <col min="25" max="25" width="27.453125" style="1" bestFit="1" customWidth="1"/>
    <col min="26" max="27" width="27.453125" style="1" customWidth="1"/>
    <col min="28" max="28" width="20.7265625" style="1" bestFit="1" customWidth="1"/>
    <col min="29" max="33" width="20.7265625" style="1" customWidth="1"/>
    <col min="34" max="34" width="25.81640625" style="1" bestFit="1" customWidth="1"/>
    <col min="35" max="35" width="29.7265625" style="1" bestFit="1" customWidth="1"/>
    <col min="36" max="36" width="24" style="1" bestFit="1" customWidth="1"/>
    <col min="37" max="37" width="38.26953125" style="1" bestFit="1" customWidth="1"/>
    <col min="38" max="40" width="38.26953125" style="1" customWidth="1"/>
    <col min="41" max="41" width="38.26953125" style="1" bestFit="1" customWidth="1"/>
    <col min="42" max="43" width="38.26953125" style="1" customWidth="1"/>
    <col min="44" max="44" width="33.453125" style="1" bestFit="1" customWidth="1"/>
    <col min="45" max="45" width="33.453125" style="1" customWidth="1"/>
    <col min="46" max="46" width="25.7265625" style="1" bestFit="1" customWidth="1"/>
    <col min="47" max="47" width="25.7265625" style="1" customWidth="1"/>
    <col min="48" max="48" width="56.7265625" style="1" bestFit="1" customWidth="1"/>
    <col min="49" max="50" width="35.54296875" style="1" customWidth="1"/>
    <col min="51" max="51" width="31.7265625" style="1" bestFit="1" customWidth="1"/>
    <col min="52" max="52" width="31.54296875" style="1" bestFit="1" customWidth="1"/>
    <col min="53" max="57" width="31.54296875" style="1" customWidth="1"/>
    <col min="58" max="58" width="37.453125" style="1" bestFit="1" customWidth="1"/>
    <col min="59" max="59" width="35.7265625" style="1" bestFit="1" customWidth="1"/>
    <col min="60" max="60" width="28.81640625" style="1" bestFit="1" customWidth="1"/>
    <col min="61" max="61" width="34" style="1" bestFit="1" customWidth="1"/>
    <col min="62" max="62" width="37.81640625" style="1" bestFit="1" customWidth="1"/>
    <col min="63" max="63" width="34.453125" style="1" bestFit="1" customWidth="1"/>
    <col min="64" max="64" width="38.1796875" style="1" bestFit="1" customWidth="1"/>
    <col min="65" max="65" width="22.81640625" style="1" bestFit="1" customWidth="1"/>
    <col min="66" max="66" width="28.54296875" style="1" bestFit="1" customWidth="1"/>
    <col min="67" max="67" width="28.26953125" style="1" bestFit="1" customWidth="1"/>
    <col min="68" max="68" width="28.26953125" style="1" customWidth="1"/>
    <col min="69" max="69" width="31" style="1" bestFit="1" customWidth="1"/>
    <col min="70" max="70" width="28.81640625" style="1" bestFit="1" customWidth="1"/>
    <col min="71" max="16384" width="11.453125" style="1"/>
  </cols>
  <sheetData>
    <row r="1" spans="1:70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47</v>
      </c>
      <c r="G1" s="2" t="s">
        <v>146</v>
      </c>
      <c r="H1" s="2" t="s">
        <v>285</v>
      </c>
      <c r="I1" s="2" t="s">
        <v>286</v>
      </c>
      <c r="J1" s="2" t="s">
        <v>287</v>
      </c>
      <c r="K1" s="2" t="s">
        <v>288</v>
      </c>
      <c r="L1" s="2" t="s">
        <v>94</v>
      </c>
      <c r="M1" s="2" t="s">
        <v>153</v>
      </c>
      <c r="N1" s="2" t="s">
        <v>155</v>
      </c>
      <c r="O1" s="2" t="s">
        <v>154</v>
      </c>
      <c r="P1" s="2" t="s">
        <v>53</v>
      </c>
      <c r="Q1" s="2" t="s">
        <v>52</v>
      </c>
      <c r="R1" s="2" t="s">
        <v>84</v>
      </c>
      <c r="S1" s="2" t="s">
        <v>327</v>
      </c>
      <c r="T1" s="2" t="s">
        <v>232</v>
      </c>
      <c r="U1" s="2" t="s">
        <v>113</v>
      </c>
      <c r="V1" s="2" t="s">
        <v>54</v>
      </c>
      <c r="W1" s="2" t="s">
        <v>120</v>
      </c>
      <c r="X1" s="2" t="s">
        <v>55</v>
      </c>
      <c r="Y1" s="2" t="s">
        <v>9</v>
      </c>
      <c r="Z1" s="2" t="s">
        <v>223</v>
      </c>
      <c r="AA1" s="2" t="s">
        <v>222</v>
      </c>
      <c r="AB1" s="2" t="s">
        <v>156</v>
      </c>
      <c r="AC1" s="2" t="s">
        <v>224</v>
      </c>
      <c r="AD1" s="2" t="s">
        <v>225</v>
      </c>
      <c r="AE1" s="2" t="s">
        <v>157</v>
      </c>
      <c r="AF1" s="2" t="s">
        <v>211</v>
      </c>
      <c r="AG1" s="2" t="s">
        <v>212</v>
      </c>
      <c r="AH1" s="2" t="s">
        <v>3</v>
      </c>
      <c r="AI1" s="2" t="s">
        <v>10</v>
      </c>
      <c r="AJ1" s="2" t="s">
        <v>14</v>
      </c>
      <c r="AK1" s="2" t="s">
        <v>4</v>
      </c>
      <c r="AL1" s="2" t="s">
        <v>96</v>
      </c>
      <c r="AM1" s="2" t="s">
        <v>182</v>
      </c>
      <c r="AN1" s="2" t="s">
        <v>181</v>
      </c>
      <c r="AO1" s="2" t="s">
        <v>11</v>
      </c>
      <c r="AP1" s="2" t="s">
        <v>228</v>
      </c>
      <c r="AQ1" s="2" t="s">
        <v>229</v>
      </c>
      <c r="AR1" s="2" t="s">
        <v>227</v>
      </c>
      <c r="AS1" s="2" t="s">
        <v>329</v>
      </c>
      <c r="AT1" s="2" t="s">
        <v>330</v>
      </c>
      <c r="AU1" s="2" t="s">
        <v>144</v>
      </c>
      <c r="AV1" s="2" t="s">
        <v>20</v>
      </c>
      <c r="AW1" s="2" t="s">
        <v>161</v>
      </c>
      <c r="AX1" s="2" t="s">
        <v>162</v>
      </c>
      <c r="AY1" s="2" t="s">
        <v>1</v>
      </c>
      <c r="AZ1" s="2" t="s">
        <v>2</v>
      </c>
      <c r="BA1" s="2" t="s">
        <v>56</v>
      </c>
      <c r="BB1" s="2" t="s">
        <v>104</v>
      </c>
      <c r="BC1" s="2" t="s">
        <v>233</v>
      </c>
      <c r="BD1" s="2" t="s">
        <v>114</v>
      </c>
      <c r="BE1" s="2" t="s">
        <v>57</v>
      </c>
      <c r="BF1" s="2" t="s">
        <v>58</v>
      </c>
      <c r="BG1" s="2" t="s">
        <v>95</v>
      </c>
      <c r="BH1" s="2" t="s">
        <v>5</v>
      </c>
      <c r="BI1" s="2" t="s">
        <v>6</v>
      </c>
      <c r="BJ1" s="2" t="s">
        <v>15</v>
      </c>
      <c r="BK1" s="2" t="s">
        <v>16</v>
      </c>
      <c r="BL1" s="2" t="s">
        <v>7</v>
      </c>
      <c r="BM1" s="2" t="s">
        <v>17</v>
      </c>
      <c r="BN1" s="2" t="s">
        <v>18</v>
      </c>
      <c r="BO1" s="2" t="s">
        <v>19</v>
      </c>
      <c r="BP1" s="2" t="s">
        <v>145</v>
      </c>
      <c r="BQ1" s="2" t="s">
        <v>21</v>
      </c>
      <c r="BR1" s="2" t="s">
        <v>49</v>
      </c>
    </row>
    <row r="2" spans="1:70" x14ac:dyDescent="0.25">
      <c r="A2" s="1" t="s">
        <v>362</v>
      </c>
      <c r="B2" s="30" t="s">
        <v>139</v>
      </c>
      <c r="C2" s="30">
        <v>2010</v>
      </c>
      <c r="D2" s="30"/>
      <c r="E2" s="30"/>
      <c r="F2" s="31"/>
      <c r="G2" s="31"/>
      <c r="H2" s="31">
        <v>2600</v>
      </c>
      <c r="I2" s="31">
        <v>0</v>
      </c>
      <c r="J2" s="31">
        <v>2600</v>
      </c>
      <c r="K2" s="31">
        <v>0</v>
      </c>
      <c r="L2" s="31"/>
      <c r="M2" s="31"/>
      <c r="N2" s="31"/>
      <c r="O2" s="31"/>
      <c r="P2" s="31"/>
      <c r="Q2" s="32"/>
      <c r="R2" s="33"/>
      <c r="S2" s="33"/>
      <c r="T2" s="33"/>
      <c r="U2" s="32"/>
      <c r="V2" s="31"/>
      <c r="W2" s="33"/>
      <c r="X2" s="31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1"/>
      <c r="AN2" s="31"/>
      <c r="AO2" s="31"/>
      <c r="AP2" s="34"/>
      <c r="AQ2" s="34"/>
      <c r="AR2" s="34"/>
      <c r="AS2" s="34"/>
      <c r="AT2" s="34"/>
      <c r="AU2" s="30"/>
      <c r="AV2" s="30"/>
      <c r="AW2" s="30"/>
      <c r="AX2" s="30"/>
      <c r="AY2" s="35">
        <v>34</v>
      </c>
      <c r="AZ2" s="30"/>
      <c r="BA2" s="35"/>
      <c r="BB2" s="35"/>
      <c r="BC2" s="35"/>
      <c r="BD2" s="35"/>
      <c r="BE2" s="30"/>
      <c r="BF2" s="35"/>
      <c r="BG2" s="35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</row>
    <row r="3" spans="1:70" x14ac:dyDescent="0.25">
      <c r="A3" s="1" t="s">
        <v>362</v>
      </c>
      <c r="B3" s="30" t="s">
        <v>139</v>
      </c>
      <c r="C3" s="30">
        <v>2020</v>
      </c>
      <c r="D3" s="30"/>
      <c r="E3" s="30"/>
      <c r="F3" s="31"/>
      <c r="G3" s="31"/>
      <c r="H3" s="31">
        <v>7800</v>
      </c>
      <c r="I3" s="31">
        <v>0</v>
      </c>
      <c r="J3" s="31">
        <v>7800</v>
      </c>
      <c r="K3" s="31">
        <v>0</v>
      </c>
      <c r="L3" s="31"/>
      <c r="M3" s="31"/>
      <c r="N3" s="31"/>
      <c r="O3" s="31"/>
      <c r="P3" s="31"/>
      <c r="Q3" s="32"/>
      <c r="R3" s="33"/>
      <c r="S3" s="33"/>
      <c r="T3" s="33"/>
      <c r="U3" s="32"/>
      <c r="V3" s="31"/>
      <c r="W3" s="33"/>
      <c r="X3" s="31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1"/>
      <c r="AN3" s="31"/>
      <c r="AO3" s="31"/>
      <c r="AP3" s="34"/>
      <c r="AQ3" s="34"/>
      <c r="AR3" s="34"/>
      <c r="AS3" s="34"/>
      <c r="AT3" s="34"/>
      <c r="AU3" s="30"/>
      <c r="AV3" s="30"/>
      <c r="AW3" s="30"/>
      <c r="AX3" s="30"/>
      <c r="AY3" s="35">
        <v>34</v>
      </c>
      <c r="AZ3" s="30"/>
      <c r="BA3" s="35"/>
      <c r="BB3" s="35"/>
      <c r="BC3" s="35"/>
      <c r="BD3" s="35"/>
      <c r="BE3" s="30"/>
      <c r="BF3" s="35"/>
      <c r="BG3" s="35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</row>
    <row r="4" spans="1:70" x14ac:dyDescent="0.25">
      <c r="A4" s="1" t="s">
        <v>362</v>
      </c>
      <c r="B4" s="30" t="s">
        <v>139</v>
      </c>
      <c r="C4" s="30">
        <v>2030</v>
      </c>
      <c r="D4" s="30"/>
      <c r="E4" s="30"/>
      <c r="F4" s="31"/>
      <c r="G4" s="31"/>
      <c r="H4" s="31">
        <v>11300</v>
      </c>
      <c r="I4" s="31">
        <v>0</v>
      </c>
      <c r="J4" s="31">
        <v>11300</v>
      </c>
      <c r="K4" s="31">
        <v>0</v>
      </c>
      <c r="L4" s="31"/>
      <c r="M4" s="31"/>
      <c r="N4" s="31"/>
      <c r="O4" s="31"/>
      <c r="P4" s="31"/>
      <c r="Q4" s="32"/>
      <c r="R4" s="33"/>
      <c r="S4" s="33"/>
      <c r="T4" s="33"/>
      <c r="U4" s="32"/>
      <c r="V4" s="31"/>
      <c r="W4" s="33"/>
      <c r="X4" s="31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1"/>
      <c r="AN4" s="31"/>
      <c r="AO4" s="31"/>
      <c r="AP4" s="34"/>
      <c r="AQ4" s="34"/>
      <c r="AR4" s="34"/>
      <c r="AS4" s="34"/>
      <c r="AT4" s="34"/>
      <c r="AU4" s="30"/>
      <c r="AV4" s="30"/>
      <c r="AW4" s="30"/>
      <c r="AX4" s="30"/>
      <c r="AY4" s="35">
        <v>34</v>
      </c>
      <c r="AZ4" s="30"/>
      <c r="BA4" s="35"/>
      <c r="BB4" s="35"/>
      <c r="BC4" s="35"/>
      <c r="BD4" s="35"/>
      <c r="BE4" s="30"/>
      <c r="BF4" s="35"/>
      <c r="BG4" s="35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</row>
    <row r="5" spans="1:70" x14ac:dyDescent="0.25">
      <c r="A5" s="1" t="s">
        <v>132</v>
      </c>
      <c r="B5" s="30" t="s">
        <v>139</v>
      </c>
      <c r="C5" s="30">
        <v>2010</v>
      </c>
      <c r="D5" s="30"/>
      <c r="E5" s="30"/>
      <c r="F5" s="31"/>
      <c r="G5" s="31"/>
      <c r="H5" s="31">
        <v>800</v>
      </c>
      <c r="I5" s="31">
        <v>800</v>
      </c>
      <c r="J5" s="31">
        <v>800</v>
      </c>
      <c r="K5" s="31">
        <v>800</v>
      </c>
      <c r="L5" s="31"/>
      <c r="M5" s="31"/>
      <c r="N5" s="31"/>
      <c r="O5" s="31"/>
      <c r="P5" s="31"/>
      <c r="Q5" s="32"/>
      <c r="R5" s="33"/>
      <c r="S5" s="33"/>
      <c r="T5" s="33"/>
      <c r="U5" s="32"/>
      <c r="V5" s="31"/>
      <c r="W5" s="33"/>
      <c r="X5" s="31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1"/>
      <c r="AN5" s="31"/>
      <c r="AO5" s="31"/>
      <c r="AP5" s="34"/>
      <c r="AQ5" s="34"/>
      <c r="AR5" s="34"/>
      <c r="AS5" s="34"/>
      <c r="AT5" s="34"/>
      <c r="AU5" s="30"/>
      <c r="AV5" s="30"/>
      <c r="AW5" s="30"/>
      <c r="AX5" s="30"/>
      <c r="AY5" s="35">
        <v>34</v>
      </c>
      <c r="AZ5" s="30"/>
      <c r="BA5" s="35"/>
      <c r="BB5" s="35"/>
      <c r="BC5" s="35"/>
      <c r="BD5" s="35"/>
      <c r="BE5" s="30"/>
      <c r="BF5" s="35"/>
      <c r="BG5" s="35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</row>
    <row r="6" spans="1:70" x14ac:dyDescent="0.25">
      <c r="A6" s="1" t="s">
        <v>132</v>
      </c>
      <c r="B6" s="30" t="s">
        <v>139</v>
      </c>
      <c r="C6" s="30">
        <v>2020</v>
      </c>
      <c r="D6" s="30"/>
      <c r="E6" s="30"/>
      <c r="F6" s="31"/>
      <c r="G6" s="31"/>
      <c r="H6" s="31">
        <v>900</v>
      </c>
      <c r="I6" s="31">
        <v>900</v>
      </c>
      <c r="J6" s="31">
        <v>900</v>
      </c>
      <c r="K6" s="31">
        <v>900</v>
      </c>
      <c r="L6" s="31"/>
      <c r="M6" s="31"/>
      <c r="N6" s="31"/>
      <c r="O6" s="31"/>
      <c r="P6" s="31"/>
      <c r="Q6" s="32"/>
      <c r="R6" s="33"/>
      <c r="S6" s="33"/>
      <c r="T6" s="33"/>
      <c r="U6" s="32"/>
      <c r="V6" s="31"/>
      <c r="W6" s="33"/>
      <c r="X6" s="31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1"/>
      <c r="AN6" s="31"/>
      <c r="AO6" s="31"/>
      <c r="AP6" s="34"/>
      <c r="AQ6" s="34"/>
      <c r="AR6" s="34"/>
      <c r="AS6" s="34"/>
      <c r="AT6" s="34"/>
      <c r="AU6" s="30"/>
      <c r="AV6" s="30"/>
      <c r="AW6" s="30"/>
      <c r="AX6" s="30"/>
      <c r="AY6" s="35">
        <v>34</v>
      </c>
      <c r="AZ6" s="30"/>
      <c r="BA6" s="35"/>
      <c r="BB6" s="35"/>
      <c r="BC6" s="35"/>
      <c r="BD6" s="35"/>
      <c r="BE6" s="30"/>
      <c r="BF6" s="35"/>
      <c r="BG6" s="35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</row>
    <row r="7" spans="1:70" x14ac:dyDescent="0.25">
      <c r="A7" s="1" t="s">
        <v>132</v>
      </c>
      <c r="B7" s="30" t="s">
        <v>139</v>
      </c>
      <c r="C7" s="30">
        <v>2030</v>
      </c>
      <c r="D7" s="30"/>
      <c r="E7" s="30"/>
      <c r="F7" s="31"/>
      <c r="G7" s="31"/>
      <c r="H7" s="19">
        <v>1000</v>
      </c>
      <c r="I7" s="19">
        <v>1000</v>
      </c>
      <c r="J7" s="19">
        <v>1000</v>
      </c>
      <c r="K7" s="19">
        <v>1000</v>
      </c>
      <c r="L7" s="31"/>
      <c r="M7" s="31"/>
      <c r="N7" s="31"/>
      <c r="O7" s="31"/>
      <c r="P7" s="31"/>
      <c r="Q7" s="32"/>
      <c r="R7" s="33"/>
      <c r="S7" s="33"/>
      <c r="T7" s="33"/>
      <c r="U7" s="32"/>
      <c r="V7" s="31"/>
      <c r="W7" s="33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31"/>
      <c r="AO7" s="31"/>
      <c r="AP7" s="34"/>
      <c r="AQ7" s="34"/>
      <c r="AR7" s="34"/>
      <c r="AS7" s="34"/>
      <c r="AT7" s="34"/>
      <c r="AU7" s="30"/>
      <c r="AV7" s="30"/>
      <c r="AW7" s="30"/>
      <c r="AX7" s="30"/>
      <c r="AY7" s="35">
        <v>34</v>
      </c>
      <c r="AZ7" s="30"/>
      <c r="BA7" s="35"/>
      <c r="BB7" s="35"/>
      <c r="BC7" s="35"/>
      <c r="BD7" s="35"/>
      <c r="BE7" s="30"/>
      <c r="BF7" s="35"/>
      <c r="BG7" s="35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</row>
    <row r="8" spans="1:70" x14ac:dyDescent="0.25">
      <c r="A8" s="1" t="s">
        <v>283</v>
      </c>
      <c r="B8" s="1" t="s">
        <v>139</v>
      </c>
      <c r="C8" s="30">
        <v>2010</v>
      </c>
      <c r="F8" s="19"/>
      <c r="G8" s="19"/>
      <c r="H8" s="19">
        <v>1100</v>
      </c>
      <c r="I8" s="19">
        <v>1100</v>
      </c>
      <c r="J8" s="19">
        <v>1100</v>
      </c>
      <c r="K8" s="19">
        <v>1100</v>
      </c>
      <c r="L8" s="19"/>
      <c r="M8" s="19"/>
      <c r="N8" s="19"/>
      <c r="O8" s="19"/>
      <c r="P8" s="19"/>
      <c r="Q8" s="20"/>
      <c r="R8" s="9"/>
      <c r="S8" s="9"/>
      <c r="T8" s="9"/>
      <c r="U8" s="20"/>
      <c r="V8" s="19"/>
      <c r="W8" s="9"/>
      <c r="X8" s="19"/>
      <c r="AH8" s="1">
        <v>0.25</v>
      </c>
      <c r="AM8" s="19"/>
      <c r="AN8" s="19"/>
      <c r="AO8" s="19"/>
      <c r="AP8" s="8"/>
      <c r="AQ8" s="8"/>
      <c r="AR8" s="8"/>
      <c r="AS8" s="8"/>
      <c r="AT8" s="8"/>
      <c r="AY8" s="35">
        <v>34</v>
      </c>
      <c r="BA8" s="13"/>
      <c r="BB8" s="13"/>
      <c r="BC8" s="13"/>
      <c r="BD8" s="13"/>
      <c r="BF8" s="13"/>
      <c r="BG8" s="13"/>
    </row>
    <row r="9" spans="1:70" x14ac:dyDescent="0.25">
      <c r="A9" s="1" t="s">
        <v>283</v>
      </c>
      <c r="B9" s="1" t="s">
        <v>139</v>
      </c>
      <c r="C9" s="30">
        <v>2020</v>
      </c>
      <c r="F9" s="19"/>
      <c r="G9" s="19"/>
      <c r="H9" s="19">
        <v>900</v>
      </c>
      <c r="I9" s="19">
        <v>900</v>
      </c>
      <c r="J9" s="19">
        <v>900</v>
      </c>
      <c r="K9" s="19">
        <v>900</v>
      </c>
      <c r="L9" s="19"/>
      <c r="M9" s="19"/>
      <c r="N9" s="19"/>
      <c r="O9" s="19"/>
      <c r="P9" s="19"/>
      <c r="Q9" s="20"/>
      <c r="R9" s="9"/>
      <c r="S9" s="9"/>
      <c r="T9" s="9"/>
      <c r="U9" s="20"/>
      <c r="V9" s="19"/>
      <c r="W9" s="9"/>
      <c r="X9" s="19"/>
      <c r="AM9" s="19"/>
      <c r="AN9" s="19"/>
      <c r="AO9" s="19"/>
      <c r="AP9" s="8"/>
      <c r="AQ9" s="8"/>
      <c r="AR9" s="8"/>
      <c r="AS9" s="8"/>
      <c r="AT9" s="8"/>
      <c r="AY9" s="35">
        <v>34</v>
      </c>
      <c r="BA9" s="13"/>
      <c r="BB9" s="13"/>
      <c r="BC9" s="13"/>
      <c r="BD9" s="13"/>
      <c r="BF9" s="13"/>
      <c r="BG9" s="13"/>
    </row>
    <row r="10" spans="1:70" x14ac:dyDescent="0.25">
      <c r="A10" s="1" t="s">
        <v>283</v>
      </c>
      <c r="B10" s="1" t="s">
        <v>139</v>
      </c>
      <c r="C10" s="30">
        <v>2030</v>
      </c>
      <c r="F10" s="19"/>
      <c r="G10" s="19"/>
      <c r="H10" s="19">
        <v>900</v>
      </c>
      <c r="I10" s="19">
        <v>900</v>
      </c>
      <c r="J10" s="19">
        <v>900</v>
      </c>
      <c r="K10" s="19">
        <v>900</v>
      </c>
      <c r="L10" s="19"/>
      <c r="M10" s="19"/>
      <c r="N10" s="19"/>
      <c r="O10" s="19"/>
      <c r="P10" s="19"/>
      <c r="Q10" s="20"/>
      <c r="R10" s="9"/>
      <c r="S10" s="9"/>
      <c r="T10" s="9"/>
      <c r="U10" s="20"/>
      <c r="V10" s="19"/>
      <c r="W10" s="9"/>
      <c r="X10" s="19"/>
      <c r="AM10" s="19"/>
      <c r="AN10" s="19"/>
      <c r="AO10" s="19"/>
      <c r="AP10" s="8"/>
      <c r="AQ10" s="8"/>
      <c r="AR10" s="8"/>
      <c r="AS10" s="8"/>
      <c r="AT10" s="8"/>
      <c r="AY10" s="35">
        <v>34</v>
      </c>
      <c r="BA10" s="13"/>
      <c r="BB10" s="13"/>
      <c r="BC10" s="13"/>
      <c r="BD10" s="13"/>
      <c r="BF10" s="13"/>
      <c r="BG10" s="13"/>
    </row>
    <row r="11" spans="1:70" x14ac:dyDescent="0.25">
      <c r="A11" s="1" t="s">
        <v>130</v>
      </c>
      <c r="B11" s="1" t="s">
        <v>139</v>
      </c>
      <c r="C11" s="30">
        <v>2010</v>
      </c>
      <c r="F11" s="19"/>
      <c r="G11" s="19"/>
      <c r="H11" s="19">
        <v>1500</v>
      </c>
      <c r="I11" s="19">
        <v>1500</v>
      </c>
      <c r="J11" s="19">
        <v>1500</v>
      </c>
      <c r="K11" s="19">
        <v>1500</v>
      </c>
      <c r="L11" s="19"/>
      <c r="M11" s="19"/>
      <c r="N11" s="19"/>
      <c r="O11" s="19"/>
      <c r="P11" s="19"/>
      <c r="Q11" s="20"/>
      <c r="R11" s="9"/>
      <c r="S11" s="9"/>
      <c r="T11" s="9"/>
      <c r="U11" s="20"/>
      <c r="V11" s="19"/>
      <c r="W11" s="9"/>
      <c r="X11" s="19"/>
      <c r="AM11" s="19"/>
      <c r="AN11" s="19"/>
      <c r="AO11" s="19"/>
      <c r="AP11" s="8"/>
      <c r="AQ11" s="8"/>
      <c r="AR11" s="8"/>
      <c r="AS11" s="8"/>
      <c r="AT11" s="8"/>
      <c r="AY11" s="35">
        <v>34</v>
      </c>
      <c r="BA11" s="13"/>
      <c r="BB11" s="13"/>
      <c r="BC11" s="13"/>
      <c r="BD11" s="13"/>
      <c r="BF11" s="13"/>
      <c r="BG11" s="13"/>
    </row>
    <row r="12" spans="1:70" x14ac:dyDescent="0.25">
      <c r="A12" s="1" t="s">
        <v>130</v>
      </c>
      <c r="B12" s="1" t="s">
        <v>139</v>
      </c>
      <c r="C12" s="30">
        <v>2020</v>
      </c>
      <c r="F12" s="19"/>
      <c r="G12" s="19"/>
      <c r="H12" s="19">
        <v>1600</v>
      </c>
      <c r="I12" s="19">
        <v>1600</v>
      </c>
      <c r="J12" s="19">
        <v>1600</v>
      </c>
      <c r="K12" s="19">
        <v>1600</v>
      </c>
      <c r="L12" s="19"/>
      <c r="M12" s="19"/>
      <c r="N12" s="19"/>
      <c r="O12" s="19"/>
      <c r="P12" s="19"/>
      <c r="Q12" s="20"/>
      <c r="R12" s="9"/>
      <c r="S12" s="9"/>
      <c r="T12" s="9"/>
      <c r="U12" s="20"/>
      <c r="V12" s="19"/>
      <c r="W12" s="9"/>
      <c r="X12" s="19"/>
      <c r="AM12" s="19"/>
      <c r="AN12" s="19"/>
      <c r="AO12" s="19"/>
      <c r="AP12" s="8"/>
      <c r="AQ12" s="8"/>
      <c r="AR12" s="8"/>
      <c r="AS12" s="8"/>
      <c r="AT12" s="8"/>
      <c r="AY12" s="35">
        <v>34</v>
      </c>
      <c r="BA12" s="13"/>
      <c r="BB12" s="13"/>
      <c r="BC12" s="13"/>
      <c r="BD12" s="13"/>
      <c r="BF12" s="13"/>
      <c r="BG12" s="13"/>
    </row>
    <row r="13" spans="1:70" x14ac:dyDescent="0.25">
      <c r="A13" s="1" t="s">
        <v>130</v>
      </c>
      <c r="B13" s="1" t="s">
        <v>139</v>
      </c>
      <c r="C13" s="30">
        <v>2030</v>
      </c>
      <c r="F13" s="19"/>
      <c r="G13" s="19"/>
      <c r="H13" s="19">
        <v>1600</v>
      </c>
      <c r="I13" s="19">
        <v>1600</v>
      </c>
      <c r="J13" s="19">
        <v>1600</v>
      </c>
      <c r="K13" s="19">
        <v>1600</v>
      </c>
      <c r="L13" s="19"/>
      <c r="M13" s="19"/>
      <c r="N13" s="19"/>
      <c r="O13" s="19"/>
      <c r="P13" s="19"/>
      <c r="Q13" s="20"/>
      <c r="R13" s="9"/>
      <c r="S13" s="9"/>
      <c r="T13" s="9"/>
      <c r="U13" s="20"/>
      <c r="V13" s="19"/>
      <c r="W13" s="9"/>
      <c r="X13" s="19"/>
      <c r="AM13" s="19"/>
      <c r="AN13" s="19"/>
      <c r="AO13" s="19"/>
      <c r="AP13" s="8"/>
      <c r="AQ13" s="8"/>
      <c r="AR13" s="8"/>
      <c r="AS13" s="8"/>
      <c r="AT13" s="8"/>
      <c r="AY13" s="35">
        <v>34</v>
      </c>
      <c r="BA13" s="13"/>
      <c r="BB13" s="13"/>
      <c r="BC13" s="13"/>
      <c r="BD13" s="13"/>
      <c r="BF13" s="13"/>
      <c r="BG13" s="13"/>
    </row>
    <row r="14" spans="1:70" x14ac:dyDescent="0.25">
      <c r="A14" s="1" t="s">
        <v>746</v>
      </c>
      <c r="B14" s="1" t="s">
        <v>139</v>
      </c>
      <c r="C14" s="30">
        <v>2010</v>
      </c>
      <c r="F14" s="19"/>
      <c r="G14" s="19"/>
      <c r="H14" s="19">
        <v>800</v>
      </c>
      <c r="I14" s="19">
        <v>800</v>
      </c>
      <c r="J14" s="19">
        <v>800</v>
      </c>
      <c r="K14" s="19">
        <v>800</v>
      </c>
      <c r="L14" s="19"/>
      <c r="M14" s="19"/>
      <c r="N14" s="19"/>
      <c r="O14" s="19"/>
      <c r="P14" s="19"/>
      <c r="Q14" s="20"/>
      <c r="R14" s="9"/>
      <c r="S14" s="9"/>
      <c r="T14" s="9"/>
      <c r="U14" s="20"/>
      <c r="V14" s="19"/>
      <c r="W14" s="9"/>
      <c r="X14" s="19"/>
      <c r="AM14" s="19"/>
      <c r="AN14" s="19"/>
      <c r="AO14" s="19"/>
      <c r="AP14" s="8"/>
      <c r="AQ14" s="8"/>
      <c r="AR14" s="8"/>
      <c r="AS14" s="8"/>
      <c r="AT14" s="8"/>
      <c r="AY14" s="35">
        <v>34</v>
      </c>
      <c r="BA14" s="13"/>
      <c r="BB14" s="13"/>
      <c r="BC14" s="13"/>
      <c r="BD14" s="13"/>
      <c r="BF14" s="13"/>
      <c r="BG14" s="13"/>
    </row>
    <row r="15" spans="1:70" x14ac:dyDescent="0.25">
      <c r="A15" s="1" t="s">
        <v>746</v>
      </c>
      <c r="B15" s="1" t="s">
        <v>139</v>
      </c>
      <c r="C15" s="30">
        <v>2020</v>
      </c>
      <c r="F15" s="19"/>
      <c r="G15" s="19"/>
      <c r="H15" s="19">
        <v>1000</v>
      </c>
      <c r="I15" s="19">
        <v>1000</v>
      </c>
      <c r="J15" s="19">
        <v>1000</v>
      </c>
      <c r="K15" s="19">
        <v>1000</v>
      </c>
      <c r="L15" s="19"/>
      <c r="M15" s="19"/>
      <c r="N15" s="19"/>
      <c r="O15" s="19"/>
      <c r="P15" s="19"/>
      <c r="Q15" s="20"/>
      <c r="R15" s="9"/>
      <c r="S15" s="9"/>
      <c r="T15" s="9"/>
      <c r="U15" s="20"/>
      <c r="V15" s="19"/>
      <c r="W15" s="9"/>
      <c r="X15" s="19"/>
      <c r="AM15" s="19"/>
      <c r="AN15" s="19"/>
      <c r="AO15" s="19"/>
      <c r="AP15" s="8"/>
      <c r="AQ15" s="8"/>
      <c r="AR15" s="8"/>
      <c r="AS15" s="8"/>
      <c r="AT15" s="8"/>
      <c r="AY15" s="35">
        <v>34</v>
      </c>
      <c r="BA15" s="13"/>
      <c r="BB15" s="13"/>
      <c r="BC15" s="13"/>
      <c r="BD15" s="13"/>
      <c r="BF15" s="13"/>
      <c r="BG15" s="13"/>
    </row>
    <row r="16" spans="1:70" x14ac:dyDescent="0.25">
      <c r="A16" s="1" t="s">
        <v>746</v>
      </c>
      <c r="B16" s="1" t="s">
        <v>139</v>
      </c>
      <c r="C16" s="30">
        <v>2030</v>
      </c>
      <c r="F16" s="19"/>
      <c r="G16" s="19"/>
      <c r="H16" s="19">
        <v>1000</v>
      </c>
      <c r="I16" s="19">
        <v>1000</v>
      </c>
      <c r="J16" s="19">
        <v>1000</v>
      </c>
      <c r="K16" s="19">
        <v>1000</v>
      </c>
      <c r="L16" s="19"/>
      <c r="M16" s="19"/>
      <c r="N16" s="19"/>
      <c r="O16" s="19"/>
      <c r="P16" s="19"/>
      <c r="Q16" s="20"/>
      <c r="R16" s="9"/>
      <c r="S16" s="9"/>
      <c r="T16" s="9"/>
      <c r="U16" s="20"/>
      <c r="V16" s="19"/>
      <c r="W16" s="9"/>
      <c r="X16" s="19"/>
      <c r="AM16" s="19"/>
      <c r="AN16" s="19"/>
      <c r="AO16" s="19"/>
      <c r="AP16" s="8"/>
      <c r="AQ16" s="8"/>
      <c r="AR16" s="8"/>
      <c r="AS16" s="8"/>
      <c r="AT16" s="8"/>
      <c r="AY16" s="35">
        <v>34</v>
      </c>
      <c r="BA16" s="13"/>
      <c r="BB16" s="13"/>
      <c r="BC16" s="13"/>
      <c r="BD16" s="13"/>
      <c r="BF16" s="13"/>
      <c r="BG16" s="13"/>
    </row>
    <row r="17" spans="1:70" x14ac:dyDescent="0.25">
      <c r="A17" s="1" t="s">
        <v>133</v>
      </c>
      <c r="B17" s="1" t="s">
        <v>139</v>
      </c>
      <c r="C17" s="30">
        <v>2010</v>
      </c>
      <c r="F17" s="19"/>
      <c r="G17" s="19"/>
      <c r="H17" s="19">
        <v>1400</v>
      </c>
      <c r="I17" s="19">
        <v>1400</v>
      </c>
      <c r="J17" s="19">
        <v>1400</v>
      </c>
      <c r="K17" s="19">
        <v>1400</v>
      </c>
      <c r="L17" s="19"/>
      <c r="M17" s="19"/>
      <c r="N17" s="19"/>
      <c r="O17" s="19"/>
      <c r="P17" s="19"/>
      <c r="Q17" s="20"/>
      <c r="R17" s="9"/>
      <c r="S17" s="9"/>
      <c r="T17" s="9"/>
      <c r="U17" s="20"/>
      <c r="V17" s="19"/>
      <c r="W17" s="9"/>
      <c r="X17" s="19"/>
      <c r="AM17" s="19"/>
      <c r="AN17" s="19"/>
      <c r="AO17" s="19"/>
      <c r="AP17" s="8"/>
      <c r="AQ17" s="8"/>
      <c r="AR17" s="8"/>
      <c r="AS17" s="8"/>
      <c r="AT17" s="8"/>
      <c r="AY17" s="35">
        <v>34</v>
      </c>
      <c r="BA17" s="13"/>
      <c r="BB17" s="13"/>
      <c r="BC17" s="13"/>
      <c r="BD17" s="13"/>
      <c r="BF17" s="13"/>
      <c r="BG17" s="13"/>
    </row>
    <row r="18" spans="1:70" x14ac:dyDescent="0.25">
      <c r="A18" s="1" t="s">
        <v>133</v>
      </c>
      <c r="B18" s="1" t="s">
        <v>139</v>
      </c>
      <c r="C18" s="30">
        <v>2020</v>
      </c>
      <c r="F18" s="19"/>
      <c r="G18" s="19"/>
      <c r="H18" s="19">
        <v>1300</v>
      </c>
      <c r="I18" s="19">
        <v>1300</v>
      </c>
      <c r="J18" s="19">
        <v>1300</v>
      </c>
      <c r="K18" s="19">
        <v>1300</v>
      </c>
      <c r="L18" s="19"/>
      <c r="M18" s="19"/>
      <c r="N18" s="19"/>
      <c r="O18" s="19"/>
      <c r="P18" s="19"/>
      <c r="Q18" s="20"/>
      <c r="R18" s="9"/>
      <c r="S18" s="9"/>
      <c r="T18" s="9"/>
      <c r="U18" s="20"/>
      <c r="V18" s="19"/>
      <c r="W18" s="9"/>
      <c r="X18" s="19"/>
      <c r="AM18" s="19"/>
      <c r="AN18" s="19"/>
      <c r="AO18" s="19"/>
      <c r="AP18" s="8"/>
      <c r="AQ18" s="8"/>
      <c r="AR18" s="8"/>
      <c r="AS18" s="8"/>
      <c r="AT18" s="8"/>
      <c r="AY18" s="35">
        <v>34</v>
      </c>
      <c r="BA18" s="13"/>
      <c r="BB18" s="13"/>
      <c r="BC18" s="13"/>
      <c r="BD18" s="13"/>
      <c r="BF18" s="13"/>
      <c r="BG18" s="13"/>
    </row>
    <row r="19" spans="1:70" x14ac:dyDescent="0.25">
      <c r="A19" s="1" t="s">
        <v>133</v>
      </c>
      <c r="B19" s="1" t="s">
        <v>139</v>
      </c>
      <c r="C19" s="30">
        <v>2030</v>
      </c>
      <c r="F19" s="19"/>
      <c r="G19" s="19"/>
      <c r="H19" s="19">
        <v>1200</v>
      </c>
      <c r="I19" s="19">
        <v>1200</v>
      </c>
      <c r="J19" s="19">
        <v>1200</v>
      </c>
      <c r="K19" s="19">
        <v>1200</v>
      </c>
      <c r="L19" s="19"/>
      <c r="M19" s="19"/>
      <c r="N19" s="19"/>
      <c r="O19" s="19"/>
      <c r="P19" s="19"/>
      <c r="Q19" s="20"/>
      <c r="R19" s="9"/>
      <c r="S19" s="9"/>
      <c r="T19" s="9"/>
      <c r="U19" s="20"/>
      <c r="V19" s="19"/>
      <c r="W19" s="9"/>
      <c r="X19" s="19"/>
      <c r="AM19" s="19"/>
      <c r="AN19" s="19"/>
      <c r="AO19" s="19"/>
      <c r="AP19" s="8"/>
      <c r="AQ19" s="8"/>
      <c r="AR19" s="8"/>
      <c r="AS19" s="8"/>
      <c r="AT19" s="8"/>
      <c r="AY19" s="35">
        <v>34</v>
      </c>
      <c r="BA19" s="13"/>
      <c r="BB19" s="13"/>
      <c r="BC19" s="13"/>
      <c r="BD19" s="13"/>
      <c r="BF19" s="13"/>
      <c r="BG19" s="13"/>
    </row>
    <row r="20" spans="1:70" x14ac:dyDescent="0.25">
      <c r="A20" s="1" t="s">
        <v>135</v>
      </c>
      <c r="B20" s="1" t="s">
        <v>139</v>
      </c>
      <c r="C20" s="30">
        <v>2010</v>
      </c>
      <c r="F20" s="19"/>
      <c r="G20" s="19"/>
      <c r="H20" s="19">
        <v>3000</v>
      </c>
      <c r="I20" s="19">
        <v>4500</v>
      </c>
      <c r="J20" s="19">
        <v>3000</v>
      </c>
      <c r="K20" s="19">
        <v>4500</v>
      </c>
      <c r="L20" s="19"/>
      <c r="M20" s="19"/>
      <c r="N20" s="19"/>
      <c r="O20" s="19"/>
      <c r="P20" s="19"/>
      <c r="Q20" s="20"/>
      <c r="R20" s="9"/>
      <c r="S20" s="9"/>
      <c r="T20" s="9"/>
      <c r="U20" s="20"/>
      <c r="V20" s="19"/>
      <c r="W20" s="9"/>
      <c r="X20" s="19"/>
      <c r="AM20" s="19"/>
      <c r="AN20" s="19"/>
      <c r="AO20" s="19"/>
      <c r="AP20" s="8"/>
      <c r="AQ20" s="8"/>
      <c r="AR20" s="8"/>
      <c r="AS20" s="8"/>
      <c r="AT20" s="8"/>
      <c r="AY20" s="35">
        <v>34</v>
      </c>
      <c r="BA20" s="13"/>
      <c r="BB20" s="13"/>
      <c r="BC20" s="13"/>
      <c r="BD20" s="13"/>
      <c r="BF20" s="13"/>
      <c r="BG20" s="13"/>
    </row>
    <row r="21" spans="1:70" x14ac:dyDescent="0.25">
      <c r="A21" s="1" t="s">
        <v>135</v>
      </c>
      <c r="B21" s="1" t="s">
        <v>139</v>
      </c>
      <c r="C21" s="30">
        <v>2020</v>
      </c>
      <c r="F21" s="19"/>
      <c r="G21" s="19"/>
      <c r="H21" s="19">
        <v>3000</v>
      </c>
      <c r="I21" s="19">
        <v>4500</v>
      </c>
      <c r="J21" s="19">
        <v>3000</v>
      </c>
      <c r="K21" s="19">
        <v>4500</v>
      </c>
      <c r="L21" s="19"/>
      <c r="M21" s="19"/>
      <c r="N21" s="19"/>
      <c r="O21" s="19"/>
      <c r="P21" s="19"/>
      <c r="Q21" s="20"/>
      <c r="R21" s="9"/>
      <c r="S21" s="9"/>
      <c r="T21" s="9"/>
      <c r="U21" s="20"/>
      <c r="V21" s="19"/>
      <c r="W21" s="9"/>
      <c r="X21" s="19"/>
      <c r="AM21" s="19"/>
      <c r="AN21" s="19"/>
      <c r="AO21" s="19"/>
      <c r="AP21" s="8"/>
      <c r="AQ21" s="8"/>
      <c r="AR21" s="8"/>
      <c r="AS21" s="8"/>
      <c r="AT21" s="8"/>
      <c r="AY21" s="35">
        <v>34</v>
      </c>
      <c r="BA21" s="13"/>
      <c r="BB21" s="13"/>
      <c r="BC21" s="13"/>
      <c r="BD21" s="13"/>
      <c r="BF21" s="13"/>
      <c r="BG21" s="13"/>
    </row>
    <row r="22" spans="1:70" x14ac:dyDescent="0.25">
      <c r="A22" s="1" t="s">
        <v>135</v>
      </c>
      <c r="B22" s="1" t="s">
        <v>139</v>
      </c>
      <c r="C22" s="30">
        <v>2030</v>
      </c>
      <c r="F22" s="19"/>
      <c r="G22" s="19"/>
      <c r="H22" s="19">
        <v>3000</v>
      </c>
      <c r="I22" s="19">
        <v>4500</v>
      </c>
      <c r="J22" s="19">
        <v>3000</v>
      </c>
      <c r="K22" s="19">
        <v>4500</v>
      </c>
      <c r="L22" s="19"/>
      <c r="M22" s="19"/>
      <c r="N22" s="19"/>
      <c r="O22" s="19"/>
      <c r="P22" s="19"/>
      <c r="Q22" s="20"/>
      <c r="R22" s="9"/>
      <c r="S22" s="9"/>
      <c r="T22" s="9"/>
      <c r="U22" s="20"/>
      <c r="V22" s="19"/>
      <c r="W22" s="9"/>
      <c r="X22" s="19"/>
      <c r="AM22" s="19"/>
      <c r="AN22" s="19"/>
      <c r="AO22" s="19"/>
      <c r="AP22" s="8"/>
      <c r="AQ22" s="8"/>
      <c r="AR22" s="8"/>
      <c r="AS22" s="8"/>
      <c r="AT22" s="8"/>
      <c r="AY22" s="35">
        <v>34</v>
      </c>
      <c r="BA22" s="13"/>
      <c r="BB22" s="13"/>
      <c r="BC22" s="13"/>
      <c r="BD22" s="13"/>
      <c r="BF22" s="13"/>
      <c r="BG22" s="13"/>
    </row>
    <row r="23" spans="1:70" x14ac:dyDescent="0.25">
      <c r="A23" s="1" t="s">
        <v>134</v>
      </c>
      <c r="B23" s="1" t="s">
        <v>139</v>
      </c>
      <c r="C23" s="30">
        <v>2010</v>
      </c>
      <c r="F23" s="19"/>
      <c r="G23" s="19"/>
      <c r="H23" s="19">
        <v>0</v>
      </c>
      <c r="I23" s="19">
        <v>400</v>
      </c>
      <c r="J23" s="19">
        <v>0</v>
      </c>
      <c r="K23" s="19">
        <v>400</v>
      </c>
      <c r="L23" s="19"/>
      <c r="M23" s="19"/>
      <c r="N23" s="19"/>
      <c r="O23" s="19"/>
      <c r="P23" s="19"/>
      <c r="Q23" s="20"/>
      <c r="R23" s="9"/>
      <c r="S23" s="9"/>
      <c r="T23" s="9"/>
      <c r="U23" s="20"/>
      <c r="V23" s="19"/>
      <c r="W23" s="9"/>
      <c r="X23" s="19"/>
      <c r="AH23" s="1">
        <v>0.25</v>
      </c>
      <c r="AI23" s="1">
        <v>1</v>
      </c>
      <c r="AM23" s="19"/>
      <c r="AN23" s="19"/>
      <c r="AO23" s="19"/>
      <c r="AP23" s="8"/>
      <c r="AQ23" s="8"/>
      <c r="AR23" s="8"/>
      <c r="AS23" s="8"/>
      <c r="AT23" s="8"/>
      <c r="AY23" s="35">
        <v>34</v>
      </c>
      <c r="BA23" s="13"/>
      <c r="BB23" s="13"/>
      <c r="BC23" s="13"/>
      <c r="BD23" s="13"/>
      <c r="BF23" s="13"/>
      <c r="BG23" s="13"/>
    </row>
    <row r="24" spans="1:70" x14ac:dyDescent="0.25">
      <c r="A24" s="1" t="s">
        <v>134</v>
      </c>
      <c r="B24" s="1" t="s">
        <v>139</v>
      </c>
      <c r="C24" s="30">
        <v>2020</v>
      </c>
      <c r="D24" s="55"/>
      <c r="E24" s="55"/>
      <c r="F24" s="56"/>
      <c r="G24" s="56"/>
      <c r="H24" s="56">
        <v>0</v>
      </c>
      <c r="I24" s="56">
        <v>6000</v>
      </c>
      <c r="J24" s="56">
        <v>0</v>
      </c>
      <c r="K24" s="56">
        <v>6000</v>
      </c>
      <c r="L24" s="56"/>
      <c r="M24" s="56"/>
      <c r="N24" s="56"/>
      <c r="O24" s="56"/>
      <c r="P24" s="56"/>
      <c r="Q24" s="57"/>
      <c r="R24" s="58"/>
      <c r="S24" s="59"/>
      <c r="T24" s="58"/>
      <c r="U24" s="57"/>
      <c r="V24" s="56"/>
      <c r="W24" s="59"/>
      <c r="X24" s="56"/>
      <c r="Y24" s="60"/>
      <c r="Z24" s="60"/>
      <c r="AA24" s="60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6"/>
      <c r="AN24" s="56"/>
      <c r="AO24" s="56"/>
      <c r="AP24" s="61"/>
      <c r="AQ24" s="61"/>
      <c r="AR24" s="61"/>
      <c r="AS24" s="61"/>
      <c r="AT24" s="61"/>
      <c r="AU24" s="55"/>
      <c r="AV24" s="55"/>
      <c r="AW24" s="55"/>
      <c r="AX24" s="55"/>
      <c r="AY24" s="35">
        <v>34</v>
      </c>
      <c r="AZ24" s="55"/>
      <c r="BA24" s="62"/>
      <c r="BB24" s="62"/>
      <c r="BC24" s="62"/>
      <c r="BD24" s="62"/>
      <c r="BE24" s="55"/>
      <c r="BF24" s="62"/>
      <c r="BG24" s="62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</row>
    <row r="25" spans="1:70" x14ac:dyDescent="0.25">
      <c r="A25" s="1" t="s">
        <v>134</v>
      </c>
      <c r="B25" s="1" t="s">
        <v>139</v>
      </c>
      <c r="C25" s="30">
        <v>2030</v>
      </c>
      <c r="D25" s="55"/>
      <c r="E25" s="55"/>
      <c r="F25" s="56"/>
      <c r="G25" s="56"/>
      <c r="H25" s="56">
        <v>0</v>
      </c>
      <c r="I25" s="56">
        <v>8300</v>
      </c>
      <c r="J25" s="56">
        <v>0</v>
      </c>
      <c r="K25" s="56">
        <v>8300</v>
      </c>
      <c r="L25" s="56"/>
      <c r="M25" s="56"/>
      <c r="N25" s="56"/>
      <c r="O25" s="56"/>
      <c r="P25" s="56"/>
      <c r="Q25" s="57"/>
      <c r="R25" s="58"/>
      <c r="S25" s="59"/>
      <c r="T25" s="58"/>
      <c r="U25" s="57"/>
      <c r="V25" s="56"/>
      <c r="W25" s="59"/>
      <c r="X25" s="56"/>
      <c r="Y25" s="60"/>
      <c r="Z25" s="60"/>
      <c r="AA25" s="60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6"/>
      <c r="AN25" s="56"/>
      <c r="AO25" s="56"/>
      <c r="AP25" s="61"/>
      <c r="AQ25" s="61"/>
      <c r="AR25" s="61"/>
      <c r="AS25" s="61"/>
      <c r="AT25" s="61"/>
      <c r="AU25" s="55"/>
      <c r="AV25" s="55"/>
      <c r="AW25" s="55"/>
      <c r="AX25" s="55"/>
      <c r="AY25" s="35">
        <v>34</v>
      </c>
      <c r="AZ25" s="55"/>
      <c r="BA25" s="62"/>
      <c r="BB25" s="62"/>
      <c r="BC25" s="62"/>
      <c r="BD25" s="62"/>
      <c r="BE25" s="55"/>
      <c r="BF25" s="62"/>
      <c r="BG25" s="62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</row>
    <row r="26" spans="1:70" x14ac:dyDescent="0.25">
      <c r="A26" s="55" t="s">
        <v>138</v>
      </c>
      <c r="B26" s="55" t="s">
        <v>139</v>
      </c>
      <c r="C26" s="55">
        <v>2010</v>
      </c>
      <c r="D26" s="55"/>
      <c r="E26" s="55"/>
      <c r="F26" s="56"/>
      <c r="G26" s="56"/>
      <c r="H26" s="56">
        <v>0</v>
      </c>
      <c r="I26" s="19">
        <v>2300</v>
      </c>
      <c r="J26" s="56">
        <v>0</v>
      </c>
      <c r="K26" s="19">
        <v>2300</v>
      </c>
      <c r="L26" s="56"/>
      <c r="M26" s="56"/>
      <c r="N26" s="56"/>
      <c r="O26" s="56"/>
      <c r="P26" s="56"/>
      <c r="Q26" s="57"/>
      <c r="R26" s="58"/>
      <c r="S26" s="59"/>
      <c r="T26" s="58"/>
      <c r="U26" s="57"/>
      <c r="V26" s="56"/>
      <c r="W26" s="59"/>
      <c r="X26" s="56"/>
      <c r="Y26" s="60"/>
      <c r="Z26" s="60"/>
      <c r="AA26" s="60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6"/>
      <c r="AN26" s="56"/>
      <c r="AO26" s="56"/>
      <c r="AP26" s="61"/>
      <c r="AQ26" s="61"/>
      <c r="AR26" s="61"/>
      <c r="AS26" s="61"/>
      <c r="AT26" s="61"/>
      <c r="AU26" s="55"/>
      <c r="AV26" s="55"/>
      <c r="AW26" s="55"/>
      <c r="AX26" s="55"/>
      <c r="AY26" s="35">
        <v>34</v>
      </c>
      <c r="AZ26" s="55"/>
      <c r="BA26" s="62"/>
      <c r="BB26" s="62"/>
      <c r="BC26" s="62"/>
      <c r="BD26" s="62"/>
      <c r="BE26" s="55"/>
      <c r="BF26" s="62"/>
      <c r="BG26" s="62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</row>
    <row r="27" spans="1:70" x14ac:dyDescent="0.25">
      <c r="A27" s="55" t="s">
        <v>138</v>
      </c>
      <c r="B27" s="55" t="s">
        <v>139</v>
      </c>
      <c r="C27" s="55">
        <v>2020</v>
      </c>
      <c r="D27" s="55"/>
      <c r="E27" s="55"/>
      <c r="F27" s="56"/>
      <c r="G27" s="56"/>
      <c r="H27" s="56">
        <v>0</v>
      </c>
      <c r="I27" s="19">
        <v>1300</v>
      </c>
      <c r="J27" s="56">
        <v>0</v>
      </c>
      <c r="K27" s="19">
        <v>1300</v>
      </c>
      <c r="L27" s="56"/>
      <c r="M27" s="56"/>
      <c r="N27" s="56"/>
      <c r="O27" s="56"/>
      <c r="P27" s="56"/>
      <c r="Q27" s="57"/>
      <c r="R27" s="58"/>
      <c r="S27" s="59"/>
      <c r="T27" s="58"/>
      <c r="U27" s="57"/>
      <c r="V27" s="56"/>
      <c r="W27" s="59"/>
      <c r="X27" s="56"/>
      <c r="Y27" s="60"/>
      <c r="Z27" s="60"/>
      <c r="AA27" s="60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6"/>
      <c r="AN27" s="56"/>
      <c r="AO27" s="56"/>
      <c r="AP27" s="61"/>
      <c r="AQ27" s="61"/>
      <c r="AR27" s="61"/>
      <c r="AS27" s="61"/>
      <c r="AT27" s="61"/>
      <c r="AU27" s="55"/>
      <c r="AV27" s="55"/>
      <c r="AW27" s="55"/>
      <c r="AX27" s="55"/>
      <c r="AY27" s="35">
        <v>34</v>
      </c>
      <c r="AZ27" s="55"/>
      <c r="BA27" s="62"/>
      <c r="BB27" s="62"/>
      <c r="BC27" s="62"/>
      <c r="BD27" s="62"/>
      <c r="BE27" s="55"/>
      <c r="BF27" s="62"/>
      <c r="BG27" s="62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</row>
    <row r="28" spans="1:70" x14ac:dyDescent="0.25">
      <c r="A28" s="55" t="s">
        <v>138</v>
      </c>
      <c r="B28" s="55" t="s">
        <v>139</v>
      </c>
      <c r="C28" s="55">
        <v>2030</v>
      </c>
      <c r="D28" s="55"/>
      <c r="E28" s="55"/>
      <c r="F28" s="56"/>
      <c r="G28" s="56"/>
      <c r="H28" s="56">
        <v>0</v>
      </c>
      <c r="I28" s="19">
        <v>0</v>
      </c>
      <c r="J28" s="56">
        <v>0</v>
      </c>
      <c r="K28" s="19">
        <v>0</v>
      </c>
      <c r="L28" s="56"/>
      <c r="M28" s="56"/>
      <c r="N28" s="56"/>
      <c r="O28" s="56"/>
      <c r="P28" s="56"/>
      <c r="Q28" s="57"/>
      <c r="R28" s="58"/>
      <c r="S28" s="59"/>
      <c r="T28" s="58"/>
      <c r="U28" s="57"/>
      <c r="V28" s="56"/>
      <c r="W28" s="59"/>
      <c r="X28" s="56"/>
      <c r="Y28" s="60"/>
      <c r="Z28" s="60"/>
      <c r="AA28" s="60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6"/>
      <c r="AN28" s="56"/>
      <c r="AO28" s="56"/>
      <c r="AP28" s="61"/>
      <c r="AQ28" s="61"/>
      <c r="AR28" s="61"/>
      <c r="AS28" s="61"/>
      <c r="AT28" s="61"/>
      <c r="AU28" s="55"/>
      <c r="AV28" s="55"/>
      <c r="AW28" s="55"/>
      <c r="AX28" s="55"/>
      <c r="AY28" s="35">
        <v>34</v>
      </c>
      <c r="AZ28" s="55"/>
      <c r="BA28" s="62"/>
      <c r="BB28" s="62"/>
      <c r="BC28" s="62"/>
      <c r="BD28" s="62"/>
      <c r="BE28" s="55"/>
      <c r="BF28" s="62"/>
      <c r="BG28" s="62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</row>
    <row r="29" spans="1:70" x14ac:dyDescent="0.25">
      <c r="A29" s="55" t="s">
        <v>289</v>
      </c>
      <c r="B29" s="55" t="s">
        <v>127</v>
      </c>
      <c r="C29" s="55">
        <v>2010</v>
      </c>
      <c r="D29" s="55"/>
      <c r="E29" s="55"/>
      <c r="F29" s="56"/>
      <c r="G29" s="56"/>
      <c r="H29" s="56">
        <v>1800</v>
      </c>
      <c r="I29" s="19">
        <v>1800</v>
      </c>
      <c r="J29" s="56">
        <v>1800</v>
      </c>
      <c r="K29" s="19">
        <v>1800</v>
      </c>
      <c r="L29" s="56"/>
      <c r="M29" s="56"/>
      <c r="N29" s="56"/>
      <c r="O29" s="56"/>
      <c r="P29" s="56"/>
      <c r="Q29" s="57"/>
      <c r="R29" s="58"/>
      <c r="S29" s="59"/>
      <c r="T29" s="58"/>
      <c r="U29" s="57"/>
      <c r="V29" s="56"/>
      <c r="W29" s="59"/>
      <c r="X29" s="56"/>
      <c r="Y29" s="60"/>
      <c r="Z29" s="60"/>
      <c r="AA29" s="60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6"/>
      <c r="AN29" s="56"/>
      <c r="AO29" s="56"/>
      <c r="AP29" s="61"/>
      <c r="AQ29" s="61"/>
      <c r="AR29" s="61"/>
      <c r="AS29" s="61"/>
      <c r="AT29" s="61"/>
      <c r="AU29" s="55"/>
      <c r="AV29" s="55"/>
      <c r="AW29" s="55"/>
      <c r="AX29" s="55"/>
      <c r="AY29" s="62">
        <v>34</v>
      </c>
      <c r="AZ29" s="55"/>
      <c r="BA29" s="62"/>
      <c r="BB29" s="62"/>
      <c r="BC29" s="62"/>
      <c r="BD29" s="62"/>
      <c r="BE29" s="55"/>
      <c r="BF29" s="62"/>
      <c r="BG29" s="62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</row>
    <row r="30" spans="1:70" x14ac:dyDescent="0.25">
      <c r="A30" s="55" t="s">
        <v>289</v>
      </c>
      <c r="B30" s="55" t="s">
        <v>127</v>
      </c>
      <c r="C30" s="55">
        <v>2020</v>
      </c>
      <c r="D30" s="55"/>
      <c r="E30" s="55"/>
      <c r="F30" s="56"/>
      <c r="G30" s="56"/>
      <c r="H30" s="56">
        <v>1900</v>
      </c>
      <c r="I30" s="19">
        <v>2700</v>
      </c>
      <c r="J30" s="56">
        <v>1900</v>
      </c>
      <c r="K30" s="19">
        <v>2700</v>
      </c>
      <c r="L30" s="56"/>
      <c r="M30" s="56"/>
      <c r="N30" s="56"/>
      <c r="O30" s="56"/>
      <c r="P30" s="56"/>
      <c r="Q30" s="57"/>
      <c r="R30" s="58"/>
      <c r="S30" s="59"/>
      <c r="T30" s="58"/>
      <c r="U30" s="57"/>
      <c r="V30" s="56"/>
      <c r="W30" s="59"/>
      <c r="X30" s="56"/>
      <c r="Y30" s="60"/>
      <c r="Z30" s="60"/>
      <c r="AA30" s="60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6"/>
      <c r="AN30" s="56"/>
      <c r="AO30" s="56"/>
      <c r="AP30" s="61"/>
      <c r="AQ30" s="61"/>
      <c r="AR30" s="61"/>
      <c r="AS30" s="61"/>
      <c r="AT30" s="61"/>
      <c r="AU30" s="55"/>
      <c r="AV30" s="55"/>
      <c r="AW30" s="55"/>
      <c r="AX30" s="55"/>
      <c r="AY30" s="62">
        <v>34</v>
      </c>
      <c r="AZ30" s="55"/>
      <c r="BA30" s="62"/>
      <c r="BB30" s="62"/>
      <c r="BC30" s="62"/>
      <c r="BD30" s="62"/>
      <c r="BE30" s="55"/>
      <c r="BF30" s="62"/>
      <c r="BG30" s="62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</row>
    <row r="31" spans="1:70" x14ac:dyDescent="0.25">
      <c r="A31" s="55" t="s">
        <v>289</v>
      </c>
      <c r="B31" s="55" t="s">
        <v>127</v>
      </c>
      <c r="C31" s="55">
        <v>2030</v>
      </c>
      <c r="D31" s="55"/>
      <c r="E31" s="55"/>
      <c r="F31" s="56"/>
      <c r="G31" s="56"/>
      <c r="H31" s="56">
        <v>1700</v>
      </c>
      <c r="I31" s="19">
        <v>2500</v>
      </c>
      <c r="J31" s="56">
        <v>1700</v>
      </c>
      <c r="K31" s="19">
        <v>2500</v>
      </c>
      <c r="L31" s="56"/>
      <c r="M31" s="56"/>
      <c r="N31" s="56"/>
      <c r="O31" s="56"/>
      <c r="P31" s="56"/>
      <c r="Q31" s="57"/>
      <c r="R31" s="58"/>
      <c r="S31" s="59"/>
      <c r="T31" s="58"/>
      <c r="U31" s="57"/>
      <c r="V31" s="56"/>
      <c r="W31" s="59"/>
      <c r="X31" s="56"/>
      <c r="Y31" s="60"/>
      <c r="Z31" s="60"/>
      <c r="AA31" s="60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6"/>
      <c r="AN31" s="56"/>
      <c r="AO31" s="56"/>
      <c r="AP31" s="61"/>
      <c r="AQ31" s="61"/>
      <c r="AR31" s="61"/>
      <c r="AS31" s="61"/>
      <c r="AT31" s="61"/>
      <c r="AU31" s="55"/>
      <c r="AV31" s="55"/>
      <c r="AW31" s="55"/>
      <c r="AX31" s="55"/>
      <c r="AY31" s="62">
        <v>34</v>
      </c>
      <c r="AZ31" s="55"/>
      <c r="BA31" s="62"/>
      <c r="BB31" s="62"/>
      <c r="BC31" s="62"/>
      <c r="BD31" s="62"/>
      <c r="BE31" s="55"/>
      <c r="BF31" s="62"/>
      <c r="BG31" s="62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</row>
    <row r="32" spans="1:70" x14ac:dyDescent="0.25">
      <c r="A32" s="55" t="s">
        <v>290</v>
      </c>
      <c r="B32" s="55" t="s">
        <v>127</v>
      </c>
      <c r="C32" s="55">
        <v>2010</v>
      </c>
      <c r="D32" s="55"/>
      <c r="E32" s="55"/>
      <c r="F32" s="56"/>
      <c r="G32" s="56"/>
      <c r="H32" s="56">
        <v>800</v>
      </c>
      <c r="I32" s="19">
        <v>2200</v>
      </c>
      <c r="J32" s="56">
        <v>800</v>
      </c>
      <c r="K32" s="19">
        <v>2200</v>
      </c>
      <c r="L32" s="56"/>
      <c r="M32" s="56"/>
      <c r="N32" s="56"/>
      <c r="O32" s="56"/>
      <c r="P32" s="56"/>
      <c r="Q32" s="57"/>
      <c r="R32" s="58"/>
      <c r="S32" s="59"/>
      <c r="T32" s="58"/>
      <c r="U32" s="57"/>
      <c r="V32" s="56"/>
      <c r="W32" s="59"/>
      <c r="X32" s="56"/>
      <c r="Y32" s="60"/>
      <c r="Z32" s="60"/>
      <c r="AA32" s="60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6"/>
      <c r="AN32" s="56"/>
      <c r="AO32" s="56"/>
      <c r="AP32" s="61"/>
      <c r="AQ32" s="61"/>
      <c r="AR32" s="61"/>
      <c r="AS32" s="61"/>
      <c r="AT32" s="61"/>
      <c r="AU32" s="55"/>
      <c r="AV32" s="55"/>
      <c r="AW32" s="55"/>
      <c r="AX32" s="55"/>
      <c r="AY32" s="62">
        <v>34</v>
      </c>
      <c r="AZ32" s="55"/>
      <c r="BA32" s="62"/>
      <c r="BB32" s="62"/>
      <c r="BC32" s="62"/>
      <c r="BD32" s="62"/>
      <c r="BE32" s="55"/>
      <c r="BF32" s="62"/>
      <c r="BG32" s="62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</row>
    <row r="33" spans="1:70" x14ac:dyDescent="0.25">
      <c r="A33" s="55" t="s">
        <v>290</v>
      </c>
      <c r="B33" s="55" t="s">
        <v>127</v>
      </c>
      <c r="C33" s="55">
        <v>2020</v>
      </c>
      <c r="D33" s="55"/>
      <c r="E33" s="55"/>
      <c r="F33" s="56"/>
      <c r="G33" s="56"/>
      <c r="H33" s="56">
        <v>850</v>
      </c>
      <c r="I33" s="19">
        <v>2500</v>
      </c>
      <c r="J33" s="56">
        <v>850</v>
      </c>
      <c r="K33" s="19">
        <v>2500</v>
      </c>
      <c r="L33" s="56"/>
      <c r="M33" s="56"/>
      <c r="N33" s="56"/>
      <c r="O33" s="56"/>
      <c r="P33" s="56"/>
      <c r="Q33" s="57"/>
      <c r="R33" s="58"/>
      <c r="S33" s="59"/>
      <c r="T33" s="58"/>
      <c r="U33" s="57"/>
      <c r="V33" s="56"/>
      <c r="W33" s="59"/>
      <c r="X33" s="56"/>
      <c r="Y33" s="60"/>
      <c r="Z33" s="60"/>
      <c r="AA33" s="60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6"/>
      <c r="AN33" s="56"/>
      <c r="AO33" s="56"/>
      <c r="AP33" s="61"/>
      <c r="AQ33" s="61"/>
      <c r="AR33" s="61"/>
      <c r="AS33" s="61"/>
      <c r="AT33" s="61"/>
      <c r="AU33" s="55"/>
      <c r="AV33" s="55"/>
      <c r="AW33" s="55"/>
      <c r="AX33" s="55"/>
      <c r="AY33" s="62">
        <v>34</v>
      </c>
      <c r="AZ33" s="55"/>
      <c r="BA33" s="62"/>
      <c r="BB33" s="62"/>
      <c r="BC33" s="62"/>
      <c r="BD33" s="62"/>
      <c r="BE33" s="55"/>
      <c r="BF33" s="62"/>
      <c r="BG33" s="62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</row>
    <row r="34" spans="1:70" x14ac:dyDescent="0.25">
      <c r="A34" s="55" t="s">
        <v>290</v>
      </c>
      <c r="B34" s="55" t="s">
        <v>127</v>
      </c>
      <c r="C34" s="55">
        <v>2030</v>
      </c>
      <c r="D34" s="55"/>
      <c r="E34" s="55"/>
      <c r="F34" s="56"/>
      <c r="G34" s="56"/>
      <c r="H34" s="56">
        <v>800</v>
      </c>
      <c r="I34" s="19">
        <v>2400</v>
      </c>
      <c r="J34" s="56">
        <v>800</v>
      </c>
      <c r="K34" s="19">
        <v>2400</v>
      </c>
      <c r="L34" s="56"/>
      <c r="M34" s="56"/>
      <c r="N34" s="56"/>
      <c r="O34" s="56"/>
      <c r="P34" s="56"/>
      <c r="Q34" s="57"/>
      <c r="R34" s="58"/>
      <c r="S34" s="59"/>
      <c r="T34" s="58"/>
      <c r="U34" s="57"/>
      <c r="V34" s="56"/>
      <c r="W34" s="59"/>
      <c r="X34" s="56"/>
      <c r="Y34" s="60"/>
      <c r="Z34" s="60"/>
      <c r="AA34" s="60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6"/>
      <c r="AN34" s="56"/>
      <c r="AO34" s="56"/>
      <c r="AP34" s="61"/>
      <c r="AQ34" s="61"/>
      <c r="AR34" s="61"/>
      <c r="AS34" s="61"/>
      <c r="AT34" s="61"/>
      <c r="AU34" s="55"/>
      <c r="AV34" s="55"/>
      <c r="AW34" s="55"/>
      <c r="AX34" s="55"/>
      <c r="AY34" s="62">
        <v>34</v>
      </c>
      <c r="AZ34" s="55"/>
      <c r="BA34" s="62"/>
      <c r="BB34" s="62"/>
      <c r="BC34" s="62"/>
      <c r="BD34" s="62"/>
      <c r="BE34" s="55"/>
      <c r="BF34" s="62"/>
      <c r="BG34" s="62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</row>
    <row r="35" spans="1:70" x14ac:dyDescent="0.25">
      <c r="A35" s="55" t="s">
        <v>291</v>
      </c>
      <c r="B35" s="55" t="s">
        <v>127</v>
      </c>
      <c r="C35" s="55">
        <v>2010</v>
      </c>
      <c r="D35" s="55"/>
      <c r="E35" s="55"/>
      <c r="F35" s="56"/>
      <c r="G35" s="56"/>
      <c r="H35" s="56">
        <v>2350</v>
      </c>
      <c r="I35" s="19">
        <v>2200</v>
      </c>
      <c r="J35" s="56">
        <v>2350</v>
      </c>
      <c r="K35" s="19">
        <v>2200</v>
      </c>
      <c r="L35" s="56"/>
      <c r="M35" s="56"/>
      <c r="N35" s="56"/>
      <c r="O35" s="56"/>
      <c r="P35" s="56"/>
      <c r="Q35" s="57"/>
      <c r="R35" s="58"/>
      <c r="S35" s="59"/>
      <c r="T35" s="58"/>
      <c r="U35" s="57"/>
      <c r="V35" s="56"/>
      <c r="W35" s="59"/>
      <c r="X35" s="56"/>
      <c r="Y35" s="60"/>
      <c r="Z35" s="60"/>
      <c r="AA35" s="60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6"/>
      <c r="AN35" s="56"/>
      <c r="AO35" s="56"/>
      <c r="AP35" s="61"/>
      <c r="AQ35" s="61"/>
      <c r="AR35" s="61"/>
      <c r="AS35" s="61"/>
      <c r="AT35" s="61"/>
      <c r="AU35" s="55"/>
      <c r="AV35" s="55"/>
      <c r="AW35" s="55"/>
      <c r="AX35" s="55"/>
      <c r="AY35" s="62">
        <v>34</v>
      </c>
      <c r="AZ35" s="55"/>
      <c r="BA35" s="62"/>
      <c r="BB35" s="62"/>
      <c r="BC35" s="62"/>
      <c r="BD35" s="62"/>
      <c r="BE35" s="55"/>
      <c r="BF35" s="62"/>
      <c r="BG35" s="62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</row>
    <row r="36" spans="1:70" x14ac:dyDescent="0.25">
      <c r="A36" s="55" t="s">
        <v>291</v>
      </c>
      <c r="B36" s="55" t="s">
        <v>127</v>
      </c>
      <c r="C36" s="55">
        <v>2020</v>
      </c>
      <c r="D36" s="55"/>
      <c r="E36" s="55"/>
      <c r="F36" s="56"/>
      <c r="G36" s="56"/>
      <c r="H36" s="56">
        <v>2400</v>
      </c>
      <c r="I36" s="19">
        <v>2700</v>
      </c>
      <c r="J36" s="56">
        <v>2400</v>
      </c>
      <c r="K36" s="19">
        <v>2700</v>
      </c>
      <c r="L36" s="56"/>
      <c r="M36" s="56"/>
      <c r="N36" s="56"/>
      <c r="O36" s="56"/>
      <c r="P36" s="56"/>
      <c r="Q36" s="57"/>
      <c r="R36" s="58"/>
      <c r="S36" s="59"/>
      <c r="T36" s="58"/>
      <c r="U36" s="57"/>
      <c r="V36" s="56"/>
      <c r="W36" s="59"/>
      <c r="X36" s="56"/>
      <c r="Y36" s="60"/>
      <c r="Z36" s="60"/>
      <c r="AA36" s="60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6"/>
      <c r="AN36" s="56"/>
      <c r="AO36" s="56"/>
      <c r="AP36" s="61"/>
      <c r="AQ36" s="61"/>
      <c r="AR36" s="61"/>
      <c r="AS36" s="61"/>
      <c r="AT36" s="61"/>
      <c r="AU36" s="55"/>
      <c r="AV36" s="55"/>
      <c r="AW36" s="55"/>
      <c r="AX36" s="55"/>
      <c r="AY36" s="62">
        <v>34</v>
      </c>
      <c r="AZ36" s="55"/>
      <c r="BA36" s="62"/>
      <c r="BB36" s="62"/>
      <c r="BC36" s="62"/>
      <c r="BD36" s="62"/>
      <c r="BE36" s="55"/>
      <c r="BF36" s="62"/>
      <c r="BG36" s="62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</row>
    <row r="37" spans="1:70" x14ac:dyDescent="0.25">
      <c r="A37" s="55" t="s">
        <v>291</v>
      </c>
      <c r="B37" s="55" t="s">
        <v>127</v>
      </c>
      <c r="C37" s="55">
        <v>2030</v>
      </c>
      <c r="D37" s="55"/>
      <c r="E37" s="55"/>
      <c r="F37" s="56"/>
      <c r="G37" s="56"/>
      <c r="H37" s="56">
        <v>2150</v>
      </c>
      <c r="I37" s="19">
        <v>2500</v>
      </c>
      <c r="J37" s="56">
        <v>2150</v>
      </c>
      <c r="K37" s="19">
        <v>2500</v>
      </c>
      <c r="L37" s="56"/>
      <c r="M37" s="56"/>
      <c r="N37" s="56"/>
      <c r="O37" s="56"/>
      <c r="P37" s="56"/>
      <c r="Q37" s="57"/>
      <c r="R37" s="58"/>
      <c r="S37" s="59"/>
      <c r="T37" s="58"/>
      <c r="U37" s="57"/>
      <c r="V37" s="56"/>
      <c r="W37" s="59"/>
      <c r="X37" s="56"/>
      <c r="Y37" s="60"/>
      <c r="Z37" s="60"/>
      <c r="AA37" s="60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6"/>
      <c r="AN37" s="56"/>
      <c r="AO37" s="56"/>
      <c r="AP37" s="61"/>
      <c r="AQ37" s="61"/>
      <c r="AR37" s="61"/>
      <c r="AS37" s="61"/>
      <c r="AT37" s="61"/>
      <c r="AU37" s="55"/>
      <c r="AV37" s="55"/>
      <c r="AW37" s="55"/>
      <c r="AX37" s="55"/>
      <c r="AY37" s="62">
        <v>34</v>
      </c>
      <c r="AZ37" s="55"/>
      <c r="BA37" s="62"/>
      <c r="BB37" s="62"/>
      <c r="BC37" s="62"/>
      <c r="BD37" s="62"/>
      <c r="BE37" s="55"/>
      <c r="BF37" s="62"/>
      <c r="BG37" s="62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</row>
    <row r="38" spans="1:70" x14ac:dyDescent="0.25">
      <c r="A38" s="55" t="s">
        <v>292</v>
      </c>
      <c r="B38" s="55" t="s">
        <v>127</v>
      </c>
      <c r="C38" s="55">
        <v>2010</v>
      </c>
      <c r="D38" s="55"/>
      <c r="E38" s="55"/>
      <c r="F38" s="56"/>
      <c r="G38" s="56"/>
      <c r="H38" s="56">
        <v>600</v>
      </c>
      <c r="I38" s="19">
        <v>600</v>
      </c>
      <c r="J38" s="56">
        <v>600</v>
      </c>
      <c r="K38" s="19">
        <v>600</v>
      </c>
      <c r="L38" s="56"/>
      <c r="M38" s="56"/>
      <c r="N38" s="56"/>
      <c r="O38" s="56"/>
      <c r="P38" s="56"/>
      <c r="Q38" s="57"/>
      <c r="R38" s="58"/>
      <c r="S38" s="59"/>
      <c r="T38" s="58"/>
      <c r="U38" s="57"/>
      <c r="V38" s="56"/>
      <c r="W38" s="59"/>
      <c r="X38" s="56"/>
      <c r="Y38" s="60"/>
      <c r="Z38" s="60"/>
      <c r="AA38" s="60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6"/>
      <c r="AN38" s="56"/>
      <c r="AO38" s="56"/>
      <c r="AP38" s="61"/>
      <c r="AQ38" s="61"/>
      <c r="AR38" s="61"/>
      <c r="AS38" s="61"/>
      <c r="AT38" s="61"/>
      <c r="AU38" s="55"/>
      <c r="AV38" s="55"/>
      <c r="AW38" s="55"/>
      <c r="AX38" s="55"/>
      <c r="AY38" s="62">
        <v>34</v>
      </c>
      <c r="AZ38" s="55"/>
      <c r="BA38" s="62"/>
      <c r="BB38" s="62"/>
      <c r="BC38" s="62"/>
      <c r="BD38" s="62"/>
      <c r="BE38" s="55"/>
      <c r="BF38" s="62"/>
      <c r="BG38" s="62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</row>
    <row r="39" spans="1:70" x14ac:dyDescent="0.25">
      <c r="A39" s="55" t="s">
        <v>292</v>
      </c>
      <c r="B39" s="55" t="s">
        <v>127</v>
      </c>
      <c r="C39" s="55">
        <v>2020</v>
      </c>
      <c r="D39" s="55"/>
      <c r="E39" s="55"/>
      <c r="F39" s="56"/>
      <c r="G39" s="56"/>
      <c r="H39" s="56">
        <v>700</v>
      </c>
      <c r="I39" s="19">
        <v>600</v>
      </c>
      <c r="J39" s="56">
        <v>700</v>
      </c>
      <c r="K39" s="19">
        <v>600</v>
      </c>
      <c r="L39" s="56"/>
      <c r="M39" s="56"/>
      <c r="N39" s="56"/>
      <c r="O39" s="56"/>
      <c r="P39" s="56"/>
      <c r="Q39" s="57"/>
      <c r="R39" s="58"/>
      <c r="S39" s="59"/>
      <c r="T39" s="58"/>
      <c r="U39" s="57"/>
      <c r="V39" s="56"/>
      <c r="W39" s="59"/>
      <c r="X39" s="56"/>
      <c r="Y39" s="60"/>
      <c r="Z39" s="60"/>
      <c r="AA39" s="60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6"/>
      <c r="AN39" s="56"/>
      <c r="AO39" s="56"/>
      <c r="AP39" s="61"/>
      <c r="AQ39" s="61"/>
      <c r="AR39" s="61"/>
      <c r="AS39" s="61"/>
      <c r="AT39" s="61"/>
      <c r="AU39" s="55"/>
      <c r="AV39" s="55"/>
      <c r="AW39" s="55"/>
      <c r="AX39" s="55"/>
      <c r="AY39" s="62">
        <v>34</v>
      </c>
      <c r="AZ39" s="55"/>
      <c r="BA39" s="62"/>
      <c r="BB39" s="62"/>
      <c r="BC39" s="62"/>
      <c r="BD39" s="62"/>
      <c r="BE39" s="55"/>
      <c r="BF39" s="62"/>
      <c r="BG39" s="62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</row>
    <row r="40" spans="1:70" x14ac:dyDescent="0.25">
      <c r="A40" s="55" t="s">
        <v>292</v>
      </c>
      <c r="B40" s="55" t="s">
        <v>127</v>
      </c>
      <c r="C40" s="55">
        <v>2030</v>
      </c>
      <c r="D40" s="55"/>
      <c r="E40" s="55"/>
      <c r="F40" s="56"/>
      <c r="G40" s="56"/>
      <c r="H40" s="56">
        <v>600</v>
      </c>
      <c r="I40" s="19">
        <v>550</v>
      </c>
      <c r="J40" s="56">
        <v>600</v>
      </c>
      <c r="K40" s="19">
        <v>550</v>
      </c>
      <c r="L40" s="56"/>
      <c r="M40" s="56"/>
      <c r="N40" s="56"/>
      <c r="O40" s="56"/>
      <c r="P40" s="56"/>
      <c r="Q40" s="57"/>
      <c r="R40" s="58"/>
      <c r="S40" s="59"/>
      <c r="T40" s="58"/>
      <c r="U40" s="57"/>
      <c r="V40" s="56"/>
      <c r="W40" s="59"/>
      <c r="X40" s="56"/>
      <c r="Y40" s="60"/>
      <c r="Z40" s="60"/>
      <c r="AA40" s="60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6"/>
      <c r="AN40" s="56"/>
      <c r="AO40" s="56"/>
      <c r="AP40" s="61"/>
      <c r="AQ40" s="61"/>
      <c r="AR40" s="61"/>
      <c r="AS40" s="61"/>
      <c r="AT40" s="61"/>
      <c r="AU40" s="55"/>
      <c r="AV40" s="55"/>
      <c r="AW40" s="55"/>
      <c r="AX40" s="55"/>
      <c r="AY40" s="62">
        <v>34</v>
      </c>
      <c r="AZ40" s="55"/>
      <c r="BA40" s="62"/>
      <c r="BB40" s="62"/>
      <c r="BC40" s="62"/>
      <c r="BD40" s="62"/>
      <c r="BE40" s="55"/>
      <c r="BF40" s="62"/>
      <c r="BG40" s="62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</row>
    <row r="41" spans="1:70" x14ac:dyDescent="0.25">
      <c r="A41" s="55" t="s">
        <v>293</v>
      </c>
      <c r="B41" s="55" t="s">
        <v>127</v>
      </c>
      <c r="C41" s="55">
        <v>2010</v>
      </c>
      <c r="D41" s="55"/>
      <c r="E41" s="55"/>
      <c r="F41" s="56"/>
      <c r="G41" s="56"/>
      <c r="H41" s="56">
        <v>50</v>
      </c>
      <c r="I41" s="19">
        <v>50</v>
      </c>
      <c r="J41" s="56">
        <v>50</v>
      </c>
      <c r="K41" s="19">
        <v>50</v>
      </c>
      <c r="L41" s="56"/>
      <c r="M41" s="56"/>
      <c r="N41" s="56"/>
      <c r="O41" s="56"/>
      <c r="P41" s="56"/>
      <c r="Q41" s="57"/>
      <c r="R41" s="58"/>
      <c r="S41" s="59"/>
      <c r="T41" s="58"/>
      <c r="U41" s="57"/>
      <c r="V41" s="56"/>
      <c r="W41" s="59"/>
      <c r="X41" s="56"/>
      <c r="Y41" s="60"/>
      <c r="Z41" s="60"/>
      <c r="AA41" s="60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6"/>
      <c r="AN41" s="56"/>
      <c r="AO41" s="56"/>
      <c r="AP41" s="61"/>
      <c r="AQ41" s="61"/>
      <c r="AR41" s="61"/>
      <c r="AS41" s="61"/>
      <c r="AT41" s="61"/>
      <c r="AU41" s="55"/>
      <c r="AV41" s="55"/>
      <c r="AW41" s="55"/>
      <c r="AX41" s="55"/>
      <c r="AY41" s="62">
        <v>34</v>
      </c>
      <c r="AZ41" s="55"/>
      <c r="BA41" s="62"/>
      <c r="BB41" s="62"/>
      <c r="BC41" s="62"/>
      <c r="BD41" s="62"/>
      <c r="BE41" s="55"/>
      <c r="BF41" s="62"/>
      <c r="BG41" s="62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</row>
    <row r="42" spans="1:70" x14ac:dyDescent="0.25">
      <c r="A42" s="55" t="s">
        <v>293</v>
      </c>
      <c r="B42" s="55" t="s">
        <v>127</v>
      </c>
      <c r="C42" s="55">
        <v>2020</v>
      </c>
      <c r="D42" s="55"/>
      <c r="E42" s="55"/>
      <c r="F42" s="56"/>
      <c r="G42" s="56"/>
      <c r="H42" s="56">
        <v>150</v>
      </c>
      <c r="I42" s="19">
        <v>100</v>
      </c>
      <c r="J42" s="56">
        <v>150</v>
      </c>
      <c r="K42" s="19">
        <v>100</v>
      </c>
      <c r="L42" s="56"/>
      <c r="M42" s="56"/>
      <c r="N42" s="56"/>
      <c r="O42" s="56"/>
      <c r="P42" s="56"/>
      <c r="Q42" s="57"/>
      <c r="R42" s="58"/>
      <c r="S42" s="59"/>
      <c r="T42" s="58"/>
      <c r="U42" s="57"/>
      <c r="V42" s="56"/>
      <c r="W42" s="59"/>
      <c r="X42" s="56"/>
      <c r="Y42" s="60"/>
      <c r="Z42" s="60"/>
      <c r="AA42" s="60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6"/>
      <c r="AN42" s="56"/>
      <c r="AO42" s="56"/>
      <c r="AP42" s="61"/>
      <c r="AQ42" s="61"/>
      <c r="AR42" s="61"/>
      <c r="AS42" s="61"/>
      <c r="AT42" s="61"/>
      <c r="AU42" s="55"/>
      <c r="AV42" s="55"/>
      <c r="AW42" s="55"/>
      <c r="AX42" s="55"/>
      <c r="AY42" s="62">
        <v>34</v>
      </c>
      <c r="AZ42" s="55"/>
      <c r="BA42" s="62"/>
      <c r="BB42" s="62"/>
      <c r="BC42" s="62"/>
      <c r="BD42" s="62"/>
      <c r="BE42" s="55"/>
      <c r="BF42" s="62"/>
      <c r="BG42" s="62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</row>
    <row r="43" spans="1:70" x14ac:dyDescent="0.25">
      <c r="A43" s="55" t="s">
        <v>293</v>
      </c>
      <c r="B43" s="55" t="s">
        <v>127</v>
      </c>
      <c r="C43" s="55">
        <v>2030</v>
      </c>
      <c r="D43" s="55"/>
      <c r="E43" s="55"/>
      <c r="F43" s="56"/>
      <c r="G43" s="56"/>
      <c r="H43" s="56">
        <v>150</v>
      </c>
      <c r="I43" s="19">
        <v>100</v>
      </c>
      <c r="J43" s="56">
        <v>150</v>
      </c>
      <c r="K43" s="19">
        <v>100</v>
      </c>
      <c r="L43" s="56"/>
      <c r="M43" s="56"/>
      <c r="N43" s="56"/>
      <c r="O43" s="56"/>
      <c r="P43" s="56"/>
      <c r="Q43" s="57"/>
      <c r="R43" s="58"/>
      <c r="S43" s="59"/>
      <c r="T43" s="58"/>
      <c r="U43" s="57"/>
      <c r="V43" s="56"/>
      <c r="W43" s="59"/>
      <c r="X43" s="56"/>
      <c r="Y43" s="60"/>
      <c r="Z43" s="60"/>
      <c r="AA43" s="60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6"/>
      <c r="AN43" s="56"/>
      <c r="AO43" s="56"/>
      <c r="AP43" s="61"/>
      <c r="AQ43" s="61"/>
      <c r="AR43" s="61"/>
      <c r="AS43" s="61"/>
      <c r="AT43" s="61"/>
      <c r="AU43" s="55"/>
      <c r="AV43" s="55"/>
      <c r="AW43" s="55"/>
      <c r="AX43" s="55"/>
      <c r="AY43" s="62">
        <v>34</v>
      </c>
      <c r="AZ43" s="55"/>
      <c r="BA43" s="62"/>
      <c r="BB43" s="62"/>
      <c r="BC43" s="62"/>
      <c r="BD43" s="62"/>
      <c r="BE43" s="55"/>
      <c r="BF43" s="62"/>
      <c r="BG43" s="62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</row>
    <row r="44" spans="1:70" x14ac:dyDescent="0.25">
      <c r="A44" s="55" t="s">
        <v>294</v>
      </c>
      <c r="B44" s="55" t="s">
        <v>127</v>
      </c>
      <c r="C44" s="55">
        <v>2010</v>
      </c>
      <c r="D44" s="55"/>
      <c r="E44" s="55"/>
      <c r="F44" s="56"/>
      <c r="G44" s="56"/>
      <c r="H44" s="56">
        <v>600</v>
      </c>
      <c r="I44" s="19">
        <v>600</v>
      </c>
      <c r="J44" s="56">
        <v>600</v>
      </c>
      <c r="K44" s="19">
        <v>600</v>
      </c>
      <c r="L44" s="56"/>
      <c r="M44" s="56"/>
      <c r="N44" s="56"/>
      <c r="O44" s="56"/>
      <c r="P44" s="56"/>
      <c r="Q44" s="57"/>
      <c r="R44" s="58"/>
      <c r="S44" s="59"/>
      <c r="T44" s="58"/>
      <c r="U44" s="57"/>
      <c r="V44" s="56"/>
      <c r="W44" s="59"/>
      <c r="X44" s="56"/>
      <c r="Y44" s="60"/>
      <c r="Z44" s="60"/>
      <c r="AA44" s="60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6"/>
      <c r="AN44" s="56"/>
      <c r="AO44" s="56"/>
      <c r="AP44" s="61"/>
      <c r="AQ44" s="61"/>
      <c r="AR44" s="61"/>
      <c r="AS44" s="61"/>
      <c r="AT44" s="61"/>
      <c r="AU44" s="55"/>
      <c r="AV44" s="55"/>
      <c r="AW44" s="55"/>
      <c r="AX44" s="55"/>
      <c r="AY44" s="62"/>
      <c r="AZ44" s="55"/>
      <c r="BA44" s="62"/>
      <c r="BB44" s="62"/>
      <c r="BC44" s="62"/>
      <c r="BD44" s="62"/>
      <c r="BE44" s="55"/>
      <c r="BF44" s="62"/>
      <c r="BG44" s="62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</row>
    <row r="45" spans="1:70" x14ac:dyDescent="0.25">
      <c r="A45" s="55" t="s">
        <v>294</v>
      </c>
      <c r="B45" s="55" t="s">
        <v>127</v>
      </c>
      <c r="C45" s="55">
        <v>2020</v>
      </c>
      <c r="D45" s="55"/>
      <c r="E45" s="55"/>
      <c r="F45" s="56"/>
      <c r="G45" s="56"/>
      <c r="H45" s="56">
        <v>700</v>
      </c>
      <c r="I45" s="19">
        <v>600</v>
      </c>
      <c r="J45" s="56">
        <v>700</v>
      </c>
      <c r="K45" s="19">
        <v>600</v>
      </c>
      <c r="L45" s="56"/>
      <c r="M45" s="56"/>
      <c r="N45" s="56"/>
      <c r="O45" s="56"/>
      <c r="P45" s="56"/>
      <c r="Q45" s="57"/>
      <c r="R45" s="58"/>
      <c r="S45" s="59"/>
      <c r="T45" s="58"/>
      <c r="U45" s="57"/>
      <c r="V45" s="56"/>
      <c r="W45" s="59"/>
      <c r="X45" s="56"/>
      <c r="Y45" s="60"/>
      <c r="Z45" s="60"/>
      <c r="AA45" s="60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6"/>
      <c r="AN45" s="56"/>
      <c r="AO45" s="56"/>
      <c r="AP45" s="61"/>
      <c r="AQ45" s="61"/>
      <c r="AR45" s="61"/>
      <c r="AS45" s="61"/>
      <c r="AT45" s="61"/>
      <c r="AU45" s="55"/>
      <c r="AV45" s="55"/>
      <c r="AW45" s="55"/>
      <c r="AX45" s="55"/>
      <c r="AY45" s="62"/>
      <c r="AZ45" s="55"/>
      <c r="BA45" s="62"/>
      <c r="BB45" s="62"/>
      <c r="BC45" s="62"/>
      <c r="BD45" s="62"/>
      <c r="BE45" s="55"/>
      <c r="BF45" s="62"/>
      <c r="BG45" s="62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</row>
    <row r="46" spans="1:70" x14ac:dyDescent="0.25">
      <c r="A46" s="55" t="s">
        <v>294</v>
      </c>
      <c r="B46" s="55" t="s">
        <v>127</v>
      </c>
      <c r="C46" s="55">
        <v>2030</v>
      </c>
      <c r="D46" s="55"/>
      <c r="E46" s="55"/>
      <c r="F46" s="56"/>
      <c r="G46" s="56"/>
      <c r="H46" s="56">
        <v>600</v>
      </c>
      <c r="I46" s="19">
        <v>500</v>
      </c>
      <c r="J46" s="56">
        <v>600</v>
      </c>
      <c r="K46" s="19">
        <v>500</v>
      </c>
      <c r="L46" s="56"/>
      <c r="M46" s="56"/>
      <c r="N46" s="56"/>
      <c r="O46" s="56"/>
      <c r="P46" s="56"/>
      <c r="Q46" s="57"/>
      <c r="R46" s="58"/>
      <c r="S46" s="59"/>
      <c r="T46" s="58"/>
      <c r="U46" s="57"/>
      <c r="V46" s="56"/>
      <c r="W46" s="59"/>
      <c r="X46" s="56"/>
      <c r="Y46" s="60"/>
      <c r="Z46" s="60"/>
      <c r="AA46" s="60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6"/>
      <c r="AN46" s="56"/>
      <c r="AO46" s="56"/>
      <c r="AP46" s="61"/>
      <c r="AQ46" s="61"/>
      <c r="AR46" s="61"/>
      <c r="AS46" s="61"/>
      <c r="AT46" s="61"/>
      <c r="AU46" s="55"/>
      <c r="AV46" s="55"/>
      <c r="AW46" s="55"/>
      <c r="AX46" s="55"/>
      <c r="AY46" s="62"/>
      <c r="AZ46" s="55"/>
      <c r="BA46" s="62"/>
      <c r="BB46" s="62"/>
      <c r="BC46" s="62"/>
      <c r="BD46" s="62"/>
      <c r="BE46" s="55"/>
      <c r="BF46" s="62"/>
      <c r="BG46" s="62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</row>
    <row r="47" spans="1:70" x14ac:dyDescent="0.25">
      <c r="A47" s="55" t="s">
        <v>295</v>
      </c>
      <c r="B47" s="55" t="s">
        <v>127</v>
      </c>
      <c r="C47" s="55">
        <v>2010</v>
      </c>
      <c r="D47" s="55"/>
      <c r="E47" s="55"/>
      <c r="F47" s="56"/>
      <c r="G47" s="56"/>
      <c r="H47" s="56">
        <v>100</v>
      </c>
      <c r="I47" s="19">
        <v>100</v>
      </c>
      <c r="J47" s="56">
        <v>100</v>
      </c>
      <c r="K47" s="19">
        <v>100</v>
      </c>
      <c r="L47" s="56"/>
      <c r="M47" s="56"/>
      <c r="N47" s="56"/>
      <c r="O47" s="56"/>
      <c r="P47" s="56"/>
      <c r="Q47" s="57"/>
      <c r="R47" s="58"/>
      <c r="S47" s="59"/>
      <c r="T47" s="58"/>
      <c r="U47" s="57"/>
      <c r="V47" s="56"/>
      <c r="W47" s="59"/>
      <c r="X47" s="56"/>
      <c r="Y47" s="60"/>
      <c r="Z47" s="60"/>
      <c r="AA47" s="60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6"/>
      <c r="AN47" s="56"/>
      <c r="AO47" s="56"/>
      <c r="AP47" s="61"/>
      <c r="AQ47" s="61"/>
      <c r="AR47" s="61"/>
      <c r="AS47" s="61"/>
      <c r="AT47" s="61"/>
      <c r="AU47" s="55"/>
      <c r="AV47" s="55"/>
      <c r="AW47" s="55"/>
      <c r="AX47" s="55"/>
      <c r="AY47" s="62"/>
      <c r="AZ47" s="55"/>
      <c r="BA47" s="62"/>
      <c r="BB47" s="62"/>
      <c r="BC47" s="62"/>
      <c r="BD47" s="62"/>
      <c r="BE47" s="55"/>
      <c r="BF47" s="62"/>
      <c r="BG47" s="62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</row>
    <row r="48" spans="1:70" x14ac:dyDescent="0.25">
      <c r="A48" s="55" t="s">
        <v>295</v>
      </c>
      <c r="B48" s="55" t="s">
        <v>127</v>
      </c>
      <c r="C48" s="55">
        <v>2020</v>
      </c>
      <c r="D48" s="55"/>
      <c r="E48" s="55"/>
      <c r="F48" s="56"/>
      <c r="G48" s="56"/>
      <c r="H48" s="56">
        <v>250</v>
      </c>
      <c r="I48" s="19">
        <v>200</v>
      </c>
      <c r="J48" s="56">
        <v>250</v>
      </c>
      <c r="K48" s="19">
        <v>200</v>
      </c>
      <c r="L48" s="56"/>
      <c r="M48" s="56"/>
      <c r="N48" s="56"/>
      <c r="O48" s="56"/>
      <c r="P48" s="56"/>
      <c r="Q48" s="57"/>
      <c r="R48" s="58"/>
      <c r="S48" s="59"/>
      <c r="T48" s="58"/>
      <c r="U48" s="57"/>
      <c r="V48" s="56"/>
      <c r="W48" s="59"/>
      <c r="X48" s="56"/>
      <c r="Y48" s="60"/>
      <c r="Z48" s="60"/>
      <c r="AA48" s="60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6"/>
      <c r="AN48" s="56"/>
      <c r="AO48" s="56"/>
      <c r="AP48" s="61"/>
      <c r="AQ48" s="61"/>
      <c r="AR48" s="61"/>
      <c r="AS48" s="61"/>
      <c r="AT48" s="61"/>
      <c r="AU48" s="55"/>
      <c r="AV48" s="55"/>
      <c r="AW48" s="55"/>
      <c r="AX48" s="55"/>
      <c r="AY48" s="62"/>
      <c r="AZ48" s="55"/>
      <c r="BA48" s="62"/>
      <c r="BB48" s="62"/>
      <c r="BC48" s="62"/>
      <c r="BD48" s="62"/>
      <c r="BE48" s="55"/>
      <c r="BF48" s="62"/>
      <c r="BG48" s="62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</row>
    <row r="49" spans="1:70" x14ac:dyDescent="0.25">
      <c r="A49" s="55" t="s">
        <v>295</v>
      </c>
      <c r="B49" s="55" t="s">
        <v>127</v>
      </c>
      <c r="C49" s="55">
        <v>2030</v>
      </c>
      <c r="D49" s="55"/>
      <c r="E49" s="55"/>
      <c r="F49" s="56"/>
      <c r="G49" s="56"/>
      <c r="H49" s="56">
        <v>250</v>
      </c>
      <c r="I49" s="19">
        <v>150</v>
      </c>
      <c r="J49" s="56">
        <v>250</v>
      </c>
      <c r="K49" s="19">
        <v>150</v>
      </c>
      <c r="L49" s="56"/>
      <c r="M49" s="56"/>
      <c r="N49" s="56"/>
      <c r="O49" s="56"/>
      <c r="P49" s="56"/>
      <c r="Q49" s="57"/>
      <c r="R49" s="58"/>
      <c r="S49" s="59"/>
      <c r="T49" s="58"/>
      <c r="U49" s="57"/>
      <c r="V49" s="56"/>
      <c r="W49" s="59"/>
      <c r="X49" s="56"/>
      <c r="Y49" s="60"/>
      <c r="Z49" s="60"/>
      <c r="AA49" s="60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6"/>
      <c r="AN49" s="56"/>
      <c r="AO49" s="56"/>
      <c r="AP49" s="61"/>
      <c r="AQ49" s="61"/>
      <c r="AR49" s="61"/>
      <c r="AS49" s="61"/>
      <c r="AT49" s="61"/>
      <c r="AU49" s="55"/>
      <c r="AV49" s="55"/>
      <c r="AW49" s="55"/>
      <c r="AX49" s="55"/>
      <c r="AY49" s="62"/>
      <c r="AZ49" s="55"/>
      <c r="BA49" s="62"/>
      <c r="BB49" s="62"/>
      <c r="BC49" s="62"/>
      <c r="BD49" s="62"/>
      <c r="BE49" s="55"/>
      <c r="BF49" s="62"/>
      <c r="BG49" s="62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</row>
    <row r="50" spans="1:70" x14ac:dyDescent="0.25">
      <c r="A50" s="55" t="s">
        <v>296</v>
      </c>
      <c r="B50" s="55" t="s">
        <v>127</v>
      </c>
      <c r="C50" s="55">
        <v>2010</v>
      </c>
      <c r="D50" s="55"/>
      <c r="E50" s="55"/>
      <c r="F50" s="56"/>
      <c r="G50" s="56"/>
      <c r="H50" s="56">
        <v>500</v>
      </c>
      <c r="I50" s="19">
        <v>900</v>
      </c>
      <c r="J50" s="56">
        <v>500</v>
      </c>
      <c r="K50" s="19">
        <v>900</v>
      </c>
      <c r="L50" s="56"/>
      <c r="M50" s="56"/>
      <c r="N50" s="56"/>
      <c r="O50" s="56"/>
      <c r="P50" s="56"/>
      <c r="Q50" s="57"/>
      <c r="R50" s="58"/>
      <c r="S50" s="59"/>
      <c r="T50" s="58"/>
      <c r="U50" s="57"/>
      <c r="V50" s="56"/>
      <c r="W50" s="59"/>
      <c r="X50" s="56"/>
      <c r="Y50" s="60"/>
      <c r="Z50" s="60"/>
      <c r="AA50" s="60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6"/>
      <c r="AN50" s="56"/>
      <c r="AO50" s="56"/>
      <c r="AP50" s="61"/>
      <c r="AQ50" s="61"/>
      <c r="AR50" s="61"/>
      <c r="AS50" s="61"/>
      <c r="AT50" s="61"/>
      <c r="AU50" s="55"/>
      <c r="AV50" s="55"/>
      <c r="AW50" s="55"/>
      <c r="AX50" s="55"/>
      <c r="AY50" s="62"/>
      <c r="AZ50" s="55"/>
      <c r="BA50" s="62"/>
      <c r="BB50" s="62"/>
      <c r="BC50" s="62"/>
      <c r="BD50" s="62"/>
      <c r="BE50" s="55"/>
      <c r="BF50" s="62"/>
      <c r="BG50" s="62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</row>
    <row r="51" spans="1:70" x14ac:dyDescent="0.25">
      <c r="A51" s="55" t="s">
        <v>296</v>
      </c>
      <c r="B51" s="55" t="s">
        <v>127</v>
      </c>
      <c r="C51" s="55">
        <v>2020</v>
      </c>
      <c r="D51" s="55"/>
      <c r="E51" s="55"/>
      <c r="F51" s="56"/>
      <c r="G51" s="56"/>
      <c r="H51" s="56">
        <v>600</v>
      </c>
      <c r="I51" s="19">
        <v>1000</v>
      </c>
      <c r="J51" s="56">
        <v>600</v>
      </c>
      <c r="K51" s="19">
        <v>1000</v>
      </c>
      <c r="L51" s="56"/>
      <c r="M51" s="56"/>
      <c r="N51" s="56"/>
      <c r="O51" s="56"/>
      <c r="P51" s="56"/>
      <c r="Q51" s="57"/>
      <c r="R51" s="58"/>
      <c r="S51" s="59"/>
      <c r="T51" s="58"/>
      <c r="U51" s="57"/>
      <c r="V51" s="56"/>
      <c r="W51" s="59"/>
      <c r="X51" s="56"/>
      <c r="Y51" s="60"/>
      <c r="Z51" s="60"/>
      <c r="AA51" s="60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6"/>
      <c r="AN51" s="56"/>
      <c r="AO51" s="56"/>
      <c r="AP51" s="61"/>
      <c r="AQ51" s="61"/>
      <c r="AR51" s="61"/>
      <c r="AS51" s="61"/>
      <c r="AT51" s="61"/>
      <c r="AU51" s="55"/>
      <c r="AV51" s="55"/>
      <c r="AW51" s="55"/>
      <c r="AX51" s="55"/>
      <c r="AY51" s="62"/>
      <c r="AZ51" s="55"/>
      <c r="BA51" s="62"/>
      <c r="BB51" s="62"/>
      <c r="BC51" s="62"/>
      <c r="BD51" s="62"/>
      <c r="BE51" s="55"/>
      <c r="BF51" s="62"/>
      <c r="BG51" s="62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</row>
    <row r="52" spans="1:70" x14ac:dyDescent="0.25">
      <c r="A52" s="55" t="s">
        <v>296</v>
      </c>
      <c r="B52" s="55" t="s">
        <v>127</v>
      </c>
      <c r="C52" s="55">
        <v>2030</v>
      </c>
      <c r="D52" s="55"/>
      <c r="E52" s="55"/>
      <c r="F52" s="56"/>
      <c r="G52" s="56"/>
      <c r="H52" s="56">
        <v>550</v>
      </c>
      <c r="I52" s="19">
        <v>900</v>
      </c>
      <c r="J52" s="56">
        <v>550</v>
      </c>
      <c r="K52" s="19">
        <v>900</v>
      </c>
      <c r="L52" s="56"/>
      <c r="M52" s="56"/>
      <c r="N52" s="56"/>
      <c r="O52" s="56"/>
      <c r="P52" s="56"/>
      <c r="Q52" s="57"/>
      <c r="R52" s="58"/>
      <c r="S52" s="59"/>
      <c r="T52" s="58"/>
      <c r="U52" s="57"/>
      <c r="V52" s="56"/>
      <c r="W52" s="59"/>
      <c r="X52" s="56"/>
      <c r="Y52" s="60"/>
      <c r="Z52" s="60"/>
      <c r="AA52" s="60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6"/>
      <c r="AN52" s="56"/>
      <c r="AO52" s="56"/>
      <c r="AP52" s="61"/>
      <c r="AQ52" s="61"/>
      <c r="AR52" s="61"/>
      <c r="AS52" s="61"/>
      <c r="AT52" s="61"/>
      <c r="AU52" s="55"/>
      <c r="AV52" s="55"/>
      <c r="AW52" s="55"/>
      <c r="AX52" s="55"/>
      <c r="AY52" s="62"/>
      <c r="AZ52" s="55"/>
      <c r="BA52" s="62"/>
      <c r="BB52" s="62"/>
      <c r="BC52" s="62"/>
      <c r="BD52" s="62"/>
      <c r="BE52" s="55"/>
      <c r="BF52" s="62"/>
      <c r="BG52" s="62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</row>
    <row r="53" spans="1:70" x14ac:dyDescent="0.25">
      <c r="A53" s="55" t="s">
        <v>297</v>
      </c>
      <c r="B53" s="55" t="s">
        <v>127</v>
      </c>
      <c r="C53" s="55">
        <v>2010</v>
      </c>
      <c r="D53" s="55"/>
      <c r="E53" s="55"/>
      <c r="F53" s="56"/>
      <c r="G53" s="56"/>
      <c r="H53" s="56">
        <v>300</v>
      </c>
      <c r="I53" s="19">
        <v>800</v>
      </c>
      <c r="J53" s="56">
        <v>300</v>
      </c>
      <c r="K53" s="19">
        <v>800</v>
      </c>
      <c r="L53" s="56"/>
      <c r="M53" s="56"/>
      <c r="N53" s="56"/>
      <c r="O53" s="56"/>
      <c r="P53" s="56"/>
      <c r="Q53" s="57"/>
      <c r="R53" s="58"/>
      <c r="S53" s="59"/>
      <c r="T53" s="58"/>
      <c r="U53" s="57"/>
      <c r="V53" s="56"/>
      <c r="W53" s="59"/>
      <c r="X53" s="56"/>
      <c r="Y53" s="60"/>
      <c r="Z53" s="60"/>
      <c r="AA53" s="60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6"/>
      <c r="AN53" s="56"/>
      <c r="AO53" s="56"/>
      <c r="AP53" s="61"/>
      <c r="AQ53" s="61"/>
      <c r="AR53" s="61"/>
      <c r="AS53" s="61"/>
      <c r="AT53" s="61"/>
      <c r="AU53" s="55"/>
      <c r="AV53" s="55"/>
      <c r="AW53" s="55"/>
      <c r="AX53" s="55"/>
      <c r="AY53" s="62"/>
      <c r="AZ53" s="55"/>
      <c r="BA53" s="62"/>
      <c r="BB53" s="62"/>
      <c r="BC53" s="62"/>
      <c r="BD53" s="62"/>
      <c r="BE53" s="55"/>
      <c r="BF53" s="62"/>
      <c r="BG53" s="62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</row>
    <row r="54" spans="1:70" x14ac:dyDescent="0.25">
      <c r="A54" s="55" t="s">
        <v>297</v>
      </c>
      <c r="B54" s="55" t="s">
        <v>127</v>
      </c>
      <c r="C54" s="55">
        <v>2020</v>
      </c>
      <c r="D54" s="55"/>
      <c r="E54" s="55"/>
      <c r="F54" s="56"/>
      <c r="G54" s="56"/>
      <c r="H54" s="56">
        <v>400</v>
      </c>
      <c r="I54" s="19">
        <v>1000</v>
      </c>
      <c r="J54" s="56">
        <v>400</v>
      </c>
      <c r="K54" s="19">
        <v>1000</v>
      </c>
      <c r="L54" s="56"/>
      <c r="M54" s="56"/>
      <c r="N54" s="56"/>
      <c r="O54" s="56"/>
      <c r="P54" s="56"/>
      <c r="Q54" s="57"/>
      <c r="R54" s="58"/>
      <c r="S54" s="59"/>
      <c r="T54" s="58"/>
      <c r="U54" s="57"/>
      <c r="V54" s="56"/>
      <c r="W54" s="59"/>
      <c r="X54" s="56"/>
      <c r="Y54" s="60"/>
      <c r="Z54" s="60"/>
      <c r="AA54" s="60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6"/>
      <c r="AN54" s="56"/>
      <c r="AO54" s="56"/>
      <c r="AP54" s="61"/>
      <c r="AQ54" s="61"/>
      <c r="AR54" s="61"/>
      <c r="AS54" s="61"/>
      <c r="AT54" s="61"/>
      <c r="AU54" s="55"/>
      <c r="AV54" s="55"/>
      <c r="AW54" s="55"/>
      <c r="AX54" s="55"/>
      <c r="AY54" s="62"/>
      <c r="AZ54" s="55"/>
      <c r="BA54" s="62"/>
      <c r="BB54" s="62"/>
      <c r="BC54" s="62"/>
      <c r="BD54" s="62"/>
      <c r="BE54" s="55"/>
      <c r="BF54" s="62"/>
      <c r="BG54" s="62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</row>
    <row r="55" spans="1:70" x14ac:dyDescent="0.25">
      <c r="A55" s="55" t="s">
        <v>297</v>
      </c>
      <c r="B55" s="55" t="s">
        <v>127</v>
      </c>
      <c r="C55" s="55">
        <v>2030</v>
      </c>
      <c r="D55" s="55"/>
      <c r="E55" s="55"/>
      <c r="F55" s="56"/>
      <c r="G55" s="56"/>
      <c r="H55" s="56">
        <v>400</v>
      </c>
      <c r="I55" s="19">
        <v>900</v>
      </c>
      <c r="J55" s="56">
        <v>400</v>
      </c>
      <c r="K55" s="19">
        <v>900</v>
      </c>
      <c r="L55" s="56"/>
      <c r="M55" s="56"/>
      <c r="N55" s="56"/>
      <c r="O55" s="56"/>
      <c r="P55" s="56"/>
      <c r="Q55" s="57"/>
      <c r="R55" s="58"/>
      <c r="S55" s="59"/>
      <c r="T55" s="58"/>
      <c r="U55" s="57"/>
      <c r="V55" s="56"/>
      <c r="W55" s="59"/>
      <c r="X55" s="56"/>
      <c r="Y55" s="60"/>
      <c r="Z55" s="60"/>
      <c r="AA55" s="60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6"/>
      <c r="AN55" s="56"/>
      <c r="AO55" s="56"/>
      <c r="AP55" s="61"/>
      <c r="AQ55" s="61"/>
      <c r="AR55" s="61"/>
      <c r="AS55" s="61"/>
      <c r="AT55" s="61"/>
      <c r="AU55" s="55"/>
      <c r="AV55" s="55"/>
      <c r="AW55" s="55"/>
      <c r="AX55" s="55"/>
      <c r="AY55" s="62"/>
      <c r="AZ55" s="55"/>
      <c r="BA55" s="62"/>
      <c r="BB55" s="62"/>
      <c r="BC55" s="62"/>
      <c r="BD55" s="62"/>
      <c r="BE55" s="55"/>
      <c r="BF55" s="62"/>
      <c r="BG55" s="62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1000000}">
          <x14:formula1>
            <xm:f>Dropdown!$C$2:$C$4</xm:f>
          </x14:formula1>
          <xm:sqref>B2:B55</xm:sqref>
        </x14:dataValidation>
        <x14:dataValidation type="list" allowBlank="1" showInputMessage="1" showErrorMessage="1" xr:uid="{00000000-0002-0000-1A00-000002000000}">
          <x14:formula1>
            <xm:f>Dropdown!$A$2:$A$91</xm:f>
          </x14:formula1>
          <xm:sqref>A2:A7 A23:A55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2"/>
  <dimension ref="A1:AR34"/>
  <sheetViews>
    <sheetView zoomScale="70" zoomScaleNormal="70" workbookViewId="0">
      <pane xSplit="6" ySplit="1" topLeftCell="S2" activePane="bottomRight" state="frozen"/>
      <selection pane="topRight" activeCell="G1" sqref="G1"/>
      <selection pane="bottomLeft" activeCell="A2" sqref="A2"/>
      <selection pane="bottomRight" activeCell="S34" sqref="S34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28.81640625" style="1" bestFit="1" customWidth="1"/>
    <col min="8" max="8" width="29.26953125" style="1" bestFit="1" customWidth="1"/>
    <col min="9" max="9" width="29.26953125" style="1" customWidth="1"/>
    <col min="10" max="11" width="24.54296875" style="1" customWidth="1"/>
    <col min="12" max="12" width="24.453125" style="1" bestFit="1" customWidth="1"/>
    <col min="13" max="13" width="24.453125" style="1" customWidth="1"/>
    <col min="14" max="14" width="37.7265625" style="1" bestFit="1" customWidth="1"/>
    <col min="15" max="15" width="24.7265625" style="1" customWidth="1"/>
    <col min="16" max="17" width="20.7265625" style="1" customWidth="1"/>
    <col min="18" max="18" width="25.81640625" style="1" bestFit="1" customWidth="1"/>
    <col min="19" max="19" width="24" style="1" bestFit="1" customWidth="1"/>
    <col min="20" max="20" width="38.26953125" style="1" bestFit="1" customWidth="1"/>
    <col min="21" max="24" width="38.26953125" style="1" customWidth="1"/>
    <col min="25" max="25" width="38.26953125" style="1" bestFit="1" customWidth="1"/>
    <col min="26" max="27" width="38.26953125" style="1" customWidth="1"/>
    <col min="28" max="28" width="33.453125" style="1" bestFit="1" customWidth="1"/>
    <col min="29" max="30" width="33.453125" style="1" customWidth="1"/>
    <col min="31" max="31" width="25.7265625" style="1" bestFit="1" customWidth="1"/>
    <col min="32" max="33" width="35.54296875" style="1" customWidth="1"/>
    <col min="34" max="34" width="31.7265625" style="1" bestFit="1" customWidth="1"/>
    <col min="35" max="35" width="31.54296875" style="1" bestFit="1" customWidth="1"/>
    <col min="36" max="38" width="31.54296875" style="1" customWidth="1"/>
    <col min="39" max="39" width="34" style="1" bestFit="1" customWidth="1"/>
    <col min="40" max="40" width="34.453125" style="1" bestFit="1" customWidth="1"/>
    <col min="41" max="41" width="38.1796875" style="1" bestFit="1" customWidth="1"/>
    <col min="42" max="42" width="22.81640625" style="1" bestFit="1" customWidth="1"/>
    <col min="43" max="43" width="28.54296875" style="1" bestFit="1" customWidth="1"/>
    <col min="44" max="44" width="28.26953125" style="1" bestFit="1" customWidth="1"/>
    <col min="45" max="16384" width="11.453125" style="1"/>
  </cols>
  <sheetData>
    <row r="1" spans="1:44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47</v>
      </c>
      <c r="H1" s="2" t="s">
        <v>48</v>
      </c>
      <c r="I1" s="2" t="s">
        <v>1134</v>
      </c>
      <c r="J1" s="2" t="s">
        <v>541</v>
      </c>
      <c r="K1" s="2" t="s">
        <v>153</v>
      </c>
      <c r="L1" s="2" t="s">
        <v>154</v>
      </c>
      <c r="M1" s="2" t="s">
        <v>232</v>
      </c>
      <c r="N1" s="2" t="s">
        <v>113</v>
      </c>
      <c r="O1" s="2" t="s">
        <v>54</v>
      </c>
      <c r="P1" s="2" t="s">
        <v>211</v>
      </c>
      <c r="Q1" s="2" t="s">
        <v>212</v>
      </c>
      <c r="R1" s="2" t="s">
        <v>3</v>
      </c>
      <c r="S1" s="2" t="s">
        <v>14</v>
      </c>
      <c r="T1" s="2" t="s">
        <v>4</v>
      </c>
      <c r="U1" s="2" t="s">
        <v>96</v>
      </c>
      <c r="V1" s="2" t="s">
        <v>1087</v>
      </c>
      <c r="W1" s="2" t="s">
        <v>1251</v>
      </c>
      <c r="X1" s="2" t="s">
        <v>1252</v>
      </c>
      <c r="Y1" s="2" t="s">
        <v>1246</v>
      </c>
      <c r="Z1" s="2" t="s">
        <v>1244</v>
      </c>
      <c r="AA1" s="2" t="s">
        <v>1245</v>
      </c>
      <c r="AB1" s="2" t="s">
        <v>1247</v>
      </c>
      <c r="AC1" s="2" t="s">
        <v>1249</v>
      </c>
      <c r="AD1" s="2" t="s">
        <v>1262</v>
      </c>
      <c r="AE1" s="2" t="s">
        <v>1250</v>
      </c>
      <c r="AF1" s="2" t="s">
        <v>161</v>
      </c>
      <c r="AG1" s="2" t="s">
        <v>162</v>
      </c>
      <c r="AH1" s="2" t="s">
        <v>1</v>
      </c>
      <c r="AI1" s="2" t="s">
        <v>2</v>
      </c>
      <c r="AJ1" s="2" t="s">
        <v>233</v>
      </c>
      <c r="AK1" s="2" t="s">
        <v>114</v>
      </c>
      <c r="AL1" s="2" t="s">
        <v>57</v>
      </c>
      <c r="AM1" s="2" t="s">
        <v>6</v>
      </c>
      <c r="AN1" s="2" t="s">
        <v>16</v>
      </c>
      <c r="AO1" s="2" t="s">
        <v>7</v>
      </c>
      <c r="AP1" s="2" t="s">
        <v>17</v>
      </c>
      <c r="AQ1" s="2" t="s">
        <v>18</v>
      </c>
      <c r="AR1" s="2" t="s">
        <v>19</v>
      </c>
    </row>
    <row r="2" spans="1:44" x14ac:dyDescent="0.25">
      <c r="A2" s="1" t="s">
        <v>132</v>
      </c>
      <c r="B2" s="1" t="s">
        <v>139</v>
      </c>
      <c r="C2" s="1">
        <v>2013</v>
      </c>
      <c r="D2" s="1">
        <v>1</v>
      </c>
      <c r="E2" s="1">
        <v>0</v>
      </c>
      <c r="F2" s="1">
        <v>0</v>
      </c>
      <c r="G2" s="19">
        <v>1333</v>
      </c>
      <c r="H2" s="19">
        <v>3200</v>
      </c>
      <c r="I2" s="19"/>
      <c r="J2" s="19"/>
      <c r="K2" s="19">
        <v>2667</v>
      </c>
      <c r="L2" s="19">
        <v>6400</v>
      </c>
      <c r="M2" s="9">
        <f t="shared" ref="M2:M7" si="0">2920/8760</f>
        <v>0.33333333333333331</v>
      </c>
      <c r="N2" s="20">
        <v>4000</v>
      </c>
      <c r="O2" s="19">
        <v>9600</v>
      </c>
      <c r="R2" s="1">
        <v>0.25</v>
      </c>
      <c r="S2" s="1" t="s">
        <v>453</v>
      </c>
      <c r="T2" s="1">
        <f t="shared" ref="T2:T7" si="1">24*7</f>
        <v>168</v>
      </c>
      <c r="U2" s="1">
        <f>Tabelle58971117[[#This Row],[max. Abrufhäufigkeit pro Woche]]*52.1428571428571</f>
        <v>8759.9999999999927</v>
      </c>
      <c r="W2" s="19"/>
      <c r="X2" s="19"/>
      <c r="Y2" s="19"/>
      <c r="Z2" s="8"/>
      <c r="AA2" s="8"/>
      <c r="AB2" s="8"/>
      <c r="AC2" s="8"/>
      <c r="AD2" s="8"/>
      <c r="AE2" s="8"/>
      <c r="AF2" s="1">
        <v>13</v>
      </c>
      <c r="AG2" s="1">
        <v>13</v>
      </c>
      <c r="AH2" s="13">
        <v>13</v>
      </c>
      <c r="AI2" s="1">
        <v>13</v>
      </c>
      <c r="AJ2" s="13">
        <v>13</v>
      </c>
      <c r="AK2" s="13">
        <v>13</v>
      </c>
      <c r="AL2" s="1">
        <v>13</v>
      </c>
      <c r="AM2" s="1">
        <v>13</v>
      </c>
      <c r="AN2" s="1">
        <v>13</v>
      </c>
      <c r="AO2" s="1">
        <v>14</v>
      </c>
      <c r="AP2" s="1">
        <v>14</v>
      </c>
      <c r="AQ2" s="1">
        <v>14</v>
      </c>
      <c r="AR2" s="1">
        <v>14</v>
      </c>
    </row>
    <row r="3" spans="1:44" x14ac:dyDescent="0.25">
      <c r="A3" s="1" t="s">
        <v>132</v>
      </c>
      <c r="B3" s="1" t="s">
        <v>139</v>
      </c>
      <c r="C3" s="1">
        <v>2023</v>
      </c>
      <c r="D3" s="1">
        <v>1</v>
      </c>
      <c r="E3" s="1">
        <v>0</v>
      </c>
      <c r="F3" s="1">
        <v>0</v>
      </c>
      <c r="G3" s="19">
        <v>1367</v>
      </c>
      <c r="H3" s="19">
        <v>1640</v>
      </c>
      <c r="I3" s="19"/>
      <c r="J3" s="19"/>
      <c r="K3" s="19">
        <v>2733</v>
      </c>
      <c r="L3" s="19">
        <v>3280</v>
      </c>
      <c r="M3" s="9">
        <f t="shared" si="0"/>
        <v>0.33333333333333331</v>
      </c>
      <c r="N3" s="20">
        <v>1640</v>
      </c>
      <c r="O3" s="19">
        <v>4920</v>
      </c>
      <c r="R3" s="1">
        <v>0.25</v>
      </c>
      <c r="S3" s="1" t="s">
        <v>453</v>
      </c>
      <c r="T3" s="1">
        <f t="shared" si="1"/>
        <v>168</v>
      </c>
      <c r="U3" s="1">
        <f>Tabelle58971117[[#This Row],[max. Abrufhäufigkeit pro Woche]]*52.1428571428571</f>
        <v>8759.9999999999927</v>
      </c>
      <c r="W3" s="8">
        <f>30*Umrechnungsfaktoren!$B$15/Umrechnungsfaktoren!$B$10</f>
        <v>31.614213197969544</v>
      </c>
      <c r="X3" s="8">
        <f>130*Umrechnungsfaktoren!$B$15/Umrechnungsfaktoren!$B$10</f>
        <v>136.99492385786803</v>
      </c>
      <c r="Z3" s="8">
        <f>0*Umrechnungsfaktoren!$B$15/Umrechnungsfaktoren!$B$10</f>
        <v>0</v>
      </c>
      <c r="AA3" s="8">
        <f>0*Umrechnungsfaktoren!$B$15/Umrechnungsfaktoren!$B$10</f>
        <v>0</v>
      </c>
      <c r="AB3" s="8">
        <f>0*Umrechnungsfaktoren!$B$15/Umrechnungsfaktoren!$B$10</f>
        <v>0</v>
      </c>
      <c r="AC3" s="8">
        <f>2*Umrechnungsfaktoren!$B$15/Umrechnungsfaktoren!$B$10</f>
        <v>2.1076142131979698</v>
      </c>
      <c r="AD3" s="8">
        <f>9*Umrechnungsfaktoren!$B$15/Umrechnungsfaktoren!$B$10</f>
        <v>9.4842639593908622</v>
      </c>
      <c r="AE3" s="1">
        <f>AVERAGE(Tabelle58971117[[#This Row],[fixe Kosten min. €_2020/kW*a]:[fixe Kosten max. €_2020/kW*a]])</f>
        <v>5.7959390862944158</v>
      </c>
      <c r="AF3" s="1">
        <v>13</v>
      </c>
      <c r="AG3" s="1">
        <v>13</v>
      </c>
      <c r="AH3" s="13">
        <v>13</v>
      </c>
      <c r="AI3" s="1">
        <v>13</v>
      </c>
      <c r="AJ3" s="13">
        <v>13</v>
      </c>
      <c r="AK3" s="13">
        <v>13</v>
      </c>
      <c r="AL3" s="1">
        <v>13</v>
      </c>
      <c r="AM3" s="1">
        <v>13</v>
      </c>
      <c r="AN3" s="1">
        <v>13</v>
      </c>
      <c r="AO3" s="1">
        <v>14</v>
      </c>
      <c r="AP3" s="1">
        <v>14</v>
      </c>
      <c r="AQ3" s="1">
        <v>14</v>
      </c>
      <c r="AR3" s="1">
        <v>14</v>
      </c>
    </row>
    <row r="4" spans="1:44" x14ac:dyDescent="0.25">
      <c r="A4" s="6" t="s">
        <v>132</v>
      </c>
      <c r="B4" s="1" t="s">
        <v>139</v>
      </c>
      <c r="C4" s="1">
        <v>2050</v>
      </c>
      <c r="D4" s="1">
        <v>1</v>
      </c>
      <c r="E4" s="1">
        <v>0</v>
      </c>
      <c r="F4" s="1">
        <v>0</v>
      </c>
      <c r="G4" s="19">
        <v>1367</v>
      </c>
      <c r="H4" s="19">
        <v>1640</v>
      </c>
      <c r="I4" s="19"/>
      <c r="J4" s="19"/>
      <c r="K4" s="19">
        <v>2733</v>
      </c>
      <c r="L4" s="19">
        <v>3280</v>
      </c>
      <c r="M4" s="9">
        <f t="shared" si="0"/>
        <v>0.33333333333333331</v>
      </c>
      <c r="N4" s="20">
        <v>1640</v>
      </c>
      <c r="O4" s="19">
        <v>4920</v>
      </c>
      <c r="R4" s="1">
        <v>0.25</v>
      </c>
      <c r="S4" s="1" t="s">
        <v>453</v>
      </c>
      <c r="T4" s="1">
        <f t="shared" si="1"/>
        <v>168</v>
      </c>
      <c r="U4" s="1">
        <f>Tabelle58971117[[#This Row],[max. Abrufhäufigkeit pro Woche]]*52.1428571428571</f>
        <v>8759.9999999999927</v>
      </c>
      <c r="W4" s="19"/>
      <c r="X4" s="19"/>
      <c r="Y4" s="19"/>
      <c r="Z4" s="8"/>
      <c r="AA4" s="8"/>
      <c r="AB4" s="8"/>
      <c r="AC4" s="8"/>
      <c r="AD4" s="8"/>
      <c r="AE4" s="8"/>
      <c r="AF4" s="1">
        <v>13</v>
      </c>
      <c r="AG4" s="1">
        <v>13</v>
      </c>
      <c r="AH4" s="13">
        <v>13</v>
      </c>
      <c r="AI4" s="1">
        <v>13</v>
      </c>
      <c r="AJ4" s="13">
        <v>13</v>
      </c>
      <c r="AK4" s="13">
        <v>13</v>
      </c>
      <c r="AL4" s="1">
        <v>13</v>
      </c>
      <c r="AM4" s="1">
        <v>13</v>
      </c>
      <c r="AN4" s="1">
        <v>13</v>
      </c>
      <c r="AO4" s="1">
        <v>14</v>
      </c>
      <c r="AP4" s="1">
        <v>14</v>
      </c>
      <c r="AQ4" s="1">
        <v>14</v>
      </c>
      <c r="AR4" s="1">
        <v>14</v>
      </c>
    </row>
    <row r="5" spans="1:44" x14ac:dyDescent="0.25">
      <c r="A5" s="1" t="s">
        <v>133</v>
      </c>
      <c r="B5" s="1" t="s">
        <v>139</v>
      </c>
      <c r="C5" s="1">
        <v>2013</v>
      </c>
      <c r="D5" s="1">
        <v>1</v>
      </c>
      <c r="E5" s="1">
        <v>0</v>
      </c>
      <c r="F5" s="1">
        <v>0</v>
      </c>
      <c r="G5" s="19">
        <v>533</v>
      </c>
      <c r="H5" s="19">
        <v>1333</v>
      </c>
      <c r="I5" s="19"/>
      <c r="J5" s="19"/>
      <c r="K5" s="19">
        <v>1067</v>
      </c>
      <c r="L5" s="19">
        <v>2667</v>
      </c>
      <c r="M5" s="9">
        <f t="shared" si="0"/>
        <v>0.33333333333333331</v>
      </c>
      <c r="N5" s="20">
        <v>1333</v>
      </c>
      <c r="O5" s="19">
        <v>4000</v>
      </c>
      <c r="R5" s="1">
        <v>0.25</v>
      </c>
      <c r="S5" s="1" t="s">
        <v>453</v>
      </c>
      <c r="T5" s="1">
        <f t="shared" si="1"/>
        <v>168</v>
      </c>
      <c r="U5" s="1">
        <f>Tabelle58971117[[#This Row],[max. Abrufhäufigkeit pro Woche]]*52.1428571428571</f>
        <v>8759.9999999999927</v>
      </c>
      <c r="W5" s="8"/>
      <c r="X5" s="8"/>
      <c r="Z5" s="8"/>
      <c r="AA5" s="8"/>
      <c r="AB5" s="8"/>
      <c r="AC5" s="8"/>
      <c r="AD5" s="8"/>
      <c r="AF5" s="1">
        <v>15</v>
      </c>
      <c r="AG5" s="1">
        <v>15</v>
      </c>
      <c r="AH5" s="13">
        <v>15</v>
      </c>
      <c r="AI5" s="1">
        <v>15</v>
      </c>
      <c r="AJ5" s="13">
        <v>15</v>
      </c>
      <c r="AK5" s="13">
        <v>15</v>
      </c>
      <c r="AL5" s="1">
        <v>15</v>
      </c>
      <c r="AM5" s="1">
        <v>15</v>
      </c>
      <c r="AN5" s="1">
        <v>15</v>
      </c>
      <c r="AO5" s="1">
        <v>16</v>
      </c>
      <c r="AP5" s="1">
        <v>16</v>
      </c>
      <c r="AQ5" s="1">
        <v>16</v>
      </c>
      <c r="AR5" s="1">
        <v>16</v>
      </c>
    </row>
    <row r="6" spans="1:44" x14ac:dyDescent="0.25">
      <c r="A6" s="1" t="s">
        <v>133</v>
      </c>
      <c r="B6" s="1" t="s">
        <v>139</v>
      </c>
      <c r="C6" s="1">
        <v>2023</v>
      </c>
      <c r="D6" s="1">
        <v>1</v>
      </c>
      <c r="E6" s="1">
        <v>0</v>
      </c>
      <c r="F6" s="1">
        <v>0</v>
      </c>
      <c r="G6" s="19">
        <v>547</v>
      </c>
      <c r="H6" s="19">
        <v>1367</v>
      </c>
      <c r="I6" s="19"/>
      <c r="J6" s="19"/>
      <c r="K6" s="19">
        <v>1093</v>
      </c>
      <c r="L6" s="19">
        <v>2733</v>
      </c>
      <c r="M6" s="9">
        <f t="shared" si="0"/>
        <v>0.33333333333333331</v>
      </c>
      <c r="N6" s="20">
        <v>1367</v>
      </c>
      <c r="O6" s="19">
        <v>4100</v>
      </c>
      <c r="R6" s="1">
        <v>0.25</v>
      </c>
      <c r="S6" s="1" t="s">
        <v>453</v>
      </c>
      <c r="T6" s="1">
        <f t="shared" si="1"/>
        <v>168</v>
      </c>
      <c r="U6" s="1">
        <f>Tabelle58971117[[#This Row],[max. Abrufhäufigkeit pro Woche]]*52.1428571428571</f>
        <v>8759.9999999999927</v>
      </c>
      <c r="W6" s="8">
        <f>30*Umrechnungsfaktoren!$B$15/Umrechnungsfaktoren!$B$10</f>
        <v>31.614213197969544</v>
      </c>
      <c r="X6" s="8">
        <f>130*Umrechnungsfaktoren!$B$15/Umrechnungsfaktoren!$B$10</f>
        <v>136.99492385786803</v>
      </c>
      <c r="Z6" s="8">
        <f>0*Umrechnungsfaktoren!$B$15/Umrechnungsfaktoren!$B$10</f>
        <v>0</v>
      </c>
      <c r="AA6" s="8">
        <f>0*Umrechnungsfaktoren!$B$15/Umrechnungsfaktoren!$B$10</f>
        <v>0</v>
      </c>
      <c r="AB6" s="8">
        <f>0*Umrechnungsfaktoren!$B$15/Umrechnungsfaktoren!$B$10</f>
        <v>0</v>
      </c>
      <c r="AC6" s="8">
        <f>2*Umrechnungsfaktoren!$B$15/Umrechnungsfaktoren!$B$10</f>
        <v>2.1076142131979698</v>
      </c>
      <c r="AD6" s="8">
        <f>9*Umrechnungsfaktoren!$B$15/Umrechnungsfaktoren!$B$10</f>
        <v>9.4842639593908622</v>
      </c>
      <c r="AE6" s="1">
        <f>AVERAGE(Tabelle58971117[[#This Row],[fixe Kosten min. €_2020/kW*a]:[fixe Kosten max. €_2020/kW*a]])</f>
        <v>5.7959390862944158</v>
      </c>
      <c r="AF6" s="1">
        <v>15</v>
      </c>
      <c r="AG6" s="1">
        <v>15</v>
      </c>
      <c r="AH6" s="13">
        <v>15</v>
      </c>
      <c r="AI6" s="1">
        <v>15</v>
      </c>
      <c r="AJ6" s="13">
        <v>15</v>
      </c>
      <c r="AK6" s="13">
        <v>15</v>
      </c>
      <c r="AL6" s="1">
        <v>15</v>
      </c>
      <c r="AM6" s="1">
        <v>15</v>
      </c>
      <c r="AN6" s="1">
        <v>15</v>
      </c>
      <c r="AO6" s="1">
        <v>16</v>
      </c>
      <c r="AP6" s="1">
        <v>16</v>
      </c>
      <c r="AQ6" s="1">
        <v>16</v>
      </c>
      <c r="AR6" s="1">
        <v>16</v>
      </c>
    </row>
    <row r="7" spans="1:44" x14ac:dyDescent="0.25">
      <c r="A7" s="1" t="s">
        <v>133</v>
      </c>
      <c r="B7" s="1" t="s">
        <v>139</v>
      </c>
      <c r="C7" s="1">
        <v>2050</v>
      </c>
      <c r="D7" s="1">
        <v>1</v>
      </c>
      <c r="E7" s="1">
        <v>0</v>
      </c>
      <c r="F7" s="1">
        <v>0</v>
      </c>
      <c r="G7" s="19">
        <v>547</v>
      </c>
      <c r="H7" s="19">
        <v>683</v>
      </c>
      <c r="I7" s="19"/>
      <c r="J7" s="19"/>
      <c r="K7" s="19">
        <v>1093</v>
      </c>
      <c r="L7" s="19">
        <v>1367</v>
      </c>
      <c r="M7" s="9">
        <f t="shared" si="0"/>
        <v>0.33333333333333331</v>
      </c>
      <c r="N7" s="20">
        <v>683</v>
      </c>
      <c r="O7" s="19">
        <v>2050</v>
      </c>
      <c r="R7" s="1">
        <v>0.25</v>
      </c>
      <c r="S7" s="1" t="s">
        <v>453</v>
      </c>
      <c r="T7" s="1">
        <f t="shared" si="1"/>
        <v>168</v>
      </c>
      <c r="U7" s="1">
        <f>Tabelle58971117[[#This Row],[max. Abrufhäufigkeit pro Woche]]*52.1428571428571</f>
        <v>8759.9999999999927</v>
      </c>
      <c r="W7" s="8"/>
      <c r="X7" s="8"/>
      <c r="Z7" s="8"/>
      <c r="AA7" s="8"/>
      <c r="AB7" s="8"/>
      <c r="AC7" s="8"/>
      <c r="AD7" s="8"/>
      <c r="AF7" s="1">
        <v>15</v>
      </c>
      <c r="AG7" s="1">
        <v>15</v>
      </c>
      <c r="AH7" s="13">
        <v>15</v>
      </c>
      <c r="AI7" s="1">
        <v>15</v>
      </c>
      <c r="AJ7" s="13">
        <v>15</v>
      </c>
      <c r="AK7" s="13">
        <v>15</v>
      </c>
      <c r="AL7" s="1">
        <v>15</v>
      </c>
      <c r="AM7" s="1">
        <v>15</v>
      </c>
      <c r="AN7" s="1">
        <v>15</v>
      </c>
      <c r="AO7" s="1">
        <v>16</v>
      </c>
      <c r="AP7" s="1">
        <v>16</v>
      </c>
      <c r="AQ7" s="1">
        <v>16</v>
      </c>
      <c r="AR7" s="1">
        <v>16</v>
      </c>
    </row>
    <row r="8" spans="1:44" x14ac:dyDescent="0.25">
      <c r="A8" s="1" t="s">
        <v>130</v>
      </c>
      <c r="B8" s="1" t="s">
        <v>139</v>
      </c>
      <c r="C8" s="1">
        <v>2013</v>
      </c>
      <c r="D8" s="1">
        <v>0</v>
      </c>
      <c r="E8" s="1">
        <v>0</v>
      </c>
      <c r="F8" s="1">
        <v>1</v>
      </c>
      <c r="G8" s="19"/>
      <c r="H8" s="19"/>
      <c r="I8" s="19"/>
      <c r="J8" s="19"/>
      <c r="K8" s="19">
        <v>703</v>
      </c>
      <c r="L8" s="19">
        <v>1532</v>
      </c>
      <c r="M8" s="9">
        <f>114/8760</f>
        <v>1.3013698630136987E-2</v>
      </c>
      <c r="N8" s="20">
        <v>1532</v>
      </c>
      <c r="O8" s="19">
        <v>40000</v>
      </c>
      <c r="P8" s="1">
        <v>1</v>
      </c>
      <c r="Q8" s="1">
        <v>4</v>
      </c>
      <c r="S8" s="1" t="s">
        <v>454</v>
      </c>
      <c r="T8" s="1">
        <f>7</f>
        <v>7</v>
      </c>
      <c r="U8" s="1">
        <f>Tabelle58971117[[#This Row],[max. Abrufhäufigkeit pro Woche]]*52.1428571428571</f>
        <v>364.99999999999972</v>
      </c>
      <c r="W8" s="8"/>
      <c r="X8" s="8"/>
      <c r="Z8" s="8"/>
      <c r="AA8" s="8"/>
      <c r="AB8" s="8"/>
      <c r="AC8" s="8"/>
      <c r="AD8" s="8"/>
      <c r="AF8" s="1">
        <v>17</v>
      </c>
      <c r="AG8" s="1">
        <v>17</v>
      </c>
      <c r="AH8" s="13">
        <v>17</v>
      </c>
      <c r="AI8" s="13">
        <v>17</v>
      </c>
      <c r="AJ8" s="13">
        <v>16</v>
      </c>
      <c r="AK8" s="13">
        <v>16</v>
      </c>
      <c r="AL8" s="13">
        <v>16</v>
      </c>
      <c r="AM8" s="13">
        <v>16</v>
      </c>
      <c r="AN8" s="13">
        <v>16</v>
      </c>
      <c r="AO8" s="1">
        <v>17</v>
      </c>
      <c r="AP8" s="1">
        <v>17</v>
      </c>
      <c r="AQ8" s="1">
        <v>17</v>
      </c>
      <c r="AR8" s="1">
        <v>17</v>
      </c>
    </row>
    <row r="9" spans="1:44" x14ac:dyDescent="0.25">
      <c r="A9" s="1" t="s">
        <v>130</v>
      </c>
      <c r="B9" s="1" t="s">
        <v>139</v>
      </c>
      <c r="C9" s="1">
        <v>2023</v>
      </c>
      <c r="D9" s="1">
        <v>0</v>
      </c>
      <c r="E9" s="1">
        <v>0</v>
      </c>
      <c r="F9" s="1">
        <v>1</v>
      </c>
      <c r="G9" s="19"/>
      <c r="H9" s="19"/>
      <c r="I9" s="19"/>
      <c r="J9" s="19"/>
      <c r="K9" s="19">
        <v>403</v>
      </c>
      <c r="L9" s="19">
        <v>698</v>
      </c>
      <c r="M9" s="9">
        <f>116/8760</f>
        <v>1.3242009132420091E-2</v>
      </c>
      <c r="N9" s="20">
        <v>698</v>
      </c>
      <c r="O9" s="19">
        <v>30750</v>
      </c>
      <c r="P9" s="1">
        <v>1</v>
      </c>
      <c r="Q9" s="1">
        <v>4</v>
      </c>
      <c r="S9" s="1" t="s">
        <v>454</v>
      </c>
      <c r="T9" s="1">
        <f>7</f>
        <v>7</v>
      </c>
      <c r="U9" s="1">
        <f>Tabelle58971117[[#This Row],[max. Abrufhäufigkeit pro Woche]]*52.1428571428571</f>
        <v>364.99999999999972</v>
      </c>
      <c r="W9" s="8">
        <f>30*Umrechnungsfaktoren!$B$15/Umrechnungsfaktoren!$B$10</f>
        <v>31.614213197969544</v>
      </c>
      <c r="X9" s="8">
        <f>130*Umrechnungsfaktoren!$B$15/Umrechnungsfaktoren!$B$10</f>
        <v>136.99492385786803</v>
      </c>
      <c r="Z9" s="8">
        <f>0*Umrechnungsfaktoren!$B$15/Umrechnungsfaktoren!$B$10</f>
        <v>0</v>
      </c>
      <c r="AA9" s="8">
        <f>0*Umrechnungsfaktoren!$B$15/Umrechnungsfaktoren!$B$10</f>
        <v>0</v>
      </c>
      <c r="AB9" s="8">
        <f>0*Umrechnungsfaktoren!$B$15/Umrechnungsfaktoren!$B$10</f>
        <v>0</v>
      </c>
      <c r="AC9" s="8">
        <f>2*Umrechnungsfaktoren!$B$15/Umrechnungsfaktoren!$B$10</f>
        <v>2.1076142131979698</v>
      </c>
      <c r="AD9" s="8">
        <f>9*Umrechnungsfaktoren!$B$15/Umrechnungsfaktoren!$B$10</f>
        <v>9.4842639593908622</v>
      </c>
      <c r="AE9" s="1">
        <f>AVERAGE(Tabelle58971117[[#This Row],[fixe Kosten min. €_2020/kW*a]:[fixe Kosten max. €_2020/kW*a]])</f>
        <v>5.7959390862944158</v>
      </c>
      <c r="AF9" s="1">
        <v>17</v>
      </c>
      <c r="AG9" s="1">
        <v>17</v>
      </c>
      <c r="AH9" s="13">
        <v>17</v>
      </c>
      <c r="AI9" s="13">
        <v>17</v>
      </c>
      <c r="AJ9" s="13">
        <v>16</v>
      </c>
      <c r="AK9" s="13">
        <v>16</v>
      </c>
      <c r="AL9" s="13">
        <v>16</v>
      </c>
      <c r="AM9" s="13">
        <v>16</v>
      </c>
      <c r="AN9" s="13">
        <v>16</v>
      </c>
      <c r="AO9" s="1">
        <v>17</v>
      </c>
      <c r="AP9" s="1">
        <v>17</v>
      </c>
      <c r="AQ9" s="1">
        <v>17</v>
      </c>
      <c r="AR9" s="1">
        <v>17</v>
      </c>
    </row>
    <row r="10" spans="1:44" x14ac:dyDescent="0.25">
      <c r="A10" s="1" t="s">
        <v>130</v>
      </c>
      <c r="B10" s="1" t="s">
        <v>139</v>
      </c>
      <c r="C10" s="1">
        <v>2050</v>
      </c>
      <c r="D10" s="1">
        <v>0</v>
      </c>
      <c r="E10" s="1">
        <v>0</v>
      </c>
      <c r="F10" s="1">
        <v>1</v>
      </c>
      <c r="G10" s="19"/>
      <c r="H10" s="19"/>
      <c r="I10" s="19"/>
      <c r="J10" s="19"/>
      <c r="K10" s="19">
        <v>239</v>
      </c>
      <c r="L10" s="19">
        <v>326</v>
      </c>
      <c r="M10" s="9">
        <f>139/8760</f>
        <v>1.5867579908675798E-2</v>
      </c>
      <c r="N10" s="20">
        <v>326</v>
      </c>
      <c r="O10" s="19">
        <v>20500</v>
      </c>
      <c r="P10" s="1">
        <v>1</v>
      </c>
      <c r="Q10" s="1">
        <v>4</v>
      </c>
      <c r="S10" s="1" t="s">
        <v>453</v>
      </c>
      <c r="T10" s="1">
        <f>7</f>
        <v>7</v>
      </c>
      <c r="U10" s="1">
        <f>Tabelle58971117[[#This Row],[max. Abrufhäufigkeit pro Woche]]*52.1428571428571</f>
        <v>364.99999999999972</v>
      </c>
      <c r="W10" s="8"/>
      <c r="X10" s="8"/>
      <c r="Z10" s="8"/>
      <c r="AA10" s="8"/>
      <c r="AB10" s="8"/>
      <c r="AC10" s="8"/>
      <c r="AD10" s="8"/>
      <c r="AF10" s="1">
        <v>17</v>
      </c>
      <c r="AG10" s="1">
        <v>17</v>
      </c>
      <c r="AH10" s="13">
        <v>17</v>
      </c>
      <c r="AI10" s="13">
        <v>17</v>
      </c>
      <c r="AJ10" s="13">
        <v>16</v>
      </c>
      <c r="AK10" s="13">
        <v>16</v>
      </c>
      <c r="AL10" s="13">
        <v>16</v>
      </c>
      <c r="AM10" s="13">
        <v>16</v>
      </c>
      <c r="AN10" s="13">
        <v>16</v>
      </c>
      <c r="AO10" s="1">
        <v>17</v>
      </c>
      <c r="AP10" s="1">
        <v>17</v>
      </c>
      <c r="AQ10" s="1">
        <v>17</v>
      </c>
      <c r="AR10" s="1">
        <v>17</v>
      </c>
    </row>
    <row r="11" spans="1:44" x14ac:dyDescent="0.25">
      <c r="A11" s="1" t="s">
        <v>362</v>
      </c>
      <c r="B11" s="1" t="s">
        <v>139</v>
      </c>
      <c r="C11" s="1">
        <v>2013</v>
      </c>
      <c r="D11" s="1">
        <v>1</v>
      </c>
      <c r="E11" s="1">
        <v>0</v>
      </c>
      <c r="F11" s="1">
        <v>0</v>
      </c>
      <c r="G11" s="19">
        <v>699</v>
      </c>
      <c r="H11" s="19">
        <v>1644</v>
      </c>
      <c r="I11" s="19"/>
      <c r="J11" s="19"/>
      <c r="K11" s="19">
        <v>2701</v>
      </c>
      <c r="L11" s="19">
        <v>5556</v>
      </c>
      <c r="M11" s="9">
        <f>500/8760</f>
        <v>5.7077625570776253E-2</v>
      </c>
      <c r="N11" s="20">
        <v>1644</v>
      </c>
      <c r="O11" s="19">
        <v>7400</v>
      </c>
      <c r="R11" s="1">
        <v>0.25</v>
      </c>
      <c r="S11" s="1" t="s">
        <v>455</v>
      </c>
      <c r="T11" s="1">
        <f>7</f>
        <v>7</v>
      </c>
      <c r="U11" s="1">
        <f>Tabelle58971117[[#This Row],[max. Abrufhäufigkeit pro Woche]]*52.1428571428571</f>
        <v>364.99999999999972</v>
      </c>
      <c r="W11" s="8"/>
      <c r="X11" s="8"/>
      <c r="Z11" s="8"/>
      <c r="AA11" s="8"/>
      <c r="AB11" s="8"/>
      <c r="AC11" s="8"/>
      <c r="AD11" s="8"/>
      <c r="AF11" s="1">
        <v>18</v>
      </c>
      <c r="AG11" s="1">
        <v>18</v>
      </c>
      <c r="AH11" s="13">
        <v>18</v>
      </c>
      <c r="AI11" s="13">
        <v>18</v>
      </c>
      <c r="AJ11" s="13">
        <v>18</v>
      </c>
      <c r="AK11" s="13">
        <v>18</v>
      </c>
      <c r="AL11" s="13">
        <v>18</v>
      </c>
      <c r="AM11" s="13">
        <v>18</v>
      </c>
      <c r="AN11" s="13">
        <v>18</v>
      </c>
      <c r="AO11" s="1">
        <v>19</v>
      </c>
      <c r="AP11" s="1">
        <v>19</v>
      </c>
      <c r="AQ11" s="1">
        <v>19</v>
      </c>
      <c r="AR11" s="1">
        <v>19</v>
      </c>
    </row>
    <row r="12" spans="1:44" x14ac:dyDescent="0.25">
      <c r="A12" s="1" t="s">
        <v>362</v>
      </c>
      <c r="B12" s="1" t="s">
        <v>139</v>
      </c>
      <c r="C12" s="1">
        <v>2023</v>
      </c>
      <c r="D12" s="1">
        <v>1</v>
      </c>
      <c r="E12" s="1">
        <v>0</v>
      </c>
      <c r="F12" s="1">
        <v>0</v>
      </c>
      <c r="G12" s="19">
        <v>2864</v>
      </c>
      <c r="H12" s="19">
        <v>3370</v>
      </c>
      <c r="I12" s="19"/>
      <c r="J12" s="19"/>
      <c r="K12" s="19">
        <v>11076</v>
      </c>
      <c r="L12" s="19">
        <v>11390</v>
      </c>
      <c r="M12" s="9">
        <f>500/8760</f>
        <v>5.7077625570776253E-2</v>
      </c>
      <c r="N12" s="20">
        <v>3370</v>
      </c>
      <c r="O12" s="19">
        <v>14760</v>
      </c>
      <c r="R12" s="1">
        <v>0.25</v>
      </c>
      <c r="S12" s="1" t="s">
        <v>455</v>
      </c>
      <c r="T12" s="1">
        <f>7</f>
        <v>7</v>
      </c>
      <c r="U12" s="1">
        <f>Tabelle58971117[[#This Row],[max. Abrufhäufigkeit pro Woche]]*52.1428571428571</f>
        <v>364.99999999999972</v>
      </c>
      <c r="W12" s="8">
        <f>30*Umrechnungsfaktoren!$B$15/Umrechnungsfaktoren!$B$10</f>
        <v>31.614213197969544</v>
      </c>
      <c r="X12" s="8">
        <f>130*Umrechnungsfaktoren!$B$15/Umrechnungsfaktoren!$B$10</f>
        <v>136.99492385786803</v>
      </c>
      <c r="Z12" s="8">
        <f>0*Umrechnungsfaktoren!$B$15/Umrechnungsfaktoren!$B$10</f>
        <v>0</v>
      </c>
      <c r="AA12" s="8">
        <f>0*Umrechnungsfaktoren!$B$15/Umrechnungsfaktoren!$B$10</f>
        <v>0</v>
      </c>
      <c r="AB12" s="8">
        <f>0*Umrechnungsfaktoren!$B$15/Umrechnungsfaktoren!$B$10</f>
        <v>0</v>
      </c>
      <c r="AC12" s="8">
        <f>2*Umrechnungsfaktoren!$B$15/Umrechnungsfaktoren!$B$10</f>
        <v>2.1076142131979698</v>
      </c>
      <c r="AD12" s="8">
        <f>9*Umrechnungsfaktoren!$B$15/Umrechnungsfaktoren!$B$10</f>
        <v>9.4842639593908622</v>
      </c>
      <c r="AE12" s="1">
        <f>AVERAGE(Tabelle58971117[[#This Row],[fixe Kosten min. €_2020/kW*a]:[fixe Kosten max. €_2020/kW*a]])</f>
        <v>5.7959390862944158</v>
      </c>
      <c r="AF12" s="1">
        <v>18</v>
      </c>
      <c r="AG12" s="1">
        <v>18</v>
      </c>
      <c r="AH12" s="13">
        <v>18</v>
      </c>
      <c r="AI12" s="13">
        <v>18</v>
      </c>
      <c r="AJ12" s="13">
        <v>18</v>
      </c>
      <c r="AK12" s="13">
        <v>18</v>
      </c>
      <c r="AL12" s="13">
        <v>18</v>
      </c>
      <c r="AM12" s="13">
        <v>18</v>
      </c>
      <c r="AN12" s="13">
        <v>18</v>
      </c>
      <c r="AO12" s="1">
        <v>19</v>
      </c>
      <c r="AP12" s="1">
        <v>19</v>
      </c>
      <c r="AQ12" s="1">
        <v>19</v>
      </c>
      <c r="AR12" s="1">
        <v>19</v>
      </c>
    </row>
    <row r="13" spans="1:44" x14ac:dyDescent="0.25">
      <c r="A13" s="1" t="s">
        <v>362</v>
      </c>
      <c r="B13" s="1" t="s">
        <v>139</v>
      </c>
      <c r="C13" s="1">
        <v>2050</v>
      </c>
      <c r="D13" s="1">
        <v>1</v>
      </c>
      <c r="E13" s="1">
        <v>0</v>
      </c>
      <c r="F13" s="1">
        <v>0</v>
      </c>
      <c r="G13" s="19">
        <v>5729</v>
      </c>
      <c r="H13" s="19">
        <v>8425</v>
      </c>
      <c r="I13" s="19"/>
      <c r="J13" s="19"/>
      <c r="K13" s="19">
        <v>22151</v>
      </c>
      <c r="L13" s="19">
        <v>28475</v>
      </c>
      <c r="M13" s="9">
        <f>500/8760</f>
        <v>5.7077625570776253E-2</v>
      </c>
      <c r="N13" s="20">
        <v>8425</v>
      </c>
      <c r="O13" s="19">
        <v>36900</v>
      </c>
      <c r="R13" s="1">
        <v>0.25</v>
      </c>
      <c r="S13" s="1" t="s">
        <v>455</v>
      </c>
      <c r="T13" s="1">
        <f>7</f>
        <v>7</v>
      </c>
      <c r="U13" s="1">
        <f>Tabelle58971117[[#This Row],[max. Abrufhäufigkeit pro Woche]]*52.1428571428571</f>
        <v>364.99999999999972</v>
      </c>
      <c r="W13" s="8"/>
      <c r="X13" s="8"/>
      <c r="Z13" s="8"/>
      <c r="AA13" s="8"/>
      <c r="AB13" s="8"/>
      <c r="AC13" s="8"/>
      <c r="AD13" s="8"/>
      <c r="AF13" s="1">
        <v>18</v>
      </c>
      <c r="AG13" s="1">
        <v>18</v>
      </c>
      <c r="AH13" s="13">
        <v>18</v>
      </c>
      <c r="AI13" s="13">
        <v>18</v>
      </c>
      <c r="AJ13" s="13">
        <v>18</v>
      </c>
      <c r="AK13" s="13">
        <v>18</v>
      </c>
      <c r="AL13" s="13">
        <v>18</v>
      </c>
      <c r="AM13" s="13">
        <v>18</v>
      </c>
      <c r="AN13" s="13">
        <v>18</v>
      </c>
      <c r="AO13" s="1">
        <v>19</v>
      </c>
      <c r="AP13" s="1">
        <v>19</v>
      </c>
      <c r="AQ13" s="1">
        <v>19</v>
      </c>
      <c r="AR13" s="1">
        <v>19</v>
      </c>
    </row>
    <row r="14" spans="1:44" x14ac:dyDescent="0.25">
      <c r="A14" s="1" t="s">
        <v>150</v>
      </c>
      <c r="B14" s="1" t="s">
        <v>139</v>
      </c>
      <c r="C14" s="1">
        <v>2013</v>
      </c>
      <c r="D14" s="1">
        <v>0</v>
      </c>
      <c r="E14" s="1">
        <v>1</v>
      </c>
      <c r="F14" s="1">
        <v>0</v>
      </c>
      <c r="G14" s="19"/>
      <c r="H14" s="19"/>
      <c r="I14" s="19">
        <v>1182</v>
      </c>
      <c r="J14" s="19">
        <v>2250</v>
      </c>
      <c r="K14" s="19"/>
      <c r="L14" s="19"/>
      <c r="M14" s="9">
        <f>5400/8760</f>
        <v>0.61643835616438358</v>
      </c>
      <c r="N14" s="20">
        <v>2250</v>
      </c>
      <c r="O14" s="19">
        <v>2500</v>
      </c>
      <c r="R14" s="1">
        <v>0.25</v>
      </c>
      <c r="S14" s="1" t="s">
        <v>458</v>
      </c>
      <c r="T14" s="1">
        <f>7</f>
        <v>7</v>
      </c>
      <c r="U14" s="65"/>
      <c r="V14" s="1">
        <f>Tabelle58971117[[#This Row],[max. Abrufhäufigkeit pro Woche]]*52.1428571428571</f>
        <v>364.99999999999972</v>
      </c>
      <c r="W14" s="8"/>
      <c r="X14" s="8"/>
      <c r="Z14" s="8"/>
      <c r="AA14" s="8"/>
      <c r="AB14" s="8"/>
      <c r="AC14" s="8"/>
      <c r="AD14" s="8"/>
      <c r="AF14" s="1">
        <v>20</v>
      </c>
      <c r="AG14" s="1">
        <v>20</v>
      </c>
      <c r="AH14" s="1">
        <v>20</v>
      </c>
      <c r="AI14" s="1">
        <v>20</v>
      </c>
      <c r="AJ14" s="13">
        <v>19</v>
      </c>
      <c r="AK14" s="13">
        <v>19</v>
      </c>
      <c r="AL14" s="13">
        <v>19</v>
      </c>
      <c r="AM14" s="13">
        <v>19</v>
      </c>
      <c r="AN14" s="13">
        <v>19</v>
      </c>
      <c r="AO14" s="1">
        <v>20</v>
      </c>
      <c r="AP14" s="1">
        <v>21</v>
      </c>
      <c r="AQ14" s="1">
        <v>21</v>
      </c>
      <c r="AR14" s="1">
        <v>21</v>
      </c>
    </row>
    <row r="15" spans="1:44" x14ac:dyDescent="0.25">
      <c r="A15" s="1" t="s">
        <v>150</v>
      </c>
      <c r="B15" s="1" t="s">
        <v>139</v>
      </c>
      <c r="C15" s="1">
        <v>2023</v>
      </c>
      <c r="D15" s="1">
        <v>0</v>
      </c>
      <c r="E15" s="1">
        <v>1</v>
      </c>
      <c r="F15" s="1">
        <v>0</v>
      </c>
      <c r="G15" s="19"/>
      <c r="H15" s="19"/>
      <c r="I15" s="19">
        <v>1281</v>
      </c>
      <c r="J15" s="19">
        <v>2563</v>
      </c>
      <c r="K15" s="19"/>
      <c r="L15" s="19"/>
      <c r="M15" s="9">
        <f>6000/8760</f>
        <v>0.68493150684931503</v>
      </c>
      <c r="N15" s="20">
        <v>2563</v>
      </c>
      <c r="O15" s="19">
        <v>2563</v>
      </c>
      <c r="R15" s="1">
        <v>0.25</v>
      </c>
      <c r="S15" s="1" t="s">
        <v>458</v>
      </c>
      <c r="T15" s="1">
        <f>7</f>
        <v>7</v>
      </c>
      <c r="U15" s="65"/>
      <c r="V15" s="1">
        <f>Tabelle58971117[[#This Row],[max. Abrufhäufigkeit pro Woche]]*52.1428571428571</f>
        <v>364.99999999999972</v>
      </c>
      <c r="W15" s="8">
        <f>30*Umrechnungsfaktoren!$B$15/Umrechnungsfaktoren!$B$10</f>
        <v>31.614213197969544</v>
      </c>
      <c r="X15" s="8">
        <f>130*Umrechnungsfaktoren!$B$15/Umrechnungsfaktoren!$B$10</f>
        <v>136.99492385786803</v>
      </c>
      <c r="Z15" s="8">
        <f>0*Umrechnungsfaktoren!$B$15/Umrechnungsfaktoren!$B$10</f>
        <v>0</v>
      </c>
      <c r="AA15" s="8">
        <f>0*Umrechnungsfaktoren!$B$15/Umrechnungsfaktoren!$B$10</f>
        <v>0</v>
      </c>
      <c r="AB15" s="8">
        <f>0*Umrechnungsfaktoren!$B$15/Umrechnungsfaktoren!$B$10</f>
        <v>0</v>
      </c>
      <c r="AC15" s="8">
        <f>2*Umrechnungsfaktoren!$B$15/Umrechnungsfaktoren!$B$10</f>
        <v>2.1076142131979698</v>
      </c>
      <c r="AD15" s="8">
        <f>9*Umrechnungsfaktoren!$B$15/Umrechnungsfaktoren!$B$10</f>
        <v>9.4842639593908622</v>
      </c>
      <c r="AE15" s="1">
        <f>AVERAGE(Tabelle58971117[[#This Row],[fixe Kosten min. €_2020/kW*a]:[fixe Kosten max. €_2020/kW*a]])</f>
        <v>5.7959390862944158</v>
      </c>
      <c r="AF15" s="1">
        <v>20</v>
      </c>
      <c r="AG15" s="1">
        <v>20</v>
      </c>
      <c r="AH15" s="1">
        <v>20</v>
      </c>
      <c r="AI15" s="1">
        <v>20</v>
      </c>
      <c r="AJ15" s="13">
        <v>19</v>
      </c>
      <c r="AK15" s="13">
        <v>19</v>
      </c>
      <c r="AL15" s="13">
        <v>19</v>
      </c>
      <c r="AM15" s="13">
        <v>19</v>
      </c>
      <c r="AN15" s="13">
        <v>19</v>
      </c>
      <c r="AO15" s="1">
        <v>20</v>
      </c>
      <c r="AP15" s="1">
        <v>21</v>
      </c>
      <c r="AQ15" s="1">
        <v>21</v>
      </c>
      <c r="AR15" s="1">
        <v>21</v>
      </c>
    </row>
    <row r="16" spans="1:44" x14ac:dyDescent="0.25">
      <c r="A16" s="1" t="s">
        <v>150</v>
      </c>
      <c r="B16" s="1" t="s">
        <v>139</v>
      </c>
      <c r="C16" s="1">
        <v>2050</v>
      </c>
      <c r="D16" s="1">
        <v>0</v>
      </c>
      <c r="E16" s="1">
        <v>1</v>
      </c>
      <c r="F16" s="1">
        <v>0</v>
      </c>
      <c r="G16" s="19"/>
      <c r="H16" s="19"/>
      <c r="I16" s="19">
        <v>256</v>
      </c>
      <c r="J16" s="19">
        <v>1281</v>
      </c>
      <c r="K16" s="19"/>
      <c r="L16" s="19"/>
      <c r="M16" s="9">
        <f>6000/8760</f>
        <v>0.68493150684931503</v>
      </c>
      <c r="N16" s="20">
        <v>1281</v>
      </c>
      <c r="O16" s="19">
        <v>1281</v>
      </c>
      <c r="R16" s="1">
        <v>0.25</v>
      </c>
      <c r="S16" s="1" t="s">
        <v>458</v>
      </c>
      <c r="T16" s="1">
        <f>7</f>
        <v>7</v>
      </c>
      <c r="U16" s="65"/>
      <c r="V16" s="1">
        <f>Tabelle58971117[[#This Row],[max. Abrufhäufigkeit pro Woche]]*52.1428571428571</f>
        <v>364.99999999999972</v>
      </c>
      <c r="W16" s="8"/>
      <c r="X16" s="8"/>
      <c r="Z16" s="8"/>
      <c r="AA16" s="8"/>
      <c r="AB16" s="8"/>
      <c r="AC16" s="8"/>
      <c r="AD16" s="8"/>
      <c r="AF16" s="1">
        <v>20</v>
      </c>
      <c r="AG16" s="1">
        <v>20</v>
      </c>
      <c r="AH16" s="1">
        <v>20</v>
      </c>
      <c r="AI16" s="1">
        <v>20</v>
      </c>
      <c r="AJ16" s="13">
        <v>19</v>
      </c>
      <c r="AK16" s="13">
        <v>19</v>
      </c>
      <c r="AL16" s="13">
        <v>19</v>
      </c>
      <c r="AM16" s="13">
        <v>19</v>
      </c>
      <c r="AN16" s="13">
        <v>19</v>
      </c>
      <c r="AO16" s="1">
        <v>20</v>
      </c>
      <c r="AP16" s="1">
        <v>21</v>
      </c>
      <c r="AQ16" s="1">
        <v>21</v>
      </c>
      <c r="AR16" s="1">
        <v>21</v>
      </c>
    </row>
    <row r="17" spans="1:44" x14ac:dyDescent="0.25">
      <c r="A17" s="1" t="s">
        <v>135</v>
      </c>
      <c r="B17" s="1" t="s">
        <v>139</v>
      </c>
      <c r="C17" s="1">
        <v>2013</v>
      </c>
      <c r="D17" s="1">
        <v>1</v>
      </c>
      <c r="E17" s="1">
        <v>0</v>
      </c>
      <c r="F17" s="1">
        <v>0</v>
      </c>
      <c r="G17" s="19">
        <v>5510</v>
      </c>
      <c r="H17" s="19">
        <v>5510</v>
      </c>
      <c r="I17" s="19"/>
      <c r="J17" s="19"/>
      <c r="K17" s="19">
        <v>9690</v>
      </c>
      <c r="L17" s="19">
        <v>40090</v>
      </c>
      <c r="M17" s="9">
        <f>353/8760</f>
        <v>4.029680365296804E-2</v>
      </c>
      <c r="N17" s="20">
        <v>5510</v>
      </c>
      <c r="O17" s="19">
        <v>45600</v>
      </c>
      <c r="P17" s="1">
        <v>1</v>
      </c>
      <c r="Q17" s="1">
        <v>24</v>
      </c>
      <c r="S17" s="1" t="s">
        <v>456</v>
      </c>
      <c r="T17" s="1">
        <f>7</f>
        <v>7</v>
      </c>
      <c r="U17" s="1">
        <f>Tabelle58971117[[#This Row],[max. Abrufhäufigkeit pro Woche]]*52.1428571428571</f>
        <v>364.99999999999972</v>
      </c>
      <c r="W17" s="8"/>
      <c r="X17" s="8"/>
      <c r="Z17" s="8"/>
      <c r="AA17" s="8"/>
      <c r="AB17" s="8"/>
      <c r="AC17" s="8"/>
      <c r="AD17" s="8"/>
      <c r="AF17" s="1">
        <v>22</v>
      </c>
      <c r="AG17" s="1">
        <v>22</v>
      </c>
      <c r="AH17" s="1">
        <v>22</v>
      </c>
      <c r="AI17" s="1">
        <v>22</v>
      </c>
      <c r="AJ17" s="1">
        <v>22</v>
      </c>
      <c r="AK17" s="1">
        <v>22</v>
      </c>
      <c r="AL17" s="1">
        <v>22</v>
      </c>
      <c r="AM17" s="1">
        <v>21</v>
      </c>
      <c r="AN17" s="1">
        <v>21</v>
      </c>
      <c r="AO17" s="1">
        <v>22</v>
      </c>
      <c r="AP17" s="1" t="s">
        <v>457</v>
      </c>
      <c r="AQ17" s="1" t="s">
        <v>457</v>
      </c>
      <c r="AR17" s="1" t="s">
        <v>457</v>
      </c>
    </row>
    <row r="18" spans="1:44" x14ac:dyDescent="0.25">
      <c r="A18" s="1" t="s">
        <v>135</v>
      </c>
      <c r="B18" s="1" t="s">
        <v>139</v>
      </c>
      <c r="C18" s="1">
        <v>2023</v>
      </c>
      <c r="D18" s="1">
        <v>1</v>
      </c>
      <c r="E18" s="1">
        <v>0</v>
      </c>
      <c r="F18" s="1">
        <v>0</v>
      </c>
      <c r="G18" s="19">
        <v>5648</v>
      </c>
      <c r="H18" s="19">
        <v>5648</v>
      </c>
      <c r="I18" s="19"/>
      <c r="J18" s="19"/>
      <c r="K18" s="19">
        <v>9932</v>
      </c>
      <c r="L18" s="19">
        <v>41092</v>
      </c>
      <c r="M18" s="9">
        <f>353/8760</f>
        <v>4.029680365296804E-2</v>
      </c>
      <c r="N18" s="20">
        <v>5648</v>
      </c>
      <c r="O18" s="19">
        <v>46740</v>
      </c>
      <c r="P18" s="1">
        <v>1</v>
      </c>
      <c r="Q18" s="1">
        <v>24</v>
      </c>
      <c r="S18" s="1" t="s">
        <v>456</v>
      </c>
      <c r="T18" s="1">
        <f>7</f>
        <v>7</v>
      </c>
      <c r="U18" s="1">
        <f>Tabelle58971117[[#This Row],[max. Abrufhäufigkeit pro Woche]]*52.1428571428571</f>
        <v>364.99999999999972</v>
      </c>
      <c r="W18" s="8">
        <f>30*Umrechnungsfaktoren!$B$15/Umrechnungsfaktoren!$B$10</f>
        <v>31.614213197969544</v>
      </c>
      <c r="X18" s="8">
        <f>130*Umrechnungsfaktoren!$B$15/Umrechnungsfaktoren!$B$10</f>
        <v>136.99492385786803</v>
      </c>
      <c r="Z18" s="8">
        <f>0*Umrechnungsfaktoren!$B$15/Umrechnungsfaktoren!$B$10</f>
        <v>0</v>
      </c>
      <c r="AA18" s="8">
        <f>0*Umrechnungsfaktoren!$B$15/Umrechnungsfaktoren!$B$10</f>
        <v>0</v>
      </c>
      <c r="AB18" s="8">
        <f>0*Umrechnungsfaktoren!$B$15/Umrechnungsfaktoren!$B$10</f>
        <v>0</v>
      </c>
      <c r="AC18" s="8">
        <f>2*Umrechnungsfaktoren!$B$15/Umrechnungsfaktoren!$B$10</f>
        <v>2.1076142131979698</v>
      </c>
      <c r="AD18" s="8">
        <f>9*Umrechnungsfaktoren!$B$15/Umrechnungsfaktoren!$B$10</f>
        <v>9.4842639593908622</v>
      </c>
      <c r="AE18" s="1">
        <f>AVERAGE(Tabelle58971117[[#This Row],[fixe Kosten min. €_2020/kW*a]:[fixe Kosten max. €_2020/kW*a]])</f>
        <v>5.7959390862944158</v>
      </c>
      <c r="AF18" s="1">
        <v>22</v>
      </c>
      <c r="AG18" s="1">
        <v>22</v>
      </c>
      <c r="AH18" s="1">
        <v>22</v>
      </c>
      <c r="AI18" s="1">
        <v>22</v>
      </c>
      <c r="AJ18" s="1">
        <v>22</v>
      </c>
      <c r="AK18" s="1">
        <v>22</v>
      </c>
      <c r="AL18" s="1">
        <v>22</v>
      </c>
      <c r="AM18" s="1">
        <v>21</v>
      </c>
      <c r="AN18" s="1">
        <v>21</v>
      </c>
      <c r="AO18" s="1">
        <v>22</v>
      </c>
      <c r="AP18" s="1" t="s">
        <v>457</v>
      </c>
      <c r="AQ18" s="1" t="s">
        <v>457</v>
      </c>
      <c r="AR18" s="1" t="s">
        <v>457</v>
      </c>
    </row>
    <row r="19" spans="1:44" x14ac:dyDescent="0.25">
      <c r="A19" s="1" t="s">
        <v>135</v>
      </c>
      <c r="B19" s="1" t="s">
        <v>139</v>
      </c>
      <c r="C19" s="1">
        <v>2050</v>
      </c>
      <c r="D19" s="1">
        <v>1</v>
      </c>
      <c r="E19" s="1">
        <v>0</v>
      </c>
      <c r="F19" s="1">
        <v>0</v>
      </c>
      <c r="G19" s="19">
        <v>5648</v>
      </c>
      <c r="H19" s="19">
        <v>5648</v>
      </c>
      <c r="I19" s="19"/>
      <c r="J19" s="19"/>
      <c r="K19" s="19">
        <v>9932</v>
      </c>
      <c r="L19" s="19">
        <v>41092</v>
      </c>
      <c r="M19" s="9">
        <f>353/8760</f>
        <v>4.029680365296804E-2</v>
      </c>
      <c r="N19" s="20">
        <v>5648</v>
      </c>
      <c r="O19" s="19">
        <v>46740</v>
      </c>
      <c r="P19" s="1">
        <v>1</v>
      </c>
      <c r="Q19" s="1">
        <v>24</v>
      </c>
      <c r="S19" s="1" t="s">
        <v>456</v>
      </c>
      <c r="T19" s="1">
        <f>7</f>
        <v>7</v>
      </c>
      <c r="U19" s="1">
        <f>Tabelle58971117[[#This Row],[max. Abrufhäufigkeit pro Woche]]*52.1428571428571</f>
        <v>364.99999999999972</v>
      </c>
      <c r="W19" s="8"/>
      <c r="X19" s="8"/>
      <c r="Z19" s="8"/>
      <c r="AA19" s="8"/>
      <c r="AB19" s="8"/>
      <c r="AC19" s="8"/>
      <c r="AD19" s="8"/>
      <c r="AF19" s="1">
        <v>22</v>
      </c>
      <c r="AG19" s="1">
        <v>22</v>
      </c>
      <c r="AH19" s="1">
        <v>22</v>
      </c>
      <c r="AI19" s="1">
        <v>22</v>
      </c>
      <c r="AJ19" s="1">
        <v>22</v>
      </c>
      <c r="AK19" s="1">
        <v>22</v>
      </c>
      <c r="AL19" s="1">
        <v>22</v>
      </c>
      <c r="AM19" s="1">
        <v>21</v>
      </c>
      <c r="AN19" s="1">
        <v>21</v>
      </c>
      <c r="AO19" s="1">
        <v>22</v>
      </c>
      <c r="AP19" s="1" t="s">
        <v>457</v>
      </c>
      <c r="AQ19" s="1" t="s">
        <v>457</v>
      </c>
      <c r="AR19" s="1" t="s">
        <v>457</v>
      </c>
    </row>
    <row r="20" spans="1:44" x14ac:dyDescent="0.25">
      <c r="A20" s="1" t="s">
        <v>209</v>
      </c>
      <c r="B20" s="1" t="s">
        <v>127</v>
      </c>
      <c r="C20" s="1">
        <v>2013</v>
      </c>
      <c r="D20" s="1">
        <v>1</v>
      </c>
      <c r="E20" s="1">
        <v>0</v>
      </c>
      <c r="F20" s="1">
        <v>0</v>
      </c>
      <c r="G20" s="19">
        <v>776</v>
      </c>
      <c r="H20" s="19">
        <v>868</v>
      </c>
      <c r="I20" s="19"/>
      <c r="J20" s="19"/>
      <c r="K20" s="19">
        <v>1832</v>
      </c>
      <c r="L20" s="19">
        <v>1924</v>
      </c>
      <c r="M20" s="9">
        <f>421/8760</f>
        <v>4.8059360730593609E-2</v>
      </c>
      <c r="N20" s="20">
        <v>868</v>
      </c>
      <c r="O20" s="19">
        <v>2700</v>
      </c>
      <c r="R20" s="1">
        <v>0.25</v>
      </c>
      <c r="S20" s="1" t="s">
        <v>455</v>
      </c>
      <c r="W20" s="8"/>
      <c r="X20" s="8"/>
      <c r="Z20" s="8"/>
      <c r="AA20" s="8"/>
      <c r="AB20" s="8"/>
      <c r="AC20" s="8"/>
      <c r="AD20" s="8"/>
      <c r="AF20" s="1">
        <v>31</v>
      </c>
      <c r="AG20" s="1">
        <v>31</v>
      </c>
      <c r="AH20" s="1">
        <v>31</v>
      </c>
      <c r="AI20" s="1">
        <v>31</v>
      </c>
      <c r="AJ20" s="1">
        <v>31</v>
      </c>
      <c r="AK20" s="1">
        <v>31</v>
      </c>
      <c r="AL20" s="1">
        <v>31</v>
      </c>
      <c r="AM20" s="1">
        <v>31</v>
      </c>
      <c r="AN20" s="1">
        <v>31</v>
      </c>
      <c r="AP20" s="1">
        <v>32</v>
      </c>
      <c r="AQ20" s="1">
        <v>32</v>
      </c>
      <c r="AR20" s="1">
        <v>32</v>
      </c>
    </row>
    <row r="21" spans="1:44" x14ac:dyDescent="0.25">
      <c r="A21" s="1" t="s">
        <v>209</v>
      </c>
      <c r="B21" s="1" t="s">
        <v>127</v>
      </c>
      <c r="C21" s="1">
        <v>2023</v>
      </c>
      <c r="D21" s="1">
        <v>1</v>
      </c>
      <c r="E21" s="1">
        <v>0</v>
      </c>
      <c r="F21" s="1">
        <v>0</v>
      </c>
      <c r="G21" s="19">
        <v>13</v>
      </c>
      <c r="H21" s="19">
        <v>1370</v>
      </c>
      <c r="I21" s="19"/>
      <c r="J21" s="19"/>
      <c r="K21" s="19">
        <v>3087</v>
      </c>
      <c r="L21" s="19">
        <v>2630</v>
      </c>
      <c r="M21" s="9">
        <f>421/8760</f>
        <v>4.8059360730593609E-2</v>
      </c>
      <c r="N21" s="20">
        <v>1370</v>
      </c>
      <c r="O21" s="19">
        <v>5000</v>
      </c>
      <c r="R21" s="1">
        <v>0.25</v>
      </c>
      <c r="S21" s="1" t="s">
        <v>455</v>
      </c>
      <c r="W21" s="8"/>
      <c r="X21" s="8"/>
      <c r="Z21" s="8"/>
      <c r="AA21" s="8"/>
      <c r="AB21" s="8"/>
      <c r="AC21" s="8"/>
      <c r="AD21" s="8"/>
      <c r="AF21" s="1">
        <v>31</v>
      </c>
      <c r="AG21" s="1">
        <v>31</v>
      </c>
      <c r="AH21" s="1">
        <v>31</v>
      </c>
      <c r="AI21" s="1">
        <v>31</v>
      </c>
      <c r="AJ21" s="1">
        <v>31</v>
      </c>
      <c r="AK21" s="1">
        <v>31</v>
      </c>
      <c r="AL21" s="1">
        <v>31</v>
      </c>
      <c r="AM21" s="1">
        <v>31</v>
      </c>
      <c r="AN21" s="1">
        <v>31</v>
      </c>
      <c r="AP21" s="1">
        <v>32</v>
      </c>
      <c r="AQ21" s="1">
        <v>32</v>
      </c>
      <c r="AR21" s="1">
        <v>32</v>
      </c>
    </row>
    <row r="22" spans="1:44" x14ac:dyDescent="0.25">
      <c r="A22" s="1" t="s">
        <v>209</v>
      </c>
      <c r="B22" s="1" t="s">
        <v>127</v>
      </c>
      <c r="C22" s="1">
        <v>2050</v>
      </c>
      <c r="D22" s="1">
        <v>1</v>
      </c>
      <c r="E22" s="1">
        <v>0</v>
      </c>
      <c r="F22" s="1">
        <v>0</v>
      </c>
      <c r="G22" s="19">
        <v>1553</v>
      </c>
      <c r="H22" s="19">
        <v>1735</v>
      </c>
      <c r="I22" s="19"/>
      <c r="J22" s="19"/>
      <c r="K22" s="19">
        <v>3665</v>
      </c>
      <c r="L22" s="19">
        <v>3847</v>
      </c>
      <c r="M22" s="9">
        <f>421/8760</f>
        <v>4.8059360730593609E-2</v>
      </c>
      <c r="N22" s="20">
        <v>1735</v>
      </c>
      <c r="O22" s="19">
        <v>5400</v>
      </c>
      <c r="R22" s="1">
        <v>0.25</v>
      </c>
      <c r="S22" s="1" t="s">
        <v>455</v>
      </c>
      <c r="W22" s="8"/>
      <c r="X22" s="8"/>
      <c r="Y22" s="8">
        <f>25*Umrechnungsfaktoren!$B$15/Umrechnungsfaktoren!$B$10</f>
        <v>26.345177664974621</v>
      </c>
      <c r="Z22" s="8"/>
      <c r="AA22" s="8"/>
      <c r="AB22" s="8">
        <f>0*Umrechnungsfaktoren!$B$15/Umrechnungsfaktoren!$B$10</f>
        <v>0</v>
      </c>
      <c r="AC22" s="8"/>
      <c r="AD22" s="8"/>
      <c r="AE22" s="8">
        <f>10*Umrechnungsfaktoren!$B$15/Umrechnungsfaktoren!$B$10</f>
        <v>10.538071065989849</v>
      </c>
      <c r="AF22" s="1">
        <v>31</v>
      </c>
      <c r="AG22" s="1">
        <v>31</v>
      </c>
      <c r="AH22" s="1">
        <v>31</v>
      </c>
      <c r="AI22" s="1">
        <v>31</v>
      </c>
      <c r="AJ22" s="1">
        <v>31</v>
      </c>
      <c r="AK22" s="1">
        <v>31</v>
      </c>
      <c r="AL22" s="1">
        <v>31</v>
      </c>
      <c r="AM22" s="1">
        <v>31</v>
      </c>
      <c r="AN22" s="1">
        <v>31</v>
      </c>
      <c r="AP22" s="1">
        <v>32</v>
      </c>
      <c r="AQ22" s="1">
        <v>32</v>
      </c>
      <c r="AR22" s="1">
        <v>32</v>
      </c>
    </row>
    <row r="23" spans="1:44" x14ac:dyDescent="0.25">
      <c r="A23" s="1" t="s">
        <v>1064</v>
      </c>
      <c r="B23" s="1" t="s">
        <v>127</v>
      </c>
      <c r="C23" s="1">
        <v>2013</v>
      </c>
      <c r="D23" s="1">
        <v>1</v>
      </c>
      <c r="E23" s="1">
        <v>0</v>
      </c>
      <c r="F23" s="1">
        <v>0</v>
      </c>
      <c r="G23" s="19">
        <v>2922</v>
      </c>
      <c r="H23" s="19">
        <v>3002</v>
      </c>
      <c r="I23" s="19"/>
      <c r="J23" s="19"/>
      <c r="K23" s="19">
        <v>19732</v>
      </c>
      <c r="L23" s="19">
        <v>20272</v>
      </c>
      <c r="M23" s="9">
        <f>1130/8760</f>
        <v>0.12899543378995434</v>
      </c>
      <c r="N23" s="20">
        <v>3002</v>
      </c>
      <c r="O23" s="19">
        <v>23274</v>
      </c>
      <c r="R23" s="1">
        <v>0.25</v>
      </c>
      <c r="S23" s="1" t="s">
        <v>453</v>
      </c>
      <c r="W23" s="8"/>
      <c r="X23" s="8"/>
      <c r="Z23" s="8"/>
      <c r="AA23" s="8"/>
      <c r="AB23" s="8"/>
      <c r="AC23" s="8"/>
      <c r="AD23" s="8"/>
      <c r="AF23" s="1">
        <v>33</v>
      </c>
      <c r="AG23" s="1">
        <v>33</v>
      </c>
      <c r="AH23" s="1">
        <v>33</v>
      </c>
      <c r="AI23" s="1">
        <v>33</v>
      </c>
      <c r="AJ23" s="1">
        <v>32</v>
      </c>
      <c r="AK23" s="1">
        <v>32</v>
      </c>
      <c r="AL23" s="1">
        <v>32</v>
      </c>
      <c r="AM23" s="1">
        <v>32</v>
      </c>
      <c r="AN23" s="1">
        <v>32</v>
      </c>
      <c r="AP23" s="1">
        <v>33</v>
      </c>
      <c r="AQ23" s="1">
        <v>33</v>
      </c>
      <c r="AR23" s="1">
        <v>33</v>
      </c>
    </row>
    <row r="24" spans="1:44" x14ac:dyDescent="0.25">
      <c r="A24" s="1" t="s">
        <v>1064</v>
      </c>
      <c r="B24" s="1" t="s">
        <v>127</v>
      </c>
      <c r="C24" s="1">
        <v>2023</v>
      </c>
      <c r="D24" s="1">
        <v>1</v>
      </c>
      <c r="E24" s="1">
        <v>0</v>
      </c>
      <c r="F24" s="1">
        <v>0</v>
      </c>
      <c r="G24" s="19">
        <v>2801</v>
      </c>
      <c r="H24" s="19">
        <v>2950</v>
      </c>
      <c r="I24" s="19"/>
      <c r="J24" s="19"/>
      <c r="K24" s="19">
        <v>18194</v>
      </c>
      <c r="L24" s="19">
        <v>19917</v>
      </c>
      <c r="M24" s="9">
        <f>1130/8760</f>
        <v>0.12899543378995434</v>
      </c>
      <c r="N24" s="20">
        <v>2950</v>
      </c>
      <c r="O24" s="19">
        <v>22867</v>
      </c>
      <c r="R24" s="1">
        <v>0.25</v>
      </c>
      <c r="S24" s="1" t="s">
        <v>453</v>
      </c>
      <c r="W24" s="8"/>
      <c r="X24" s="8"/>
      <c r="Z24" s="8"/>
      <c r="AA24" s="8"/>
      <c r="AB24" s="8"/>
      <c r="AC24" s="8"/>
      <c r="AD24" s="8"/>
      <c r="AF24" s="1">
        <v>33</v>
      </c>
      <c r="AG24" s="1">
        <v>33</v>
      </c>
      <c r="AH24" s="1">
        <v>33</v>
      </c>
      <c r="AI24" s="1">
        <v>33</v>
      </c>
      <c r="AJ24" s="1">
        <v>32</v>
      </c>
      <c r="AK24" s="1">
        <v>32</v>
      </c>
      <c r="AL24" s="1">
        <v>32</v>
      </c>
      <c r="AM24" s="1">
        <v>32</v>
      </c>
      <c r="AN24" s="1">
        <v>32</v>
      </c>
      <c r="AP24" s="1">
        <v>33</v>
      </c>
      <c r="AQ24" s="1">
        <v>33</v>
      </c>
      <c r="AR24" s="1">
        <v>33</v>
      </c>
    </row>
    <row r="25" spans="1:44" x14ac:dyDescent="0.25">
      <c r="A25" s="1" t="s">
        <v>1064</v>
      </c>
      <c r="B25" s="1" t="s">
        <v>127</v>
      </c>
      <c r="C25" s="1">
        <v>2050</v>
      </c>
      <c r="D25" s="1">
        <v>1</v>
      </c>
      <c r="E25" s="1">
        <v>0</v>
      </c>
      <c r="F25" s="1">
        <v>0</v>
      </c>
      <c r="G25" s="19">
        <v>2569</v>
      </c>
      <c r="H25" s="19">
        <v>2847</v>
      </c>
      <c r="I25" s="19"/>
      <c r="J25" s="19"/>
      <c r="K25" s="19">
        <v>17344</v>
      </c>
      <c r="L25" s="19">
        <v>19220</v>
      </c>
      <c r="M25" s="9">
        <f>1130/8760</f>
        <v>0.12899543378995434</v>
      </c>
      <c r="N25" s="20">
        <v>2847</v>
      </c>
      <c r="O25" s="19">
        <v>22067</v>
      </c>
      <c r="R25" s="1">
        <v>0.25</v>
      </c>
      <c r="S25" s="1" t="s">
        <v>453</v>
      </c>
      <c r="W25" s="8"/>
      <c r="X25" s="8"/>
      <c r="Y25" s="8">
        <f>25*Umrechnungsfaktoren!$B$15/Umrechnungsfaktoren!$B$10</f>
        <v>26.345177664974621</v>
      </c>
      <c r="Z25" s="8"/>
      <c r="AA25" s="8"/>
      <c r="AB25" s="8">
        <f>0*Umrechnungsfaktoren!$B$15/Umrechnungsfaktoren!$B$10</f>
        <v>0</v>
      </c>
      <c r="AC25" s="8"/>
      <c r="AD25" s="8"/>
      <c r="AE25" s="8">
        <f>10*Umrechnungsfaktoren!$B$15/Umrechnungsfaktoren!$B$10</f>
        <v>10.538071065989849</v>
      </c>
      <c r="AF25" s="1">
        <v>33</v>
      </c>
      <c r="AG25" s="1">
        <v>33</v>
      </c>
      <c r="AH25" s="1">
        <v>33</v>
      </c>
      <c r="AI25" s="1">
        <v>33</v>
      </c>
      <c r="AJ25" s="1">
        <v>32</v>
      </c>
      <c r="AK25" s="1">
        <v>32</v>
      </c>
      <c r="AL25" s="1">
        <v>32</v>
      </c>
      <c r="AM25" s="1">
        <v>32</v>
      </c>
      <c r="AN25" s="1">
        <v>32</v>
      </c>
      <c r="AP25" s="1">
        <v>33</v>
      </c>
      <c r="AQ25" s="1">
        <v>33</v>
      </c>
      <c r="AR25" s="1">
        <v>33</v>
      </c>
    </row>
    <row r="26" spans="1:44" x14ac:dyDescent="0.25">
      <c r="A26" s="1" t="s">
        <v>206</v>
      </c>
      <c r="B26" s="1" t="s">
        <v>127</v>
      </c>
      <c r="C26" s="1">
        <v>2013</v>
      </c>
      <c r="D26" s="1">
        <v>1</v>
      </c>
      <c r="E26" s="1">
        <v>0</v>
      </c>
      <c r="F26" s="1">
        <v>0</v>
      </c>
      <c r="G26" s="19">
        <v>856</v>
      </c>
      <c r="H26" s="19">
        <v>913</v>
      </c>
      <c r="I26" s="19"/>
      <c r="J26" s="19"/>
      <c r="K26" s="19">
        <v>428</v>
      </c>
      <c r="L26" s="19">
        <v>457</v>
      </c>
      <c r="M26" s="9">
        <f>5840/8760</f>
        <v>0.66666666666666663</v>
      </c>
      <c r="N26" s="20">
        <v>913</v>
      </c>
      <c r="O26" s="19">
        <v>1370</v>
      </c>
      <c r="R26" s="1">
        <v>0.25</v>
      </c>
      <c r="S26" s="1" t="s">
        <v>459</v>
      </c>
      <c r="W26" s="8"/>
      <c r="X26" s="8"/>
      <c r="Z26" s="8"/>
      <c r="AA26" s="8"/>
      <c r="AB26" s="8"/>
      <c r="AC26" s="8"/>
      <c r="AD26" s="8"/>
      <c r="AF26" s="1">
        <v>34</v>
      </c>
      <c r="AG26" s="1">
        <v>34</v>
      </c>
      <c r="AH26" s="1">
        <v>34</v>
      </c>
      <c r="AI26" s="1">
        <v>34</v>
      </c>
      <c r="AJ26" s="1">
        <v>34</v>
      </c>
      <c r="AK26" s="1">
        <v>34</v>
      </c>
      <c r="AL26" s="1">
        <v>34</v>
      </c>
      <c r="AM26" s="1">
        <v>34</v>
      </c>
      <c r="AN26" s="1">
        <v>33</v>
      </c>
      <c r="AP26" s="1">
        <v>34</v>
      </c>
      <c r="AQ26" s="1">
        <v>34</v>
      </c>
      <c r="AR26" s="1">
        <v>34</v>
      </c>
    </row>
    <row r="27" spans="1:44" x14ac:dyDescent="0.25">
      <c r="A27" s="1" t="s">
        <v>206</v>
      </c>
      <c r="B27" s="1" t="s">
        <v>127</v>
      </c>
      <c r="C27" s="1">
        <v>2023</v>
      </c>
      <c r="D27" s="1">
        <v>1</v>
      </c>
      <c r="E27" s="1">
        <v>0</v>
      </c>
      <c r="F27" s="1">
        <v>0</v>
      </c>
      <c r="G27" s="19">
        <v>856</v>
      </c>
      <c r="H27" s="19">
        <v>913</v>
      </c>
      <c r="I27" s="19"/>
      <c r="J27" s="19"/>
      <c r="K27" s="19">
        <v>428</v>
      </c>
      <c r="L27" s="19">
        <v>457</v>
      </c>
      <c r="M27" s="9">
        <f>5840/8760</f>
        <v>0.66666666666666663</v>
      </c>
      <c r="N27" s="20">
        <v>913</v>
      </c>
      <c r="O27" s="19">
        <v>1370</v>
      </c>
      <c r="R27" s="1">
        <v>0.25</v>
      </c>
      <c r="S27" s="1" t="s">
        <v>459</v>
      </c>
      <c r="W27" s="8"/>
      <c r="X27" s="8"/>
      <c r="Z27" s="8"/>
      <c r="AA27" s="8"/>
      <c r="AB27" s="8"/>
      <c r="AC27" s="8"/>
      <c r="AD27" s="8"/>
      <c r="AF27" s="1">
        <v>34</v>
      </c>
      <c r="AG27" s="1">
        <v>34</v>
      </c>
      <c r="AH27" s="1">
        <v>34</v>
      </c>
      <c r="AI27" s="1">
        <v>34</v>
      </c>
      <c r="AJ27" s="1">
        <v>34</v>
      </c>
      <c r="AK27" s="1">
        <v>34</v>
      </c>
      <c r="AL27" s="1">
        <v>34</v>
      </c>
      <c r="AM27" s="1">
        <v>34</v>
      </c>
      <c r="AN27" s="1">
        <v>33</v>
      </c>
      <c r="AP27" s="1">
        <v>34</v>
      </c>
      <c r="AQ27" s="1">
        <v>34</v>
      </c>
      <c r="AR27" s="1">
        <v>34</v>
      </c>
    </row>
    <row r="28" spans="1:44" x14ac:dyDescent="0.25">
      <c r="A28" s="1" t="s">
        <v>206</v>
      </c>
      <c r="B28" s="1" t="s">
        <v>127</v>
      </c>
      <c r="C28" s="1">
        <v>2050</v>
      </c>
      <c r="D28" s="1">
        <v>1</v>
      </c>
      <c r="E28" s="1">
        <v>0</v>
      </c>
      <c r="F28" s="1">
        <v>0</v>
      </c>
      <c r="G28" s="19">
        <v>856</v>
      </c>
      <c r="H28" s="19">
        <v>913</v>
      </c>
      <c r="I28" s="19"/>
      <c r="J28" s="19"/>
      <c r="K28" s="19">
        <v>428</v>
      </c>
      <c r="L28" s="19">
        <v>457</v>
      </c>
      <c r="M28" s="9">
        <f>5840/8760</f>
        <v>0.66666666666666663</v>
      </c>
      <c r="N28" s="20">
        <v>913</v>
      </c>
      <c r="O28" s="19">
        <v>1370</v>
      </c>
      <c r="R28" s="1">
        <v>0.25</v>
      </c>
      <c r="S28" s="1" t="s">
        <v>459</v>
      </c>
      <c r="W28" s="8"/>
      <c r="X28" s="8"/>
      <c r="Y28" s="8">
        <f>25*Umrechnungsfaktoren!$B$15/Umrechnungsfaktoren!$B$10</f>
        <v>26.345177664974621</v>
      </c>
      <c r="Z28" s="8"/>
      <c r="AA28" s="8"/>
      <c r="AB28" s="8">
        <f>0*Umrechnungsfaktoren!$B$15/Umrechnungsfaktoren!$B$10</f>
        <v>0</v>
      </c>
      <c r="AC28" s="8"/>
      <c r="AD28" s="8"/>
      <c r="AE28" s="8">
        <f>10*Umrechnungsfaktoren!$B$15/Umrechnungsfaktoren!$B$10</f>
        <v>10.538071065989849</v>
      </c>
      <c r="AF28" s="1">
        <v>34</v>
      </c>
      <c r="AG28" s="1">
        <v>34</v>
      </c>
      <c r="AH28" s="1">
        <v>34</v>
      </c>
      <c r="AI28" s="1">
        <v>34</v>
      </c>
      <c r="AJ28" s="1">
        <v>34</v>
      </c>
      <c r="AK28" s="1">
        <v>34</v>
      </c>
      <c r="AL28" s="1">
        <v>34</v>
      </c>
      <c r="AM28" s="1">
        <v>34</v>
      </c>
      <c r="AN28" s="1">
        <v>33</v>
      </c>
      <c r="AP28" s="1">
        <v>34</v>
      </c>
      <c r="AQ28" s="1">
        <v>34</v>
      </c>
      <c r="AR28" s="1">
        <v>34</v>
      </c>
    </row>
    <row r="29" spans="1:44" x14ac:dyDescent="0.25">
      <c r="A29" s="1" t="s">
        <v>207</v>
      </c>
      <c r="B29" s="1" t="s">
        <v>127</v>
      </c>
      <c r="C29" s="1">
        <v>2013</v>
      </c>
      <c r="D29" s="1">
        <v>1</v>
      </c>
      <c r="E29" s="1">
        <v>0</v>
      </c>
      <c r="F29" s="1">
        <v>0</v>
      </c>
      <c r="G29" s="19">
        <v>982</v>
      </c>
      <c r="H29" s="19">
        <v>1027</v>
      </c>
      <c r="I29" s="19"/>
      <c r="J29" s="19"/>
      <c r="K29" s="19">
        <v>1963</v>
      </c>
      <c r="L29" s="19">
        <v>2055</v>
      </c>
      <c r="M29" s="9">
        <f>2920/8760</f>
        <v>0.33333333333333331</v>
      </c>
      <c r="N29" s="20">
        <v>1027</v>
      </c>
      <c r="O29" s="19">
        <v>3082</v>
      </c>
      <c r="R29" s="1">
        <v>0</v>
      </c>
      <c r="S29" s="1" t="s">
        <v>453</v>
      </c>
      <c r="W29" s="8"/>
      <c r="X29" s="8"/>
      <c r="Z29" s="8"/>
      <c r="AA29" s="8"/>
      <c r="AB29" s="8"/>
      <c r="AC29" s="8"/>
      <c r="AD29" s="8"/>
      <c r="AF29" s="1">
        <v>35</v>
      </c>
      <c r="AG29" s="1">
        <v>35</v>
      </c>
      <c r="AH29" s="1">
        <v>35</v>
      </c>
      <c r="AI29" s="1">
        <v>35</v>
      </c>
      <c r="AJ29" s="1">
        <v>35</v>
      </c>
      <c r="AK29" s="1">
        <v>35</v>
      </c>
      <c r="AL29" s="1">
        <v>35</v>
      </c>
      <c r="AM29" s="1">
        <v>35</v>
      </c>
      <c r="AN29" s="1">
        <v>35</v>
      </c>
      <c r="AP29" s="1">
        <v>36</v>
      </c>
      <c r="AQ29" s="1">
        <v>36</v>
      </c>
      <c r="AR29" s="1">
        <v>36</v>
      </c>
    </row>
    <row r="30" spans="1:44" x14ac:dyDescent="0.25">
      <c r="A30" s="1" t="s">
        <v>207</v>
      </c>
      <c r="B30" s="1" t="s">
        <v>127</v>
      </c>
      <c r="C30" s="1">
        <v>2023</v>
      </c>
      <c r="D30" s="1">
        <v>1</v>
      </c>
      <c r="E30" s="1">
        <v>0</v>
      </c>
      <c r="F30" s="1">
        <v>0</v>
      </c>
      <c r="G30" s="19">
        <v>982</v>
      </c>
      <c r="H30" s="19">
        <v>1027</v>
      </c>
      <c r="I30" s="19"/>
      <c r="J30" s="19"/>
      <c r="K30" s="19">
        <v>1963</v>
      </c>
      <c r="L30" s="19">
        <v>2055</v>
      </c>
      <c r="M30" s="9">
        <f>2920/8760</f>
        <v>0.33333333333333331</v>
      </c>
      <c r="N30" s="20">
        <v>1027</v>
      </c>
      <c r="O30" s="19">
        <v>3082</v>
      </c>
      <c r="R30" s="1">
        <v>1</v>
      </c>
      <c r="S30" s="1" t="s">
        <v>453</v>
      </c>
      <c r="W30" s="8"/>
      <c r="X30" s="8"/>
      <c r="Z30" s="8"/>
      <c r="AA30" s="8"/>
      <c r="AB30" s="8"/>
      <c r="AC30" s="8"/>
      <c r="AD30" s="8"/>
      <c r="AF30" s="1">
        <v>35</v>
      </c>
      <c r="AG30" s="1">
        <v>35</v>
      </c>
      <c r="AH30" s="1">
        <v>35</v>
      </c>
      <c r="AI30" s="1">
        <v>35</v>
      </c>
      <c r="AJ30" s="1">
        <v>35</v>
      </c>
      <c r="AK30" s="1">
        <v>35</v>
      </c>
      <c r="AL30" s="1">
        <v>35</v>
      </c>
      <c r="AM30" s="1">
        <v>35</v>
      </c>
      <c r="AN30" s="1">
        <v>35</v>
      </c>
      <c r="AP30" s="1">
        <v>36</v>
      </c>
      <c r="AQ30" s="1">
        <v>36</v>
      </c>
      <c r="AR30" s="1">
        <v>36</v>
      </c>
    </row>
    <row r="31" spans="1:44" x14ac:dyDescent="0.25">
      <c r="A31" s="1" t="s">
        <v>207</v>
      </c>
      <c r="B31" s="1" t="s">
        <v>127</v>
      </c>
      <c r="C31" s="1">
        <v>2050</v>
      </c>
      <c r="D31" s="1">
        <v>1</v>
      </c>
      <c r="E31" s="1">
        <v>0</v>
      </c>
      <c r="F31" s="1">
        <v>0</v>
      </c>
      <c r="G31" s="19">
        <v>982</v>
      </c>
      <c r="H31" s="19">
        <v>1027</v>
      </c>
      <c r="I31" s="19"/>
      <c r="J31" s="19"/>
      <c r="K31" s="19">
        <v>1963</v>
      </c>
      <c r="L31" s="19">
        <v>2055</v>
      </c>
      <c r="M31" s="9">
        <f>2920/8760</f>
        <v>0.33333333333333331</v>
      </c>
      <c r="N31" s="20">
        <v>1027</v>
      </c>
      <c r="O31" s="19">
        <v>3082</v>
      </c>
      <c r="R31" s="1">
        <v>1</v>
      </c>
      <c r="S31" s="1" t="s">
        <v>453</v>
      </c>
      <c r="W31" s="8"/>
      <c r="X31" s="8"/>
      <c r="Y31" s="8">
        <f>25*Umrechnungsfaktoren!$B$15/Umrechnungsfaktoren!$B$10</f>
        <v>26.345177664974621</v>
      </c>
      <c r="Z31" s="8"/>
      <c r="AA31" s="8"/>
      <c r="AB31" s="8">
        <f>0*Umrechnungsfaktoren!$B$15/Umrechnungsfaktoren!$B$10</f>
        <v>0</v>
      </c>
      <c r="AC31" s="8"/>
      <c r="AD31" s="8"/>
      <c r="AE31" s="8">
        <f>10*Umrechnungsfaktoren!$B$15/Umrechnungsfaktoren!$B$10</f>
        <v>10.538071065989849</v>
      </c>
      <c r="AF31" s="1">
        <v>35</v>
      </c>
      <c r="AG31" s="1">
        <v>35</v>
      </c>
      <c r="AH31" s="1">
        <v>35</v>
      </c>
      <c r="AI31" s="1">
        <v>35</v>
      </c>
      <c r="AJ31" s="1">
        <v>35</v>
      </c>
      <c r="AK31" s="1">
        <v>35</v>
      </c>
      <c r="AL31" s="1">
        <v>35</v>
      </c>
      <c r="AM31" s="1">
        <v>35</v>
      </c>
      <c r="AN31" s="1">
        <v>35</v>
      </c>
      <c r="AP31" s="1">
        <v>36</v>
      </c>
      <c r="AQ31" s="1">
        <v>36</v>
      </c>
      <c r="AR31" s="1">
        <v>36</v>
      </c>
    </row>
    <row r="32" spans="1:44" x14ac:dyDescent="0.25">
      <c r="A32" s="1" t="s">
        <v>210</v>
      </c>
      <c r="B32" s="1" t="s">
        <v>127</v>
      </c>
      <c r="C32" s="1">
        <v>2013</v>
      </c>
      <c r="D32" s="1">
        <v>1</v>
      </c>
      <c r="E32" s="1">
        <v>0</v>
      </c>
      <c r="F32" s="1">
        <v>0</v>
      </c>
      <c r="G32" s="19">
        <v>1575</v>
      </c>
      <c r="H32" s="19">
        <v>1918</v>
      </c>
      <c r="I32" s="19"/>
      <c r="J32" s="19"/>
      <c r="K32" s="19">
        <v>9206</v>
      </c>
      <c r="L32" s="19">
        <v>11207</v>
      </c>
      <c r="M32" s="9">
        <f>640/8760</f>
        <v>7.3059360730593603E-2</v>
      </c>
      <c r="N32" s="20">
        <v>1918</v>
      </c>
      <c r="O32" s="19">
        <v>13125</v>
      </c>
      <c r="P32" s="1">
        <v>0.25</v>
      </c>
      <c r="Q32" s="1">
        <v>1</v>
      </c>
      <c r="S32" s="1" t="s">
        <v>460</v>
      </c>
      <c r="W32" s="8"/>
      <c r="X32" s="8"/>
      <c r="Z32" s="8"/>
      <c r="AA32" s="8"/>
      <c r="AB32" s="8"/>
      <c r="AC32" s="8"/>
      <c r="AD32" s="8"/>
      <c r="AF32" s="1">
        <v>36</v>
      </c>
      <c r="AG32" s="1">
        <v>36</v>
      </c>
      <c r="AH32" s="1">
        <v>36</v>
      </c>
      <c r="AI32" s="1">
        <v>36</v>
      </c>
      <c r="AJ32" s="1">
        <v>36</v>
      </c>
      <c r="AK32" s="1">
        <v>36</v>
      </c>
      <c r="AL32" s="1">
        <v>36</v>
      </c>
      <c r="AM32" s="1">
        <v>36</v>
      </c>
      <c r="AN32" s="1">
        <v>36</v>
      </c>
      <c r="AP32" s="1">
        <v>37</v>
      </c>
      <c r="AQ32" s="1">
        <v>37</v>
      </c>
      <c r="AR32" s="1">
        <v>37</v>
      </c>
    </row>
    <row r="33" spans="1:44" x14ac:dyDescent="0.25">
      <c r="A33" s="1" t="s">
        <v>210</v>
      </c>
      <c r="B33" s="1" t="s">
        <v>127</v>
      </c>
      <c r="C33" s="1">
        <v>2023</v>
      </c>
      <c r="D33" s="1">
        <v>1</v>
      </c>
      <c r="E33" s="1">
        <v>0</v>
      </c>
      <c r="F33" s="1">
        <v>0</v>
      </c>
      <c r="G33" s="19">
        <v>1575</v>
      </c>
      <c r="H33" s="19">
        <v>1918</v>
      </c>
      <c r="I33" s="19"/>
      <c r="J33" s="19"/>
      <c r="K33" s="19">
        <v>9206</v>
      </c>
      <c r="L33" s="19">
        <v>11207</v>
      </c>
      <c r="M33" s="9">
        <f>640/8760</f>
        <v>7.3059360730593603E-2</v>
      </c>
      <c r="N33" s="20">
        <v>1918</v>
      </c>
      <c r="O33" s="19">
        <v>13125</v>
      </c>
      <c r="P33" s="1">
        <v>0.25</v>
      </c>
      <c r="Q33" s="1">
        <v>1</v>
      </c>
      <c r="S33" s="1" t="s">
        <v>460</v>
      </c>
      <c r="W33" s="8"/>
      <c r="X33" s="8"/>
      <c r="Z33" s="8"/>
      <c r="AA33" s="8"/>
      <c r="AB33" s="8"/>
      <c r="AC33" s="8"/>
      <c r="AD33" s="8"/>
      <c r="AF33" s="1">
        <v>36</v>
      </c>
      <c r="AG33" s="1">
        <v>36</v>
      </c>
      <c r="AH33" s="1">
        <v>36</v>
      </c>
      <c r="AI33" s="1">
        <v>36</v>
      </c>
      <c r="AJ33" s="1">
        <v>36</v>
      </c>
      <c r="AK33" s="1">
        <v>36</v>
      </c>
      <c r="AL33" s="1">
        <v>36</v>
      </c>
      <c r="AM33" s="1">
        <v>36</v>
      </c>
      <c r="AN33" s="1">
        <v>36</v>
      </c>
      <c r="AP33" s="1">
        <v>37</v>
      </c>
      <c r="AQ33" s="1">
        <v>37</v>
      </c>
      <c r="AR33" s="1">
        <v>37</v>
      </c>
    </row>
    <row r="34" spans="1:44" x14ac:dyDescent="0.25">
      <c r="A34" s="1" t="s">
        <v>210</v>
      </c>
      <c r="B34" s="1" t="s">
        <v>127</v>
      </c>
      <c r="C34" s="1">
        <v>2050</v>
      </c>
      <c r="D34" s="1">
        <v>1</v>
      </c>
      <c r="E34" s="1">
        <v>0</v>
      </c>
      <c r="F34" s="1">
        <v>0</v>
      </c>
      <c r="G34" s="19">
        <v>1575</v>
      </c>
      <c r="H34" s="19">
        <v>1918</v>
      </c>
      <c r="I34" s="19"/>
      <c r="J34" s="19"/>
      <c r="K34" s="19">
        <v>9206</v>
      </c>
      <c r="L34" s="19">
        <v>11207</v>
      </c>
      <c r="M34" s="9">
        <f>640/8760</f>
        <v>7.3059360730593603E-2</v>
      </c>
      <c r="N34" s="20">
        <v>1918</v>
      </c>
      <c r="O34" s="19">
        <v>13125</v>
      </c>
      <c r="P34" s="1">
        <v>0.25</v>
      </c>
      <c r="Q34" s="1">
        <v>1</v>
      </c>
      <c r="S34" s="1" t="s">
        <v>460</v>
      </c>
      <c r="W34" s="8"/>
      <c r="X34" s="8"/>
      <c r="Y34" s="8">
        <f>25*Umrechnungsfaktoren!$B$15/Umrechnungsfaktoren!$B$10</f>
        <v>26.345177664974621</v>
      </c>
      <c r="Z34" s="8"/>
      <c r="AA34" s="8"/>
      <c r="AB34" s="8">
        <f>0*Umrechnungsfaktoren!$B$15/Umrechnungsfaktoren!$B$10</f>
        <v>0</v>
      </c>
      <c r="AC34" s="8"/>
      <c r="AD34" s="8"/>
      <c r="AE34" s="8">
        <f>10*Umrechnungsfaktoren!$B$15/Umrechnungsfaktoren!$B$10</f>
        <v>10.538071065989849</v>
      </c>
      <c r="AF34" s="1">
        <v>36</v>
      </c>
      <c r="AG34" s="1">
        <v>36</v>
      </c>
      <c r="AH34" s="1">
        <v>36</v>
      </c>
      <c r="AI34" s="1">
        <v>36</v>
      </c>
      <c r="AJ34" s="1">
        <v>36</v>
      </c>
      <c r="AK34" s="1">
        <v>36</v>
      </c>
      <c r="AL34" s="1">
        <v>36</v>
      </c>
      <c r="AM34" s="1">
        <v>36</v>
      </c>
      <c r="AN34" s="1">
        <v>36</v>
      </c>
      <c r="AP34" s="1">
        <v>37</v>
      </c>
      <c r="AQ34" s="1">
        <v>37</v>
      </c>
      <c r="AR34" s="1">
        <v>37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Dropdown!$C$2:$C$4</xm:f>
          </x14:formula1>
          <xm:sqref>B2:B34</xm:sqref>
        </x14:dataValidation>
        <x14:dataValidation type="list" allowBlank="1" showInputMessage="1" showErrorMessage="1" xr:uid="{00000000-0002-0000-0E00-000001000000}">
          <x14:formula1>
            <xm:f>Dropdown!$A$2:$A$54</xm:f>
          </x14:formula1>
          <xm:sqref>A2:A22</xm:sqref>
        </x14:dataValidation>
        <x14:dataValidation type="list" allowBlank="1" showInputMessage="1" showErrorMessage="1" xr:uid="{00000000-0002-0000-0E00-000002000000}">
          <x14:formula1>
            <xm:f>Dropdown!$A$2:$A92</xm:f>
          </x14:formula1>
          <xm:sqref>A23:A31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3"/>
  <dimension ref="A1:H22"/>
  <sheetViews>
    <sheetView zoomScaleNormal="100" workbookViewId="0">
      <selection activeCell="D8" sqref="D8:E21"/>
    </sheetView>
  </sheetViews>
  <sheetFormatPr baseColWidth="10" defaultColWidth="11.453125" defaultRowHeight="12.5" x14ac:dyDescent="0.25"/>
  <cols>
    <col min="1" max="1" width="23.26953125" style="1" bestFit="1" customWidth="1"/>
    <col min="2" max="2" width="23.26953125" style="1" customWidth="1"/>
    <col min="3" max="3" width="11.453125" style="1"/>
    <col min="4" max="4" width="38.26953125" style="1" bestFit="1" customWidth="1"/>
    <col min="5" max="5" width="38.26953125" style="1" customWidth="1"/>
    <col min="6" max="6" width="25" style="1" bestFit="1" customWidth="1"/>
    <col min="7" max="7" width="17.81640625" style="1" bestFit="1" customWidth="1"/>
    <col min="8" max="8" width="30.7265625" style="1" bestFit="1" customWidth="1"/>
    <col min="9" max="16384" width="11.453125" style="1"/>
  </cols>
  <sheetData>
    <row r="1" spans="1:8" ht="13" x14ac:dyDescent="0.3">
      <c r="A1" s="2" t="s">
        <v>0</v>
      </c>
      <c r="B1" s="2" t="s">
        <v>128</v>
      </c>
      <c r="C1" s="2" t="s">
        <v>8</v>
      </c>
      <c r="D1" s="2" t="s">
        <v>533</v>
      </c>
      <c r="E1" s="2" t="s">
        <v>532</v>
      </c>
      <c r="F1" s="2" t="s">
        <v>506</v>
      </c>
      <c r="G1" s="1" t="s">
        <v>156</v>
      </c>
      <c r="H1" s="1" t="s">
        <v>26</v>
      </c>
    </row>
    <row r="2" spans="1:8" x14ac:dyDescent="0.25">
      <c r="A2" s="1" t="s">
        <v>138</v>
      </c>
      <c r="B2" s="30" t="s">
        <v>139</v>
      </c>
      <c r="C2" s="6"/>
      <c r="D2" s="16"/>
      <c r="E2" s="6"/>
      <c r="F2" s="6">
        <v>-10</v>
      </c>
      <c r="G2" s="27">
        <v>2</v>
      </c>
      <c r="H2" s="1" t="s">
        <v>507</v>
      </c>
    </row>
    <row r="3" spans="1:8" x14ac:dyDescent="0.25">
      <c r="A3" s="1" t="s">
        <v>138</v>
      </c>
      <c r="B3" s="30" t="s">
        <v>139</v>
      </c>
      <c r="D3" s="9"/>
      <c r="F3" s="1">
        <v>-5</v>
      </c>
      <c r="G3" s="27">
        <v>2</v>
      </c>
      <c r="H3" s="1" t="s">
        <v>507</v>
      </c>
    </row>
    <row r="4" spans="1:8" x14ac:dyDescent="0.25">
      <c r="A4" s="1" t="s">
        <v>138</v>
      </c>
      <c r="B4" s="30" t="s">
        <v>139</v>
      </c>
      <c r="C4" s="6"/>
      <c r="D4" s="16"/>
      <c r="E4" s="6"/>
      <c r="F4" s="6">
        <v>0</v>
      </c>
      <c r="G4" s="27">
        <v>3</v>
      </c>
      <c r="H4" s="1" t="s">
        <v>507</v>
      </c>
    </row>
    <row r="5" spans="1:8" x14ac:dyDescent="0.25">
      <c r="A5" s="1" t="s">
        <v>138</v>
      </c>
      <c r="B5" s="30" t="s">
        <v>139</v>
      </c>
      <c r="D5" s="9"/>
      <c r="F5" s="1">
        <v>5</v>
      </c>
      <c r="G5" s="27">
        <v>5</v>
      </c>
      <c r="H5" s="1" t="s">
        <v>507</v>
      </c>
    </row>
    <row r="6" spans="1:8" x14ac:dyDescent="0.25">
      <c r="A6" s="1" t="s">
        <v>138</v>
      </c>
      <c r="B6" s="30" t="s">
        <v>139</v>
      </c>
      <c r="C6" s="6"/>
      <c r="D6" s="16"/>
      <c r="E6" s="6"/>
      <c r="F6" s="6">
        <v>10</v>
      </c>
      <c r="G6" s="27">
        <v>10</v>
      </c>
      <c r="H6" s="1" t="s">
        <v>507</v>
      </c>
    </row>
    <row r="7" spans="1:8" x14ac:dyDescent="0.25">
      <c r="A7" s="1" t="s">
        <v>138</v>
      </c>
      <c r="B7" s="30" t="s">
        <v>139</v>
      </c>
      <c r="D7" s="9"/>
      <c r="F7" s="1">
        <v>15</v>
      </c>
      <c r="G7" s="27">
        <v>30</v>
      </c>
      <c r="H7" s="1" t="s">
        <v>507</v>
      </c>
    </row>
    <row r="8" spans="1:8" x14ac:dyDescent="0.25">
      <c r="A8" s="1" t="s">
        <v>219</v>
      </c>
      <c r="B8" s="30" t="s">
        <v>126</v>
      </c>
      <c r="C8" s="6">
        <v>2020</v>
      </c>
      <c r="D8" s="16">
        <v>0.73</v>
      </c>
      <c r="E8" s="16">
        <v>1.45</v>
      </c>
      <c r="F8" s="6"/>
      <c r="G8" s="27"/>
      <c r="H8" s="1" t="s">
        <v>534</v>
      </c>
    </row>
    <row r="9" spans="1:8" x14ac:dyDescent="0.25">
      <c r="A9" s="1" t="s">
        <v>219</v>
      </c>
      <c r="B9" s="30" t="s">
        <v>126</v>
      </c>
      <c r="C9" s="1">
        <v>2025</v>
      </c>
      <c r="D9" s="9">
        <v>0.69</v>
      </c>
      <c r="E9" s="9">
        <v>1.52</v>
      </c>
      <c r="G9" s="27"/>
      <c r="H9" s="1" t="s">
        <v>534</v>
      </c>
    </row>
    <row r="10" spans="1:8" x14ac:dyDescent="0.25">
      <c r="A10" s="1" t="s">
        <v>219</v>
      </c>
      <c r="B10" s="30" t="s">
        <v>126</v>
      </c>
      <c r="C10" s="6">
        <v>2030</v>
      </c>
      <c r="D10" s="16">
        <v>0.65</v>
      </c>
      <c r="E10" s="16">
        <v>1.58</v>
      </c>
      <c r="F10" s="6"/>
      <c r="G10" s="27"/>
      <c r="H10" s="1" t="s">
        <v>534</v>
      </c>
    </row>
    <row r="11" spans="1:8" x14ac:dyDescent="0.25">
      <c r="A11" s="1" t="s">
        <v>535</v>
      </c>
      <c r="B11" s="30" t="s">
        <v>126</v>
      </c>
      <c r="C11" s="1">
        <v>2020</v>
      </c>
      <c r="D11" s="9">
        <v>1.01</v>
      </c>
      <c r="E11" s="9">
        <v>1.28</v>
      </c>
      <c r="G11" s="27"/>
      <c r="H11" s="1" t="s">
        <v>534</v>
      </c>
    </row>
    <row r="12" spans="1:8" x14ac:dyDescent="0.25">
      <c r="A12" s="1" t="s">
        <v>535</v>
      </c>
      <c r="B12" s="30" t="s">
        <v>126</v>
      </c>
      <c r="C12" s="6">
        <v>2025</v>
      </c>
      <c r="D12" s="16">
        <v>1.01</v>
      </c>
      <c r="E12" s="16">
        <v>1.32</v>
      </c>
      <c r="F12" s="6"/>
      <c r="G12" s="27"/>
      <c r="H12" s="1" t="s">
        <v>534</v>
      </c>
    </row>
    <row r="13" spans="1:8" x14ac:dyDescent="0.25">
      <c r="A13" s="1" t="s">
        <v>535</v>
      </c>
      <c r="B13" s="30" t="s">
        <v>126</v>
      </c>
      <c r="C13" s="1">
        <v>2030</v>
      </c>
      <c r="D13" s="9">
        <v>1.01</v>
      </c>
      <c r="E13" s="9">
        <v>1.37</v>
      </c>
      <c r="G13" s="27"/>
      <c r="H13" s="1" t="s">
        <v>534</v>
      </c>
    </row>
    <row r="14" spans="1:8" x14ac:dyDescent="0.25">
      <c r="A14" s="1" t="s">
        <v>536</v>
      </c>
      <c r="B14" s="30" t="s">
        <v>126</v>
      </c>
      <c r="C14" s="6">
        <v>2020</v>
      </c>
      <c r="D14" s="16">
        <v>0.76</v>
      </c>
      <c r="E14" s="16">
        <v>0.95</v>
      </c>
      <c r="F14" s="6"/>
      <c r="G14" s="27"/>
      <c r="H14" s="1" t="s">
        <v>534</v>
      </c>
    </row>
    <row r="15" spans="1:8" x14ac:dyDescent="0.25">
      <c r="A15" s="1" t="s">
        <v>536</v>
      </c>
      <c r="B15" s="30" t="s">
        <v>126</v>
      </c>
      <c r="C15" s="1">
        <v>2025</v>
      </c>
      <c r="D15" s="9">
        <v>0.71</v>
      </c>
      <c r="E15" s="9">
        <v>0.94</v>
      </c>
      <c r="G15" s="27"/>
      <c r="H15" s="1" t="s">
        <v>534</v>
      </c>
    </row>
    <row r="16" spans="1:8" x14ac:dyDescent="0.25">
      <c r="A16" s="1" t="s">
        <v>536</v>
      </c>
      <c r="B16" s="30" t="s">
        <v>126</v>
      </c>
      <c r="C16" s="6">
        <v>2030</v>
      </c>
      <c r="D16" s="16">
        <v>0.67</v>
      </c>
      <c r="E16" s="16">
        <v>0.93</v>
      </c>
      <c r="F16" s="6"/>
      <c r="G16" s="27"/>
      <c r="H16" s="1" t="s">
        <v>534</v>
      </c>
    </row>
    <row r="17" spans="1:8" x14ac:dyDescent="0.25">
      <c r="A17" s="1" t="s">
        <v>208</v>
      </c>
      <c r="B17" s="30" t="s">
        <v>126</v>
      </c>
      <c r="C17" s="1">
        <v>2020</v>
      </c>
      <c r="D17" s="9">
        <v>0.85</v>
      </c>
      <c r="E17" s="9">
        <v>1.2</v>
      </c>
      <c r="G17" s="27"/>
      <c r="H17" s="1" t="s">
        <v>534</v>
      </c>
    </row>
    <row r="18" spans="1:8" x14ac:dyDescent="0.25">
      <c r="A18" s="1" t="s">
        <v>208</v>
      </c>
      <c r="B18" s="30" t="s">
        <v>126</v>
      </c>
      <c r="C18" s="6">
        <v>2025</v>
      </c>
      <c r="D18" s="16">
        <v>0.82</v>
      </c>
      <c r="E18" s="16">
        <v>1.25</v>
      </c>
      <c r="F18" s="6"/>
      <c r="G18" s="27"/>
      <c r="H18" s="1" t="s">
        <v>534</v>
      </c>
    </row>
    <row r="19" spans="1:8" x14ac:dyDescent="0.25">
      <c r="A19" s="1" t="s">
        <v>208</v>
      </c>
      <c r="B19" s="30" t="s">
        <v>126</v>
      </c>
      <c r="C19" s="1">
        <v>2030</v>
      </c>
      <c r="D19" s="9">
        <v>0.78</v>
      </c>
      <c r="E19" s="9">
        <v>1.29</v>
      </c>
      <c r="G19" s="27"/>
      <c r="H19" s="1" t="s">
        <v>534</v>
      </c>
    </row>
    <row r="20" spans="1:8" x14ac:dyDescent="0.25">
      <c r="A20" s="1" t="s">
        <v>537</v>
      </c>
      <c r="B20" s="30" t="s">
        <v>126</v>
      </c>
      <c r="C20" s="6">
        <v>2020</v>
      </c>
      <c r="D20" s="16">
        <v>0.83</v>
      </c>
      <c r="E20" s="16">
        <v>1.03</v>
      </c>
      <c r="F20" s="6"/>
      <c r="G20" s="27"/>
      <c r="H20" s="1" t="s">
        <v>534</v>
      </c>
    </row>
    <row r="21" spans="1:8" x14ac:dyDescent="0.25">
      <c r="A21" s="1" t="s">
        <v>537</v>
      </c>
      <c r="B21" s="30" t="s">
        <v>126</v>
      </c>
      <c r="C21" s="1">
        <v>2025</v>
      </c>
      <c r="D21" s="9">
        <v>0.79</v>
      </c>
      <c r="E21" s="9">
        <v>1.03</v>
      </c>
      <c r="G21" s="27"/>
      <c r="H21" s="1" t="s">
        <v>534</v>
      </c>
    </row>
    <row r="22" spans="1:8" x14ac:dyDescent="0.25">
      <c r="A22" s="1" t="s">
        <v>537</v>
      </c>
      <c r="B22" s="30" t="s">
        <v>126</v>
      </c>
      <c r="C22" s="6">
        <v>2030</v>
      </c>
      <c r="D22" s="16">
        <v>0.76</v>
      </c>
      <c r="E22" s="16">
        <v>1.04</v>
      </c>
      <c r="F22" s="6"/>
      <c r="G22" s="27"/>
      <c r="H22" s="1" t="s">
        <v>534</v>
      </c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0000000}">
          <x14:formula1>
            <xm:f>Dropdown!$C$2:$C$4</xm:f>
          </x14:formula1>
          <xm:sqref>B2:B22</xm:sqref>
        </x14:dataValidation>
        <x14:dataValidation type="list" allowBlank="1" showInputMessage="1" showErrorMessage="1" xr:uid="{00000000-0002-0000-1000-000001000000}">
          <x14:formula1>
            <xm:f>Dropdown!$A$2:$A$91</xm:f>
          </x14:formula1>
          <xm:sqref>A2:A22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D3C-0458-4A0F-A3B7-F773E722393F}">
  <sheetPr codeName="Tabelle31"/>
  <dimension ref="A1:GK433"/>
  <sheetViews>
    <sheetView zoomScale="70" zoomScaleNormal="70" workbookViewId="0">
      <pane xSplit="7" ySplit="1" topLeftCell="H365" activePane="bottomRight" state="frozen"/>
      <selection pane="topRight" activeCell="D1" sqref="D1"/>
      <selection pane="bottomLeft" activeCell="A2" sqref="A2"/>
      <selection pane="bottomRight" activeCell="C145" sqref="C145"/>
    </sheetView>
  </sheetViews>
  <sheetFormatPr baseColWidth="10" defaultColWidth="11.453125" defaultRowHeight="12.5" x14ac:dyDescent="0.25"/>
  <cols>
    <col min="1" max="1" width="23.81640625" style="1" customWidth="1"/>
    <col min="2" max="2" width="28.26953125" style="1" customWidth="1"/>
    <col min="3" max="3" width="26.453125" style="1" customWidth="1"/>
    <col min="4" max="4" width="14.81640625" style="1" customWidth="1"/>
    <col min="5" max="5" width="11.26953125" style="1" customWidth="1"/>
    <col min="6" max="6" width="12.54296875" style="1" customWidth="1"/>
    <col min="7" max="7" width="9.54296875" style="1" bestFit="1" customWidth="1"/>
    <col min="8" max="8" width="23.453125" style="1" bestFit="1" customWidth="1"/>
    <col min="9" max="9" width="17.7265625" style="1" bestFit="1" customWidth="1"/>
    <col min="10" max="10" width="17.7265625" style="1" customWidth="1"/>
    <col min="11" max="11" width="28.81640625" style="1" bestFit="1" customWidth="1"/>
    <col min="12" max="12" width="38.81640625" style="1" bestFit="1" customWidth="1"/>
    <col min="13" max="13" width="29.26953125" style="1" bestFit="1" customWidth="1"/>
    <col min="14" max="67" width="29.26953125" style="1" customWidth="1"/>
    <col min="68" max="70" width="24.54296875" style="1" customWidth="1"/>
    <col min="71" max="71" width="24.453125" style="1" bestFit="1" customWidth="1"/>
    <col min="72" max="110" width="24.453125" style="1" customWidth="1"/>
    <col min="111" max="111" width="27.81640625" style="1" customWidth="1"/>
    <col min="112" max="112" width="27.1796875" style="1" bestFit="1" customWidth="1"/>
    <col min="113" max="113" width="29" style="1" bestFit="1" customWidth="1"/>
    <col min="114" max="119" width="24.7265625" style="1" customWidth="1"/>
    <col min="120" max="122" width="28.453125" style="1" customWidth="1"/>
    <col min="123" max="123" width="27.453125" style="1" bestFit="1" customWidth="1"/>
    <col min="124" max="130" width="27.453125" style="1" customWidth="1"/>
    <col min="131" max="133" width="20.7265625" style="1" customWidth="1"/>
    <col min="134" max="134" width="24.1796875" style="1" customWidth="1"/>
    <col min="135" max="135" width="20.7265625" style="1" customWidth="1"/>
    <col min="136" max="136" width="25.81640625" style="1" bestFit="1" customWidth="1"/>
    <col min="137" max="138" width="25.81640625" style="1" customWidth="1"/>
    <col min="139" max="139" width="29.7265625" style="1" bestFit="1" customWidth="1"/>
    <col min="140" max="140" width="24" style="1" bestFit="1" customWidth="1"/>
    <col min="141" max="141" width="38.26953125" style="1" bestFit="1" customWidth="1"/>
    <col min="142" max="164" width="38.26953125" style="1" customWidth="1"/>
    <col min="165" max="165" width="33.453125" style="1" bestFit="1" customWidth="1"/>
    <col min="166" max="167" width="33.453125" style="1" customWidth="1"/>
    <col min="168" max="168" width="25.7265625" style="1" bestFit="1" customWidth="1"/>
    <col min="169" max="169" width="25.7265625" style="1" customWidth="1"/>
    <col min="170" max="170" width="56.7265625" style="1" bestFit="1" customWidth="1"/>
    <col min="171" max="173" width="35.54296875" style="1" customWidth="1"/>
    <col min="174" max="174" width="31.7265625" style="1" bestFit="1" customWidth="1"/>
    <col min="175" max="175" width="31.54296875" style="1" bestFit="1" customWidth="1"/>
    <col min="176" max="180" width="31.54296875" style="1" customWidth="1"/>
    <col min="181" max="181" width="37.453125" style="1" bestFit="1" customWidth="1"/>
    <col min="182" max="182" width="35.7265625" style="1" bestFit="1" customWidth="1"/>
    <col min="183" max="183" width="28.81640625" style="1" bestFit="1" customWidth="1"/>
    <col min="184" max="184" width="34" style="1" bestFit="1" customWidth="1"/>
    <col min="185" max="185" width="37.81640625" style="1" bestFit="1" customWidth="1"/>
    <col min="186" max="186" width="34.453125" style="1" bestFit="1" customWidth="1"/>
    <col min="187" max="187" width="38.1796875" style="1" bestFit="1" customWidth="1"/>
    <col min="188" max="188" width="22.81640625" style="1" bestFit="1" customWidth="1"/>
    <col min="189" max="189" width="28.54296875" style="1" bestFit="1" customWidth="1"/>
    <col min="190" max="190" width="28.26953125" style="1" bestFit="1" customWidth="1"/>
    <col min="191" max="191" width="28.26953125" style="1" customWidth="1"/>
    <col min="192" max="192" width="31" style="1" bestFit="1" customWidth="1"/>
    <col min="193" max="193" width="78.1796875" style="1" bestFit="1" customWidth="1"/>
    <col min="194" max="16384" width="11.453125" style="1"/>
  </cols>
  <sheetData>
    <row r="1" spans="1:193" ht="13" x14ac:dyDescent="0.3">
      <c r="A1" s="2" t="s">
        <v>0</v>
      </c>
      <c r="B1" s="2" t="s">
        <v>741</v>
      </c>
      <c r="C1" s="2" t="s">
        <v>649</v>
      </c>
      <c r="D1" s="2" t="s">
        <v>235</v>
      </c>
      <c r="E1" s="2" t="s">
        <v>128</v>
      </c>
      <c r="F1" s="2" t="s">
        <v>740</v>
      </c>
      <c r="G1" s="2" t="s">
        <v>8</v>
      </c>
      <c r="H1" s="2" t="s">
        <v>158</v>
      </c>
      <c r="I1" s="2" t="s">
        <v>159</v>
      </c>
      <c r="J1" s="2" t="s">
        <v>310</v>
      </c>
      <c r="K1" s="2" t="s">
        <v>584</v>
      </c>
      <c r="L1" s="2" t="s">
        <v>146</v>
      </c>
      <c r="M1" s="2" t="s">
        <v>585</v>
      </c>
      <c r="N1" s="2" t="s">
        <v>750</v>
      </c>
      <c r="O1" s="2" t="s">
        <v>751</v>
      </c>
      <c r="P1" s="2" t="s">
        <v>752</v>
      </c>
      <c r="Q1" s="2" t="s">
        <v>753</v>
      </c>
      <c r="R1" s="2" t="s">
        <v>754</v>
      </c>
      <c r="S1" s="2" t="s">
        <v>755</v>
      </c>
      <c r="T1" s="2" t="s">
        <v>756</v>
      </c>
      <c r="U1" s="2" t="s">
        <v>757</v>
      </c>
      <c r="V1" s="2" t="s">
        <v>758</v>
      </c>
      <c r="W1" s="2" t="s">
        <v>759</v>
      </c>
      <c r="X1" s="2" t="s">
        <v>760</v>
      </c>
      <c r="Y1" s="2" t="s">
        <v>761</v>
      </c>
      <c r="Z1" s="2" t="s">
        <v>762</v>
      </c>
      <c r="AA1" s="2" t="s">
        <v>763</v>
      </c>
      <c r="AB1" s="2" t="s">
        <v>764</v>
      </c>
      <c r="AC1" s="2" t="s">
        <v>765</v>
      </c>
      <c r="AD1" s="2" t="s">
        <v>766</v>
      </c>
      <c r="AE1" s="2" t="s">
        <v>767</v>
      </c>
      <c r="AF1" s="2" t="s">
        <v>768</v>
      </c>
      <c r="AG1" s="2" t="s">
        <v>769</v>
      </c>
      <c r="AH1" s="2" t="s">
        <v>770</v>
      </c>
      <c r="AI1" s="2" t="s">
        <v>771</v>
      </c>
      <c r="AJ1" s="2" t="s">
        <v>772</v>
      </c>
      <c r="AK1" s="2" t="s">
        <v>773</v>
      </c>
      <c r="AL1" s="2" t="s">
        <v>774</v>
      </c>
      <c r="AM1" s="2" t="s">
        <v>775</v>
      </c>
      <c r="AN1" s="2" t="s">
        <v>776</v>
      </c>
      <c r="AO1" s="2" t="s">
        <v>777</v>
      </c>
      <c r="AP1" s="2" t="s">
        <v>778</v>
      </c>
      <c r="AQ1" s="2" t="s">
        <v>779</v>
      </c>
      <c r="AR1" s="2" t="s">
        <v>780</v>
      </c>
      <c r="AS1" s="2" t="s">
        <v>781</v>
      </c>
      <c r="AT1" s="2" t="s">
        <v>782</v>
      </c>
      <c r="AU1" s="2" t="s">
        <v>783</v>
      </c>
      <c r="AV1" s="2" t="s">
        <v>784</v>
      </c>
      <c r="AW1" s="2" t="s">
        <v>785</v>
      </c>
      <c r="AX1" s="2" t="s">
        <v>786</v>
      </c>
      <c r="AY1" s="2" t="s">
        <v>787</v>
      </c>
      <c r="AZ1" s="2" t="s">
        <v>788</v>
      </c>
      <c r="BA1" s="2" t="s">
        <v>789</v>
      </c>
      <c r="BB1" s="2" t="s">
        <v>790</v>
      </c>
      <c r="BC1" s="2" t="s">
        <v>791</v>
      </c>
      <c r="BD1" s="2" t="s">
        <v>792</v>
      </c>
      <c r="BE1" s="2" t="s">
        <v>793</v>
      </c>
      <c r="BF1" s="2" t="s">
        <v>794</v>
      </c>
      <c r="BG1" s="2" t="s">
        <v>795</v>
      </c>
      <c r="BH1" s="2" t="s">
        <v>796</v>
      </c>
      <c r="BI1" s="2" t="s">
        <v>797</v>
      </c>
      <c r="BJ1" s="2" t="s">
        <v>798</v>
      </c>
      <c r="BK1" s="2" t="s">
        <v>799</v>
      </c>
      <c r="BL1" s="2" t="s">
        <v>800</v>
      </c>
      <c r="BM1" s="2" t="s">
        <v>801</v>
      </c>
      <c r="BN1" s="2" t="s">
        <v>802</v>
      </c>
      <c r="BO1" s="2" t="s">
        <v>803</v>
      </c>
      <c r="BP1" s="2" t="s">
        <v>94</v>
      </c>
      <c r="BQ1" s="2" t="s">
        <v>586</v>
      </c>
      <c r="BR1" s="2" t="s">
        <v>155</v>
      </c>
      <c r="BS1" s="2" t="s">
        <v>587</v>
      </c>
      <c r="BT1" s="2" t="s">
        <v>599</v>
      </c>
      <c r="BU1" s="2" t="s">
        <v>600</v>
      </c>
      <c r="BV1" s="2" t="s">
        <v>601</v>
      </c>
      <c r="BW1" s="2" t="s">
        <v>588</v>
      </c>
      <c r="BX1" s="2" t="s">
        <v>602</v>
      </c>
      <c r="BY1" s="2" t="s">
        <v>589</v>
      </c>
      <c r="BZ1" s="2" t="s">
        <v>84</v>
      </c>
      <c r="CA1" s="53" t="s">
        <v>712</v>
      </c>
      <c r="CB1" s="53" t="s">
        <v>713</v>
      </c>
      <c r="CC1" s="53" t="s">
        <v>714</v>
      </c>
      <c r="CD1" s="53" t="s">
        <v>715</v>
      </c>
      <c r="CE1" s="53" t="s">
        <v>716</v>
      </c>
      <c r="CF1" s="53" t="s">
        <v>717</v>
      </c>
      <c r="CG1" s="53" t="s">
        <v>718</v>
      </c>
      <c r="CH1" s="53" t="s">
        <v>719</v>
      </c>
      <c r="CI1" s="53" t="s">
        <v>720</v>
      </c>
      <c r="CJ1" s="53" t="s">
        <v>721</v>
      </c>
      <c r="CK1" s="53" t="s">
        <v>722</v>
      </c>
      <c r="CL1" s="53" t="s">
        <v>723</v>
      </c>
      <c r="CM1" s="53" t="s">
        <v>724</v>
      </c>
      <c r="CN1" s="53" t="s">
        <v>725</v>
      </c>
      <c r="CO1" s="53" t="s">
        <v>726</v>
      </c>
      <c r="CP1" s="53" t="s">
        <v>727</v>
      </c>
      <c r="CQ1" s="53" t="s">
        <v>728</v>
      </c>
      <c r="CR1" s="53" t="s">
        <v>729</v>
      </c>
      <c r="CS1" s="53" t="s">
        <v>730</v>
      </c>
      <c r="CT1" s="53" t="s">
        <v>731</v>
      </c>
      <c r="CU1" s="53" t="s">
        <v>732</v>
      </c>
      <c r="CV1" s="53" t="s">
        <v>733</v>
      </c>
      <c r="CW1" s="53" t="s">
        <v>734</v>
      </c>
      <c r="CX1" s="53" t="s">
        <v>735</v>
      </c>
      <c r="CY1" s="53" t="s">
        <v>736</v>
      </c>
      <c r="CZ1" s="53" t="s">
        <v>737</v>
      </c>
      <c r="DA1" s="53" t="s">
        <v>738</v>
      </c>
      <c r="DB1" s="2" t="s">
        <v>590</v>
      </c>
      <c r="DC1" s="2" t="s">
        <v>595</v>
      </c>
      <c r="DD1" s="2" t="s">
        <v>591</v>
      </c>
      <c r="DE1" s="2" t="s">
        <v>603</v>
      </c>
      <c r="DF1" s="2" t="s">
        <v>604</v>
      </c>
      <c r="DG1" s="2" t="s">
        <v>605</v>
      </c>
      <c r="DH1" s="2" t="s">
        <v>606</v>
      </c>
      <c r="DI1" s="2" t="s">
        <v>607</v>
      </c>
      <c r="DJ1" s="2" t="s">
        <v>608</v>
      </c>
      <c r="DK1" s="2" t="s">
        <v>596</v>
      </c>
      <c r="DL1" s="2" t="s">
        <v>597</v>
      </c>
      <c r="DM1" s="2" t="s">
        <v>598</v>
      </c>
      <c r="DN1" s="2" t="s">
        <v>592</v>
      </c>
      <c r="DO1" s="2" t="s">
        <v>593</v>
      </c>
      <c r="DP1" s="2" t="s">
        <v>594</v>
      </c>
      <c r="DQ1" s="2" t="s">
        <v>609</v>
      </c>
      <c r="DR1" s="2" t="s">
        <v>610</v>
      </c>
      <c r="DS1" s="2" t="s">
        <v>611</v>
      </c>
      <c r="DT1" s="2" t="s">
        <v>612</v>
      </c>
      <c r="DU1" s="2" t="s">
        <v>613</v>
      </c>
      <c r="DV1" s="2" t="s">
        <v>614</v>
      </c>
      <c r="DW1" s="2" t="s">
        <v>156</v>
      </c>
      <c r="DX1" s="2" t="s">
        <v>426</v>
      </c>
      <c r="DY1" s="2" t="s">
        <v>222</v>
      </c>
      <c r="DZ1" s="2" t="s">
        <v>157</v>
      </c>
      <c r="EA1" s="2" t="s">
        <v>224</v>
      </c>
      <c r="EB1" s="2" t="s">
        <v>225</v>
      </c>
      <c r="EC1" s="2" t="s">
        <v>3</v>
      </c>
      <c r="ED1" s="2" t="s">
        <v>211</v>
      </c>
      <c r="EE1" s="2" t="s">
        <v>212</v>
      </c>
      <c r="EF1" s="2" t="s">
        <v>615</v>
      </c>
      <c r="EG1" s="2" t="s">
        <v>616</v>
      </c>
      <c r="EH1" s="2" t="s">
        <v>617</v>
      </c>
      <c r="EI1" s="2" t="s">
        <v>10</v>
      </c>
      <c r="EJ1" s="2" t="s">
        <v>14</v>
      </c>
      <c r="EK1" s="2" t="s">
        <v>4</v>
      </c>
      <c r="EL1" s="2" t="s">
        <v>618</v>
      </c>
      <c r="EM1" s="2" t="s">
        <v>619</v>
      </c>
      <c r="EN1" s="2" t="s">
        <v>620</v>
      </c>
      <c r="EO1" s="2" t="s">
        <v>621</v>
      </c>
      <c r="EP1" s="2" t="s">
        <v>622</v>
      </c>
      <c r="EQ1" s="2" t="s">
        <v>623</v>
      </c>
      <c r="ER1" s="2" t="s">
        <v>624</v>
      </c>
      <c r="ES1" s="2" t="s">
        <v>625</v>
      </c>
      <c r="ET1" s="2" t="s">
        <v>626</v>
      </c>
      <c r="EU1" s="2" t="s">
        <v>11</v>
      </c>
      <c r="EV1" s="2" t="s">
        <v>182</v>
      </c>
      <c r="EW1" s="2" t="s">
        <v>181</v>
      </c>
      <c r="EX1" s="2" t="s">
        <v>629</v>
      </c>
      <c r="EY1" s="2" t="s">
        <v>630</v>
      </c>
      <c r="EZ1" s="2" t="s">
        <v>631</v>
      </c>
      <c r="FA1" s="2" t="s">
        <v>632</v>
      </c>
      <c r="FB1" s="2" t="s">
        <v>633</v>
      </c>
      <c r="FC1" s="2" t="s">
        <v>634</v>
      </c>
      <c r="FD1" s="2" t="s">
        <v>635</v>
      </c>
      <c r="FE1" s="2" t="s">
        <v>636</v>
      </c>
      <c r="FF1" s="2" t="s">
        <v>637</v>
      </c>
      <c r="FG1" s="2" t="s">
        <v>638</v>
      </c>
      <c r="FH1" s="2" t="s">
        <v>639</v>
      </c>
      <c r="FI1" s="2" t="s">
        <v>640</v>
      </c>
      <c r="FJ1" s="2" t="s">
        <v>330</v>
      </c>
      <c r="FK1" s="2" t="s">
        <v>628</v>
      </c>
      <c r="FL1" s="2" t="s">
        <v>627</v>
      </c>
      <c r="FM1" s="2" t="s">
        <v>144</v>
      </c>
      <c r="FN1" s="2" t="s">
        <v>20</v>
      </c>
      <c r="FO1" s="2" t="s">
        <v>161</v>
      </c>
      <c r="FP1" s="2" t="s">
        <v>162</v>
      </c>
      <c r="FQ1" s="2" t="s">
        <v>739</v>
      </c>
      <c r="FR1" s="2" t="s">
        <v>1</v>
      </c>
      <c r="FS1" s="2" t="s">
        <v>2</v>
      </c>
      <c r="FT1" s="2" t="s">
        <v>56</v>
      </c>
      <c r="FU1" s="2" t="s">
        <v>1123</v>
      </c>
      <c r="FV1" s="2" t="s">
        <v>233</v>
      </c>
      <c r="FW1" s="2" t="s">
        <v>114</v>
      </c>
      <c r="FX1" s="2" t="s">
        <v>57</v>
      </c>
      <c r="FY1" s="2" t="s">
        <v>58</v>
      </c>
      <c r="FZ1" s="2" t="s">
        <v>95</v>
      </c>
      <c r="GA1" s="2" t="s">
        <v>5</v>
      </c>
      <c r="GB1" s="2" t="s">
        <v>6</v>
      </c>
      <c r="GC1" s="2" t="s">
        <v>15</v>
      </c>
      <c r="GD1" s="2" t="s">
        <v>16</v>
      </c>
      <c r="GE1" s="2" t="s">
        <v>7</v>
      </c>
      <c r="GF1" s="2" t="s">
        <v>17</v>
      </c>
      <c r="GG1" s="2" t="s">
        <v>18</v>
      </c>
      <c r="GH1" s="2" t="s">
        <v>19</v>
      </c>
      <c r="GI1" s="2" t="s">
        <v>145</v>
      </c>
      <c r="GJ1" s="2" t="s">
        <v>21</v>
      </c>
      <c r="GK1" s="2" t="s">
        <v>49</v>
      </c>
    </row>
    <row r="2" spans="1:193" ht="15" customHeight="1" x14ac:dyDescent="0.25">
      <c r="A2" s="1" t="s">
        <v>362</v>
      </c>
      <c r="B2" s="1" t="s">
        <v>650</v>
      </c>
      <c r="C2" s="1" t="s">
        <v>655</v>
      </c>
      <c r="D2" s="1" t="s">
        <v>669</v>
      </c>
      <c r="E2" s="1" t="s">
        <v>127</v>
      </c>
      <c r="F2" s="1">
        <v>0</v>
      </c>
      <c r="G2" s="1">
        <v>2015</v>
      </c>
      <c r="H2" s="1">
        <v>1</v>
      </c>
      <c r="I2" s="1">
        <v>0</v>
      </c>
      <c r="J2" s="1">
        <v>0</v>
      </c>
      <c r="K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26.88</v>
      </c>
      <c r="M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150.87</v>
      </c>
      <c r="N2" s="19">
        <v>93.24</v>
      </c>
      <c r="O2" s="19">
        <v>49.41</v>
      </c>
      <c r="P2" s="19">
        <v>150.87</v>
      </c>
      <c r="Q2" s="19">
        <v>0</v>
      </c>
      <c r="R2" s="19">
        <v>0</v>
      </c>
      <c r="S2" s="19">
        <v>28.89</v>
      </c>
      <c r="T2" s="19">
        <v>93.24</v>
      </c>
      <c r="U2" s="19">
        <v>49.41</v>
      </c>
      <c r="V2" s="19">
        <v>150.87</v>
      </c>
      <c r="W2" s="19">
        <v>0</v>
      </c>
      <c r="X2" s="19">
        <v>0</v>
      </c>
      <c r="Y2" s="19">
        <v>28.89</v>
      </c>
      <c r="Z2" s="19">
        <v>12.6</v>
      </c>
      <c r="AA2" s="19">
        <v>0</v>
      </c>
      <c r="AB2" s="19">
        <v>32.1</v>
      </c>
      <c r="AC2" s="19">
        <v>70.56</v>
      </c>
      <c r="AD2" s="19">
        <v>36.6</v>
      </c>
      <c r="AE2" s="19">
        <v>115.56</v>
      </c>
      <c r="AF2" s="19">
        <v>20.16</v>
      </c>
      <c r="AG2" s="19">
        <v>5.49</v>
      </c>
      <c r="AH2" s="19">
        <v>41.73</v>
      </c>
      <c r="AI2" s="19">
        <v>63</v>
      </c>
      <c r="AJ2" s="19">
        <v>31.11</v>
      </c>
      <c r="AK2" s="19">
        <v>105.93</v>
      </c>
      <c r="AL2" s="19">
        <v>20.16</v>
      </c>
      <c r="AM2" s="19">
        <v>5.49</v>
      </c>
      <c r="AN2" s="19">
        <v>41.73</v>
      </c>
      <c r="AO2" s="19">
        <v>63</v>
      </c>
      <c r="AP2" s="19">
        <v>31.11</v>
      </c>
      <c r="AQ2" s="19">
        <v>105.93</v>
      </c>
      <c r="AR2" s="19">
        <v>2.52</v>
      </c>
      <c r="AS2" s="19">
        <v>0</v>
      </c>
      <c r="AT2" s="19">
        <v>19.260000000000002</v>
      </c>
      <c r="AU2" s="19">
        <v>80.64</v>
      </c>
      <c r="AV2" s="19">
        <v>43.92</v>
      </c>
      <c r="AW2" s="19">
        <v>115.56</v>
      </c>
      <c r="AX2" s="19">
        <v>0</v>
      </c>
      <c r="AY2" s="19">
        <v>0</v>
      </c>
      <c r="AZ2" s="19">
        <v>0</v>
      </c>
      <c r="BA2" s="19">
        <v>83.16</v>
      </c>
      <c r="BB2" s="19">
        <v>54.9</v>
      </c>
      <c r="BC2" s="19">
        <v>115.56</v>
      </c>
      <c r="BD2" s="19">
        <v>0</v>
      </c>
      <c r="BE2" s="19">
        <v>0</v>
      </c>
      <c r="BF2" s="19">
        <v>0</v>
      </c>
      <c r="BG2" s="19">
        <v>83.16</v>
      </c>
      <c r="BH2" s="19">
        <v>54.9</v>
      </c>
      <c r="BI2" s="19">
        <v>115.56</v>
      </c>
      <c r="BJ2" s="19">
        <v>0</v>
      </c>
      <c r="BK2" s="19">
        <v>0</v>
      </c>
      <c r="BL2" s="19">
        <v>0</v>
      </c>
      <c r="BM2" s="19">
        <v>83.16</v>
      </c>
      <c r="BN2" s="19">
        <v>54.9</v>
      </c>
      <c r="BO2" s="19">
        <v>115.56</v>
      </c>
      <c r="BP2" s="19"/>
      <c r="BQ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58.519999999999996</v>
      </c>
      <c r="BS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115.56</v>
      </c>
      <c r="BT2" s="11">
        <f>Tabelle5897112140[[#This Row],[Mindestauslastung min]]*Tabelle5897112140[[#This Row],[installierte Leistung MW min]]</f>
        <v>0</v>
      </c>
      <c r="BU2" s="11">
        <f>Tabelle5897112140[[#This Row],[Mindestauslastung durch]]*Tabelle5897112140[[#This Row],[installierte Leistung MW durch]]</f>
        <v>0</v>
      </c>
      <c r="BV2" s="11">
        <f>Tabelle5897112140[[#This Row],[Mindestauslastung max]]*Tabelle5897112140[[#This Row],[installierte Leistung MW max]]</f>
        <v>0</v>
      </c>
      <c r="BW2" s="9">
        <v>0</v>
      </c>
      <c r="BX2" s="9">
        <v>0</v>
      </c>
      <c r="BY2" s="9">
        <v>0</v>
      </c>
      <c r="BZ2" s="9"/>
      <c r="CA2" s="9">
        <v>0.37</v>
      </c>
      <c r="CB2" s="9">
        <v>0.27</v>
      </c>
      <c r="CC2" s="9">
        <v>0.47</v>
      </c>
      <c r="CD2" s="9">
        <v>0.37</v>
      </c>
      <c r="CE2" s="9">
        <v>0.27</v>
      </c>
      <c r="CF2" s="9">
        <v>0.47</v>
      </c>
      <c r="CG2" s="9">
        <v>0.05</v>
      </c>
      <c r="CH2" s="9">
        <v>0</v>
      </c>
      <c r="CI2" s="9">
        <v>0.1</v>
      </c>
      <c r="CJ2" s="9">
        <v>0.08</v>
      </c>
      <c r="CK2" s="9">
        <v>0.03</v>
      </c>
      <c r="CL2" s="9">
        <v>0.13</v>
      </c>
      <c r="CM2" s="9">
        <v>0.08</v>
      </c>
      <c r="CN2" s="9">
        <v>0.03</v>
      </c>
      <c r="CO2" s="9">
        <v>0.13</v>
      </c>
      <c r="CP2" s="9">
        <v>0.01</v>
      </c>
      <c r="CQ2" s="9">
        <v>0</v>
      </c>
      <c r="CR2" s="9">
        <v>0.06</v>
      </c>
      <c r="CS2" s="9">
        <v>0</v>
      </c>
      <c r="CT2" s="9">
        <v>0</v>
      </c>
      <c r="CU2" s="9">
        <v>0</v>
      </c>
      <c r="CV2" s="9">
        <v>0</v>
      </c>
      <c r="CW2" s="9">
        <v>0</v>
      </c>
      <c r="CX2" s="9">
        <v>0</v>
      </c>
      <c r="CY2" s="9">
        <v>0</v>
      </c>
      <c r="CZ2" s="9">
        <v>0</v>
      </c>
      <c r="DA2" s="9">
        <v>0</v>
      </c>
      <c r="DB2" s="9">
        <f>MIN(Tabelle5897112140[[#This Row],[Durchschnittsauslastung durch Sommer WTT]:[Durchschnittsauslastung max Winter SFN]])</f>
        <v>0</v>
      </c>
      <c r="DC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2" s="9">
        <f>MAX(Tabelle5897112140[[#This Row],[Durchschnittsauslastung durch Sommer WTT]:[Durchschnittsauslastung max Winter SFN]])</f>
        <v>0.47</v>
      </c>
      <c r="DE2" s="40">
        <f>Tabelle5897112140[[#This Row],[Durchschnittsauslastung min]]*Tabelle5897112140[[#This Row],[installierte Leistung MW min]]</f>
        <v>0</v>
      </c>
      <c r="DF2" s="40">
        <f>Tabelle5897112140[[#This Row],[Durchschnittsauslastung durch]]*Tabelle5897112140[[#This Row],[installierte Leistung MW durch]]</f>
        <v>26.88</v>
      </c>
      <c r="DG2" s="40">
        <f>Tabelle5897112140[[#This Row],[Durchschnittsauslastung max]]*Tabelle5897112140[[#This Row],[installierte Leistung MW max]]</f>
        <v>150.87</v>
      </c>
      <c r="DH2" s="46">
        <f>Tabelle5897112140[[#This Row],[Maximalauslastung min]]*Tabelle5897112140[[#This Row],[installierte Leistung MW min]]</f>
        <v>54.9</v>
      </c>
      <c r="DI2" s="46">
        <f>Tabelle5897112140[[#This Row],[Maximalauslastung durch]]*Tabelle5897112140[[#This Row],[installierte Leistung MW durch]]</f>
        <v>83.160000000000011</v>
      </c>
      <c r="DJ2" s="19">
        <f>Tabelle5897112140[[#This Row],[Maximalauslastung max]]*Tabelle5897112140[[#This Row],[installierte Leistung MW durch]]</f>
        <v>90.72</v>
      </c>
      <c r="DK2" s="9">
        <v>0.3</v>
      </c>
      <c r="DL2" s="9">
        <v>0.33</v>
      </c>
      <c r="DM2" s="9">
        <v>0.36</v>
      </c>
      <c r="DN2" s="1">
        <v>252</v>
      </c>
      <c r="DO2" s="1">
        <v>183</v>
      </c>
      <c r="DP2" s="1">
        <v>321</v>
      </c>
      <c r="DQ2" s="19"/>
      <c r="DR2" s="19"/>
      <c r="DW2" s="1">
        <v>0.26</v>
      </c>
      <c r="DX2" s="1">
        <v>8.0000000000000016E-2</v>
      </c>
      <c r="DY2" s="1">
        <v>0.44</v>
      </c>
      <c r="EL2" s="1">
        <v>365</v>
      </c>
      <c r="EM2" s="1">
        <v>292</v>
      </c>
      <c r="EN2" s="1">
        <v>438</v>
      </c>
      <c r="EO2" s="11"/>
      <c r="EP2" s="11"/>
      <c r="EQ2" s="11"/>
      <c r="ER2" s="1">
        <v>365</v>
      </c>
      <c r="ES2" s="1">
        <v>292</v>
      </c>
      <c r="ET2" s="1">
        <v>438</v>
      </c>
      <c r="EV2" s="19"/>
      <c r="EW2" s="19"/>
      <c r="EX2" s="19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O2" s="1">
        <v>67</v>
      </c>
      <c r="FP2" s="1">
        <v>67</v>
      </c>
      <c r="FQ2" s="1">
        <v>67</v>
      </c>
      <c r="FR2" s="13" t="s">
        <v>806</v>
      </c>
      <c r="FS2" s="13" t="s">
        <v>806</v>
      </c>
      <c r="FT2" s="13" t="s">
        <v>806</v>
      </c>
      <c r="FU2" s="13"/>
      <c r="FV2" s="13" t="s">
        <v>806</v>
      </c>
      <c r="FW2" s="13" t="s">
        <v>806</v>
      </c>
      <c r="FX2" s="13" t="s">
        <v>806</v>
      </c>
      <c r="FY2" s="13" t="s">
        <v>806</v>
      </c>
      <c r="FZ2" s="13" t="s">
        <v>806</v>
      </c>
      <c r="GA2" s="13" t="s">
        <v>806</v>
      </c>
      <c r="GB2" s="13" t="s">
        <v>806</v>
      </c>
      <c r="GE2" s="13" t="s">
        <v>806</v>
      </c>
      <c r="GF2" s="13" t="s">
        <v>806</v>
      </c>
      <c r="GH2" s="13" t="s">
        <v>806</v>
      </c>
    </row>
    <row r="3" spans="1:193" ht="15" customHeight="1" x14ac:dyDescent="0.25">
      <c r="A3" s="1" t="s">
        <v>362</v>
      </c>
      <c r="B3" s="1" t="s">
        <v>650</v>
      </c>
      <c r="C3" s="1" t="s">
        <v>655</v>
      </c>
      <c r="D3" s="1" t="s">
        <v>669</v>
      </c>
      <c r="E3" s="1" t="s">
        <v>127</v>
      </c>
      <c r="F3" s="1">
        <v>0</v>
      </c>
      <c r="G3" s="1">
        <v>2020</v>
      </c>
      <c r="H3" s="1">
        <v>1</v>
      </c>
      <c r="I3" s="1">
        <v>0</v>
      </c>
      <c r="J3" s="1">
        <v>0</v>
      </c>
      <c r="K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30.643199999999993</v>
      </c>
      <c r="M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171.99179999999998</v>
      </c>
      <c r="N3" s="19">
        <v>106.29359999999998</v>
      </c>
      <c r="O3" s="19">
        <v>56.32739999999999</v>
      </c>
      <c r="P3" s="19">
        <v>171.99179999999998</v>
      </c>
      <c r="Q3" s="19">
        <v>0</v>
      </c>
      <c r="R3" s="19">
        <v>0</v>
      </c>
      <c r="S3" s="19">
        <v>32.934599999999996</v>
      </c>
      <c r="T3" s="19">
        <v>106.29359999999998</v>
      </c>
      <c r="U3" s="19">
        <v>56.32739999999999</v>
      </c>
      <c r="V3" s="19">
        <v>171.99179999999998</v>
      </c>
      <c r="W3" s="19">
        <v>0</v>
      </c>
      <c r="X3" s="19">
        <v>0</v>
      </c>
      <c r="Y3" s="19">
        <v>32.934599999999996</v>
      </c>
      <c r="Z3" s="19">
        <v>14.363999999999999</v>
      </c>
      <c r="AA3" s="19">
        <v>0</v>
      </c>
      <c r="AB3" s="19">
        <v>36.594000000000001</v>
      </c>
      <c r="AC3" s="19">
        <v>80.438400000000001</v>
      </c>
      <c r="AD3" s="19">
        <v>41.723999999999997</v>
      </c>
      <c r="AE3" s="19">
        <v>131.73839999999998</v>
      </c>
      <c r="AF3" s="19">
        <v>22.982399999999998</v>
      </c>
      <c r="AG3" s="19">
        <v>6.2585999999999995</v>
      </c>
      <c r="AH3" s="19">
        <v>47.572199999999995</v>
      </c>
      <c r="AI3" s="19">
        <v>71.819999999999993</v>
      </c>
      <c r="AJ3" s="19">
        <v>35.465399999999995</v>
      </c>
      <c r="AK3" s="19">
        <v>120.7602</v>
      </c>
      <c r="AL3" s="19">
        <v>22.982399999999998</v>
      </c>
      <c r="AM3" s="19">
        <v>6.2585999999999995</v>
      </c>
      <c r="AN3" s="19">
        <v>47.572199999999995</v>
      </c>
      <c r="AO3" s="19">
        <v>71.819999999999993</v>
      </c>
      <c r="AP3" s="19">
        <v>35.465399999999995</v>
      </c>
      <c r="AQ3" s="19">
        <v>120.7602</v>
      </c>
      <c r="AR3" s="19">
        <v>2.8727999999999998</v>
      </c>
      <c r="AS3" s="19">
        <v>0</v>
      </c>
      <c r="AT3" s="19">
        <v>21.956399999999999</v>
      </c>
      <c r="AU3" s="19">
        <v>91.929599999999994</v>
      </c>
      <c r="AV3" s="19">
        <v>50.068799999999996</v>
      </c>
      <c r="AW3" s="19">
        <v>131.73839999999998</v>
      </c>
      <c r="AX3" s="19">
        <v>0</v>
      </c>
      <c r="AY3" s="19">
        <v>0</v>
      </c>
      <c r="AZ3" s="19">
        <v>0</v>
      </c>
      <c r="BA3" s="19">
        <v>94.802399999999992</v>
      </c>
      <c r="BB3" s="19">
        <v>62.585999999999991</v>
      </c>
      <c r="BC3" s="19">
        <v>131.73839999999998</v>
      </c>
      <c r="BD3" s="19">
        <v>0</v>
      </c>
      <c r="BE3" s="19">
        <v>0</v>
      </c>
      <c r="BF3" s="19">
        <v>0</v>
      </c>
      <c r="BG3" s="19">
        <v>94.802399999999992</v>
      </c>
      <c r="BH3" s="19">
        <v>62.585999999999991</v>
      </c>
      <c r="BI3" s="19">
        <v>131.73839999999998</v>
      </c>
      <c r="BJ3" s="19">
        <v>0</v>
      </c>
      <c r="BK3" s="19">
        <v>0</v>
      </c>
      <c r="BL3" s="19">
        <v>0</v>
      </c>
      <c r="BM3" s="19">
        <v>94.802399999999992</v>
      </c>
      <c r="BN3" s="19">
        <v>62.585999999999991</v>
      </c>
      <c r="BO3" s="19">
        <v>131.73839999999998</v>
      </c>
      <c r="BP3" s="19"/>
      <c r="BQ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66.712799999999987</v>
      </c>
      <c r="BS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131.73839999999998</v>
      </c>
      <c r="BT3" s="11">
        <f>Tabelle5897112140[[#This Row],[Mindestauslastung min]]*Tabelle5897112140[[#This Row],[installierte Leistung MW min]]</f>
        <v>0</v>
      </c>
      <c r="BU3" s="11">
        <f>Tabelle5897112140[[#This Row],[Mindestauslastung durch]]*Tabelle5897112140[[#This Row],[installierte Leistung MW durch]]</f>
        <v>0</v>
      </c>
      <c r="BV3" s="11">
        <f>Tabelle5897112140[[#This Row],[Mindestauslastung max]]*Tabelle5897112140[[#This Row],[installierte Leistung MW max]]</f>
        <v>0</v>
      </c>
      <c r="BW3" s="9">
        <v>0</v>
      </c>
      <c r="BX3" s="9">
        <v>0</v>
      </c>
      <c r="BY3" s="9">
        <v>0</v>
      </c>
      <c r="BZ3" s="9"/>
      <c r="CA3" s="9">
        <v>0.37</v>
      </c>
      <c r="CB3" s="9">
        <v>0.27</v>
      </c>
      <c r="CC3" s="9">
        <v>0.47</v>
      </c>
      <c r="CD3" s="9">
        <v>0.37</v>
      </c>
      <c r="CE3" s="9">
        <v>0.27</v>
      </c>
      <c r="CF3" s="9">
        <v>0.47</v>
      </c>
      <c r="CG3" s="9">
        <v>0.05</v>
      </c>
      <c r="CH3" s="9">
        <v>0</v>
      </c>
      <c r="CI3" s="9">
        <v>0.1</v>
      </c>
      <c r="CJ3" s="9">
        <v>0.08</v>
      </c>
      <c r="CK3" s="9">
        <v>0.03</v>
      </c>
      <c r="CL3" s="9">
        <v>0.13</v>
      </c>
      <c r="CM3" s="9">
        <v>0.08</v>
      </c>
      <c r="CN3" s="9">
        <v>0.03</v>
      </c>
      <c r="CO3" s="9">
        <v>0.13</v>
      </c>
      <c r="CP3" s="9">
        <v>0.01</v>
      </c>
      <c r="CQ3" s="9">
        <v>0</v>
      </c>
      <c r="CR3" s="9">
        <v>0.06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f>MIN(Tabelle5897112140[[#This Row],[Durchschnittsauslastung durch Sommer WTT]:[Durchschnittsauslastung max Winter SFN]])</f>
        <v>0</v>
      </c>
      <c r="DC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3" s="9">
        <f>MAX(Tabelle5897112140[[#This Row],[Durchschnittsauslastung durch Sommer WTT]:[Durchschnittsauslastung max Winter SFN]])</f>
        <v>0.47</v>
      </c>
      <c r="DE3" s="40">
        <f>Tabelle5897112140[[#This Row],[Durchschnittsauslastung min]]*Tabelle5897112140[[#This Row],[installierte Leistung MW min]]</f>
        <v>0</v>
      </c>
      <c r="DF3" s="40">
        <f>Tabelle5897112140[[#This Row],[Durchschnittsauslastung durch]]*Tabelle5897112140[[#This Row],[installierte Leistung MW durch]]</f>
        <v>30.643199999999997</v>
      </c>
      <c r="DG3" s="40">
        <f>Tabelle5897112140[[#This Row],[Durchschnittsauslastung max]]*Tabelle5897112140[[#This Row],[installierte Leistung MW max]]</f>
        <v>171.99179999999998</v>
      </c>
      <c r="DH3" s="46">
        <f>Tabelle5897112140[[#This Row],[Maximalauslastung min]]*Tabelle5897112140[[#This Row],[installierte Leistung MW min]]</f>
        <v>62.585999999999999</v>
      </c>
      <c r="DI3" s="46">
        <f>Tabelle5897112140[[#This Row],[Maximalauslastung durch]]*Tabelle5897112140[[#This Row],[installierte Leistung MW durch]]</f>
        <v>94.802399999999992</v>
      </c>
      <c r="DJ3" s="19">
        <f>Tabelle5897112140[[#This Row],[Maximalauslastung max]]*Tabelle5897112140[[#This Row],[installierte Leistung MW durch]]</f>
        <v>103.42079999999999</v>
      </c>
      <c r="DK3" s="9">
        <v>0.3</v>
      </c>
      <c r="DL3" s="9">
        <v>0.33</v>
      </c>
      <c r="DM3" s="9">
        <v>0.36</v>
      </c>
      <c r="DN3" s="1">
        <v>287.27999999999997</v>
      </c>
      <c r="DO3" s="1">
        <v>208.62</v>
      </c>
      <c r="DP3" s="1">
        <v>365.94</v>
      </c>
      <c r="DQ3" s="19"/>
      <c r="DR3" s="19"/>
      <c r="DW3" s="1">
        <v>0.26</v>
      </c>
      <c r="DX3" s="1">
        <v>8.0000000000000016E-2</v>
      </c>
      <c r="DY3" s="1">
        <v>0.44</v>
      </c>
      <c r="EL3" s="1">
        <v>365</v>
      </c>
      <c r="EM3" s="1">
        <v>292</v>
      </c>
      <c r="EN3" s="1">
        <v>438</v>
      </c>
      <c r="EO3" s="11"/>
      <c r="EP3" s="11"/>
      <c r="EQ3" s="11"/>
      <c r="ER3" s="1">
        <v>365</v>
      </c>
      <c r="ES3" s="1">
        <v>292</v>
      </c>
      <c r="ET3" s="1">
        <v>438</v>
      </c>
      <c r="EV3" s="19"/>
      <c r="EW3" s="19"/>
      <c r="EX3" s="19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O3" s="1">
        <v>67</v>
      </c>
      <c r="FP3" s="1">
        <v>67</v>
      </c>
      <c r="FQ3" s="1">
        <v>67</v>
      </c>
      <c r="FR3" s="13" t="s">
        <v>806</v>
      </c>
      <c r="FS3" s="13" t="s">
        <v>806</v>
      </c>
      <c r="FT3" s="13" t="s">
        <v>806</v>
      </c>
      <c r="FU3" s="13"/>
      <c r="FV3" s="13" t="s">
        <v>806</v>
      </c>
      <c r="FW3" s="13" t="s">
        <v>806</v>
      </c>
      <c r="FX3" s="13" t="s">
        <v>806</v>
      </c>
      <c r="FY3" s="13" t="s">
        <v>806</v>
      </c>
      <c r="FZ3" s="13" t="s">
        <v>806</v>
      </c>
      <c r="GA3" s="13" t="s">
        <v>806</v>
      </c>
      <c r="GB3" s="13" t="s">
        <v>806</v>
      </c>
      <c r="GE3" s="13" t="s">
        <v>806</v>
      </c>
      <c r="GF3" s="13" t="s">
        <v>806</v>
      </c>
      <c r="GH3" s="13" t="s">
        <v>806</v>
      </c>
    </row>
    <row r="4" spans="1:193" ht="15" customHeight="1" x14ac:dyDescent="0.25">
      <c r="A4" s="1" t="s">
        <v>362</v>
      </c>
      <c r="B4" s="1" t="s">
        <v>650</v>
      </c>
      <c r="C4" s="1" t="s">
        <v>655</v>
      </c>
      <c r="D4" s="1" t="s">
        <v>669</v>
      </c>
      <c r="E4" s="1" t="s">
        <v>127</v>
      </c>
      <c r="F4" s="1">
        <v>0</v>
      </c>
      <c r="G4" s="1">
        <v>2025</v>
      </c>
      <c r="H4" s="1">
        <v>1</v>
      </c>
      <c r="I4" s="1">
        <v>0</v>
      </c>
      <c r="J4" s="1">
        <v>0</v>
      </c>
      <c r="K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35.212800000000001</v>
      </c>
      <c r="M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197.6397</v>
      </c>
      <c r="N4" s="19">
        <v>122.1444</v>
      </c>
      <c r="O4" s="19">
        <v>64.727099999999993</v>
      </c>
      <c r="P4" s="19">
        <v>197.6397</v>
      </c>
      <c r="Q4" s="19">
        <v>0</v>
      </c>
      <c r="R4" s="19">
        <v>0</v>
      </c>
      <c r="S4" s="19">
        <v>37.8459</v>
      </c>
      <c r="T4" s="19">
        <v>122.1444</v>
      </c>
      <c r="U4" s="19">
        <v>64.727099999999993</v>
      </c>
      <c r="V4" s="19">
        <v>197.6397</v>
      </c>
      <c r="W4" s="19">
        <v>0</v>
      </c>
      <c r="X4" s="19">
        <v>0</v>
      </c>
      <c r="Y4" s="19">
        <v>37.8459</v>
      </c>
      <c r="Z4" s="19">
        <v>16.506</v>
      </c>
      <c r="AA4" s="19">
        <v>0</v>
      </c>
      <c r="AB4" s="19">
        <v>42.051000000000002</v>
      </c>
      <c r="AC4" s="19">
        <v>92.433600000000013</v>
      </c>
      <c r="AD4" s="19">
        <v>47.946000000000005</v>
      </c>
      <c r="AE4" s="19">
        <v>151.3836</v>
      </c>
      <c r="AF4" s="19">
        <v>26.409600000000001</v>
      </c>
      <c r="AG4" s="19">
        <v>7.1919000000000004</v>
      </c>
      <c r="AH4" s="19">
        <v>54.6663</v>
      </c>
      <c r="AI4" s="19">
        <v>82.53</v>
      </c>
      <c r="AJ4" s="19">
        <v>40.754100000000001</v>
      </c>
      <c r="AK4" s="19">
        <v>138.76830000000001</v>
      </c>
      <c r="AL4" s="19">
        <v>26.409600000000001</v>
      </c>
      <c r="AM4" s="19">
        <v>7.1919000000000004</v>
      </c>
      <c r="AN4" s="19">
        <v>54.6663</v>
      </c>
      <c r="AO4" s="19">
        <v>82.53</v>
      </c>
      <c r="AP4" s="19">
        <v>40.754100000000001</v>
      </c>
      <c r="AQ4" s="19">
        <v>138.76830000000001</v>
      </c>
      <c r="AR4" s="19">
        <v>3.3012000000000001</v>
      </c>
      <c r="AS4" s="19">
        <v>0</v>
      </c>
      <c r="AT4" s="19">
        <v>25.230600000000003</v>
      </c>
      <c r="AU4" s="19">
        <v>105.6384</v>
      </c>
      <c r="AV4" s="19">
        <v>57.535200000000003</v>
      </c>
      <c r="AW4" s="19">
        <v>151.3836</v>
      </c>
      <c r="AX4" s="19">
        <v>0</v>
      </c>
      <c r="AY4" s="19">
        <v>0</v>
      </c>
      <c r="AZ4" s="19">
        <v>0</v>
      </c>
      <c r="BA4" s="19">
        <v>108.9396</v>
      </c>
      <c r="BB4" s="19">
        <v>71.918999999999997</v>
      </c>
      <c r="BC4" s="19">
        <v>151.3836</v>
      </c>
      <c r="BD4" s="19">
        <v>0</v>
      </c>
      <c r="BE4" s="19">
        <v>0</v>
      </c>
      <c r="BF4" s="19">
        <v>0</v>
      </c>
      <c r="BG4" s="19">
        <v>108.9396</v>
      </c>
      <c r="BH4" s="19">
        <v>71.918999999999997</v>
      </c>
      <c r="BI4" s="19">
        <v>151.3836</v>
      </c>
      <c r="BJ4" s="19">
        <v>0</v>
      </c>
      <c r="BK4" s="19">
        <v>0</v>
      </c>
      <c r="BL4" s="19">
        <v>0</v>
      </c>
      <c r="BM4" s="19">
        <v>108.9396</v>
      </c>
      <c r="BN4" s="19">
        <v>71.918999999999997</v>
      </c>
      <c r="BO4" s="19">
        <v>151.3836</v>
      </c>
      <c r="BP4" s="19"/>
      <c r="BQ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76.661200000000008</v>
      </c>
      <c r="BS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151.3836</v>
      </c>
      <c r="BT4" s="11">
        <f>Tabelle5897112140[[#This Row],[Mindestauslastung min]]*Tabelle5897112140[[#This Row],[installierte Leistung MW min]]</f>
        <v>0</v>
      </c>
      <c r="BU4" s="11">
        <f>Tabelle5897112140[[#This Row],[Mindestauslastung durch]]*Tabelle5897112140[[#This Row],[installierte Leistung MW durch]]</f>
        <v>0</v>
      </c>
      <c r="BV4" s="11">
        <f>Tabelle5897112140[[#This Row],[Mindestauslastung max]]*Tabelle5897112140[[#This Row],[installierte Leistung MW max]]</f>
        <v>0</v>
      </c>
      <c r="BW4" s="9">
        <v>0</v>
      </c>
      <c r="BX4" s="9">
        <v>0</v>
      </c>
      <c r="BY4" s="9">
        <v>0</v>
      </c>
      <c r="BZ4" s="9"/>
      <c r="CA4" s="9">
        <v>0.37</v>
      </c>
      <c r="CB4" s="9">
        <v>0.27</v>
      </c>
      <c r="CC4" s="9">
        <v>0.47</v>
      </c>
      <c r="CD4" s="9">
        <v>0.37</v>
      </c>
      <c r="CE4" s="9">
        <v>0.27</v>
      </c>
      <c r="CF4" s="9">
        <v>0.47</v>
      </c>
      <c r="CG4" s="9">
        <v>0.05</v>
      </c>
      <c r="CH4" s="9">
        <v>0</v>
      </c>
      <c r="CI4" s="9">
        <v>0.1</v>
      </c>
      <c r="CJ4" s="9">
        <v>0.08</v>
      </c>
      <c r="CK4" s="9">
        <v>0.03</v>
      </c>
      <c r="CL4" s="9">
        <v>0.13</v>
      </c>
      <c r="CM4" s="9">
        <v>0.08</v>
      </c>
      <c r="CN4" s="9">
        <v>0.03</v>
      </c>
      <c r="CO4" s="9">
        <v>0.13</v>
      </c>
      <c r="CP4" s="9">
        <v>0.01</v>
      </c>
      <c r="CQ4" s="9">
        <v>0</v>
      </c>
      <c r="CR4" s="9">
        <v>0.06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f>MIN(Tabelle5897112140[[#This Row],[Durchschnittsauslastung durch Sommer WTT]:[Durchschnittsauslastung max Winter SFN]])</f>
        <v>0</v>
      </c>
      <c r="DC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4" s="9">
        <f>MAX(Tabelle5897112140[[#This Row],[Durchschnittsauslastung durch Sommer WTT]:[Durchschnittsauslastung max Winter SFN]])</f>
        <v>0.47</v>
      </c>
      <c r="DE4" s="40">
        <f>Tabelle5897112140[[#This Row],[Durchschnittsauslastung min]]*Tabelle5897112140[[#This Row],[installierte Leistung MW min]]</f>
        <v>0</v>
      </c>
      <c r="DF4" s="40">
        <f>Tabelle5897112140[[#This Row],[Durchschnittsauslastung durch]]*Tabelle5897112140[[#This Row],[installierte Leistung MW durch]]</f>
        <v>35.212800000000001</v>
      </c>
      <c r="DG4" s="40">
        <f>Tabelle5897112140[[#This Row],[Durchschnittsauslastung max]]*Tabelle5897112140[[#This Row],[installierte Leistung MW max]]</f>
        <v>197.63969999999998</v>
      </c>
      <c r="DH4" s="46">
        <f>Tabelle5897112140[[#This Row],[Maximalauslastung min]]*Tabelle5897112140[[#This Row],[installierte Leistung MW min]]</f>
        <v>71.918999999999997</v>
      </c>
      <c r="DI4" s="46">
        <f>Tabelle5897112140[[#This Row],[Maximalauslastung durch]]*Tabelle5897112140[[#This Row],[installierte Leistung MW durch]]</f>
        <v>108.93960000000001</v>
      </c>
      <c r="DJ4" s="19">
        <f>Tabelle5897112140[[#This Row],[Maximalauslastung max]]*Tabelle5897112140[[#This Row],[installierte Leistung MW durch]]</f>
        <v>118.8432</v>
      </c>
      <c r="DK4" s="9">
        <v>0.3</v>
      </c>
      <c r="DL4" s="9">
        <v>0.33</v>
      </c>
      <c r="DM4" s="9">
        <v>0.36</v>
      </c>
      <c r="DN4" s="1">
        <v>330.12</v>
      </c>
      <c r="DO4" s="1">
        <v>239.73</v>
      </c>
      <c r="DP4" s="1">
        <v>420.51</v>
      </c>
      <c r="DQ4" s="19"/>
      <c r="DR4" s="19"/>
      <c r="DW4" s="1">
        <v>0.26</v>
      </c>
      <c r="DX4" s="1">
        <v>8.0000000000000016E-2</v>
      </c>
      <c r="DY4" s="1">
        <v>0.44</v>
      </c>
      <c r="EL4" s="1">
        <v>365</v>
      </c>
      <c r="EM4" s="1">
        <v>292</v>
      </c>
      <c r="EN4" s="1">
        <v>438</v>
      </c>
      <c r="EO4" s="11"/>
      <c r="EP4" s="11"/>
      <c r="EQ4" s="11"/>
      <c r="ER4" s="1">
        <v>365</v>
      </c>
      <c r="ES4" s="1">
        <v>292</v>
      </c>
      <c r="ET4" s="1">
        <v>438</v>
      </c>
      <c r="EV4" s="19"/>
      <c r="EW4" s="19"/>
      <c r="EX4" s="19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O4" s="1">
        <v>67</v>
      </c>
      <c r="FP4" s="1">
        <v>67</v>
      </c>
      <c r="FQ4" s="1">
        <v>67</v>
      </c>
      <c r="FR4" s="13" t="s">
        <v>806</v>
      </c>
      <c r="FS4" s="13" t="s">
        <v>806</v>
      </c>
      <c r="FT4" s="13" t="s">
        <v>806</v>
      </c>
      <c r="FU4" s="13"/>
      <c r="FV4" s="13" t="s">
        <v>806</v>
      </c>
      <c r="FW4" s="13" t="s">
        <v>806</v>
      </c>
      <c r="FX4" s="13" t="s">
        <v>806</v>
      </c>
      <c r="FY4" s="13" t="s">
        <v>806</v>
      </c>
      <c r="FZ4" s="13" t="s">
        <v>806</v>
      </c>
      <c r="GA4" s="13" t="s">
        <v>806</v>
      </c>
      <c r="GB4" s="13" t="s">
        <v>806</v>
      </c>
      <c r="GE4" s="13" t="s">
        <v>806</v>
      </c>
      <c r="GF4" s="13" t="s">
        <v>806</v>
      </c>
      <c r="GH4" s="13" t="s">
        <v>806</v>
      </c>
    </row>
    <row r="5" spans="1:193" ht="15" customHeight="1" x14ac:dyDescent="0.25">
      <c r="A5" s="1" t="s">
        <v>362</v>
      </c>
      <c r="B5" s="1" t="s">
        <v>650</v>
      </c>
      <c r="C5" s="1" t="s">
        <v>655</v>
      </c>
      <c r="D5" s="1" t="s">
        <v>669</v>
      </c>
      <c r="E5" s="1" t="s">
        <v>127</v>
      </c>
      <c r="F5" s="1">
        <v>0</v>
      </c>
      <c r="G5" s="1">
        <v>2030</v>
      </c>
      <c r="H5" s="1">
        <v>1</v>
      </c>
      <c r="I5" s="1">
        <v>0</v>
      </c>
      <c r="J5" s="1">
        <v>0</v>
      </c>
      <c r="K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40.857599999999991</v>
      </c>
      <c r="M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229.32240000000002</v>
      </c>
      <c r="N5" s="19">
        <v>141.72479999999999</v>
      </c>
      <c r="O5" s="19">
        <v>75.103200000000001</v>
      </c>
      <c r="P5" s="19">
        <v>229.32240000000002</v>
      </c>
      <c r="Q5" s="19">
        <v>0</v>
      </c>
      <c r="R5" s="19">
        <v>0</v>
      </c>
      <c r="S5" s="19">
        <v>43.912800000000004</v>
      </c>
      <c r="T5" s="19">
        <v>141.72479999999999</v>
      </c>
      <c r="U5" s="19">
        <v>75.103200000000001</v>
      </c>
      <c r="V5" s="19">
        <v>229.32240000000002</v>
      </c>
      <c r="W5" s="19">
        <v>0</v>
      </c>
      <c r="X5" s="19">
        <v>0</v>
      </c>
      <c r="Y5" s="19">
        <v>43.912800000000004</v>
      </c>
      <c r="Z5" s="19">
        <v>19.152000000000001</v>
      </c>
      <c r="AA5" s="19">
        <v>0</v>
      </c>
      <c r="AB5" s="19">
        <v>48.792000000000002</v>
      </c>
      <c r="AC5" s="19">
        <v>107.25120000000001</v>
      </c>
      <c r="AD5" s="19">
        <v>55.632000000000005</v>
      </c>
      <c r="AE5" s="19">
        <v>175.65120000000002</v>
      </c>
      <c r="AF5" s="19">
        <v>30.6432</v>
      </c>
      <c r="AG5" s="19">
        <v>8.3448000000000011</v>
      </c>
      <c r="AH5" s="19">
        <v>63.429599999999994</v>
      </c>
      <c r="AI5" s="19">
        <v>95.76</v>
      </c>
      <c r="AJ5" s="19">
        <v>47.287199999999999</v>
      </c>
      <c r="AK5" s="19">
        <v>161.01360000000003</v>
      </c>
      <c r="AL5" s="19">
        <v>30.6432</v>
      </c>
      <c r="AM5" s="19">
        <v>8.3448000000000011</v>
      </c>
      <c r="AN5" s="19">
        <v>63.429599999999994</v>
      </c>
      <c r="AO5" s="19">
        <v>95.76</v>
      </c>
      <c r="AP5" s="19">
        <v>47.287199999999999</v>
      </c>
      <c r="AQ5" s="19">
        <v>161.01360000000003</v>
      </c>
      <c r="AR5" s="19">
        <v>3.8304</v>
      </c>
      <c r="AS5" s="19">
        <v>0</v>
      </c>
      <c r="AT5" s="19">
        <v>29.275200000000002</v>
      </c>
      <c r="AU5" s="19">
        <v>122.5728</v>
      </c>
      <c r="AV5" s="19">
        <v>66.758400000000009</v>
      </c>
      <c r="AW5" s="19">
        <v>175.65120000000002</v>
      </c>
      <c r="AX5" s="19">
        <v>0</v>
      </c>
      <c r="AY5" s="19">
        <v>0</v>
      </c>
      <c r="AZ5" s="19">
        <v>0</v>
      </c>
      <c r="BA5" s="19">
        <v>126.4032</v>
      </c>
      <c r="BB5" s="19">
        <v>83.447999999999993</v>
      </c>
      <c r="BC5" s="19">
        <v>175.65120000000002</v>
      </c>
      <c r="BD5" s="19">
        <v>0</v>
      </c>
      <c r="BE5" s="19">
        <v>0</v>
      </c>
      <c r="BF5" s="19">
        <v>0</v>
      </c>
      <c r="BG5" s="19">
        <v>126.4032</v>
      </c>
      <c r="BH5" s="19">
        <v>83.447999999999993</v>
      </c>
      <c r="BI5" s="19">
        <v>175.65120000000002</v>
      </c>
      <c r="BJ5" s="19">
        <v>0</v>
      </c>
      <c r="BK5" s="19">
        <v>0</v>
      </c>
      <c r="BL5" s="19">
        <v>0</v>
      </c>
      <c r="BM5" s="19">
        <v>126.4032</v>
      </c>
      <c r="BN5" s="19">
        <v>83.447999999999993</v>
      </c>
      <c r="BO5" s="19">
        <v>175.65120000000002</v>
      </c>
      <c r="BP5" s="19"/>
      <c r="BQ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88.950400000000002</v>
      </c>
      <c r="BS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175.65120000000002</v>
      </c>
      <c r="BT5" s="11">
        <f>Tabelle5897112140[[#This Row],[Mindestauslastung min]]*Tabelle5897112140[[#This Row],[installierte Leistung MW min]]</f>
        <v>0</v>
      </c>
      <c r="BU5" s="11">
        <f>Tabelle5897112140[[#This Row],[Mindestauslastung durch]]*Tabelle5897112140[[#This Row],[installierte Leistung MW durch]]</f>
        <v>0</v>
      </c>
      <c r="BV5" s="11">
        <f>Tabelle5897112140[[#This Row],[Mindestauslastung max]]*Tabelle5897112140[[#This Row],[installierte Leistung MW max]]</f>
        <v>0</v>
      </c>
      <c r="BW5" s="9">
        <v>0</v>
      </c>
      <c r="BX5" s="9">
        <v>0</v>
      </c>
      <c r="BY5" s="9">
        <v>0</v>
      </c>
      <c r="BZ5" s="9"/>
      <c r="CA5" s="9">
        <v>0.37</v>
      </c>
      <c r="CB5" s="9">
        <v>0.27</v>
      </c>
      <c r="CC5" s="9">
        <v>0.47</v>
      </c>
      <c r="CD5" s="9">
        <v>0.37</v>
      </c>
      <c r="CE5" s="9">
        <v>0.27</v>
      </c>
      <c r="CF5" s="9">
        <v>0.47</v>
      </c>
      <c r="CG5" s="9">
        <v>0.05</v>
      </c>
      <c r="CH5" s="9">
        <v>0</v>
      </c>
      <c r="CI5" s="9">
        <v>0.1</v>
      </c>
      <c r="CJ5" s="9">
        <v>0.08</v>
      </c>
      <c r="CK5" s="9">
        <v>0.03</v>
      </c>
      <c r="CL5" s="9">
        <v>0.13</v>
      </c>
      <c r="CM5" s="9">
        <v>0.08</v>
      </c>
      <c r="CN5" s="9">
        <v>0.03</v>
      </c>
      <c r="CO5" s="9">
        <v>0.13</v>
      </c>
      <c r="CP5" s="9">
        <v>0.01</v>
      </c>
      <c r="CQ5" s="9">
        <v>0</v>
      </c>
      <c r="CR5" s="9">
        <v>0.06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f>MIN(Tabelle5897112140[[#This Row],[Durchschnittsauslastung durch Sommer WTT]:[Durchschnittsauslastung max Winter SFN]])</f>
        <v>0</v>
      </c>
      <c r="DC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5" s="9">
        <f>MAX(Tabelle5897112140[[#This Row],[Durchschnittsauslastung durch Sommer WTT]:[Durchschnittsauslastung max Winter SFN]])</f>
        <v>0.47</v>
      </c>
      <c r="DE5" s="40">
        <f>Tabelle5897112140[[#This Row],[Durchschnittsauslastung min]]*Tabelle5897112140[[#This Row],[installierte Leistung MW min]]</f>
        <v>0</v>
      </c>
      <c r="DF5" s="40">
        <f>Tabelle5897112140[[#This Row],[Durchschnittsauslastung durch]]*Tabelle5897112140[[#This Row],[installierte Leistung MW durch]]</f>
        <v>40.857599999999998</v>
      </c>
      <c r="DG5" s="40">
        <f>Tabelle5897112140[[#This Row],[Durchschnittsauslastung max]]*Tabelle5897112140[[#This Row],[installierte Leistung MW max]]</f>
        <v>229.32239999999999</v>
      </c>
      <c r="DH5" s="46">
        <f>Tabelle5897112140[[#This Row],[Maximalauslastung min]]*Tabelle5897112140[[#This Row],[installierte Leistung MW min]]</f>
        <v>83.448000000000008</v>
      </c>
      <c r="DI5" s="46">
        <f>Tabelle5897112140[[#This Row],[Maximalauslastung durch]]*Tabelle5897112140[[#This Row],[installierte Leistung MW durch]]</f>
        <v>126.40320000000001</v>
      </c>
      <c r="DJ5" s="19">
        <f>Tabelle5897112140[[#This Row],[Maximalauslastung max]]*Tabelle5897112140[[#This Row],[installierte Leistung MW durch]]</f>
        <v>137.89439999999999</v>
      </c>
      <c r="DK5" s="9">
        <v>0.3</v>
      </c>
      <c r="DL5" s="9">
        <v>0.33</v>
      </c>
      <c r="DM5" s="9">
        <v>0.36</v>
      </c>
      <c r="DN5" s="1">
        <v>383.04</v>
      </c>
      <c r="DO5" s="1">
        <v>278.16000000000003</v>
      </c>
      <c r="DP5" s="1">
        <v>487.92</v>
      </c>
      <c r="DQ5" s="19"/>
      <c r="DR5" s="19"/>
      <c r="DW5" s="1">
        <v>0.26</v>
      </c>
      <c r="DX5" s="1">
        <v>8.0000000000000016E-2</v>
      </c>
      <c r="DY5" s="1">
        <v>0.44</v>
      </c>
      <c r="EL5" s="1">
        <v>365</v>
      </c>
      <c r="EM5" s="1">
        <v>292</v>
      </c>
      <c r="EN5" s="1">
        <v>438</v>
      </c>
      <c r="EO5" s="11"/>
      <c r="EP5" s="11"/>
      <c r="EQ5" s="11"/>
      <c r="ER5" s="1">
        <v>365</v>
      </c>
      <c r="ES5" s="1">
        <v>292</v>
      </c>
      <c r="ET5" s="1">
        <v>438</v>
      </c>
      <c r="EV5" s="19"/>
      <c r="EW5" s="19"/>
      <c r="EX5" s="19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O5" s="1">
        <v>67</v>
      </c>
      <c r="FP5" s="1">
        <v>67</v>
      </c>
      <c r="FQ5" s="1">
        <v>67</v>
      </c>
      <c r="FR5" s="13" t="s">
        <v>806</v>
      </c>
      <c r="FS5" s="13" t="s">
        <v>806</v>
      </c>
      <c r="FT5" s="13" t="s">
        <v>806</v>
      </c>
      <c r="FU5" s="13"/>
      <c r="FV5" s="13" t="s">
        <v>806</v>
      </c>
      <c r="FW5" s="13" t="s">
        <v>806</v>
      </c>
      <c r="FX5" s="13" t="s">
        <v>806</v>
      </c>
      <c r="FY5" s="13" t="s">
        <v>806</v>
      </c>
      <c r="FZ5" s="13" t="s">
        <v>806</v>
      </c>
      <c r="GA5" s="13" t="s">
        <v>806</v>
      </c>
      <c r="GB5" s="13" t="s">
        <v>806</v>
      </c>
      <c r="GE5" s="13" t="s">
        <v>806</v>
      </c>
      <c r="GF5" s="13" t="s">
        <v>806</v>
      </c>
      <c r="GH5" s="13" t="s">
        <v>806</v>
      </c>
    </row>
    <row r="6" spans="1:193" ht="15" customHeight="1" x14ac:dyDescent="0.25">
      <c r="A6" s="1" t="s">
        <v>362</v>
      </c>
      <c r="B6" s="1" t="s">
        <v>650</v>
      </c>
      <c r="C6" s="1" t="s">
        <v>655</v>
      </c>
      <c r="D6" s="1" t="s">
        <v>669</v>
      </c>
      <c r="E6" s="1" t="s">
        <v>127</v>
      </c>
      <c r="F6" s="1">
        <v>0</v>
      </c>
      <c r="G6" s="1">
        <v>2035</v>
      </c>
      <c r="H6" s="1">
        <v>1</v>
      </c>
      <c r="I6" s="1">
        <v>0</v>
      </c>
      <c r="J6" s="1">
        <v>0</v>
      </c>
      <c r="K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47.308799999999998</v>
      </c>
      <c r="M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265.53120000000001</v>
      </c>
      <c r="N6" s="19">
        <v>164.10239999999999</v>
      </c>
      <c r="O6" s="19">
        <v>86.96159999999999</v>
      </c>
      <c r="P6" s="19">
        <v>265.53120000000001</v>
      </c>
      <c r="Q6" s="19">
        <v>0</v>
      </c>
      <c r="R6" s="19">
        <v>0</v>
      </c>
      <c r="S6" s="19">
        <v>50.846400000000003</v>
      </c>
      <c r="T6" s="19">
        <v>164.10239999999999</v>
      </c>
      <c r="U6" s="19">
        <v>86.96159999999999</v>
      </c>
      <c r="V6" s="19">
        <v>265.53120000000001</v>
      </c>
      <c r="W6" s="19">
        <v>0</v>
      </c>
      <c r="X6" s="19">
        <v>0</v>
      </c>
      <c r="Y6" s="19">
        <v>50.846400000000003</v>
      </c>
      <c r="Z6" s="19">
        <v>22.175999999999998</v>
      </c>
      <c r="AA6" s="19">
        <v>0</v>
      </c>
      <c r="AB6" s="19">
        <v>56.496000000000002</v>
      </c>
      <c r="AC6" s="19">
        <v>124.18560000000001</v>
      </c>
      <c r="AD6" s="19">
        <v>64.415999999999997</v>
      </c>
      <c r="AE6" s="19">
        <v>203.38560000000001</v>
      </c>
      <c r="AF6" s="19">
        <v>35.4816</v>
      </c>
      <c r="AG6" s="19">
        <v>9.6623999999999999</v>
      </c>
      <c r="AH6" s="19">
        <v>73.444800000000001</v>
      </c>
      <c r="AI6" s="19">
        <v>110.88</v>
      </c>
      <c r="AJ6" s="19">
        <v>54.753599999999999</v>
      </c>
      <c r="AK6" s="19">
        <v>186.43680000000001</v>
      </c>
      <c r="AL6" s="19">
        <v>35.4816</v>
      </c>
      <c r="AM6" s="19">
        <v>9.6623999999999999</v>
      </c>
      <c r="AN6" s="19">
        <v>73.444800000000001</v>
      </c>
      <c r="AO6" s="19">
        <v>110.88</v>
      </c>
      <c r="AP6" s="19">
        <v>54.753599999999999</v>
      </c>
      <c r="AQ6" s="19">
        <v>186.43680000000001</v>
      </c>
      <c r="AR6" s="19">
        <v>4.4352</v>
      </c>
      <c r="AS6" s="19">
        <v>0</v>
      </c>
      <c r="AT6" s="19">
        <v>33.897600000000004</v>
      </c>
      <c r="AU6" s="19">
        <v>141.9264</v>
      </c>
      <c r="AV6" s="19">
        <v>77.299199999999999</v>
      </c>
      <c r="AW6" s="19">
        <v>203.38560000000001</v>
      </c>
      <c r="AX6" s="19">
        <v>0</v>
      </c>
      <c r="AY6" s="19">
        <v>0</v>
      </c>
      <c r="AZ6" s="19">
        <v>0</v>
      </c>
      <c r="BA6" s="19">
        <v>146.36159999999998</v>
      </c>
      <c r="BB6" s="19">
        <v>96.623999999999995</v>
      </c>
      <c r="BC6" s="19">
        <v>203.38560000000001</v>
      </c>
      <c r="BD6" s="19">
        <v>0</v>
      </c>
      <c r="BE6" s="19">
        <v>0</v>
      </c>
      <c r="BF6" s="19">
        <v>0</v>
      </c>
      <c r="BG6" s="19">
        <v>146.36159999999998</v>
      </c>
      <c r="BH6" s="19">
        <v>96.623999999999995</v>
      </c>
      <c r="BI6" s="19">
        <v>203.38560000000001</v>
      </c>
      <c r="BJ6" s="19">
        <v>0</v>
      </c>
      <c r="BK6" s="19">
        <v>0</v>
      </c>
      <c r="BL6" s="19">
        <v>0</v>
      </c>
      <c r="BM6" s="19">
        <v>146.36159999999998</v>
      </c>
      <c r="BN6" s="19">
        <v>96.623999999999995</v>
      </c>
      <c r="BO6" s="19">
        <v>203.38560000000001</v>
      </c>
      <c r="BP6" s="19"/>
      <c r="BQ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102.9952</v>
      </c>
      <c r="BS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203.38560000000001</v>
      </c>
      <c r="BT6" s="11">
        <f>Tabelle5897112140[[#This Row],[Mindestauslastung min]]*Tabelle5897112140[[#This Row],[installierte Leistung MW min]]</f>
        <v>0</v>
      </c>
      <c r="BU6" s="11">
        <f>Tabelle5897112140[[#This Row],[Mindestauslastung durch]]*Tabelle5897112140[[#This Row],[installierte Leistung MW durch]]</f>
        <v>0</v>
      </c>
      <c r="BV6" s="11">
        <f>Tabelle5897112140[[#This Row],[Mindestauslastung max]]*Tabelle5897112140[[#This Row],[installierte Leistung MW max]]</f>
        <v>0</v>
      </c>
      <c r="BW6" s="9">
        <v>0</v>
      </c>
      <c r="BX6" s="9">
        <v>0</v>
      </c>
      <c r="BY6" s="9">
        <v>0</v>
      </c>
      <c r="BZ6" s="9"/>
      <c r="CA6" s="9">
        <v>0.37</v>
      </c>
      <c r="CB6" s="9">
        <v>0.27</v>
      </c>
      <c r="CC6" s="9">
        <v>0.47</v>
      </c>
      <c r="CD6" s="9">
        <v>0.37</v>
      </c>
      <c r="CE6" s="9">
        <v>0.27</v>
      </c>
      <c r="CF6" s="9">
        <v>0.47</v>
      </c>
      <c r="CG6" s="9">
        <v>0.05</v>
      </c>
      <c r="CH6" s="9">
        <v>0</v>
      </c>
      <c r="CI6" s="9">
        <v>0.1</v>
      </c>
      <c r="CJ6" s="9">
        <v>0.08</v>
      </c>
      <c r="CK6" s="9">
        <v>0.03</v>
      </c>
      <c r="CL6" s="9">
        <v>0.13</v>
      </c>
      <c r="CM6" s="9">
        <v>0.08</v>
      </c>
      <c r="CN6" s="9">
        <v>0.03</v>
      </c>
      <c r="CO6" s="9">
        <v>0.13</v>
      </c>
      <c r="CP6" s="9">
        <v>0.01</v>
      </c>
      <c r="CQ6" s="9">
        <v>0</v>
      </c>
      <c r="CR6" s="9">
        <v>0.06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f>MIN(Tabelle5897112140[[#This Row],[Durchschnittsauslastung durch Sommer WTT]:[Durchschnittsauslastung max Winter SFN]])</f>
        <v>0</v>
      </c>
      <c r="DC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6" s="9">
        <f>MAX(Tabelle5897112140[[#This Row],[Durchschnittsauslastung durch Sommer WTT]:[Durchschnittsauslastung max Winter SFN]])</f>
        <v>0.47</v>
      </c>
      <c r="DE6" s="40">
        <f>Tabelle5897112140[[#This Row],[Durchschnittsauslastung min]]*Tabelle5897112140[[#This Row],[installierte Leistung MW min]]</f>
        <v>0</v>
      </c>
      <c r="DF6" s="40">
        <f>Tabelle5897112140[[#This Row],[Durchschnittsauslastung durch]]*Tabelle5897112140[[#This Row],[installierte Leistung MW durch]]</f>
        <v>47.308799999999998</v>
      </c>
      <c r="DG6" s="40">
        <f>Tabelle5897112140[[#This Row],[Durchschnittsauslastung max]]*Tabelle5897112140[[#This Row],[installierte Leistung MW max]]</f>
        <v>265.53120000000001</v>
      </c>
      <c r="DH6" s="46">
        <f>Tabelle5897112140[[#This Row],[Maximalauslastung min]]*Tabelle5897112140[[#This Row],[installierte Leistung MW min]]</f>
        <v>96.623999999999995</v>
      </c>
      <c r="DI6" s="46">
        <f>Tabelle5897112140[[#This Row],[Maximalauslastung durch]]*Tabelle5897112140[[#This Row],[installierte Leistung MW durch]]</f>
        <v>146.36160000000001</v>
      </c>
      <c r="DJ6" s="19">
        <f>Tabelle5897112140[[#This Row],[Maximalauslastung max]]*Tabelle5897112140[[#This Row],[installierte Leistung MW durch]]</f>
        <v>159.66719999999998</v>
      </c>
      <c r="DK6" s="9">
        <v>0.3</v>
      </c>
      <c r="DL6" s="9">
        <v>0.33</v>
      </c>
      <c r="DM6" s="9">
        <v>0.36</v>
      </c>
      <c r="DN6" s="1">
        <v>443.52</v>
      </c>
      <c r="DO6" s="1">
        <v>322.08</v>
      </c>
      <c r="DP6" s="1">
        <v>564.96</v>
      </c>
      <c r="DQ6" s="19"/>
      <c r="DR6" s="19"/>
      <c r="DW6" s="1">
        <v>0.26</v>
      </c>
      <c r="DX6" s="1">
        <v>8.0000000000000016E-2</v>
      </c>
      <c r="DY6" s="1">
        <v>0.44</v>
      </c>
      <c r="EL6" s="1">
        <v>365</v>
      </c>
      <c r="EM6" s="1">
        <v>292</v>
      </c>
      <c r="EN6" s="1">
        <v>438</v>
      </c>
      <c r="EO6" s="11"/>
      <c r="EP6" s="11"/>
      <c r="EQ6" s="11"/>
      <c r="ER6" s="1">
        <v>365</v>
      </c>
      <c r="ES6" s="1">
        <v>292</v>
      </c>
      <c r="ET6" s="1">
        <v>438</v>
      </c>
      <c r="EV6" s="19"/>
      <c r="EW6" s="19"/>
      <c r="EX6" s="19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O6" s="1">
        <v>67</v>
      </c>
      <c r="FP6" s="1">
        <v>67</v>
      </c>
      <c r="FQ6" s="1">
        <v>67</v>
      </c>
      <c r="FR6" s="13" t="s">
        <v>806</v>
      </c>
      <c r="FS6" s="13" t="s">
        <v>806</v>
      </c>
      <c r="FT6" s="13" t="s">
        <v>806</v>
      </c>
      <c r="FU6" s="13"/>
      <c r="FV6" s="13" t="s">
        <v>806</v>
      </c>
      <c r="FW6" s="13" t="s">
        <v>806</v>
      </c>
      <c r="FX6" s="13" t="s">
        <v>806</v>
      </c>
      <c r="FY6" s="13" t="s">
        <v>806</v>
      </c>
      <c r="FZ6" s="13" t="s">
        <v>806</v>
      </c>
      <c r="GA6" s="13" t="s">
        <v>806</v>
      </c>
      <c r="GB6" s="13" t="s">
        <v>806</v>
      </c>
      <c r="GE6" s="13" t="s">
        <v>806</v>
      </c>
      <c r="GF6" s="13" t="s">
        <v>806</v>
      </c>
      <c r="GH6" s="13" t="s">
        <v>806</v>
      </c>
    </row>
    <row r="7" spans="1:193" ht="15" customHeight="1" x14ac:dyDescent="0.25">
      <c r="A7" s="1" t="s">
        <v>362</v>
      </c>
      <c r="B7" s="1" t="s">
        <v>650</v>
      </c>
      <c r="C7" s="1" t="s">
        <v>655</v>
      </c>
      <c r="D7" s="1" t="s">
        <v>669</v>
      </c>
      <c r="E7" s="1" t="s">
        <v>127</v>
      </c>
      <c r="F7" s="1">
        <v>0</v>
      </c>
      <c r="G7" s="1">
        <v>2040</v>
      </c>
      <c r="H7" s="1">
        <v>1</v>
      </c>
      <c r="I7" s="1">
        <v>0</v>
      </c>
      <c r="J7" s="1">
        <v>0</v>
      </c>
      <c r="K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55.372800000000005</v>
      </c>
      <c r="M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310.79220000000004</v>
      </c>
      <c r="N7" s="19">
        <v>192.0744</v>
      </c>
      <c r="O7" s="19">
        <v>101.7846</v>
      </c>
      <c r="P7" s="19">
        <v>310.79220000000004</v>
      </c>
      <c r="Q7" s="19">
        <v>0</v>
      </c>
      <c r="R7" s="19">
        <v>0</v>
      </c>
      <c r="S7" s="19">
        <v>59.513400000000004</v>
      </c>
      <c r="T7" s="19">
        <v>192.0744</v>
      </c>
      <c r="U7" s="19">
        <v>101.7846</v>
      </c>
      <c r="V7" s="19">
        <v>310.79220000000004</v>
      </c>
      <c r="W7" s="19">
        <v>0</v>
      </c>
      <c r="X7" s="19">
        <v>0</v>
      </c>
      <c r="Y7" s="19">
        <v>59.513400000000004</v>
      </c>
      <c r="Z7" s="19">
        <v>25.956</v>
      </c>
      <c r="AA7" s="19">
        <v>0</v>
      </c>
      <c r="AB7" s="19">
        <v>66.126000000000005</v>
      </c>
      <c r="AC7" s="19">
        <v>145.3536</v>
      </c>
      <c r="AD7" s="19">
        <v>75.396000000000001</v>
      </c>
      <c r="AE7" s="19">
        <v>238.05360000000002</v>
      </c>
      <c r="AF7" s="19">
        <v>41.529600000000002</v>
      </c>
      <c r="AG7" s="19">
        <v>11.3094</v>
      </c>
      <c r="AH7" s="19">
        <v>85.963799999999992</v>
      </c>
      <c r="AI7" s="19">
        <v>129.78</v>
      </c>
      <c r="AJ7" s="19">
        <v>64.086600000000004</v>
      </c>
      <c r="AK7" s="19">
        <v>218.21580000000003</v>
      </c>
      <c r="AL7" s="19">
        <v>41.529600000000002</v>
      </c>
      <c r="AM7" s="19">
        <v>11.3094</v>
      </c>
      <c r="AN7" s="19">
        <v>85.963799999999992</v>
      </c>
      <c r="AO7" s="19">
        <v>129.78</v>
      </c>
      <c r="AP7" s="19">
        <v>64.086600000000004</v>
      </c>
      <c r="AQ7" s="19">
        <v>218.21580000000003</v>
      </c>
      <c r="AR7" s="19">
        <v>5.1912000000000003</v>
      </c>
      <c r="AS7" s="19">
        <v>0</v>
      </c>
      <c r="AT7" s="19">
        <v>39.675600000000003</v>
      </c>
      <c r="AU7" s="19">
        <v>166.11840000000001</v>
      </c>
      <c r="AV7" s="19">
        <v>90.475200000000001</v>
      </c>
      <c r="AW7" s="19">
        <v>238.05360000000002</v>
      </c>
      <c r="AX7" s="19">
        <v>0</v>
      </c>
      <c r="AY7" s="19">
        <v>0</v>
      </c>
      <c r="AZ7" s="19">
        <v>0</v>
      </c>
      <c r="BA7" s="19">
        <v>171.30959999999999</v>
      </c>
      <c r="BB7" s="19">
        <v>113.09399999999999</v>
      </c>
      <c r="BC7" s="19">
        <v>238.05360000000002</v>
      </c>
      <c r="BD7" s="19">
        <v>0</v>
      </c>
      <c r="BE7" s="19">
        <v>0</v>
      </c>
      <c r="BF7" s="19">
        <v>0</v>
      </c>
      <c r="BG7" s="19">
        <v>171.30959999999999</v>
      </c>
      <c r="BH7" s="19">
        <v>113.09399999999999</v>
      </c>
      <c r="BI7" s="19">
        <v>238.05360000000002</v>
      </c>
      <c r="BJ7" s="19">
        <v>0</v>
      </c>
      <c r="BK7" s="19">
        <v>0</v>
      </c>
      <c r="BL7" s="19">
        <v>0</v>
      </c>
      <c r="BM7" s="19">
        <v>171.30959999999999</v>
      </c>
      <c r="BN7" s="19">
        <v>113.09399999999999</v>
      </c>
      <c r="BO7" s="19">
        <v>238.05360000000002</v>
      </c>
      <c r="BP7" s="19"/>
      <c r="BQ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120.55120000000001</v>
      </c>
      <c r="BS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238.05360000000002</v>
      </c>
      <c r="BT7" s="11">
        <f>Tabelle5897112140[[#This Row],[Mindestauslastung min]]*Tabelle5897112140[[#This Row],[installierte Leistung MW min]]</f>
        <v>0</v>
      </c>
      <c r="BU7" s="11">
        <f>Tabelle5897112140[[#This Row],[Mindestauslastung durch]]*Tabelle5897112140[[#This Row],[installierte Leistung MW durch]]</f>
        <v>0</v>
      </c>
      <c r="BV7" s="11">
        <f>Tabelle5897112140[[#This Row],[Mindestauslastung max]]*Tabelle5897112140[[#This Row],[installierte Leistung MW max]]</f>
        <v>0</v>
      </c>
      <c r="BW7" s="9">
        <v>0</v>
      </c>
      <c r="BX7" s="9">
        <v>0</v>
      </c>
      <c r="BY7" s="9">
        <v>0</v>
      </c>
      <c r="BZ7" s="9"/>
      <c r="CA7" s="9">
        <v>0.37</v>
      </c>
      <c r="CB7" s="9">
        <v>0.27</v>
      </c>
      <c r="CC7" s="9">
        <v>0.47</v>
      </c>
      <c r="CD7" s="9">
        <v>0.37</v>
      </c>
      <c r="CE7" s="9">
        <v>0.27</v>
      </c>
      <c r="CF7" s="9">
        <v>0.47</v>
      </c>
      <c r="CG7" s="9">
        <v>0.05</v>
      </c>
      <c r="CH7" s="9">
        <v>0</v>
      </c>
      <c r="CI7" s="9">
        <v>0.1</v>
      </c>
      <c r="CJ7" s="9">
        <v>0.08</v>
      </c>
      <c r="CK7" s="9">
        <v>0.03</v>
      </c>
      <c r="CL7" s="9">
        <v>0.13</v>
      </c>
      <c r="CM7" s="9">
        <v>0.08</v>
      </c>
      <c r="CN7" s="9">
        <v>0.03</v>
      </c>
      <c r="CO7" s="9">
        <v>0.13</v>
      </c>
      <c r="CP7" s="9">
        <v>0.01</v>
      </c>
      <c r="CQ7" s="9">
        <v>0</v>
      </c>
      <c r="CR7" s="9">
        <v>0.06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f>MIN(Tabelle5897112140[[#This Row],[Durchschnittsauslastung durch Sommer WTT]:[Durchschnittsauslastung max Winter SFN]])</f>
        <v>0</v>
      </c>
      <c r="DC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7" s="9">
        <f>MAX(Tabelle5897112140[[#This Row],[Durchschnittsauslastung durch Sommer WTT]:[Durchschnittsauslastung max Winter SFN]])</f>
        <v>0.47</v>
      </c>
      <c r="DE7" s="40">
        <f>Tabelle5897112140[[#This Row],[Durchschnittsauslastung min]]*Tabelle5897112140[[#This Row],[installierte Leistung MW min]]</f>
        <v>0</v>
      </c>
      <c r="DF7" s="40">
        <f>Tabelle5897112140[[#This Row],[Durchschnittsauslastung durch]]*Tabelle5897112140[[#This Row],[installierte Leistung MW durch]]</f>
        <v>55.372799999999998</v>
      </c>
      <c r="DG7" s="40">
        <f>Tabelle5897112140[[#This Row],[Durchschnittsauslastung max]]*Tabelle5897112140[[#This Row],[installierte Leistung MW max]]</f>
        <v>310.79219999999998</v>
      </c>
      <c r="DH7" s="46">
        <f>Tabelle5897112140[[#This Row],[Maximalauslastung min]]*Tabelle5897112140[[#This Row],[installierte Leistung MW min]]</f>
        <v>113.09400000000001</v>
      </c>
      <c r="DI7" s="46">
        <f>Tabelle5897112140[[#This Row],[Maximalauslastung durch]]*Tabelle5897112140[[#This Row],[installierte Leistung MW durch]]</f>
        <v>171.30960000000002</v>
      </c>
      <c r="DJ7" s="19">
        <f>Tabelle5897112140[[#This Row],[Maximalauslastung max]]*Tabelle5897112140[[#This Row],[installierte Leistung MW durch]]</f>
        <v>186.88319999999999</v>
      </c>
      <c r="DK7" s="9">
        <v>0.3</v>
      </c>
      <c r="DL7" s="9">
        <v>0.33</v>
      </c>
      <c r="DM7" s="9">
        <v>0.36</v>
      </c>
      <c r="DN7" s="1">
        <v>519.12</v>
      </c>
      <c r="DO7" s="1">
        <v>376.98</v>
      </c>
      <c r="DP7" s="1">
        <v>661.26</v>
      </c>
      <c r="DQ7" s="19"/>
      <c r="DR7" s="19"/>
      <c r="DW7" s="1">
        <v>0.26</v>
      </c>
      <c r="DX7" s="1">
        <v>8.0000000000000016E-2</v>
      </c>
      <c r="DY7" s="1">
        <v>0.44</v>
      </c>
      <c r="EL7" s="1">
        <v>365</v>
      </c>
      <c r="EM7" s="1">
        <v>292</v>
      </c>
      <c r="EN7" s="1">
        <v>438</v>
      </c>
      <c r="EO7" s="11"/>
      <c r="EP7" s="11"/>
      <c r="EQ7" s="11"/>
      <c r="ER7" s="1">
        <v>365</v>
      </c>
      <c r="ES7" s="1">
        <v>292</v>
      </c>
      <c r="ET7" s="1">
        <v>438</v>
      </c>
      <c r="EV7" s="19"/>
      <c r="EW7" s="19"/>
      <c r="EX7" s="19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O7" s="1">
        <v>67</v>
      </c>
      <c r="FP7" s="1">
        <v>67</v>
      </c>
      <c r="FQ7" s="1">
        <v>67</v>
      </c>
      <c r="FR7" s="13" t="s">
        <v>806</v>
      </c>
      <c r="FS7" s="13" t="s">
        <v>806</v>
      </c>
      <c r="FT7" s="13" t="s">
        <v>806</v>
      </c>
      <c r="FU7" s="13"/>
      <c r="FV7" s="13" t="s">
        <v>806</v>
      </c>
      <c r="FW7" s="13" t="s">
        <v>806</v>
      </c>
      <c r="FX7" s="13" t="s">
        <v>806</v>
      </c>
      <c r="FY7" s="13" t="s">
        <v>806</v>
      </c>
      <c r="FZ7" s="13" t="s">
        <v>806</v>
      </c>
      <c r="GA7" s="13" t="s">
        <v>806</v>
      </c>
      <c r="GB7" s="13" t="s">
        <v>806</v>
      </c>
      <c r="GE7" s="13" t="s">
        <v>806</v>
      </c>
      <c r="GF7" s="13" t="s">
        <v>806</v>
      </c>
      <c r="GH7" s="13" t="s">
        <v>806</v>
      </c>
    </row>
    <row r="8" spans="1:193" ht="15" customHeight="1" x14ac:dyDescent="0.25">
      <c r="A8" s="1" t="s">
        <v>362</v>
      </c>
      <c r="B8" s="1" t="s">
        <v>650</v>
      </c>
      <c r="C8" s="1" t="s">
        <v>655</v>
      </c>
      <c r="D8" s="1" t="s">
        <v>669</v>
      </c>
      <c r="E8" s="1" t="s">
        <v>127</v>
      </c>
      <c r="F8" s="1">
        <v>0</v>
      </c>
      <c r="G8" s="1">
        <v>2045</v>
      </c>
      <c r="H8" s="1">
        <v>1</v>
      </c>
      <c r="I8" s="1">
        <v>0</v>
      </c>
      <c r="J8" s="1">
        <v>0</v>
      </c>
      <c r="K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64.780800000000013</v>
      </c>
      <c r="M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363.59670000000006</v>
      </c>
      <c r="N8" s="19">
        <v>224.70840000000001</v>
      </c>
      <c r="O8" s="19">
        <v>119.07809999999999</v>
      </c>
      <c r="P8" s="19">
        <v>363.59670000000006</v>
      </c>
      <c r="Q8" s="19">
        <v>0</v>
      </c>
      <c r="R8" s="19">
        <v>0</v>
      </c>
      <c r="S8" s="19">
        <v>69.624900000000011</v>
      </c>
      <c r="T8" s="19">
        <v>224.70840000000001</v>
      </c>
      <c r="U8" s="19">
        <v>119.07809999999999</v>
      </c>
      <c r="V8" s="19">
        <v>363.59670000000006</v>
      </c>
      <c r="W8" s="19">
        <v>0</v>
      </c>
      <c r="X8" s="19">
        <v>0</v>
      </c>
      <c r="Y8" s="19">
        <v>69.624900000000011</v>
      </c>
      <c r="Z8" s="19">
        <v>30.366</v>
      </c>
      <c r="AA8" s="19">
        <v>0</v>
      </c>
      <c r="AB8" s="19">
        <v>77.361000000000004</v>
      </c>
      <c r="AC8" s="19">
        <v>170.04960000000003</v>
      </c>
      <c r="AD8" s="19">
        <v>88.206000000000003</v>
      </c>
      <c r="AE8" s="19">
        <v>278.49960000000004</v>
      </c>
      <c r="AF8" s="19">
        <v>48.585600000000007</v>
      </c>
      <c r="AG8" s="19">
        <v>13.230900000000002</v>
      </c>
      <c r="AH8" s="19">
        <v>100.5693</v>
      </c>
      <c r="AI8" s="19">
        <v>151.83000000000001</v>
      </c>
      <c r="AJ8" s="19">
        <v>74.975099999999998</v>
      </c>
      <c r="AK8" s="19">
        <v>255.29130000000004</v>
      </c>
      <c r="AL8" s="19">
        <v>48.585600000000007</v>
      </c>
      <c r="AM8" s="19">
        <v>13.230900000000002</v>
      </c>
      <c r="AN8" s="19">
        <v>100.5693</v>
      </c>
      <c r="AO8" s="19">
        <v>151.83000000000001</v>
      </c>
      <c r="AP8" s="19">
        <v>74.975099999999998</v>
      </c>
      <c r="AQ8" s="19">
        <v>255.29130000000004</v>
      </c>
      <c r="AR8" s="19">
        <v>6.0732000000000008</v>
      </c>
      <c r="AS8" s="19">
        <v>0</v>
      </c>
      <c r="AT8" s="19">
        <v>46.41660000000001</v>
      </c>
      <c r="AU8" s="19">
        <v>194.34240000000003</v>
      </c>
      <c r="AV8" s="19">
        <v>105.84720000000002</v>
      </c>
      <c r="AW8" s="19">
        <v>278.49960000000004</v>
      </c>
      <c r="AX8" s="19">
        <v>0</v>
      </c>
      <c r="AY8" s="19">
        <v>0</v>
      </c>
      <c r="AZ8" s="19">
        <v>0</v>
      </c>
      <c r="BA8" s="19">
        <v>200.41560000000001</v>
      </c>
      <c r="BB8" s="19">
        <v>132.309</v>
      </c>
      <c r="BC8" s="19">
        <v>278.49960000000004</v>
      </c>
      <c r="BD8" s="19">
        <v>0</v>
      </c>
      <c r="BE8" s="19">
        <v>0</v>
      </c>
      <c r="BF8" s="19">
        <v>0</v>
      </c>
      <c r="BG8" s="19">
        <v>200.41560000000001</v>
      </c>
      <c r="BH8" s="19">
        <v>132.309</v>
      </c>
      <c r="BI8" s="19">
        <v>278.49960000000004</v>
      </c>
      <c r="BJ8" s="19">
        <v>0</v>
      </c>
      <c r="BK8" s="19">
        <v>0</v>
      </c>
      <c r="BL8" s="19">
        <v>0</v>
      </c>
      <c r="BM8" s="19">
        <v>200.41560000000001</v>
      </c>
      <c r="BN8" s="19">
        <v>132.309</v>
      </c>
      <c r="BO8" s="19">
        <v>278.49960000000004</v>
      </c>
      <c r="BP8" s="19"/>
      <c r="BQ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141.03319999999999</v>
      </c>
      <c r="BS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278.49960000000004</v>
      </c>
      <c r="BT8" s="11">
        <f>Tabelle5897112140[[#This Row],[Mindestauslastung min]]*Tabelle5897112140[[#This Row],[installierte Leistung MW min]]</f>
        <v>0</v>
      </c>
      <c r="BU8" s="11">
        <f>Tabelle5897112140[[#This Row],[Mindestauslastung durch]]*Tabelle5897112140[[#This Row],[installierte Leistung MW durch]]</f>
        <v>0</v>
      </c>
      <c r="BV8" s="11">
        <f>Tabelle5897112140[[#This Row],[Mindestauslastung max]]*Tabelle5897112140[[#This Row],[installierte Leistung MW max]]</f>
        <v>0</v>
      </c>
      <c r="BW8" s="9">
        <v>0</v>
      </c>
      <c r="BX8" s="9">
        <v>0</v>
      </c>
      <c r="BY8" s="9">
        <v>0</v>
      </c>
      <c r="BZ8" s="9"/>
      <c r="CA8" s="9">
        <v>0.37</v>
      </c>
      <c r="CB8" s="9">
        <v>0.27</v>
      </c>
      <c r="CC8" s="9">
        <v>0.47</v>
      </c>
      <c r="CD8" s="9">
        <v>0.37</v>
      </c>
      <c r="CE8" s="9">
        <v>0.27</v>
      </c>
      <c r="CF8" s="9">
        <v>0.47</v>
      </c>
      <c r="CG8" s="9">
        <v>0.05</v>
      </c>
      <c r="CH8" s="9">
        <v>0</v>
      </c>
      <c r="CI8" s="9">
        <v>0.1</v>
      </c>
      <c r="CJ8" s="9">
        <v>0.08</v>
      </c>
      <c r="CK8" s="9">
        <v>0.03</v>
      </c>
      <c r="CL8" s="9">
        <v>0.13</v>
      </c>
      <c r="CM8" s="9">
        <v>0.08</v>
      </c>
      <c r="CN8" s="9">
        <v>0.03</v>
      </c>
      <c r="CO8" s="9">
        <v>0.13</v>
      </c>
      <c r="CP8" s="9">
        <v>0.01</v>
      </c>
      <c r="CQ8" s="9">
        <v>0</v>
      </c>
      <c r="CR8" s="9">
        <v>0.06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f>MIN(Tabelle5897112140[[#This Row],[Durchschnittsauslastung durch Sommer WTT]:[Durchschnittsauslastung max Winter SFN]])</f>
        <v>0</v>
      </c>
      <c r="DC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8" s="9">
        <f>MAX(Tabelle5897112140[[#This Row],[Durchschnittsauslastung durch Sommer WTT]:[Durchschnittsauslastung max Winter SFN]])</f>
        <v>0.47</v>
      </c>
      <c r="DE8" s="40">
        <f>Tabelle5897112140[[#This Row],[Durchschnittsauslastung min]]*Tabelle5897112140[[#This Row],[installierte Leistung MW min]]</f>
        <v>0</v>
      </c>
      <c r="DF8" s="40">
        <f>Tabelle5897112140[[#This Row],[Durchschnittsauslastung durch]]*Tabelle5897112140[[#This Row],[installierte Leistung MW durch]]</f>
        <v>64.780799999999999</v>
      </c>
      <c r="DG8" s="40">
        <f>Tabelle5897112140[[#This Row],[Durchschnittsauslastung max]]*Tabelle5897112140[[#This Row],[installierte Leistung MW max]]</f>
        <v>363.5967</v>
      </c>
      <c r="DH8" s="46">
        <f>Tabelle5897112140[[#This Row],[Maximalauslastung min]]*Tabelle5897112140[[#This Row],[installierte Leistung MW min]]</f>
        <v>132.309</v>
      </c>
      <c r="DI8" s="46">
        <f>Tabelle5897112140[[#This Row],[Maximalauslastung durch]]*Tabelle5897112140[[#This Row],[installierte Leistung MW durch]]</f>
        <v>200.41560000000001</v>
      </c>
      <c r="DJ8" s="19">
        <f>Tabelle5897112140[[#This Row],[Maximalauslastung max]]*Tabelle5897112140[[#This Row],[installierte Leistung MW durch]]</f>
        <v>218.6352</v>
      </c>
      <c r="DK8" s="9">
        <v>0.3</v>
      </c>
      <c r="DL8" s="9">
        <v>0.33</v>
      </c>
      <c r="DM8" s="9">
        <v>0.36</v>
      </c>
      <c r="DN8" s="1">
        <v>607.32000000000005</v>
      </c>
      <c r="DO8" s="1">
        <v>441.03</v>
      </c>
      <c r="DP8" s="1">
        <v>773.61</v>
      </c>
      <c r="DQ8" s="19"/>
      <c r="DR8" s="19"/>
      <c r="DW8" s="1">
        <v>0.26</v>
      </c>
      <c r="DX8" s="1">
        <v>8.0000000000000016E-2</v>
      </c>
      <c r="DY8" s="1">
        <v>0.44</v>
      </c>
      <c r="EL8" s="1">
        <v>365</v>
      </c>
      <c r="EM8" s="1">
        <v>292</v>
      </c>
      <c r="EN8" s="1">
        <v>438</v>
      </c>
      <c r="EO8" s="11"/>
      <c r="EP8" s="11"/>
      <c r="EQ8" s="11"/>
      <c r="ER8" s="1">
        <v>365</v>
      </c>
      <c r="ES8" s="1">
        <v>292</v>
      </c>
      <c r="ET8" s="1">
        <v>438</v>
      </c>
      <c r="EV8" s="19"/>
      <c r="EW8" s="19"/>
      <c r="EX8" s="19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O8" s="1">
        <v>67</v>
      </c>
      <c r="FP8" s="1">
        <v>67</v>
      </c>
      <c r="FQ8" s="1">
        <v>67</v>
      </c>
      <c r="FR8" s="13" t="s">
        <v>806</v>
      </c>
      <c r="FS8" s="13" t="s">
        <v>806</v>
      </c>
      <c r="FT8" s="13" t="s">
        <v>806</v>
      </c>
      <c r="FU8" s="13"/>
      <c r="FV8" s="13" t="s">
        <v>806</v>
      </c>
      <c r="FW8" s="13" t="s">
        <v>806</v>
      </c>
      <c r="FX8" s="13" t="s">
        <v>806</v>
      </c>
      <c r="FY8" s="13" t="s">
        <v>806</v>
      </c>
      <c r="FZ8" s="13" t="s">
        <v>806</v>
      </c>
      <c r="GA8" s="13" t="s">
        <v>806</v>
      </c>
      <c r="GB8" s="13" t="s">
        <v>806</v>
      </c>
      <c r="GE8" s="13" t="s">
        <v>806</v>
      </c>
      <c r="GF8" s="13" t="s">
        <v>806</v>
      </c>
      <c r="GH8" s="13" t="s">
        <v>806</v>
      </c>
    </row>
    <row r="9" spans="1:193" ht="15" customHeight="1" x14ac:dyDescent="0.25">
      <c r="A9" s="1" t="s">
        <v>362</v>
      </c>
      <c r="B9" s="1" t="s">
        <v>650</v>
      </c>
      <c r="C9" s="1" t="s">
        <v>655</v>
      </c>
      <c r="D9" s="1" t="s">
        <v>669</v>
      </c>
      <c r="E9" s="1" t="s">
        <v>127</v>
      </c>
      <c r="F9" s="1">
        <v>0</v>
      </c>
      <c r="G9" s="1">
        <v>2050</v>
      </c>
      <c r="H9" s="1">
        <v>1</v>
      </c>
      <c r="I9" s="1">
        <v>0</v>
      </c>
      <c r="J9" s="1">
        <v>0</v>
      </c>
      <c r="K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76.339199999999991</v>
      </c>
      <c r="M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428.4708</v>
      </c>
      <c r="N9" s="19">
        <v>264.80159999999995</v>
      </c>
      <c r="O9" s="19">
        <v>140.3244</v>
      </c>
      <c r="P9" s="19">
        <v>428.4708</v>
      </c>
      <c r="Q9" s="19">
        <v>0</v>
      </c>
      <c r="R9" s="19">
        <v>0</v>
      </c>
      <c r="S9" s="19">
        <v>82.047600000000003</v>
      </c>
      <c r="T9" s="19">
        <v>264.80159999999995</v>
      </c>
      <c r="U9" s="19">
        <v>140.3244</v>
      </c>
      <c r="V9" s="19">
        <v>428.4708</v>
      </c>
      <c r="W9" s="19">
        <v>0</v>
      </c>
      <c r="X9" s="19">
        <v>0</v>
      </c>
      <c r="Y9" s="19">
        <v>82.047600000000003</v>
      </c>
      <c r="Z9" s="19">
        <v>35.783999999999999</v>
      </c>
      <c r="AA9" s="19">
        <v>0</v>
      </c>
      <c r="AB9" s="19">
        <v>91.164000000000001</v>
      </c>
      <c r="AC9" s="19">
        <v>200.3904</v>
      </c>
      <c r="AD9" s="19">
        <v>103.944</v>
      </c>
      <c r="AE9" s="19">
        <v>328.19040000000001</v>
      </c>
      <c r="AF9" s="19">
        <v>57.254399999999997</v>
      </c>
      <c r="AG9" s="19">
        <v>15.5916</v>
      </c>
      <c r="AH9" s="19">
        <v>118.51319999999998</v>
      </c>
      <c r="AI9" s="19">
        <v>178.92</v>
      </c>
      <c r="AJ9" s="19">
        <v>88.352399999999989</v>
      </c>
      <c r="AK9" s="19">
        <v>300.84120000000001</v>
      </c>
      <c r="AL9" s="19">
        <v>57.254399999999997</v>
      </c>
      <c r="AM9" s="19">
        <v>15.5916</v>
      </c>
      <c r="AN9" s="19">
        <v>118.51319999999998</v>
      </c>
      <c r="AO9" s="19">
        <v>178.92</v>
      </c>
      <c r="AP9" s="19">
        <v>88.352399999999989</v>
      </c>
      <c r="AQ9" s="19">
        <v>300.84120000000001</v>
      </c>
      <c r="AR9" s="19">
        <v>7.1567999999999996</v>
      </c>
      <c r="AS9" s="19">
        <v>0</v>
      </c>
      <c r="AT9" s="19">
        <v>54.698399999999999</v>
      </c>
      <c r="AU9" s="19">
        <v>229.01759999999999</v>
      </c>
      <c r="AV9" s="19">
        <v>124.7328</v>
      </c>
      <c r="AW9" s="19">
        <v>328.19040000000001</v>
      </c>
      <c r="AX9" s="19">
        <v>0</v>
      </c>
      <c r="AY9" s="19">
        <v>0</v>
      </c>
      <c r="AZ9" s="19">
        <v>0</v>
      </c>
      <c r="BA9" s="19">
        <v>236.17439999999999</v>
      </c>
      <c r="BB9" s="19">
        <v>155.916</v>
      </c>
      <c r="BC9" s="19">
        <v>328.19040000000001</v>
      </c>
      <c r="BD9" s="19">
        <v>0</v>
      </c>
      <c r="BE9" s="19">
        <v>0</v>
      </c>
      <c r="BF9" s="19">
        <v>0</v>
      </c>
      <c r="BG9" s="19">
        <v>236.17439999999999</v>
      </c>
      <c r="BH9" s="19">
        <v>155.916</v>
      </c>
      <c r="BI9" s="19">
        <v>328.19040000000001</v>
      </c>
      <c r="BJ9" s="19">
        <v>0</v>
      </c>
      <c r="BK9" s="19">
        <v>0</v>
      </c>
      <c r="BL9" s="19">
        <v>0</v>
      </c>
      <c r="BM9" s="19">
        <v>236.17439999999999</v>
      </c>
      <c r="BN9" s="19">
        <v>155.916</v>
      </c>
      <c r="BO9" s="19">
        <v>328.19040000000001</v>
      </c>
      <c r="BP9" s="19"/>
      <c r="BQ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166.19679999999997</v>
      </c>
      <c r="BS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328.19040000000001</v>
      </c>
      <c r="BT9" s="11">
        <f>Tabelle5897112140[[#This Row],[Mindestauslastung min]]*Tabelle5897112140[[#This Row],[installierte Leistung MW min]]</f>
        <v>0</v>
      </c>
      <c r="BU9" s="11">
        <f>Tabelle5897112140[[#This Row],[Mindestauslastung durch]]*Tabelle5897112140[[#This Row],[installierte Leistung MW durch]]</f>
        <v>0</v>
      </c>
      <c r="BV9" s="11">
        <f>Tabelle5897112140[[#This Row],[Mindestauslastung max]]*Tabelle5897112140[[#This Row],[installierte Leistung MW max]]</f>
        <v>0</v>
      </c>
      <c r="BW9" s="9">
        <v>0</v>
      </c>
      <c r="BX9" s="9">
        <v>0</v>
      </c>
      <c r="BY9" s="9">
        <v>0</v>
      </c>
      <c r="BZ9" s="9"/>
      <c r="CA9" s="9">
        <v>0.37</v>
      </c>
      <c r="CB9" s="9">
        <v>0.27</v>
      </c>
      <c r="CC9" s="9">
        <v>0.47</v>
      </c>
      <c r="CD9" s="9">
        <v>0.37</v>
      </c>
      <c r="CE9" s="9">
        <v>0.27</v>
      </c>
      <c r="CF9" s="9">
        <v>0.47</v>
      </c>
      <c r="CG9" s="9">
        <v>0.05</v>
      </c>
      <c r="CH9" s="9">
        <v>0</v>
      </c>
      <c r="CI9" s="9">
        <v>0.1</v>
      </c>
      <c r="CJ9" s="9">
        <v>0.08</v>
      </c>
      <c r="CK9" s="9">
        <v>0.03</v>
      </c>
      <c r="CL9" s="9">
        <v>0.13</v>
      </c>
      <c r="CM9" s="9">
        <v>0.08</v>
      </c>
      <c r="CN9" s="9">
        <v>0.03</v>
      </c>
      <c r="CO9" s="9">
        <v>0.13</v>
      </c>
      <c r="CP9" s="9">
        <v>0.01</v>
      </c>
      <c r="CQ9" s="9">
        <v>0</v>
      </c>
      <c r="CR9" s="9">
        <v>0.06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f>MIN(Tabelle5897112140[[#This Row],[Durchschnittsauslastung durch Sommer WTT]:[Durchschnittsauslastung max Winter SFN]])</f>
        <v>0</v>
      </c>
      <c r="DC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9" s="9">
        <f>MAX(Tabelle5897112140[[#This Row],[Durchschnittsauslastung durch Sommer WTT]:[Durchschnittsauslastung max Winter SFN]])</f>
        <v>0.47</v>
      </c>
      <c r="DE9" s="40">
        <f>Tabelle5897112140[[#This Row],[Durchschnittsauslastung min]]*Tabelle5897112140[[#This Row],[installierte Leistung MW min]]</f>
        <v>0</v>
      </c>
      <c r="DF9" s="40">
        <f>Tabelle5897112140[[#This Row],[Durchschnittsauslastung durch]]*Tabelle5897112140[[#This Row],[installierte Leistung MW durch]]</f>
        <v>76.339199999999991</v>
      </c>
      <c r="DG9" s="40">
        <f>Tabelle5897112140[[#This Row],[Durchschnittsauslastung max]]*Tabelle5897112140[[#This Row],[installierte Leistung MW max]]</f>
        <v>428.4708</v>
      </c>
      <c r="DH9" s="46">
        <f>Tabelle5897112140[[#This Row],[Maximalauslastung min]]*Tabelle5897112140[[#This Row],[installierte Leistung MW min]]</f>
        <v>155.916</v>
      </c>
      <c r="DI9" s="46">
        <f>Tabelle5897112140[[#This Row],[Maximalauslastung durch]]*Tabelle5897112140[[#This Row],[installierte Leistung MW durch]]</f>
        <v>236.17439999999999</v>
      </c>
      <c r="DJ9" s="19">
        <f>Tabelle5897112140[[#This Row],[Maximalauslastung max]]*Tabelle5897112140[[#This Row],[installierte Leistung MW durch]]</f>
        <v>257.64479999999998</v>
      </c>
      <c r="DK9" s="9">
        <v>0.3</v>
      </c>
      <c r="DL9" s="9">
        <v>0.33</v>
      </c>
      <c r="DM9" s="9">
        <v>0.36</v>
      </c>
      <c r="DN9" s="1">
        <v>715.68</v>
      </c>
      <c r="DO9" s="1">
        <v>519.72</v>
      </c>
      <c r="DP9" s="1">
        <v>911.64</v>
      </c>
      <c r="DQ9" s="19"/>
      <c r="DR9" s="19"/>
      <c r="DW9" s="1">
        <v>0.26</v>
      </c>
      <c r="DX9" s="1">
        <v>8.0000000000000016E-2</v>
      </c>
      <c r="DY9" s="1">
        <v>0.44</v>
      </c>
      <c r="EL9" s="1">
        <v>365</v>
      </c>
      <c r="EM9" s="1">
        <v>292</v>
      </c>
      <c r="EN9" s="1">
        <v>438</v>
      </c>
      <c r="EO9" s="11"/>
      <c r="EP9" s="11"/>
      <c r="EQ9" s="11"/>
      <c r="ER9" s="1">
        <v>365</v>
      </c>
      <c r="ES9" s="1">
        <v>292</v>
      </c>
      <c r="ET9" s="1">
        <v>438</v>
      </c>
      <c r="EV9" s="19"/>
      <c r="EW9" s="19"/>
      <c r="EX9" s="19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O9" s="1">
        <v>67</v>
      </c>
      <c r="FP9" s="1">
        <v>67</v>
      </c>
      <c r="FQ9" s="1">
        <v>67</v>
      </c>
      <c r="FR9" s="13" t="s">
        <v>806</v>
      </c>
      <c r="FS9" s="13" t="s">
        <v>806</v>
      </c>
      <c r="FT9" s="13" t="s">
        <v>806</v>
      </c>
      <c r="FU9" s="13"/>
      <c r="FV9" s="13" t="s">
        <v>806</v>
      </c>
      <c r="FW9" s="13" t="s">
        <v>806</v>
      </c>
      <c r="FX9" s="13" t="s">
        <v>806</v>
      </c>
      <c r="FY9" s="13" t="s">
        <v>806</v>
      </c>
      <c r="FZ9" s="13" t="s">
        <v>806</v>
      </c>
      <c r="GA9" s="13" t="s">
        <v>806</v>
      </c>
      <c r="GB9" s="13" t="s">
        <v>806</v>
      </c>
      <c r="GE9" s="13" t="s">
        <v>806</v>
      </c>
      <c r="GF9" s="13" t="s">
        <v>806</v>
      </c>
      <c r="GH9" s="13" t="s">
        <v>806</v>
      </c>
    </row>
    <row r="10" spans="1:193" ht="15" customHeight="1" x14ac:dyDescent="0.25">
      <c r="A10" s="1" t="s">
        <v>206</v>
      </c>
      <c r="B10" s="1" t="s">
        <v>747</v>
      </c>
      <c r="C10" s="1" t="s">
        <v>655</v>
      </c>
      <c r="D10" s="1" t="s">
        <v>670</v>
      </c>
      <c r="E10" s="1" t="s">
        <v>127</v>
      </c>
      <c r="F10" s="1">
        <v>0</v>
      </c>
      <c r="G10" s="1">
        <v>2015</v>
      </c>
      <c r="H10" s="1">
        <v>1</v>
      </c>
      <c r="I10" s="1">
        <v>0</v>
      </c>
      <c r="J10" s="1">
        <v>0</v>
      </c>
      <c r="K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63.44</v>
      </c>
      <c r="L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85.539999999999992</v>
      </c>
      <c r="M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104</v>
      </c>
      <c r="N10" s="19">
        <v>91.65</v>
      </c>
      <c r="O10" s="19">
        <v>79.3</v>
      </c>
      <c r="P10" s="19">
        <v>104</v>
      </c>
      <c r="Q10" s="19">
        <v>49.35</v>
      </c>
      <c r="R10" s="19">
        <v>42.7</v>
      </c>
      <c r="S10" s="19">
        <v>56</v>
      </c>
      <c r="T10" s="19">
        <v>91.65</v>
      </c>
      <c r="U10" s="19">
        <v>79.3</v>
      </c>
      <c r="V10" s="19">
        <v>104</v>
      </c>
      <c r="W10" s="19">
        <v>49.35</v>
      </c>
      <c r="X10" s="19">
        <v>42.7</v>
      </c>
      <c r="Y10" s="19">
        <v>56</v>
      </c>
      <c r="Z10" s="19">
        <v>73.319999999999993</v>
      </c>
      <c r="AA10" s="19">
        <v>63.44</v>
      </c>
      <c r="AB10" s="19">
        <v>83.2</v>
      </c>
      <c r="AC10" s="19">
        <v>67.680000000000007</v>
      </c>
      <c r="AD10" s="19">
        <v>58.56</v>
      </c>
      <c r="AE10" s="19">
        <v>76.8</v>
      </c>
      <c r="AF10" s="19">
        <v>91.65</v>
      </c>
      <c r="AG10" s="19">
        <v>79.3</v>
      </c>
      <c r="AH10" s="19">
        <v>104</v>
      </c>
      <c r="AI10" s="19">
        <v>49.35</v>
      </c>
      <c r="AJ10" s="19">
        <v>42.7</v>
      </c>
      <c r="AK10" s="19">
        <v>56</v>
      </c>
      <c r="AL10" s="19">
        <v>91.65</v>
      </c>
      <c r="AM10" s="19">
        <v>79.3</v>
      </c>
      <c r="AN10" s="19">
        <v>104</v>
      </c>
      <c r="AO10" s="19">
        <v>49.35</v>
      </c>
      <c r="AP10" s="19">
        <v>42.7</v>
      </c>
      <c r="AQ10" s="19">
        <v>56</v>
      </c>
      <c r="AR10" s="19">
        <v>73.319999999999993</v>
      </c>
      <c r="AS10" s="19">
        <v>63.44</v>
      </c>
      <c r="AT10" s="19">
        <v>83.2</v>
      </c>
      <c r="AU10" s="19">
        <v>67.680000000000007</v>
      </c>
      <c r="AV10" s="19">
        <v>58.56</v>
      </c>
      <c r="AW10" s="19">
        <v>76.8</v>
      </c>
      <c r="AX10" s="19">
        <v>91.65</v>
      </c>
      <c r="AY10" s="19">
        <v>79.3</v>
      </c>
      <c r="AZ10" s="19">
        <v>104</v>
      </c>
      <c r="BA10" s="19">
        <v>49.35</v>
      </c>
      <c r="BB10" s="19">
        <v>42.7</v>
      </c>
      <c r="BC10" s="19">
        <v>56</v>
      </c>
      <c r="BD10" s="19">
        <v>91.65</v>
      </c>
      <c r="BE10" s="19">
        <v>79.3</v>
      </c>
      <c r="BF10" s="19">
        <v>104</v>
      </c>
      <c r="BG10" s="19">
        <v>49.35</v>
      </c>
      <c r="BH10" s="19">
        <v>42.7</v>
      </c>
      <c r="BI10" s="19">
        <v>56</v>
      </c>
      <c r="BJ10" s="19">
        <v>73.319999999999993</v>
      </c>
      <c r="BK10" s="19">
        <v>63.44</v>
      </c>
      <c r="BL10" s="19">
        <v>83.2</v>
      </c>
      <c r="BM10" s="19">
        <v>67.680000000000007</v>
      </c>
      <c r="BN10" s="19">
        <v>58.56</v>
      </c>
      <c r="BO10" s="19">
        <v>76.8</v>
      </c>
      <c r="BP10" s="19"/>
      <c r="BQ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42.7</v>
      </c>
      <c r="BR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55.460000000000008</v>
      </c>
      <c r="BS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76.8</v>
      </c>
      <c r="BT10" s="11">
        <f>Tabelle5897112140[[#This Row],[Mindestauslastung min]]*Tabelle5897112140[[#This Row],[installierte Leistung MW min]]</f>
        <v>0</v>
      </c>
      <c r="BU10" s="11">
        <f>Tabelle5897112140[[#This Row],[Mindestauslastung durch]]*Tabelle5897112140[[#This Row],[installierte Leistung MW durch]]</f>
        <v>0</v>
      </c>
      <c r="BV10" s="11">
        <f>Tabelle5897112140[[#This Row],[Mindestauslastung max]]*Tabelle5897112140[[#This Row],[installierte Leistung MW max]]</f>
        <v>0</v>
      </c>
      <c r="BW10" s="9">
        <v>0</v>
      </c>
      <c r="BX10" s="9">
        <v>0</v>
      </c>
      <c r="BY10" s="9">
        <v>0</v>
      </c>
      <c r="BZ10" s="9"/>
      <c r="CA10" s="9">
        <v>0.65</v>
      </c>
      <c r="CB10" s="9">
        <v>0.65</v>
      </c>
      <c r="CC10" s="9">
        <v>0.65</v>
      </c>
      <c r="CD10" s="9">
        <v>0.65</v>
      </c>
      <c r="CE10" s="9">
        <v>0.65</v>
      </c>
      <c r="CF10" s="9">
        <v>0.65</v>
      </c>
      <c r="CG10" s="9">
        <v>0.52</v>
      </c>
      <c r="CH10" s="9">
        <v>0.52</v>
      </c>
      <c r="CI10" s="9">
        <v>0.52</v>
      </c>
      <c r="CJ10" s="9">
        <v>0.65</v>
      </c>
      <c r="CK10" s="9">
        <v>0.65</v>
      </c>
      <c r="CL10" s="9">
        <v>0.65</v>
      </c>
      <c r="CM10" s="9">
        <v>0.65</v>
      </c>
      <c r="CN10" s="9">
        <v>0.65</v>
      </c>
      <c r="CO10" s="9">
        <v>0.65</v>
      </c>
      <c r="CP10" s="9">
        <v>0.52</v>
      </c>
      <c r="CQ10" s="9">
        <v>0.52</v>
      </c>
      <c r="CR10" s="9">
        <v>0.52</v>
      </c>
      <c r="CS10" s="9">
        <v>0.65</v>
      </c>
      <c r="CT10" s="9">
        <v>0.65</v>
      </c>
      <c r="CU10" s="9">
        <v>0.65</v>
      </c>
      <c r="CV10" s="9">
        <v>0.65</v>
      </c>
      <c r="CW10" s="9">
        <v>0.65</v>
      </c>
      <c r="CX10" s="9">
        <v>0.65</v>
      </c>
      <c r="CY10" s="9">
        <v>0.52</v>
      </c>
      <c r="CZ10" s="9">
        <v>0.52</v>
      </c>
      <c r="DA10" s="9">
        <v>0.52</v>
      </c>
      <c r="DB10" s="9">
        <f>MIN(Tabelle5897112140[[#This Row],[Durchschnittsauslastung durch Sommer WTT]:[Durchschnittsauslastung max Winter SFN]])</f>
        <v>0.52</v>
      </c>
      <c r="DC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" s="9">
        <f>MAX(Tabelle5897112140[[#This Row],[Durchschnittsauslastung durch Sommer WTT]:[Durchschnittsauslastung max Winter SFN]])</f>
        <v>0.65</v>
      </c>
      <c r="DE10" s="40">
        <f>Tabelle5897112140[[#This Row],[Durchschnittsauslastung min]]*Tabelle5897112140[[#This Row],[installierte Leistung MW min]]</f>
        <v>63.440000000000005</v>
      </c>
      <c r="DF10" s="40">
        <f>Tabelle5897112140[[#This Row],[Durchschnittsauslastung durch]]*Tabelle5897112140[[#This Row],[installierte Leistung MW durch]]</f>
        <v>85.54000000000002</v>
      </c>
      <c r="DG10" s="40">
        <f>Tabelle5897112140[[#This Row],[Durchschnittsauslastung max]]*Tabelle5897112140[[#This Row],[installierte Leistung MW max]]</f>
        <v>104</v>
      </c>
      <c r="DH10" s="46">
        <f>Tabelle5897112140[[#This Row],[Maximalauslastung min]]*Tabelle5897112140[[#This Row],[installierte Leistung MW min]]</f>
        <v>122</v>
      </c>
      <c r="DI10" s="46">
        <f>Tabelle5897112140[[#This Row],[Maximalauslastung durch]]*Tabelle5897112140[[#This Row],[installierte Leistung MW durch]]</f>
        <v>141</v>
      </c>
      <c r="DJ10" s="19">
        <f>Tabelle5897112140[[#This Row],[Maximalauslastung max]]*Tabelle5897112140[[#This Row],[installierte Leistung MW durch]]</f>
        <v>141</v>
      </c>
      <c r="DK10" s="9">
        <v>1</v>
      </c>
      <c r="DL10" s="9">
        <v>1</v>
      </c>
      <c r="DM10" s="9">
        <v>1</v>
      </c>
      <c r="DN10" s="1">
        <v>141</v>
      </c>
      <c r="DO10" s="1">
        <v>122</v>
      </c>
      <c r="DP10" s="1">
        <v>160</v>
      </c>
      <c r="DQ10" s="19"/>
      <c r="DR10" s="19"/>
      <c r="DW10" s="1">
        <v>1.22</v>
      </c>
      <c r="DX10" s="1">
        <v>1</v>
      </c>
      <c r="DY10" s="1">
        <v>1.9</v>
      </c>
      <c r="EL10" s="1">
        <v>365</v>
      </c>
      <c r="EM10" s="1">
        <v>292</v>
      </c>
      <c r="EN10" s="1">
        <v>438</v>
      </c>
      <c r="EO10" s="11"/>
      <c r="EP10" s="11"/>
      <c r="EQ10" s="11"/>
      <c r="ER10" s="1">
        <v>365</v>
      </c>
      <c r="ES10" s="1">
        <v>292</v>
      </c>
      <c r="ET10" s="1">
        <v>438</v>
      </c>
      <c r="EV10" s="19"/>
      <c r="EW10" s="19"/>
      <c r="EX10" s="19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O10" s="1">
        <v>67</v>
      </c>
      <c r="FP10" s="1">
        <v>67</v>
      </c>
      <c r="FQ10" s="1">
        <v>67</v>
      </c>
      <c r="FR10" s="13" t="s">
        <v>806</v>
      </c>
      <c r="FS10" s="13" t="s">
        <v>806</v>
      </c>
      <c r="FT10" s="13" t="s">
        <v>806</v>
      </c>
      <c r="FU10" s="13"/>
      <c r="FV10" s="13" t="s">
        <v>806</v>
      </c>
      <c r="FW10" s="13" t="s">
        <v>806</v>
      </c>
      <c r="FX10" s="13" t="s">
        <v>806</v>
      </c>
      <c r="FY10" s="13" t="s">
        <v>806</v>
      </c>
      <c r="FZ10" s="13" t="s">
        <v>806</v>
      </c>
      <c r="GA10" s="13" t="s">
        <v>806</v>
      </c>
      <c r="GB10" s="13" t="s">
        <v>806</v>
      </c>
      <c r="GE10" s="13" t="s">
        <v>806</v>
      </c>
      <c r="GF10" s="13" t="s">
        <v>806</v>
      </c>
      <c r="GH10" s="13" t="s">
        <v>806</v>
      </c>
    </row>
    <row r="11" spans="1:193" ht="15" customHeight="1" x14ac:dyDescent="0.25">
      <c r="A11" s="1" t="s">
        <v>206</v>
      </c>
      <c r="B11" s="1" t="s">
        <v>747</v>
      </c>
      <c r="C11" s="1" t="s">
        <v>655</v>
      </c>
      <c r="D11" s="1" t="s">
        <v>670</v>
      </c>
      <c r="E11" s="1" t="s">
        <v>127</v>
      </c>
      <c r="F11" s="1">
        <v>0</v>
      </c>
      <c r="G11" s="1">
        <v>2020</v>
      </c>
      <c r="H11" s="1">
        <v>1</v>
      </c>
      <c r="I11" s="1">
        <v>0</v>
      </c>
      <c r="J11" s="1">
        <v>0</v>
      </c>
      <c r="K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72.321599999999989</v>
      </c>
      <c r="L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97.515599999999992</v>
      </c>
      <c r="M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118.55999999999999</v>
      </c>
      <c r="N11" s="19">
        <v>104.48099999999999</v>
      </c>
      <c r="O11" s="19">
        <v>90.401999999999987</v>
      </c>
      <c r="P11" s="19">
        <v>118.55999999999999</v>
      </c>
      <c r="Q11" s="19">
        <v>56.259</v>
      </c>
      <c r="R11" s="19">
        <v>48.677999999999997</v>
      </c>
      <c r="S11" s="19">
        <v>63.839999999999996</v>
      </c>
      <c r="T11" s="19">
        <v>104.48099999999999</v>
      </c>
      <c r="U11" s="19">
        <v>90.401999999999987</v>
      </c>
      <c r="V11" s="19">
        <v>118.55999999999999</v>
      </c>
      <c r="W11" s="19">
        <v>56.259</v>
      </c>
      <c r="X11" s="19">
        <v>48.677999999999997</v>
      </c>
      <c r="Y11" s="19">
        <v>63.839999999999996</v>
      </c>
      <c r="Z11" s="19">
        <v>83.584799999999987</v>
      </c>
      <c r="AA11" s="19">
        <v>72.321599999999989</v>
      </c>
      <c r="AB11" s="19">
        <v>94.847999999999999</v>
      </c>
      <c r="AC11" s="19">
        <v>77.155200000000008</v>
      </c>
      <c r="AD11" s="19">
        <v>66.758399999999995</v>
      </c>
      <c r="AE11" s="19">
        <v>87.551999999999992</v>
      </c>
      <c r="AF11" s="19">
        <v>104.48099999999999</v>
      </c>
      <c r="AG11" s="19">
        <v>90.401999999999987</v>
      </c>
      <c r="AH11" s="19">
        <v>118.55999999999999</v>
      </c>
      <c r="AI11" s="19">
        <v>56.259</v>
      </c>
      <c r="AJ11" s="19">
        <v>48.677999999999997</v>
      </c>
      <c r="AK11" s="19">
        <v>63.839999999999996</v>
      </c>
      <c r="AL11" s="19">
        <v>104.48099999999999</v>
      </c>
      <c r="AM11" s="19">
        <v>90.401999999999987</v>
      </c>
      <c r="AN11" s="19">
        <v>118.55999999999999</v>
      </c>
      <c r="AO11" s="19">
        <v>56.259</v>
      </c>
      <c r="AP11" s="19">
        <v>48.677999999999997</v>
      </c>
      <c r="AQ11" s="19">
        <v>63.839999999999996</v>
      </c>
      <c r="AR11" s="19">
        <v>83.584799999999987</v>
      </c>
      <c r="AS11" s="19">
        <v>72.321599999999989</v>
      </c>
      <c r="AT11" s="19">
        <v>94.847999999999999</v>
      </c>
      <c r="AU11" s="19">
        <v>77.155200000000008</v>
      </c>
      <c r="AV11" s="19">
        <v>66.758399999999995</v>
      </c>
      <c r="AW11" s="19">
        <v>87.551999999999992</v>
      </c>
      <c r="AX11" s="19">
        <v>104.48099999999999</v>
      </c>
      <c r="AY11" s="19">
        <v>90.401999999999987</v>
      </c>
      <c r="AZ11" s="19">
        <v>118.55999999999999</v>
      </c>
      <c r="BA11" s="19">
        <v>56.259</v>
      </c>
      <c r="BB11" s="19">
        <v>48.677999999999997</v>
      </c>
      <c r="BC11" s="19">
        <v>63.839999999999996</v>
      </c>
      <c r="BD11" s="19">
        <v>104.48099999999999</v>
      </c>
      <c r="BE11" s="19">
        <v>90.401999999999987</v>
      </c>
      <c r="BF11" s="19">
        <v>118.55999999999999</v>
      </c>
      <c r="BG11" s="19">
        <v>56.259</v>
      </c>
      <c r="BH11" s="19">
        <v>48.677999999999997</v>
      </c>
      <c r="BI11" s="19">
        <v>63.839999999999996</v>
      </c>
      <c r="BJ11" s="19">
        <v>83.584799999999987</v>
      </c>
      <c r="BK11" s="19">
        <v>72.321599999999989</v>
      </c>
      <c r="BL11" s="19">
        <v>94.847999999999999</v>
      </c>
      <c r="BM11" s="19">
        <v>77.155200000000008</v>
      </c>
      <c r="BN11" s="19">
        <v>66.758399999999995</v>
      </c>
      <c r="BO11" s="19">
        <v>87.551999999999992</v>
      </c>
      <c r="BP11" s="19"/>
      <c r="BQ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48.677999999999997</v>
      </c>
      <c r="BR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63.22440000000001</v>
      </c>
      <c r="BS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87.551999999999992</v>
      </c>
      <c r="BT11" s="11">
        <f>Tabelle5897112140[[#This Row],[Mindestauslastung min]]*Tabelle5897112140[[#This Row],[installierte Leistung MW min]]</f>
        <v>0</v>
      </c>
      <c r="BU11" s="11">
        <f>Tabelle5897112140[[#This Row],[Mindestauslastung durch]]*Tabelle5897112140[[#This Row],[installierte Leistung MW durch]]</f>
        <v>0</v>
      </c>
      <c r="BV11" s="11">
        <f>Tabelle5897112140[[#This Row],[Mindestauslastung max]]*Tabelle5897112140[[#This Row],[installierte Leistung MW max]]</f>
        <v>0</v>
      </c>
      <c r="BW11" s="9">
        <v>0</v>
      </c>
      <c r="BX11" s="9">
        <v>0</v>
      </c>
      <c r="BY11" s="9">
        <v>0</v>
      </c>
      <c r="BZ11" s="9"/>
      <c r="CA11" s="9">
        <v>0.65</v>
      </c>
      <c r="CB11" s="9">
        <v>0.65</v>
      </c>
      <c r="CC11" s="9">
        <v>0.65</v>
      </c>
      <c r="CD11" s="9">
        <v>0.65</v>
      </c>
      <c r="CE11" s="9">
        <v>0.65</v>
      </c>
      <c r="CF11" s="9">
        <v>0.65</v>
      </c>
      <c r="CG11" s="9">
        <v>0.52</v>
      </c>
      <c r="CH11" s="9">
        <v>0.52</v>
      </c>
      <c r="CI11" s="9">
        <v>0.52</v>
      </c>
      <c r="CJ11" s="9">
        <v>0.65</v>
      </c>
      <c r="CK11" s="9">
        <v>0.65</v>
      </c>
      <c r="CL11" s="9">
        <v>0.65</v>
      </c>
      <c r="CM11" s="9">
        <v>0.65</v>
      </c>
      <c r="CN11" s="9">
        <v>0.65</v>
      </c>
      <c r="CO11" s="9">
        <v>0.65</v>
      </c>
      <c r="CP11" s="9">
        <v>0.52</v>
      </c>
      <c r="CQ11" s="9">
        <v>0.52</v>
      </c>
      <c r="CR11" s="9">
        <v>0.52</v>
      </c>
      <c r="CS11" s="9">
        <v>0.65</v>
      </c>
      <c r="CT11" s="9">
        <v>0.65</v>
      </c>
      <c r="CU11" s="9">
        <v>0.65</v>
      </c>
      <c r="CV11" s="9">
        <v>0.65</v>
      </c>
      <c r="CW11" s="9">
        <v>0.65</v>
      </c>
      <c r="CX11" s="9">
        <v>0.65</v>
      </c>
      <c r="CY11" s="9">
        <v>0.52</v>
      </c>
      <c r="CZ11" s="9">
        <v>0.52</v>
      </c>
      <c r="DA11" s="9">
        <v>0.52</v>
      </c>
      <c r="DB11" s="9">
        <f>MIN(Tabelle5897112140[[#This Row],[Durchschnittsauslastung durch Sommer WTT]:[Durchschnittsauslastung max Winter SFN]])</f>
        <v>0.52</v>
      </c>
      <c r="DC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" s="9">
        <f>MAX(Tabelle5897112140[[#This Row],[Durchschnittsauslastung durch Sommer WTT]:[Durchschnittsauslastung max Winter SFN]])</f>
        <v>0.65</v>
      </c>
      <c r="DE11" s="40">
        <f>Tabelle5897112140[[#This Row],[Durchschnittsauslastung min]]*Tabelle5897112140[[#This Row],[installierte Leistung MW min]]</f>
        <v>72.321600000000004</v>
      </c>
      <c r="DF11" s="40">
        <f>Tabelle5897112140[[#This Row],[Durchschnittsauslastung durch]]*Tabelle5897112140[[#This Row],[installierte Leistung MW durch]]</f>
        <v>97.51560000000002</v>
      </c>
      <c r="DG11" s="40">
        <f>Tabelle5897112140[[#This Row],[Durchschnittsauslastung max]]*Tabelle5897112140[[#This Row],[installierte Leistung MW max]]</f>
        <v>118.56</v>
      </c>
      <c r="DH11" s="46">
        <f>Tabelle5897112140[[#This Row],[Maximalauslastung min]]*Tabelle5897112140[[#This Row],[installierte Leistung MW min]]</f>
        <v>139.08000000000001</v>
      </c>
      <c r="DI11" s="46">
        <f>Tabelle5897112140[[#This Row],[Maximalauslastung durch]]*Tabelle5897112140[[#This Row],[installierte Leistung MW durch]]</f>
        <v>160.74</v>
      </c>
      <c r="DJ11" s="19">
        <f>Tabelle5897112140[[#This Row],[Maximalauslastung max]]*Tabelle5897112140[[#This Row],[installierte Leistung MW durch]]</f>
        <v>160.74</v>
      </c>
      <c r="DK11" s="9">
        <v>1</v>
      </c>
      <c r="DL11" s="9">
        <v>1</v>
      </c>
      <c r="DM11" s="9">
        <v>1</v>
      </c>
      <c r="DN11" s="1">
        <v>160.74</v>
      </c>
      <c r="DO11" s="1">
        <v>139.08000000000001</v>
      </c>
      <c r="DP11" s="1">
        <v>182.4</v>
      </c>
      <c r="DQ11" s="19"/>
      <c r="DR11" s="19"/>
      <c r="DW11" s="1">
        <v>1.22</v>
      </c>
      <c r="DX11" s="1">
        <v>1</v>
      </c>
      <c r="DY11" s="1">
        <v>1.9</v>
      </c>
      <c r="EL11" s="1">
        <v>365</v>
      </c>
      <c r="EM11" s="1">
        <v>292</v>
      </c>
      <c r="EN11" s="1">
        <v>438</v>
      </c>
      <c r="EO11" s="11"/>
      <c r="EP11" s="11"/>
      <c r="EQ11" s="11"/>
      <c r="ER11" s="1">
        <v>365</v>
      </c>
      <c r="ES11" s="1">
        <v>292</v>
      </c>
      <c r="ET11" s="1">
        <v>438</v>
      </c>
      <c r="EV11" s="19"/>
      <c r="EW11" s="19"/>
      <c r="EX11" s="19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O11" s="1">
        <v>67</v>
      </c>
      <c r="FP11" s="1">
        <v>67</v>
      </c>
      <c r="FQ11" s="1">
        <v>67</v>
      </c>
      <c r="FR11" s="13" t="s">
        <v>806</v>
      </c>
      <c r="FS11" s="13" t="s">
        <v>806</v>
      </c>
      <c r="FT11" s="13" t="s">
        <v>806</v>
      </c>
      <c r="FU11" s="13"/>
      <c r="FV11" s="13" t="s">
        <v>806</v>
      </c>
      <c r="FW11" s="13" t="s">
        <v>806</v>
      </c>
      <c r="FX11" s="13" t="s">
        <v>806</v>
      </c>
      <c r="FY11" s="13" t="s">
        <v>806</v>
      </c>
      <c r="FZ11" s="13" t="s">
        <v>806</v>
      </c>
      <c r="GA11" s="13" t="s">
        <v>806</v>
      </c>
      <c r="GB11" s="13" t="s">
        <v>806</v>
      </c>
      <c r="GE11" s="13" t="s">
        <v>806</v>
      </c>
      <c r="GF11" s="13" t="s">
        <v>806</v>
      </c>
      <c r="GH11" s="13" t="s">
        <v>806</v>
      </c>
    </row>
    <row r="12" spans="1:193" ht="15" customHeight="1" x14ac:dyDescent="0.25">
      <c r="A12" s="1" t="s">
        <v>206</v>
      </c>
      <c r="B12" s="1" t="s">
        <v>747</v>
      </c>
      <c r="C12" s="1" t="s">
        <v>655</v>
      </c>
      <c r="D12" s="1" t="s">
        <v>670</v>
      </c>
      <c r="E12" s="1" t="s">
        <v>127</v>
      </c>
      <c r="F12" s="1">
        <v>0</v>
      </c>
      <c r="G12" s="1">
        <v>2025</v>
      </c>
      <c r="H12" s="1">
        <v>1</v>
      </c>
      <c r="I12" s="1">
        <v>0</v>
      </c>
      <c r="J12" s="1">
        <v>0</v>
      </c>
      <c r="K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83.106399999999994</v>
      </c>
      <c r="L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112.05740000000002</v>
      </c>
      <c r="M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136.24</v>
      </c>
      <c r="N12" s="19">
        <v>120.06150000000001</v>
      </c>
      <c r="O12" s="19">
        <v>103.883</v>
      </c>
      <c r="P12" s="19">
        <v>136.24</v>
      </c>
      <c r="Q12" s="19">
        <v>64.648499999999999</v>
      </c>
      <c r="R12" s="19">
        <v>55.937000000000005</v>
      </c>
      <c r="S12" s="19">
        <v>73.36</v>
      </c>
      <c r="T12" s="19">
        <v>120.06150000000001</v>
      </c>
      <c r="U12" s="19">
        <v>103.883</v>
      </c>
      <c r="V12" s="19">
        <v>136.24</v>
      </c>
      <c r="W12" s="19">
        <v>64.648499999999999</v>
      </c>
      <c r="X12" s="19">
        <v>55.937000000000005</v>
      </c>
      <c r="Y12" s="19">
        <v>73.36</v>
      </c>
      <c r="Z12" s="19">
        <v>96.049199999999999</v>
      </c>
      <c r="AA12" s="19">
        <v>83.106399999999994</v>
      </c>
      <c r="AB12" s="19">
        <v>108.992</v>
      </c>
      <c r="AC12" s="19">
        <v>88.660800000000009</v>
      </c>
      <c r="AD12" s="19">
        <v>76.7136</v>
      </c>
      <c r="AE12" s="19">
        <v>100.608</v>
      </c>
      <c r="AF12" s="19">
        <v>120.06150000000001</v>
      </c>
      <c r="AG12" s="19">
        <v>103.883</v>
      </c>
      <c r="AH12" s="19">
        <v>136.24</v>
      </c>
      <c r="AI12" s="19">
        <v>64.648499999999999</v>
      </c>
      <c r="AJ12" s="19">
        <v>55.937000000000005</v>
      </c>
      <c r="AK12" s="19">
        <v>73.36</v>
      </c>
      <c r="AL12" s="19">
        <v>120.06150000000001</v>
      </c>
      <c r="AM12" s="19">
        <v>103.883</v>
      </c>
      <c r="AN12" s="19">
        <v>136.24</v>
      </c>
      <c r="AO12" s="19">
        <v>64.648499999999999</v>
      </c>
      <c r="AP12" s="19">
        <v>55.937000000000005</v>
      </c>
      <c r="AQ12" s="19">
        <v>73.36</v>
      </c>
      <c r="AR12" s="19">
        <v>96.049199999999999</v>
      </c>
      <c r="AS12" s="19">
        <v>83.106399999999994</v>
      </c>
      <c r="AT12" s="19">
        <v>108.992</v>
      </c>
      <c r="AU12" s="19">
        <v>88.660800000000009</v>
      </c>
      <c r="AV12" s="19">
        <v>76.7136</v>
      </c>
      <c r="AW12" s="19">
        <v>100.608</v>
      </c>
      <c r="AX12" s="19">
        <v>120.06150000000001</v>
      </c>
      <c r="AY12" s="19">
        <v>103.883</v>
      </c>
      <c r="AZ12" s="19">
        <v>136.24</v>
      </c>
      <c r="BA12" s="19">
        <v>64.648499999999999</v>
      </c>
      <c r="BB12" s="19">
        <v>55.937000000000005</v>
      </c>
      <c r="BC12" s="19">
        <v>73.36</v>
      </c>
      <c r="BD12" s="19">
        <v>120.06150000000001</v>
      </c>
      <c r="BE12" s="19">
        <v>103.883</v>
      </c>
      <c r="BF12" s="19">
        <v>136.24</v>
      </c>
      <c r="BG12" s="19">
        <v>64.648499999999999</v>
      </c>
      <c r="BH12" s="19">
        <v>55.937000000000005</v>
      </c>
      <c r="BI12" s="19">
        <v>73.36</v>
      </c>
      <c r="BJ12" s="19">
        <v>96.049199999999999</v>
      </c>
      <c r="BK12" s="19">
        <v>83.106399999999994</v>
      </c>
      <c r="BL12" s="19">
        <v>108.992</v>
      </c>
      <c r="BM12" s="19">
        <v>88.660800000000009</v>
      </c>
      <c r="BN12" s="19">
        <v>76.7136</v>
      </c>
      <c r="BO12" s="19">
        <v>100.608</v>
      </c>
      <c r="BP12" s="19"/>
      <c r="BQ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55.937000000000005</v>
      </c>
      <c r="BR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72.652600000000007</v>
      </c>
      <c r="BS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100.608</v>
      </c>
      <c r="BT12" s="11">
        <f>Tabelle5897112140[[#This Row],[Mindestauslastung min]]*Tabelle5897112140[[#This Row],[installierte Leistung MW min]]</f>
        <v>0</v>
      </c>
      <c r="BU12" s="11">
        <f>Tabelle5897112140[[#This Row],[Mindestauslastung durch]]*Tabelle5897112140[[#This Row],[installierte Leistung MW durch]]</f>
        <v>0</v>
      </c>
      <c r="BV12" s="11">
        <f>Tabelle5897112140[[#This Row],[Mindestauslastung max]]*Tabelle5897112140[[#This Row],[installierte Leistung MW max]]</f>
        <v>0</v>
      </c>
      <c r="BW12" s="9">
        <v>0</v>
      </c>
      <c r="BX12" s="9">
        <v>0</v>
      </c>
      <c r="BY12" s="9">
        <v>0</v>
      </c>
      <c r="BZ12" s="9"/>
      <c r="CA12" s="9">
        <v>0.65</v>
      </c>
      <c r="CB12" s="9">
        <v>0.65</v>
      </c>
      <c r="CC12" s="9">
        <v>0.65</v>
      </c>
      <c r="CD12" s="9">
        <v>0.65</v>
      </c>
      <c r="CE12" s="9">
        <v>0.65</v>
      </c>
      <c r="CF12" s="9">
        <v>0.65</v>
      </c>
      <c r="CG12" s="9">
        <v>0.52</v>
      </c>
      <c r="CH12" s="9">
        <v>0.52</v>
      </c>
      <c r="CI12" s="9">
        <v>0.52</v>
      </c>
      <c r="CJ12" s="9">
        <v>0.65</v>
      </c>
      <c r="CK12" s="9">
        <v>0.65</v>
      </c>
      <c r="CL12" s="9">
        <v>0.65</v>
      </c>
      <c r="CM12" s="9">
        <v>0.65</v>
      </c>
      <c r="CN12" s="9">
        <v>0.65</v>
      </c>
      <c r="CO12" s="9">
        <v>0.65</v>
      </c>
      <c r="CP12" s="9">
        <v>0.52</v>
      </c>
      <c r="CQ12" s="9">
        <v>0.52</v>
      </c>
      <c r="CR12" s="9">
        <v>0.52</v>
      </c>
      <c r="CS12" s="9">
        <v>0.65</v>
      </c>
      <c r="CT12" s="9">
        <v>0.65</v>
      </c>
      <c r="CU12" s="9">
        <v>0.65</v>
      </c>
      <c r="CV12" s="9">
        <v>0.65</v>
      </c>
      <c r="CW12" s="9">
        <v>0.65</v>
      </c>
      <c r="CX12" s="9">
        <v>0.65</v>
      </c>
      <c r="CY12" s="9">
        <v>0.52</v>
      </c>
      <c r="CZ12" s="9">
        <v>0.52</v>
      </c>
      <c r="DA12" s="9">
        <v>0.52</v>
      </c>
      <c r="DB12" s="9">
        <f>MIN(Tabelle5897112140[[#This Row],[Durchschnittsauslastung durch Sommer WTT]:[Durchschnittsauslastung max Winter SFN]])</f>
        <v>0.52</v>
      </c>
      <c r="DC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2" s="9">
        <f>MAX(Tabelle5897112140[[#This Row],[Durchschnittsauslastung durch Sommer WTT]:[Durchschnittsauslastung max Winter SFN]])</f>
        <v>0.65</v>
      </c>
      <c r="DE12" s="40">
        <f>Tabelle5897112140[[#This Row],[Durchschnittsauslastung min]]*Tabelle5897112140[[#This Row],[installierte Leistung MW min]]</f>
        <v>83.106399999999994</v>
      </c>
      <c r="DF12" s="40">
        <f>Tabelle5897112140[[#This Row],[Durchschnittsauslastung durch]]*Tabelle5897112140[[#This Row],[installierte Leistung MW durch]]</f>
        <v>112.05740000000003</v>
      </c>
      <c r="DG12" s="40">
        <f>Tabelle5897112140[[#This Row],[Durchschnittsauslastung max]]*Tabelle5897112140[[#This Row],[installierte Leistung MW max]]</f>
        <v>136.24</v>
      </c>
      <c r="DH12" s="46">
        <f>Tabelle5897112140[[#This Row],[Maximalauslastung min]]*Tabelle5897112140[[#This Row],[installierte Leistung MW min]]</f>
        <v>159.82</v>
      </c>
      <c r="DI12" s="46">
        <f>Tabelle5897112140[[#This Row],[Maximalauslastung durch]]*Tabelle5897112140[[#This Row],[installierte Leistung MW durch]]</f>
        <v>184.71</v>
      </c>
      <c r="DJ12" s="19">
        <f>Tabelle5897112140[[#This Row],[Maximalauslastung max]]*Tabelle5897112140[[#This Row],[installierte Leistung MW durch]]</f>
        <v>184.71</v>
      </c>
      <c r="DK12" s="9">
        <v>1</v>
      </c>
      <c r="DL12" s="9">
        <v>1</v>
      </c>
      <c r="DM12" s="9">
        <v>1</v>
      </c>
      <c r="DN12" s="1">
        <v>184.71</v>
      </c>
      <c r="DO12" s="1">
        <v>159.82</v>
      </c>
      <c r="DP12" s="1">
        <v>209.6</v>
      </c>
      <c r="DQ12" s="19"/>
      <c r="DR12" s="19"/>
      <c r="DW12" s="1">
        <v>1.22</v>
      </c>
      <c r="DX12" s="1">
        <v>1</v>
      </c>
      <c r="DY12" s="1">
        <v>1.9</v>
      </c>
      <c r="EL12" s="1">
        <v>365</v>
      </c>
      <c r="EM12" s="1">
        <v>292</v>
      </c>
      <c r="EN12" s="1">
        <v>438</v>
      </c>
      <c r="EO12" s="11"/>
      <c r="EP12" s="11"/>
      <c r="EQ12" s="11"/>
      <c r="ER12" s="1">
        <v>365</v>
      </c>
      <c r="ES12" s="1">
        <v>292</v>
      </c>
      <c r="ET12" s="1">
        <v>438</v>
      </c>
      <c r="EV12" s="19"/>
      <c r="EW12" s="19"/>
      <c r="EX12" s="19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O12" s="1">
        <v>67</v>
      </c>
      <c r="FP12" s="1">
        <v>67</v>
      </c>
      <c r="FQ12" s="1">
        <v>67</v>
      </c>
      <c r="FR12" s="13" t="s">
        <v>806</v>
      </c>
      <c r="FS12" s="13" t="s">
        <v>806</v>
      </c>
      <c r="FT12" s="13" t="s">
        <v>806</v>
      </c>
      <c r="FU12" s="13"/>
      <c r="FV12" s="13" t="s">
        <v>806</v>
      </c>
      <c r="FW12" s="13" t="s">
        <v>806</v>
      </c>
      <c r="FX12" s="13" t="s">
        <v>806</v>
      </c>
      <c r="FY12" s="13" t="s">
        <v>806</v>
      </c>
      <c r="FZ12" s="13" t="s">
        <v>806</v>
      </c>
      <c r="GA12" s="13" t="s">
        <v>806</v>
      </c>
      <c r="GB12" s="13" t="s">
        <v>806</v>
      </c>
      <c r="GE12" s="13" t="s">
        <v>806</v>
      </c>
      <c r="GF12" s="13" t="s">
        <v>806</v>
      </c>
      <c r="GH12" s="13" t="s">
        <v>806</v>
      </c>
    </row>
    <row r="13" spans="1:193" ht="15" customHeight="1" x14ac:dyDescent="0.25">
      <c r="A13" s="1" t="s">
        <v>206</v>
      </c>
      <c r="B13" s="1" t="s">
        <v>747</v>
      </c>
      <c r="C13" s="1" t="s">
        <v>655</v>
      </c>
      <c r="D13" s="1" t="s">
        <v>670</v>
      </c>
      <c r="E13" s="1" t="s">
        <v>127</v>
      </c>
      <c r="F13" s="1">
        <v>0</v>
      </c>
      <c r="G13" s="1">
        <v>2030</v>
      </c>
      <c r="H13" s="1">
        <v>1</v>
      </c>
      <c r="I13" s="1">
        <v>0</v>
      </c>
      <c r="J13" s="1">
        <v>0</v>
      </c>
      <c r="K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96.428799999999995</v>
      </c>
      <c r="L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130.02080000000001</v>
      </c>
      <c r="M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158.08000000000001</v>
      </c>
      <c r="N13" s="19">
        <v>139.30800000000002</v>
      </c>
      <c r="O13" s="19">
        <v>120.536</v>
      </c>
      <c r="P13" s="19">
        <v>158.08000000000001</v>
      </c>
      <c r="Q13" s="19">
        <v>75.012</v>
      </c>
      <c r="R13" s="19">
        <v>64.904000000000011</v>
      </c>
      <c r="S13" s="19">
        <v>85.12</v>
      </c>
      <c r="T13" s="19">
        <v>139.30800000000002</v>
      </c>
      <c r="U13" s="19">
        <v>120.536</v>
      </c>
      <c r="V13" s="19">
        <v>158.08000000000001</v>
      </c>
      <c r="W13" s="19">
        <v>75.012</v>
      </c>
      <c r="X13" s="19">
        <v>64.904000000000011</v>
      </c>
      <c r="Y13" s="19">
        <v>85.12</v>
      </c>
      <c r="Z13" s="19">
        <v>111.4464</v>
      </c>
      <c r="AA13" s="19">
        <v>96.428799999999995</v>
      </c>
      <c r="AB13" s="19">
        <v>126.46400000000001</v>
      </c>
      <c r="AC13" s="19">
        <v>102.87360000000001</v>
      </c>
      <c r="AD13" s="19">
        <v>89.011200000000002</v>
      </c>
      <c r="AE13" s="19">
        <v>116.73599999999999</v>
      </c>
      <c r="AF13" s="19">
        <v>139.30800000000002</v>
      </c>
      <c r="AG13" s="19">
        <v>120.536</v>
      </c>
      <c r="AH13" s="19">
        <v>158.08000000000001</v>
      </c>
      <c r="AI13" s="19">
        <v>75.012</v>
      </c>
      <c r="AJ13" s="19">
        <v>64.904000000000011</v>
      </c>
      <c r="AK13" s="19">
        <v>85.12</v>
      </c>
      <c r="AL13" s="19">
        <v>139.30800000000002</v>
      </c>
      <c r="AM13" s="19">
        <v>120.536</v>
      </c>
      <c r="AN13" s="19">
        <v>158.08000000000001</v>
      </c>
      <c r="AO13" s="19">
        <v>75.012</v>
      </c>
      <c r="AP13" s="19">
        <v>64.904000000000011</v>
      </c>
      <c r="AQ13" s="19">
        <v>85.12</v>
      </c>
      <c r="AR13" s="19">
        <v>111.4464</v>
      </c>
      <c r="AS13" s="19">
        <v>96.428799999999995</v>
      </c>
      <c r="AT13" s="19">
        <v>126.46400000000001</v>
      </c>
      <c r="AU13" s="19">
        <v>102.87360000000001</v>
      </c>
      <c r="AV13" s="19">
        <v>89.011200000000002</v>
      </c>
      <c r="AW13" s="19">
        <v>116.73599999999999</v>
      </c>
      <c r="AX13" s="19">
        <v>139.30800000000002</v>
      </c>
      <c r="AY13" s="19">
        <v>120.536</v>
      </c>
      <c r="AZ13" s="19">
        <v>158.08000000000001</v>
      </c>
      <c r="BA13" s="19">
        <v>75.012</v>
      </c>
      <c r="BB13" s="19">
        <v>64.904000000000011</v>
      </c>
      <c r="BC13" s="19">
        <v>85.12</v>
      </c>
      <c r="BD13" s="19">
        <v>139.30800000000002</v>
      </c>
      <c r="BE13" s="19">
        <v>120.536</v>
      </c>
      <c r="BF13" s="19">
        <v>158.08000000000001</v>
      </c>
      <c r="BG13" s="19">
        <v>75.012</v>
      </c>
      <c r="BH13" s="19">
        <v>64.904000000000011</v>
      </c>
      <c r="BI13" s="19">
        <v>85.12</v>
      </c>
      <c r="BJ13" s="19">
        <v>111.4464</v>
      </c>
      <c r="BK13" s="19">
        <v>96.428799999999995</v>
      </c>
      <c r="BL13" s="19">
        <v>126.46400000000001</v>
      </c>
      <c r="BM13" s="19">
        <v>102.87360000000001</v>
      </c>
      <c r="BN13" s="19">
        <v>89.011200000000002</v>
      </c>
      <c r="BO13" s="19">
        <v>116.73599999999999</v>
      </c>
      <c r="BP13" s="19"/>
      <c r="BQ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64.904000000000011</v>
      </c>
      <c r="BR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84.299199999999985</v>
      </c>
      <c r="BS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116.73599999999999</v>
      </c>
      <c r="BT13" s="11">
        <f>Tabelle5897112140[[#This Row],[Mindestauslastung min]]*Tabelle5897112140[[#This Row],[installierte Leistung MW min]]</f>
        <v>0</v>
      </c>
      <c r="BU13" s="11">
        <f>Tabelle5897112140[[#This Row],[Mindestauslastung durch]]*Tabelle5897112140[[#This Row],[installierte Leistung MW durch]]</f>
        <v>0</v>
      </c>
      <c r="BV13" s="11">
        <f>Tabelle5897112140[[#This Row],[Mindestauslastung max]]*Tabelle5897112140[[#This Row],[installierte Leistung MW max]]</f>
        <v>0</v>
      </c>
      <c r="BW13" s="9">
        <v>0</v>
      </c>
      <c r="BX13" s="9">
        <v>0</v>
      </c>
      <c r="BY13" s="9">
        <v>0</v>
      </c>
      <c r="BZ13" s="9"/>
      <c r="CA13" s="9">
        <v>0.65</v>
      </c>
      <c r="CB13" s="9">
        <v>0.65</v>
      </c>
      <c r="CC13" s="9">
        <v>0.65</v>
      </c>
      <c r="CD13" s="9">
        <v>0.65</v>
      </c>
      <c r="CE13" s="9">
        <v>0.65</v>
      </c>
      <c r="CF13" s="9">
        <v>0.65</v>
      </c>
      <c r="CG13" s="9">
        <v>0.52</v>
      </c>
      <c r="CH13" s="9">
        <v>0.52</v>
      </c>
      <c r="CI13" s="9">
        <v>0.52</v>
      </c>
      <c r="CJ13" s="9">
        <v>0.65</v>
      </c>
      <c r="CK13" s="9">
        <v>0.65</v>
      </c>
      <c r="CL13" s="9">
        <v>0.65</v>
      </c>
      <c r="CM13" s="9">
        <v>0.65</v>
      </c>
      <c r="CN13" s="9">
        <v>0.65</v>
      </c>
      <c r="CO13" s="9">
        <v>0.65</v>
      </c>
      <c r="CP13" s="9">
        <v>0.52</v>
      </c>
      <c r="CQ13" s="9">
        <v>0.52</v>
      </c>
      <c r="CR13" s="9">
        <v>0.52</v>
      </c>
      <c r="CS13" s="9">
        <v>0.65</v>
      </c>
      <c r="CT13" s="9">
        <v>0.65</v>
      </c>
      <c r="CU13" s="9">
        <v>0.65</v>
      </c>
      <c r="CV13" s="9">
        <v>0.65</v>
      </c>
      <c r="CW13" s="9">
        <v>0.65</v>
      </c>
      <c r="CX13" s="9">
        <v>0.65</v>
      </c>
      <c r="CY13" s="9">
        <v>0.52</v>
      </c>
      <c r="CZ13" s="9">
        <v>0.52</v>
      </c>
      <c r="DA13" s="9">
        <v>0.52</v>
      </c>
      <c r="DB13" s="9">
        <f>MIN(Tabelle5897112140[[#This Row],[Durchschnittsauslastung durch Sommer WTT]:[Durchschnittsauslastung max Winter SFN]])</f>
        <v>0.52</v>
      </c>
      <c r="DC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3" s="9">
        <f>MAX(Tabelle5897112140[[#This Row],[Durchschnittsauslastung durch Sommer WTT]:[Durchschnittsauslastung max Winter SFN]])</f>
        <v>0.65</v>
      </c>
      <c r="DE13" s="40">
        <f>Tabelle5897112140[[#This Row],[Durchschnittsauslastung min]]*Tabelle5897112140[[#This Row],[installierte Leistung MW min]]</f>
        <v>96.428799999999995</v>
      </c>
      <c r="DF13" s="40">
        <f>Tabelle5897112140[[#This Row],[Durchschnittsauslastung durch]]*Tabelle5897112140[[#This Row],[installierte Leistung MW durch]]</f>
        <v>130.02080000000004</v>
      </c>
      <c r="DG13" s="40">
        <f>Tabelle5897112140[[#This Row],[Durchschnittsauslastung max]]*Tabelle5897112140[[#This Row],[installierte Leistung MW max]]</f>
        <v>158.07999999999998</v>
      </c>
      <c r="DH13" s="46">
        <f>Tabelle5897112140[[#This Row],[Maximalauslastung min]]*Tabelle5897112140[[#This Row],[installierte Leistung MW min]]</f>
        <v>185.44</v>
      </c>
      <c r="DI13" s="46">
        <f>Tabelle5897112140[[#This Row],[Maximalauslastung durch]]*Tabelle5897112140[[#This Row],[installierte Leistung MW durch]]</f>
        <v>214.32</v>
      </c>
      <c r="DJ13" s="19">
        <f>Tabelle5897112140[[#This Row],[Maximalauslastung max]]*Tabelle5897112140[[#This Row],[installierte Leistung MW durch]]</f>
        <v>214.32</v>
      </c>
      <c r="DK13" s="9">
        <v>1</v>
      </c>
      <c r="DL13" s="9">
        <v>1</v>
      </c>
      <c r="DM13" s="9">
        <v>1</v>
      </c>
      <c r="DN13" s="1">
        <v>214.32</v>
      </c>
      <c r="DO13" s="1">
        <v>185.44</v>
      </c>
      <c r="DP13" s="1">
        <v>243.2</v>
      </c>
      <c r="DQ13" s="19"/>
      <c r="DR13" s="19"/>
      <c r="DW13" s="1">
        <v>1.22</v>
      </c>
      <c r="DX13" s="1">
        <v>1</v>
      </c>
      <c r="DY13" s="1">
        <v>1.9</v>
      </c>
      <c r="EL13" s="1">
        <v>365</v>
      </c>
      <c r="EM13" s="1">
        <v>292</v>
      </c>
      <c r="EN13" s="1">
        <v>438</v>
      </c>
      <c r="EO13" s="11"/>
      <c r="EP13" s="11"/>
      <c r="EQ13" s="11"/>
      <c r="ER13" s="1">
        <v>365</v>
      </c>
      <c r="ES13" s="1">
        <v>292</v>
      </c>
      <c r="ET13" s="1">
        <v>438</v>
      </c>
      <c r="EV13" s="19"/>
      <c r="EW13" s="19"/>
      <c r="EX13" s="19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O13" s="1">
        <v>67</v>
      </c>
      <c r="FP13" s="1">
        <v>67</v>
      </c>
      <c r="FQ13" s="1">
        <v>67</v>
      </c>
      <c r="FR13" s="13" t="s">
        <v>806</v>
      </c>
      <c r="FS13" s="13" t="s">
        <v>806</v>
      </c>
      <c r="FT13" s="13" t="s">
        <v>806</v>
      </c>
      <c r="FU13" s="13"/>
      <c r="FV13" s="13" t="s">
        <v>806</v>
      </c>
      <c r="FW13" s="13" t="s">
        <v>806</v>
      </c>
      <c r="FX13" s="13" t="s">
        <v>806</v>
      </c>
      <c r="FY13" s="13" t="s">
        <v>806</v>
      </c>
      <c r="FZ13" s="13" t="s">
        <v>806</v>
      </c>
      <c r="GA13" s="13" t="s">
        <v>806</v>
      </c>
      <c r="GB13" s="13" t="s">
        <v>806</v>
      </c>
      <c r="GE13" s="13" t="s">
        <v>806</v>
      </c>
      <c r="GF13" s="13" t="s">
        <v>806</v>
      </c>
      <c r="GH13" s="13" t="s">
        <v>806</v>
      </c>
    </row>
    <row r="14" spans="1:193" ht="15" customHeight="1" x14ac:dyDescent="0.25">
      <c r="A14" s="1" t="s">
        <v>206</v>
      </c>
      <c r="B14" s="1" t="s">
        <v>747</v>
      </c>
      <c r="C14" s="1" t="s">
        <v>655</v>
      </c>
      <c r="D14" s="1" t="s">
        <v>670</v>
      </c>
      <c r="E14" s="1" t="s">
        <v>127</v>
      </c>
      <c r="F14" s="1">
        <v>0</v>
      </c>
      <c r="G14" s="1">
        <v>2035</v>
      </c>
      <c r="H14" s="1">
        <v>1</v>
      </c>
      <c r="I14" s="1">
        <v>0</v>
      </c>
      <c r="J14" s="1">
        <v>0</v>
      </c>
      <c r="K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111.6544</v>
      </c>
      <c r="L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150.5504</v>
      </c>
      <c r="M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183.04</v>
      </c>
      <c r="N14" s="19">
        <v>161.304</v>
      </c>
      <c r="O14" s="19">
        <v>139.56799999999998</v>
      </c>
      <c r="P14" s="19">
        <v>183.04</v>
      </c>
      <c r="Q14" s="19">
        <v>86.856000000000009</v>
      </c>
      <c r="R14" s="19">
        <v>75.152000000000001</v>
      </c>
      <c r="S14" s="19">
        <v>98.56</v>
      </c>
      <c r="T14" s="19">
        <v>161.304</v>
      </c>
      <c r="U14" s="19">
        <v>139.56799999999998</v>
      </c>
      <c r="V14" s="19">
        <v>183.04</v>
      </c>
      <c r="W14" s="19">
        <v>86.856000000000009</v>
      </c>
      <c r="X14" s="19">
        <v>75.152000000000001</v>
      </c>
      <c r="Y14" s="19">
        <v>98.56</v>
      </c>
      <c r="Z14" s="19">
        <v>129.04319999999998</v>
      </c>
      <c r="AA14" s="19">
        <v>111.6544</v>
      </c>
      <c r="AB14" s="19">
        <v>146.43200000000002</v>
      </c>
      <c r="AC14" s="19">
        <v>119.11680000000001</v>
      </c>
      <c r="AD14" s="19">
        <v>103.0656</v>
      </c>
      <c r="AE14" s="19">
        <v>135.16800000000001</v>
      </c>
      <c r="AF14" s="19">
        <v>161.304</v>
      </c>
      <c r="AG14" s="19">
        <v>139.56799999999998</v>
      </c>
      <c r="AH14" s="19">
        <v>183.04</v>
      </c>
      <c r="AI14" s="19">
        <v>86.856000000000009</v>
      </c>
      <c r="AJ14" s="19">
        <v>75.152000000000001</v>
      </c>
      <c r="AK14" s="19">
        <v>98.56</v>
      </c>
      <c r="AL14" s="19">
        <v>161.304</v>
      </c>
      <c r="AM14" s="19">
        <v>139.56799999999998</v>
      </c>
      <c r="AN14" s="19">
        <v>183.04</v>
      </c>
      <c r="AO14" s="19">
        <v>86.856000000000009</v>
      </c>
      <c r="AP14" s="19">
        <v>75.152000000000001</v>
      </c>
      <c r="AQ14" s="19">
        <v>98.56</v>
      </c>
      <c r="AR14" s="19">
        <v>129.04319999999998</v>
      </c>
      <c r="AS14" s="19">
        <v>111.6544</v>
      </c>
      <c r="AT14" s="19">
        <v>146.43200000000002</v>
      </c>
      <c r="AU14" s="19">
        <v>119.11680000000001</v>
      </c>
      <c r="AV14" s="19">
        <v>103.0656</v>
      </c>
      <c r="AW14" s="19">
        <v>135.16800000000001</v>
      </c>
      <c r="AX14" s="19">
        <v>161.304</v>
      </c>
      <c r="AY14" s="19">
        <v>139.56799999999998</v>
      </c>
      <c r="AZ14" s="19">
        <v>183.04</v>
      </c>
      <c r="BA14" s="19">
        <v>86.856000000000009</v>
      </c>
      <c r="BB14" s="19">
        <v>75.152000000000001</v>
      </c>
      <c r="BC14" s="19">
        <v>98.56</v>
      </c>
      <c r="BD14" s="19">
        <v>161.304</v>
      </c>
      <c r="BE14" s="19">
        <v>139.56799999999998</v>
      </c>
      <c r="BF14" s="19">
        <v>183.04</v>
      </c>
      <c r="BG14" s="19">
        <v>86.856000000000009</v>
      </c>
      <c r="BH14" s="19">
        <v>75.152000000000001</v>
      </c>
      <c r="BI14" s="19">
        <v>98.56</v>
      </c>
      <c r="BJ14" s="19">
        <v>129.04319999999998</v>
      </c>
      <c r="BK14" s="19">
        <v>111.6544</v>
      </c>
      <c r="BL14" s="19">
        <v>146.43200000000002</v>
      </c>
      <c r="BM14" s="19">
        <v>119.11680000000001</v>
      </c>
      <c r="BN14" s="19">
        <v>103.0656</v>
      </c>
      <c r="BO14" s="19">
        <v>135.16800000000001</v>
      </c>
      <c r="BP14" s="19"/>
      <c r="BQ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75.152000000000001</v>
      </c>
      <c r="BR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97.6096</v>
      </c>
      <c r="BS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135.16800000000001</v>
      </c>
      <c r="BT14" s="11">
        <f>Tabelle5897112140[[#This Row],[Mindestauslastung min]]*Tabelle5897112140[[#This Row],[installierte Leistung MW min]]</f>
        <v>0</v>
      </c>
      <c r="BU14" s="11">
        <f>Tabelle5897112140[[#This Row],[Mindestauslastung durch]]*Tabelle5897112140[[#This Row],[installierte Leistung MW durch]]</f>
        <v>0</v>
      </c>
      <c r="BV14" s="11">
        <f>Tabelle5897112140[[#This Row],[Mindestauslastung max]]*Tabelle5897112140[[#This Row],[installierte Leistung MW max]]</f>
        <v>0</v>
      </c>
      <c r="BW14" s="9">
        <v>0</v>
      </c>
      <c r="BX14" s="9">
        <v>0</v>
      </c>
      <c r="BY14" s="9">
        <v>0</v>
      </c>
      <c r="BZ14" s="9"/>
      <c r="CA14" s="9">
        <v>0.65</v>
      </c>
      <c r="CB14" s="9">
        <v>0.65</v>
      </c>
      <c r="CC14" s="9">
        <v>0.65</v>
      </c>
      <c r="CD14" s="9">
        <v>0.65</v>
      </c>
      <c r="CE14" s="9">
        <v>0.65</v>
      </c>
      <c r="CF14" s="9">
        <v>0.65</v>
      </c>
      <c r="CG14" s="9">
        <v>0.52</v>
      </c>
      <c r="CH14" s="9">
        <v>0.52</v>
      </c>
      <c r="CI14" s="9">
        <v>0.52</v>
      </c>
      <c r="CJ14" s="9">
        <v>0.65</v>
      </c>
      <c r="CK14" s="9">
        <v>0.65</v>
      </c>
      <c r="CL14" s="9">
        <v>0.65</v>
      </c>
      <c r="CM14" s="9">
        <v>0.65</v>
      </c>
      <c r="CN14" s="9">
        <v>0.65</v>
      </c>
      <c r="CO14" s="9">
        <v>0.65</v>
      </c>
      <c r="CP14" s="9">
        <v>0.52</v>
      </c>
      <c r="CQ14" s="9">
        <v>0.52</v>
      </c>
      <c r="CR14" s="9">
        <v>0.52</v>
      </c>
      <c r="CS14" s="9">
        <v>0.65</v>
      </c>
      <c r="CT14" s="9">
        <v>0.65</v>
      </c>
      <c r="CU14" s="9">
        <v>0.65</v>
      </c>
      <c r="CV14" s="9">
        <v>0.65</v>
      </c>
      <c r="CW14" s="9">
        <v>0.65</v>
      </c>
      <c r="CX14" s="9">
        <v>0.65</v>
      </c>
      <c r="CY14" s="9">
        <v>0.52</v>
      </c>
      <c r="CZ14" s="9">
        <v>0.52</v>
      </c>
      <c r="DA14" s="9">
        <v>0.52</v>
      </c>
      <c r="DB14" s="9">
        <f>MIN(Tabelle5897112140[[#This Row],[Durchschnittsauslastung durch Sommer WTT]:[Durchschnittsauslastung max Winter SFN]])</f>
        <v>0.52</v>
      </c>
      <c r="DC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4" s="9">
        <f>MAX(Tabelle5897112140[[#This Row],[Durchschnittsauslastung durch Sommer WTT]:[Durchschnittsauslastung max Winter SFN]])</f>
        <v>0.65</v>
      </c>
      <c r="DE14" s="40">
        <f>Tabelle5897112140[[#This Row],[Durchschnittsauslastung min]]*Tabelle5897112140[[#This Row],[installierte Leistung MW min]]</f>
        <v>111.65440000000001</v>
      </c>
      <c r="DF14" s="40">
        <f>Tabelle5897112140[[#This Row],[Durchschnittsauslastung durch]]*Tabelle5897112140[[#This Row],[installierte Leistung MW durch]]</f>
        <v>150.55040000000002</v>
      </c>
      <c r="DG14" s="40">
        <f>Tabelle5897112140[[#This Row],[Durchschnittsauslastung max]]*Tabelle5897112140[[#This Row],[installierte Leistung MW max]]</f>
        <v>183.04000000000002</v>
      </c>
      <c r="DH14" s="46">
        <f>Tabelle5897112140[[#This Row],[Maximalauslastung min]]*Tabelle5897112140[[#This Row],[installierte Leistung MW min]]</f>
        <v>214.72</v>
      </c>
      <c r="DI14" s="46">
        <f>Tabelle5897112140[[#This Row],[Maximalauslastung durch]]*Tabelle5897112140[[#This Row],[installierte Leistung MW durch]]</f>
        <v>248.16</v>
      </c>
      <c r="DJ14" s="19">
        <f>Tabelle5897112140[[#This Row],[Maximalauslastung max]]*Tabelle5897112140[[#This Row],[installierte Leistung MW durch]]</f>
        <v>248.16</v>
      </c>
      <c r="DK14" s="9">
        <v>1</v>
      </c>
      <c r="DL14" s="9">
        <v>1</v>
      </c>
      <c r="DM14" s="9">
        <v>1</v>
      </c>
      <c r="DN14" s="1">
        <v>248.16</v>
      </c>
      <c r="DO14" s="1">
        <v>214.72</v>
      </c>
      <c r="DP14" s="1">
        <v>281.60000000000002</v>
      </c>
      <c r="DQ14" s="19"/>
      <c r="DR14" s="19"/>
      <c r="DW14" s="1">
        <v>1.22</v>
      </c>
      <c r="DX14" s="1">
        <v>1</v>
      </c>
      <c r="DY14" s="1">
        <v>1.9</v>
      </c>
      <c r="EL14" s="1">
        <v>365</v>
      </c>
      <c r="EM14" s="1">
        <v>292</v>
      </c>
      <c r="EN14" s="1">
        <v>438</v>
      </c>
      <c r="EO14" s="11"/>
      <c r="EP14" s="11"/>
      <c r="EQ14" s="11"/>
      <c r="ER14" s="1">
        <v>365</v>
      </c>
      <c r="ES14" s="1">
        <v>292</v>
      </c>
      <c r="ET14" s="1">
        <v>438</v>
      </c>
      <c r="EV14" s="19"/>
      <c r="EW14" s="19"/>
      <c r="EX14" s="19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O14" s="1">
        <v>67</v>
      </c>
      <c r="FP14" s="1">
        <v>67</v>
      </c>
      <c r="FQ14" s="1">
        <v>67</v>
      </c>
      <c r="FR14" s="13" t="s">
        <v>806</v>
      </c>
      <c r="FS14" s="13" t="s">
        <v>806</v>
      </c>
      <c r="FT14" s="13" t="s">
        <v>806</v>
      </c>
      <c r="FU14" s="13"/>
      <c r="FV14" s="13" t="s">
        <v>806</v>
      </c>
      <c r="FW14" s="13" t="s">
        <v>806</v>
      </c>
      <c r="FX14" s="13" t="s">
        <v>806</v>
      </c>
      <c r="FY14" s="13" t="s">
        <v>806</v>
      </c>
      <c r="FZ14" s="13" t="s">
        <v>806</v>
      </c>
      <c r="GA14" s="13" t="s">
        <v>806</v>
      </c>
      <c r="GB14" s="13" t="s">
        <v>806</v>
      </c>
      <c r="GE14" s="13" t="s">
        <v>806</v>
      </c>
      <c r="GF14" s="13" t="s">
        <v>806</v>
      </c>
      <c r="GH14" s="13" t="s">
        <v>806</v>
      </c>
    </row>
    <row r="15" spans="1:193" ht="15" customHeight="1" x14ac:dyDescent="0.25">
      <c r="A15" s="1" t="s">
        <v>206</v>
      </c>
      <c r="B15" s="1" t="s">
        <v>747</v>
      </c>
      <c r="C15" s="1" t="s">
        <v>655</v>
      </c>
      <c r="D15" s="1" t="s">
        <v>670</v>
      </c>
      <c r="E15" s="1" t="s">
        <v>127</v>
      </c>
      <c r="F15" s="1">
        <v>0</v>
      </c>
      <c r="G15" s="1">
        <v>2040</v>
      </c>
      <c r="H15" s="1">
        <v>1</v>
      </c>
      <c r="I15" s="1">
        <v>0</v>
      </c>
      <c r="J15" s="1">
        <v>0</v>
      </c>
      <c r="K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130.68639999999999</v>
      </c>
      <c r="L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176.2124</v>
      </c>
      <c r="M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214.24</v>
      </c>
      <c r="N15" s="19">
        <v>188.79900000000001</v>
      </c>
      <c r="O15" s="19">
        <v>163.358</v>
      </c>
      <c r="P15" s="19">
        <v>214.24</v>
      </c>
      <c r="Q15" s="19">
        <v>101.661</v>
      </c>
      <c r="R15" s="19">
        <v>87.962000000000003</v>
      </c>
      <c r="S15" s="19">
        <v>115.36</v>
      </c>
      <c r="T15" s="19">
        <v>188.79900000000001</v>
      </c>
      <c r="U15" s="19">
        <v>163.358</v>
      </c>
      <c r="V15" s="19">
        <v>214.24</v>
      </c>
      <c r="W15" s="19">
        <v>101.661</v>
      </c>
      <c r="X15" s="19">
        <v>87.962000000000003</v>
      </c>
      <c r="Y15" s="19">
        <v>115.36</v>
      </c>
      <c r="Z15" s="19">
        <v>151.03919999999999</v>
      </c>
      <c r="AA15" s="19">
        <v>130.68639999999999</v>
      </c>
      <c r="AB15" s="19">
        <v>171.39200000000002</v>
      </c>
      <c r="AC15" s="19">
        <v>139.42080000000001</v>
      </c>
      <c r="AD15" s="19">
        <v>120.6336</v>
      </c>
      <c r="AE15" s="19">
        <v>158.208</v>
      </c>
      <c r="AF15" s="19">
        <v>188.79900000000001</v>
      </c>
      <c r="AG15" s="19">
        <v>163.358</v>
      </c>
      <c r="AH15" s="19">
        <v>214.24</v>
      </c>
      <c r="AI15" s="19">
        <v>101.661</v>
      </c>
      <c r="AJ15" s="19">
        <v>87.962000000000003</v>
      </c>
      <c r="AK15" s="19">
        <v>115.36</v>
      </c>
      <c r="AL15" s="19">
        <v>188.79900000000001</v>
      </c>
      <c r="AM15" s="19">
        <v>163.358</v>
      </c>
      <c r="AN15" s="19">
        <v>214.24</v>
      </c>
      <c r="AO15" s="19">
        <v>101.661</v>
      </c>
      <c r="AP15" s="19">
        <v>87.962000000000003</v>
      </c>
      <c r="AQ15" s="19">
        <v>115.36</v>
      </c>
      <c r="AR15" s="19">
        <v>151.03919999999999</v>
      </c>
      <c r="AS15" s="19">
        <v>130.68639999999999</v>
      </c>
      <c r="AT15" s="19">
        <v>171.39200000000002</v>
      </c>
      <c r="AU15" s="19">
        <v>139.42080000000001</v>
      </c>
      <c r="AV15" s="19">
        <v>120.6336</v>
      </c>
      <c r="AW15" s="19">
        <v>158.208</v>
      </c>
      <c r="AX15" s="19">
        <v>188.79900000000001</v>
      </c>
      <c r="AY15" s="19">
        <v>163.358</v>
      </c>
      <c r="AZ15" s="19">
        <v>214.24</v>
      </c>
      <c r="BA15" s="19">
        <v>101.661</v>
      </c>
      <c r="BB15" s="19">
        <v>87.962000000000003</v>
      </c>
      <c r="BC15" s="19">
        <v>115.36</v>
      </c>
      <c r="BD15" s="19">
        <v>188.79900000000001</v>
      </c>
      <c r="BE15" s="19">
        <v>163.358</v>
      </c>
      <c r="BF15" s="19">
        <v>214.24</v>
      </c>
      <c r="BG15" s="19">
        <v>101.661</v>
      </c>
      <c r="BH15" s="19">
        <v>87.962000000000003</v>
      </c>
      <c r="BI15" s="19">
        <v>115.36</v>
      </c>
      <c r="BJ15" s="19">
        <v>151.03919999999999</v>
      </c>
      <c r="BK15" s="19">
        <v>130.68639999999999</v>
      </c>
      <c r="BL15" s="19">
        <v>171.39200000000002</v>
      </c>
      <c r="BM15" s="19">
        <v>139.42080000000001</v>
      </c>
      <c r="BN15" s="19">
        <v>120.6336</v>
      </c>
      <c r="BO15" s="19">
        <v>158.208</v>
      </c>
      <c r="BP15" s="19"/>
      <c r="BQ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87.962000000000003</v>
      </c>
      <c r="BR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114.24760000000002</v>
      </c>
      <c r="BS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158.208</v>
      </c>
      <c r="BT15" s="11">
        <f>Tabelle5897112140[[#This Row],[Mindestauslastung min]]*Tabelle5897112140[[#This Row],[installierte Leistung MW min]]</f>
        <v>0</v>
      </c>
      <c r="BU15" s="11">
        <f>Tabelle5897112140[[#This Row],[Mindestauslastung durch]]*Tabelle5897112140[[#This Row],[installierte Leistung MW durch]]</f>
        <v>0</v>
      </c>
      <c r="BV15" s="11">
        <f>Tabelle5897112140[[#This Row],[Mindestauslastung max]]*Tabelle5897112140[[#This Row],[installierte Leistung MW max]]</f>
        <v>0</v>
      </c>
      <c r="BW15" s="9">
        <v>0</v>
      </c>
      <c r="BX15" s="9">
        <v>0</v>
      </c>
      <c r="BY15" s="9">
        <v>0</v>
      </c>
      <c r="BZ15" s="9"/>
      <c r="CA15" s="9">
        <v>0.65</v>
      </c>
      <c r="CB15" s="9">
        <v>0.65</v>
      </c>
      <c r="CC15" s="9">
        <v>0.65</v>
      </c>
      <c r="CD15" s="9">
        <v>0.65</v>
      </c>
      <c r="CE15" s="9">
        <v>0.65</v>
      </c>
      <c r="CF15" s="9">
        <v>0.65</v>
      </c>
      <c r="CG15" s="9">
        <v>0.52</v>
      </c>
      <c r="CH15" s="9">
        <v>0.52</v>
      </c>
      <c r="CI15" s="9">
        <v>0.52</v>
      </c>
      <c r="CJ15" s="9">
        <v>0.65</v>
      </c>
      <c r="CK15" s="9">
        <v>0.65</v>
      </c>
      <c r="CL15" s="9">
        <v>0.65</v>
      </c>
      <c r="CM15" s="9">
        <v>0.65</v>
      </c>
      <c r="CN15" s="9">
        <v>0.65</v>
      </c>
      <c r="CO15" s="9">
        <v>0.65</v>
      </c>
      <c r="CP15" s="9">
        <v>0.52</v>
      </c>
      <c r="CQ15" s="9">
        <v>0.52</v>
      </c>
      <c r="CR15" s="9">
        <v>0.52</v>
      </c>
      <c r="CS15" s="9">
        <v>0.65</v>
      </c>
      <c r="CT15" s="9">
        <v>0.65</v>
      </c>
      <c r="CU15" s="9">
        <v>0.65</v>
      </c>
      <c r="CV15" s="9">
        <v>0.65</v>
      </c>
      <c r="CW15" s="9">
        <v>0.65</v>
      </c>
      <c r="CX15" s="9">
        <v>0.65</v>
      </c>
      <c r="CY15" s="9">
        <v>0.52</v>
      </c>
      <c r="CZ15" s="9">
        <v>0.52</v>
      </c>
      <c r="DA15" s="9">
        <v>0.52</v>
      </c>
      <c r="DB15" s="9">
        <f>MIN(Tabelle5897112140[[#This Row],[Durchschnittsauslastung durch Sommer WTT]:[Durchschnittsauslastung max Winter SFN]])</f>
        <v>0.52</v>
      </c>
      <c r="DC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5" s="9">
        <f>MAX(Tabelle5897112140[[#This Row],[Durchschnittsauslastung durch Sommer WTT]:[Durchschnittsauslastung max Winter SFN]])</f>
        <v>0.65</v>
      </c>
      <c r="DE15" s="40">
        <f>Tabelle5897112140[[#This Row],[Durchschnittsauslastung min]]*Tabelle5897112140[[#This Row],[installierte Leistung MW min]]</f>
        <v>130.68639999999999</v>
      </c>
      <c r="DF15" s="40">
        <f>Tabelle5897112140[[#This Row],[Durchschnittsauslastung durch]]*Tabelle5897112140[[#This Row],[installierte Leistung MW durch]]</f>
        <v>176.21240000000003</v>
      </c>
      <c r="DG15" s="40">
        <f>Tabelle5897112140[[#This Row],[Durchschnittsauslastung max]]*Tabelle5897112140[[#This Row],[installierte Leistung MW max]]</f>
        <v>214.24</v>
      </c>
      <c r="DH15" s="46">
        <f>Tabelle5897112140[[#This Row],[Maximalauslastung min]]*Tabelle5897112140[[#This Row],[installierte Leistung MW min]]</f>
        <v>251.32</v>
      </c>
      <c r="DI15" s="46">
        <f>Tabelle5897112140[[#This Row],[Maximalauslastung durch]]*Tabelle5897112140[[#This Row],[installierte Leistung MW durch]]</f>
        <v>290.45999999999998</v>
      </c>
      <c r="DJ15" s="19">
        <f>Tabelle5897112140[[#This Row],[Maximalauslastung max]]*Tabelle5897112140[[#This Row],[installierte Leistung MW durch]]</f>
        <v>290.45999999999998</v>
      </c>
      <c r="DK15" s="9">
        <v>1</v>
      </c>
      <c r="DL15" s="9">
        <v>1</v>
      </c>
      <c r="DM15" s="9">
        <v>1</v>
      </c>
      <c r="DN15" s="1">
        <v>290.45999999999998</v>
      </c>
      <c r="DO15" s="1">
        <v>251.32</v>
      </c>
      <c r="DP15" s="1">
        <v>329.6</v>
      </c>
      <c r="DQ15" s="19"/>
      <c r="DR15" s="19"/>
      <c r="DW15" s="1">
        <v>1.22</v>
      </c>
      <c r="DX15" s="1">
        <v>1</v>
      </c>
      <c r="DY15" s="1">
        <v>1.9</v>
      </c>
      <c r="EL15" s="1">
        <v>365</v>
      </c>
      <c r="EM15" s="1">
        <v>292</v>
      </c>
      <c r="EN15" s="1">
        <v>438</v>
      </c>
      <c r="EO15" s="11"/>
      <c r="EP15" s="11"/>
      <c r="EQ15" s="11"/>
      <c r="ER15" s="1">
        <v>365</v>
      </c>
      <c r="ES15" s="1">
        <v>292</v>
      </c>
      <c r="ET15" s="1">
        <v>438</v>
      </c>
      <c r="EV15" s="19"/>
      <c r="EW15" s="19"/>
      <c r="EX15" s="19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O15" s="1">
        <v>67</v>
      </c>
      <c r="FP15" s="1">
        <v>67</v>
      </c>
      <c r="FQ15" s="1">
        <v>67</v>
      </c>
      <c r="FR15" s="13" t="s">
        <v>806</v>
      </c>
      <c r="FS15" s="13" t="s">
        <v>806</v>
      </c>
      <c r="FT15" s="13" t="s">
        <v>806</v>
      </c>
      <c r="FU15" s="13"/>
      <c r="FV15" s="13" t="s">
        <v>806</v>
      </c>
      <c r="FW15" s="13" t="s">
        <v>806</v>
      </c>
      <c r="FX15" s="13" t="s">
        <v>806</v>
      </c>
      <c r="FY15" s="13" t="s">
        <v>806</v>
      </c>
      <c r="FZ15" s="13" t="s">
        <v>806</v>
      </c>
      <c r="GA15" s="13" t="s">
        <v>806</v>
      </c>
      <c r="GB15" s="13" t="s">
        <v>806</v>
      </c>
      <c r="GE15" s="13" t="s">
        <v>806</v>
      </c>
      <c r="GF15" s="13" t="s">
        <v>806</v>
      </c>
      <c r="GH15" s="13" t="s">
        <v>806</v>
      </c>
    </row>
    <row r="16" spans="1:193" ht="15" customHeight="1" x14ac:dyDescent="0.25">
      <c r="A16" s="1" t="s">
        <v>206</v>
      </c>
      <c r="B16" s="1" t="s">
        <v>747</v>
      </c>
      <c r="C16" s="1" t="s">
        <v>655</v>
      </c>
      <c r="D16" s="1" t="s">
        <v>670</v>
      </c>
      <c r="E16" s="1" t="s">
        <v>127</v>
      </c>
      <c r="F16" s="1">
        <v>0</v>
      </c>
      <c r="G16" s="1">
        <v>2045</v>
      </c>
      <c r="H16" s="1">
        <v>1</v>
      </c>
      <c r="I16" s="1">
        <v>0</v>
      </c>
      <c r="J16" s="1">
        <v>0</v>
      </c>
      <c r="K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152.8904</v>
      </c>
      <c r="L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206.15140000000002</v>
      </c>
      <c r="M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250.64000000000001</v>
      </c>
      <c r="N16" s="19">
        <v>220.87650000000002</v>
      </c>
      <c r="O16" s="19">
        <v>191.113</v>
      </c>
      <c r="P16" s="19">
        <v>250.64000000000001</v>
      </c>
      <c r="Q16" s="19">
        <v>118.93350000000001</v>
      </c>
      <c r="R16" s="19">
        <v>102.90700000000001</v>
      </c>
      <c r="S16" s="19">
        <v>134.96</v>
      </c>
      <c r="T16" s="19">
        <v>220.87650000000002</v>
      </c>
      <c r="U16" s="19">
        <v>191.113</v>
      </c>
      <c r="V16" s="19">
        <v>250.64000000000001</v>
      </c>
      <c r="W16" s="19">
        <v>118.93350000000001</v>
      </c>
      <c r="X16" s="19">
        <v>102.90700000000001</v>
      </c>
      <c r="Y16" s="19">
        <v>134.96</v>
      </c>
      <c r="Z16" s="19">
        <v>176.7012</v>
      </c>
      <c r="AA16" s="19">
        <v>152.8904</v>
      </c>
      <c r="AB16" s="19">
        <v>200.51200000000003</v>
      </c>
      <c r="AC16" s="19">
        <v>163.10880000000003</v>
      </c>
      <c r="AD16" s="19">
        <v>141.12960000000001</v>
      </c>
      <c r="AE16" s="19">
        <v>185.08799999999999</v>
      </c>
      <c r="AF16" s="19">
        <v>220.87650000000002</v>
      </c>
      <c r="AG16" s="19">
        <v>191.113</v>
      </c>
      <c r="AH16" s="19">
        <v>250.64000000000001</v>
      </c>
      <c r="AI16" s="19">
        <v>118.93350000000001</v>
      </c>
      <c r="AJ16" s="19">
        <v>102.90700000000001</v>
      </c>
      <c r="AK16" s="19">
        <v>134.96</v>
      </c>
      <c r="AL16" s="19">
        <v>220.87650000000002</v>
      </c>
      <c r="AM16" s="19">
        <v>191.113</v>
      </c>
      <c r="AN16" s="19">
        <v>250.64000000000001</v>
      </c>
      <c r="AO16" s="19">
        <v>118.93350000000001</v>
      </c>
      <c r="AP16" s="19">
        <v>102.90700000000001</v>
      </c>
      <c r="AQ16" s="19">
        <v>134.96</v>
      </c>
      <c r="AR16" s="19">
        <v>176.7012</v>
      </c>
      <c r="AS16" s="19">
        <v>152.8904</v>
      </c>
      <c r="AT16" s="19">
        <v>200.51200000000003</v>
      </c>
      <c r="AU16" s="19">
        <v>163.10880000000003</v>
      </c>
      <c r="AV16" s="19">
        <v>141.12960000000001</v>
      </c>
      <c r="AW16" s="19">
        <v>185.08799999999999</v>
      </c>
      <c r="AX16" s="19">
        <v>220.87650000000002</v>
      </c>
      <c r="AY16" s="19">
        <v>191.113</v>
      </c>
      <c r="AZ16" s="19">
        <v>250.64000000000001</v>
      </c>
      <c r="BA16" s="19">
        <v>118.93350000000001</v>
      </c>
      <c r="BB16" s="19">
        <v>102.90700000000001</v>
      </c>
      <c r="BC16" s="19">
        <v>134.96</v>
      </c>
      <c r="BD16" s="19">
        <v>220.87650000000002</v>
      </c>
      <c r="BE16" s="19">
        <v>191.113</v>
      </c>
      <c r="BF16" s="19">
        <v>250.64000000000001</v>
      </c>
      <c r="BG16" s="19">
        <v>118.93350000000001</v>
      </c>
      <c r="BH16" s="19">
        <v>102.90700000000001</v>
      </c>
      <c r="BI16" s="19">
        <v>134.96</v>
      </c>
      <c r="BJ16" s="19">
        <v>176.7012</v>
      </c>
      <c r="BK16" s="19">
        <v>152.8904</v>
      </c>
      <c r="BL16" s="19">
        <v>200.51200000000003</v>
      </c>
      <c r="BM16" s="19">
        <v>163.10880000000003</v>
      </c>
      <c r="BN16" s="19">
        <v>141.12960000000001</v>
      </c>
      <c r="BO16" s="19">
        <v>185.08799999999999</v>
      </c>
      <c r="BP16" s="19"/>
      <c r="BQ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102.90700000000001</v>
      </c>
      <c r="BR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133.65860000000001</v>
      </c>
      <c r="BS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185.08799999999999</v>
      </c>
      <c r="BT16" s="11">
        <f>Tabelle5897112140[[#This Row],[Mindestauslastung min]]*Tabelle5897112140[[#This Row],[installierte Leistung MW min]]</f>
        <v>0</v>
      </c>
      <c r="BU16" s="11">
        <f>Tabelle5897112140[[#This Row],[Mindestauslastung durch]]*Tabelle5897112140[[#This Row],[installierte Leistung MW durch]]</f>
        <v>0</v>
      </c>
      <c r="BV16" s="11">
        <f>Tabelle5897112140[[#This Row],[Mindestauslastung max]]*Tabelle5897112140[[#This Row],[installierte Leistung MW max]]</f>
        <v>0</v>
      </c>
      <c r="BW16" s="9">
        <v>0</v>
      </c>
      <c r="BX16" s="9">
        <v>0</v>
      </c>
      <c r="BY16" s="9">
        <v>0</v>
      </c>
      <c r="BZ16" s="9"/>
      <c r="CA16" s="9">
        <v>0.65</v>
      </c>
      <c r="CB16" s="9">
        <v>0.65</v>
      </c>
      <c r="CC16" s="9">
        <v>0.65</v>
      </c>
      <c r="CD16" s="9">
        <v>0.65</v>
      </c>
      <c r="CE16" s="9">
        <v>0.65</v>
      </c>
      <c r="CF16" s="9">
        <v>0.65</v>
      </c>
      <c r="CG16" s="9">
        <v>0.52</v>
      </c>
      <c r="CH16" s="9">
        <v>0.52</v>
      </c>
      <c r="CI16" s="9">
        <v>0.52</v>
      </c>
      <c r="CJ16" s="9">
        <v>0.65</v>
      </c>
      <c r="CK16" s="9">
        <v>0.65</v>
      </c>
      <c r="CL16" s="9">
        <v>0.65</v>
      </c>
      <c r="CM16" s="9">
        <v>0.65</v>
      </c>
      <c r="CN16" s="9">
        <v>0.65</v>
      </c>
      <c r="CO16" s="9">
        <v>0.65</v>
      </c>
      <c r="CP16" s="9">
        <v>0.52</v>
      </c>
      <c r="CQ16" s="9">
        <v>0.52</v>
      </c>
      <c r="CR16" s="9">
        <v>0.52</v>
      </c>
      <c r="CS16" s="9">
        <v>0.65</v>
      </c>
      <c r="CT16" s="9">
        <v>0.65</v>
      </c>
      <c r="CU16" s="9">
        <v>0.65</v>
      </c>
      <c r="CV16" s="9">
        <v>0.65</v>
      </c>
      <c r="CW16" s="9">
        <v>0.65</v>
      </c>
      <c r="CX16" s="9">
        <v>0.65</v>
      </c>
      <c r="CY16" s="9">
        <v>0.52</v>
      </c>
      <c r="CZ16" s="9">
        <v>0.52</v>
      </c>
      <c r="DA16" s="9">
        <v>0.52</v>
      </c>
      <c r="DB16" s="9">
        <f>MIN(Tabelle5897112140[[#This Row],[Durchschnittsauslastung durch Sommer WTT]:[Durchschnittsauslastung max Winter SFN]])</f>
        <v>0.52</v>
      </c>
      <c r="DC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6" s="9">
        <f>MAX(Tabelle5897112140[[#This Row],[Durchschnittsauslastung durch Sommer WTT]:[Durchschnittsauslastung max Winter SFN]])</f>
        <v>0.65</v>
      </c>
      <c r="DE16" s="40">
        <f>Tabelle5897112140[[#This Row],[Durchschnittsauslastung min]]*Tabelle5897112140[[#This Row],[installierte Leistung MW min]]</f>
        <v>152.8904</v>
      </c>
      <c r="DF16" s="40">
        <f>Tabelle5897112140[[#This Row],[Durchschnittsauslastung durch]]*Tabelle5897112140[[#This Row],[installierte Leistung MW durch]]</f>
        <v>206.15140000000005</v>
      </c>
      <c r="DG16" s="40">
        <f>Tabelle5897112140[[#This Row],[Durchschnittsauslastung max]]*Tabelle5897112140[[#This Row],[installierte Leistung MW max]]</f>
        <v>250.64000000000001</v>
      </c>
      <c r="DH16" s="46">
        <f>Tabelle5897112140[[#This Row],[Maximalauslastung min]]*Tabelle5897112140[[#This Row],[installierte Leistung MW min]]</f>
        <v>294.02</v>
      </c>
      <c r="DI16" s="46">
        <f>Tabelle5897112140[[#This Row],[Maximalauslastung durch]]*Tabelle5897112140[[#This Row],[installierte Leistung MW durch]]</f>
        <v>339.81</v>
      </c>
      <c r="DJ16" s="19">
        <f>Tabelle5897112140[[#This Row],[Maximalauslastung max]]*Tabelle5897112140[[#This Row],[installierte Leistung MW durch]]</f>
        <v>339.81</v>
      </c>
      <c r="DK16" s="9">
        <v>1</v>
      </c>
      <c r="DL16" s="9">
        <v>1</v>
      </c>
      <c r="DM16" s="9">
        <v>1</v>
      </c>
      <c r="DN16" s="1">
        <v>339.81</v>
      </c>
      <c r="DO16" s="1">
        <v>294.02</v>
      </c>
      <c r="DP16" s="1">
        <v>385.6</v>
      </c>
      <c r="DQ16" s="19"/>
      <c r="DR16" s="19"/>
      <c r="DW16" s="1">
        <v>1.22</v>
      </c>
      <c r="DX16" s="1">
        <v>1</v>
      </c>
      <c r="DY16" s="1">
        <v>1.9</v>
      </c>
      <c r="EL16" s="1">
        <v>365</v>
      </c>
      <c r="EM16" s="1">
        <v>292</v>
      </c>
      <c r="EN16" s="1">
        <v>438</v>
      </c>
      <c r="EO16" s="11"/>
      <c r="EP16" s="11"/>
      <c r="EQ16" s="11"/>
      <c r="ER16" s="1">
        <v>365</v>
      </c>
      <c r="ES16" s="1">
        <v>292</v>
      </c>
      <c r="ET16" s="1">
        <v>438</v>
      </c>
      <c r="EV16" s="19"/>
      <c r="EW16" s="19"/>
      <c r="EX16" s="19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O16" s="1">
        <v>67</v>
      </c>
      <c r="FP16" s="1">
        <v>67</v>
      </c>
      <c r="FQ16" s="1">
        <v>67</v>
      </c>
      <c r="FR16" s="13" t="s">
        <v>806</v>
      </c>
      <c r="FS16" s="13" t="s">
        <v>806</v>
      </c>
      <c r="FT16" s="13" t="s">
        <v>806</v>
      </c>
      <c r="FU16" s="13"/>
      <c r="FV16" s="13" t="s">
        <v>806</v>
      </c>
      <c r="FW16" s="13" t="s">
        <v>806</v>
      </c>
      <c r="FX16" s="13" t="s">
        <v>806</v>
      </c>
      <c r="FY16" s="13" t="s">
        <v>806</v>
      </c>
      <c r="FZ16" s="13" t="s">
        <v>806</v>
      </c>
      <c r="GA16" s="13" t="s">
        <v>806</v>
      </c>
      <c r="GB16" s="13" t="s">
        <v>806</v>
      </c>
      <c r="GE16" s="13" t="s">
        <v>806</v>
      </c>
      <c r="GF16" s="13" t="s">
        <v>806</v>
      </c>
      <c r="GH16" s="13" t="s">
        <v>806</v>
      </c>
    </row>
    <row r="17" spans="1:190" ht="15" customHeight="1" x14ac:dyDescent="0.25">
      <c r="A17" s="1" t="s">
        <v>206</v>
      </c>
      <c r="B17" s="1" t="s">
        <v>747</v>
      </c>
      <c r="C17" s="1" t="s">
        <v>655</v>
      </c>
      <c r="D17" s="1" t="s">
        <v>670</v>
      </c>
      <c r="E17" s="1" t="s">
        <v>127</v>
      </c>
      <c r="F17" s="1">
        <v>0</v>
      </c>
      <c r="G17" s="1">
        <v>2050</v>
      </c>
      <c r="H17" s="1">
        <v>1</v>
      </c>
      <c r="I17" s="1">
        <v>0</v>
      </c>
      <c r="J17" s="1">
        <v>0</v>
      </c>
      <c r="K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180.16959999999997</v>
      </c>
      <c r="L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242.93359999999998</v>
      </c>
      <c r="M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295.36</v>
      </c>
      <c r="N17" s="19">
        <v>260.286</v>
      </c>
      <c r="O17" s="19">
        <v>225.21199999999999</v>
      </c>
      <c r="P17" s="19">
        <v>295.36</v>
      </c>
      <c r="Q17" s="19">
        <v>140.154</v>
      </c>
      <c r="R17" s="19">
        <v>121.268</v>
      </c>
      <c r="S17" s="19">
        <v>159.04</v>
      </c>
      <c r="T17" s="19">
        <v>260.286</v>
      </c>
      <c r="U17" s="19">
        <v>225.21199999999999</v>
      </c>
      <c r="V17" s="19">
        <v>295.36</v>
      </c>
      <c r="W17" s="19">
        <v>140.154</v>
      </c>
      <c r="X17" s="19">
        <v>121.268</v>
      </c>
      <c r="Y17" s="19">
        <v>159.04</v>
      </c>
      <c r="Z17" s="19">
        <v>208.22879999999998</v>
      </c>
      <c r="AA17" s="19">
        <v>180.16959999999997</v>
      </c>
      <c r="AB17" s="19">
        <v>236.28799999999998</v>
      </c>
      <c r="AC17" s="19">
        <v>192.21120000000002</v>
      </c>
      <c r="AD17" s="19">
        <v>166.31039999999999</v>
      </c>
      <c r="AE17" s="19">
        <v>218.11199999999999</v>
      </c>
      <c r="AF17" s="19">
        <v>260.286</v>
      </c>
      <c r="AG17" s="19">
        <v>225.21199999999999</v>
      </c>
      <c r="AH17" s="19">
        <v>295.36</v>
      </c>
      <c r="AI17" s="19">
        <v>140.154</v>
      </c>
      <c r="AJ17" s="19">
        <v>121.268</v>
      </c>
      <c r="AK17" s="19">
        <v>159.04</v>
      </c>
      <c r="AL17" s="19">
        <v>260.286</v>
      </c>
      <c r="AM17" s="19">
        <v>225.21199999999999</v>
      </c>
      <c r="AN17" s="19">
        <v>295.36</v>
      </c>
      <c r="AO17" s="19">
        <v>140.154</v>
      </c>
      <c r="AP17" s="19">
        <v>121.268</v>
      </c>
      <c r="AQ17" s="19">
        <v>159.04</v>
      </c>
      <c r="AR17" s="19">
        <v>208.22879999999998</v>
      </c>
      <c r="AS17" s="19">
        <v>180.16959999999997</v>
      </c>
      <c r="AT17" s="19">
        <v>236.28799999999998</v>
      </c>
      <c r="AU17" s="19">
        <v>192.21120000000002</v>
      </c>
      <c r="AV17" s="19">
        <v>166.31039999999999</v>
      </c>
      <c r="AW17" s="19">
        <v>218.11199999999999</v>
      </c>
      <c r="AX17" s="19">
        <v>260.286</v>
      </c>
      <c r="AY17" s="19">
        <v>225.21199999999999</v>
      </c>
      <c r="AZ17" s="19">
        <v>295.36</v>
      </c>
      <c r="BA17" s="19">
        <v>140.154</v>
      </c>
      <c r="BB17" s="19">
        <v>121.268</v>
      </c>
      <c r="BC17" s="19">
        <v>159.04</v>
      </c>
      <c r="BD17" s="19">
        <v>260.286</v>
      </c>
      <c r="BE17" s="19">
        <v>225.21199999999999</v>
      </c>
      <c r="BF17" s="19">
        <v>295.36</v>
      </c>
      <c r="BG17" s="19">
        <v>140.154</v>
      </c>
      <c r="BH17" s="19">
        <v>121.268</v>
      </c>
      <c r="BI17" s="19">
        <v>159.04</v>
      </c>
      <c r="BJ17" s="19">
        <v>208.22879999999998</v>
      </c>
      <c r="BK17" s="19">
        <v>180.16959999999997</v>
      </c>
      <c r="BL17" s="19">
        <v>236.28799999999998</v>
      </c>
      <c r="BM17" s="19">
        <v>192.21120000000002</v>
      </c>
      <c r="BN17" s="19">
        <v>166.31039999999999</v>
      </c>
      <c r="BO17" s="19">
        <v>218.11199999999999</v>
      </c>
      <c r="BP17" s="19"/>
      <c r="BQ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121.268</v>
      </c>
      <c r="BR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157.50639999999999</v>
      </c>
      <c r="BS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218.11199999999999</v>
      </c>
      <c r="BT17" s="11">
        <f>Tabelle5897112140[[#This Row],[Mindestauslastung min]]*Tabelle5897112140[[#This Row],[installierte Leistung MW min]]</f>
        <v>0</v>
      </c>
      <c r="BU17" s="11">
        <f>Tabelle5897112140[[#This Row],[Mindestauslastung durch]]*Tabelle5897112140[[#This Row],[installierte Leistung MW durch]]</f>
        <v>0</v>
      </c>
      <c r="BV17" s="11">
        <f>Tabelle5897112140[[#This Row],[Mindestauslastung max]]*Tabelle5897112140[[#This Row],[installierte Leistung MW max]]</f>
        <v>0</v>
      </c>
      <c r="BW17" s="9">
        <v>0</v>
      </c>
      <c r="BX17" s="9">
        <v>0</v>
      </c>
      <c r="BY17" s="9">
        <v>0</v>
      </c>
      <c r="BZ17" s="9"/>
      <c r="CA17" s="9">
        <v>0.65</v>
      </c>
      <c r="CB17" s="9">
        <v>0.65</v>
      </c>
      <c r="CC17" s="9">
        <v>0.65</v>
      </c>
      <c r="CD17" s="9">
        <v>0.65</v>
      </c>
      <c r="CE17" s="9">
        <v>0.65</v>
      </c>
      <c r="CF17" s="9">
        <v>0.65</v>
      </c>
      <c r="CG17" s="9">
        <v>0.52</v>
      </c>
      <c r="CH17" s="9">
        <v>0.52</v>
      </c>
      <c r="CI17" s="9">
        <v>0.52</v>
      </c>
      <c r="CJ17" s="9">
        <v>0.65</v>
      </c>
      <c r="CK17" s="9">
        <v>0.65</v>
      </c>
      <c r="CL17" s="9">
        <v>0.65</v>
      </c>
      <c r="CM17" s="9">
        <v>0.65</v>
      </c>
      <c r="CN17" s="9">
        <v>0.65</v>
      </c>
      <c r="CO17" s="9">
        <v>0.65</v>
      </c>
      <c r="CP17" s="9">
        <v>0.52</v>
      </c>
      <c r="CQ17" s="9">
        <v>0.52</v>
      </c>
      <c r="CR17" s="9">
        <v>0.52</v>
      </c>
      <c r="CS17" s="9">
        <v>0.65</v>
      </c>
      <c r="CT17" s="9">
        <v>0.65</v>
      </c>
      <c r="CU17" s="9">
        <v>0.65</v>
      </c>
      <c r="CV17" s="9">
        <v>0.65</v>
      </c>
      <c r="CW17" s="9">
        <v>0.65</v>
      </c>
      <c r="CX17" s="9">
        <v>0.65</v>
      </c>
      <c r="CY17" s="9">
        <v>0.52</v>
      </c>
      <c r="CZ17" s="9">
        <v>0.52</v>
      </c>
      <c r="DA17" s="9">
        <v>0.52</v>
      </c>
      <c r="DB17" s="9">
        <f>MIN(Tabelle5897112140[[#This Row],[Durchschnittsauslastung durch Sommer WTT]:[Durchschnittsauslastung max Winter SFN]])</f>
        <v>0.52</v>
      </c>
      <c r="DC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7" s="9">
        <f>MAX(Tabelle5897112140[[#This Row],[Durchschnittsauslastung durch Sommer WTT]:[Durchschnittsauslastung max Winter SFN]])</f>
        <v>0.65</v>
      </c>
      <c r="DE17" s="40">
        <f>Tabelle5897112140[[#This Row],[Durchschnittsauslastung min]]*Tabelle5897112140[[#This Row],[installierte Leistung MW min]]</f>
        <v>180.1696</v>
      </c>
      <c r="DF17" s="40">
        <f>Tabelle5897112140[[#This Row],[Durchschnittsauslastung durch]]*Tabelle5897112140[[#This Row],[installierte Leistung MW durch]]</f>
        <v>242.93360000000004</v>
      </c>
      <c r="DG17" s="40">
        <f>Tabelle5897112140[[#This Row],[Durchschnittsauslastung max]]*Tabelle5897112140[[#This Row],[installierte Leistung MW max]]</f>
        <v>295.36</v>
      </c>
      <c r="DH17" s="46">
        <f>Tabelle5897112140[[#This Row],[Maximalauslastung min]]*Tabelle5897112140[[#This Row],[installierte Leistung MW min]]</f>
        <v>346.48</v>
      </c>
      <c r="DI17" s="46">
        <f>Tabelle5897112140[[#This Row],[Maximalauslastung durch]]*Tabelle5897112140[[#This Row],[installierte Leistung MW durch]]</f>
        <v>400.44</v>
      </c>
      <c r="DJ17" s="19">
        <f>Tabelle5897112140[[#This Row],[Maximalauslastung max]]*Tabelle5897112140[[#This Row],[installierte Leistung MW durch]]</f>
        <v>400.44</v>
      </c>
      <c r="DK17" s="9">
        <v>1</v>
      </c>
      <c r="DL17" s="9">
        <v>1</v>
      </c>
      <c r="DM17" s="9">
        <v>1</v>
      </c>
      <c r="DN17" s="1">
        <v>400.44</v>
      </c>
      <c r="DO17" s="1">
        <v>346.48</v>
      </c>
      <c r="DP17" s="1">
        <v>454.4</v>
      </c>
      <c r="DQ17" s="19"/>
      <c r="DR17" s="19"/>
      <c r="DW17" s="1">
        <v>1.22</v>
      </c>
      <c r="DX17" s="1">
        <v>1</v>
      </c>
      <c r="DY17" s="1">
        <v>1.9</v>
      </c>
      <c r="EL17" s="1">
        <v>365</v>
      </c>
      <c r="EM17" s="1">
        <v>292</v>
      </c>
      <c r="EN17" s="1">
        <v>438</v>
      </c>
      <c r="EO17" s="11"/>
      <c r="EP17" s="11"/>
      <c r="EQ17" s="11"/>
      <c r="ER17" s="1">
        <v>365</v>
      </c>
      <c r="ES17" s="1">
        <v>292</v>
      </c>
      <c r="ET17" s="1">
        <v>438</v>
      </c>
      <c r="EV17" s="19"/>
      <c r="EW17" s="19"/>
      <c r="EX17" s="19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O17" s="1">
        <v>67</v>
      </c>
      <c r="FP17" s="1">
        <v>67</v>
      </c>
      <c r="FQ17" s="1">
        <v>67</v>
      </c>
      <c r="FR17" s="13" t="s">
        <v>806</v>
      </c>
      <c r="FS17" s="13" t="s">
        <v>806</v>
      </c>
      <c r="FT17" s="13" t="s">
        <v>806</v>
      </c>
      <c r="FU17" s="13"/>
      <c r="FV17" s="13" t="s">
        <v>806</v>
      </c>
      <c r="FW17" s="13" t="s">
        <v>806</v>
      </c>
      <c r="FX17" s="13" t="s">
        <v>806</v>
      </c>
      <c r="FY17" s="13" t="s">
        <v>806</v>
      </c>
      <c r="FZ17" s="13" t="s">
        <v>806</v>
      </c>
      <c r="GA17" s="13" t="s">
        <v>806</v>
      </c>
      <c r="GB17" s="13" t="s">
        <v>806</v>
      </c>
      <c r="GE17" s="13" t="s">
        <v>806</v>
      </c>
      <c r="GF17" s="13" t="s">
        <v>806</v>
      </c>
      <c r="GH17" s="13" t="s">
        <v>806</v>
      </c>
    </row>
    <row r="18" spans="1:190" ht="15" customHeight="1" x14ac:dyDescent="0.25">
      <c r="A18" s="1" t="s">
        <v>208</v>
      </c>
      <c r="B18" s="1" t="s">
        <v>651</v>
      </c>
      <c r="C18" s="1" t="s">
        <v>655</v>
      </c>
      <c r="D18" s="1" t="s">
        <v>671</v>
      </c>
      <c r="E18" s="1" t="s">
        <v>127</v>
      </c>
      <c r="F18" s="1">
        <v>0</v>
      </c>
      <c r="G18" s="1">
        <v>2015</v>
      </c>
      <c r="H18" s="1">
        <v>1</v>
      </c>
      <c r="I18" s="1">
        <v>0</v>
      </c>
      <c r="J18" s="1">
        <v>0</v>
      </c>
      <c r="K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10.08</v>
      </c>
      <c r="L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20.500000000000004</v>
      </c>
      <c r="M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36.72</v>
      </c>
      <c r="N18" s="19">
        <v>18.86</v>
      </c>
      <c r="O18" s="19">
        <v>10.08</v>
      </c>
      <c r="P18" s="19">
        <v>30.24</v>
      </c>
      <c r="Q18" s="19">
        <v>0</v>
      </c>
      <c r="R18" s="19">
        <v>0</v>
      </c>
      <c r="S18" s="19">
        <v>0</v>
      </c>
      <c r="T18" s="19">
        <v>18.86</v>
      </c>
      <c r="U18" s="19">
        <v>10.08</v>
      </c>
      <c r="V18" s="19">
        <v>30.24</v>
      </c>
      <c r="W18" s="19">
        <v>0</v>
      </c>
      <c r="X18" s="19">
        <v>0</v>
      </c>
      <c r="Y18" s="19">
        <v>0</v>
      </c>
      <c r="Z18" s="19">
        <v>23.78</v>
      </c>
      <c r="AA18" s="19">
        <v>13.44</v>
      </c>
      <c r="AB18" s="19">
        <v>36.72</v>
      </c>
      <c r="AC18" s="19">
        <v>0</v>
      </c>
      <c r="AD18" s="19">
        <v>0</v>
      </c>
      <c r="AE18" s="19">
        <v>0</v>
      </c>
      <c r="AF18" s="19">
        <v>18.86</v>
      </c>
      <c r="AG18" s="19">
        <v>10.08</v>
      </c>
      <c r="AH18" s="19">
        <v>30.24</v>
      </c>
      <c r="AI18" s="19">
        <v>0</v>
      </c>
      <c r="AJ18" s="19">
        <v>0</v>
      </c>
      <c r="AK18" s="19">
        <v>0</v>
      </c>
      <c r="AL18" s="19">
        <v>18.86</v>
      </c>
      <c r="AM18" s="19">
        <v>10.08</v>
      </c>
      <c r="AN18" s="19">
        <v>30.24</v>
      </c>
      <c r="AO18" s="19">
        <v>0</v>
      </c>
      <c r="AP18" s="19">
        <v>0</v>
      </c>
      <c r="AQ18" s="19">
        <v>0</v>
      </c>
      <c r="AR18" s="19">
        <v>23.78</v>
      </c>
      <c r="AS18" s="19">
        <v>13.44</v>
      </c>
      <c r="AT18" s="19">
        <v>36.72</v>
      </c>
      <c r="AU18" s="19">
        <v>0</v>
      </c>
      <c r="AV18" s="19">
        <v>0</v>
      </c>
      <c r="AW18" s="19">
        <v>0</v>
      </c>
      <c r="AX18" s="19">
        <v>18.86</v>
      </c>
      <c r="AY18" s="19">
        <v>10.08</v>
      </c>
      <c r="AZ18" s="19">
        <v>30.24</v>
      </c>
      <c r="BA18" s="19">
        <v>0</v>
      </c>
      <c r="BB18" s="19">
        <v>0</v>
      </c>
      <c r="BC18" s="19">
        <v>0</v>
      </c>
      <c r="BD18" s="19">
        <v>18.86</v>
      </c>
      <c r="BE18" s="19">
        <v>10.08</v>
      </c>
      <c r="BF18" s="19">
        <v>30.24</v>
      </c>
      <c r="BG18" s="19">
        <v>0</v>
      </c>
      <c r="BH18" s="19">
        <v>0</v>
      </c>
      <c r="BI18" s="19">
        <v>0</v>
      </c>
      <c r="BJ18" s="19">
        <v>23.78</v>
      </c>
      <c r="BK18" s="19">
        <v>13.44</v>
      </c>
      <c r="BL18" s="19">
        <v>36.72</v>
      </c>
      <c r="BM18" s="19">
        <v>0</v>
      </c>
      <c r="BN18" s="19">
        <v>0</v>
      </c>
      <c r="BO18" s="19">
        <v>0</v>
      </c>
      <c r="BP18" s="19"/>
      <c r="BQ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" s="11">
        <f>Tabelle5897112140[[#This Row],[Mindestauslastung min]]*Tabelle5897112140[[#This Row],[installierte Leistung MW min]]</f>
        <v>0</v>
      </c>
      <c r="BU18" s="11">
        <f>Tabelle5897112140[[#This Row],[Mindestauslastung durch]]*Tabelle5897112140[[#This Row],[installierte Leistung MW durch]]</f>
        <v>0</v>
      </c>
      <c r="BV18" s="11">
        <f>Tabelle5897112140[[#This Row],[Mindestauslastung max]]*Tabelle5897112140[[#This Row],[installierte Leistung MW max]]</f>
        <v>0</v>
      </c>
      <c r="BW18" s="9">
        <v>0</v>
      </c>
      <c r="BX18" s="9">
        <v>0</v>
      </c>
      <c r="BY18" s="9">
        <v>0</v>
      </c>
      <c r="BZ18" s="9"/>
      <c r="CA18" s="9">
        <v>0.46</v>
      </c>
      <c r="CB18" s="9">
        <v>0.36</v>
      </c>
      <c r="CC18" s="9">
        <v>0.56000000000000005</v>
      </c>
      <c r="CD18" s="9">
        <v>0.46</v>
      </c>
      <c r="CE18" s="9">
        <v>0.36</v>
      </c>
      <c r="CF18" s="9">
        <v>0.56000000000000005</v>
      </c>
      <c r="CG18" s="9">
        <v>0.57999999999999996</v>
      </c>
      <c r="CH18" s="9">
        <v>0.48</v>
      </c>
      <c r="CI18" s="9">
        <v>0.68</v>
      </c>
      <c r="CJ18" s="9">
        <v>0.46</v>
      </c>
      <c r="CK18" s="9">
        <v>0.36</v>
      </c>
      <c r="CL18" s="9">
        <v>0.56000000000000005</v>
      </c>
      <c r="CM18" s="9">
        <v>0.46</v>
      </c>
      <c r="CN18" s="9">
        <v>0.36</v>
      </c>
      <c r="CO18" s="9">
        <v>0.56000000000000005</v>
      </c>
      <c r="CP18" s="9">
        <v>0.57999999999999996</v>
      </c>
      <c r="CQ18" s="9">
        <v>0.48</v>
      </c>
      <c r="CR18" s="9">
        <v>0.68</v>
      </c>
      <c r="CS18" s="9">
        <v>0.46</v>
      </c>
      <c r="CT18" s="9">
        <v>0.36</v>
      </c>
      <c r="CU18" s="9">
        <v>0.56000000000000005</v>
      </c>
      <c r="CV18" s="9">
        <v>0.46</v>
      </c>
      <c r="CW18" s="9">
        <v>0.36</v>
      </c>
      <c r="CX18" s="9">
        <v>0.56000000000000005</v>
      </c>
      <c r="CY18" s="9">
        <v>0.57999999999999996</v>
      </c>
      <c r="CZ18" s="9">
        <v>0.48</v>
      </c>
      <c r="DA18" s="9">
        <v>0.68</v>
      </c>
      <c r="DB18" s="9">
        <f>MIN(Tabelle5897112140[[#This Row],[Durchschnittsauslastung durch Sommer WTT]:[Durchschnittsauslastung max Winter SFN]])</f>
        <v>0.36</v>
      </c>
      <c r="DC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18" s="9">
        <f>MAX(Tabelle5897112140[[#This Row],[Durchschnittsauslastung durch Sommer WTT]:[Durchschnittsauslastung max Winter SFN]])</f>
        <v>0.68</v>
      </c>
      <c r="DE18" s="40">
        <f>Tabelle5897112140[[#This Row],[Durchschnittsauslastung min]]*Tabelle5897112140[[#This Row],[installierte Leistung MW min]]</f>
        <v>10.08</v>
      </c>
      <c r="DF18" s="40">
        <f>Tabelle5897112140[[#This Row],[Durchschnittsauslastung durch]]*Tabelle5897112140[[#This Row],[installierte Leistung MW durch]]</f>
        <v>20.5</v>
      </c>
      <c r="DG18" s="40">
        <f>Tabelle5897112140[[#This Row],[Durchschnittsauslastung max]]*Tabelle5897112140[[#This Row],[installierte Leistung MW max]]</f>
        <v>36.720000000000006</v>
      </c>
      <c r="DH18" s="46">
        <f>Tabelle5897112140[[#This Row],[Maximalauslastung min]]*Tabelle5897112140[[#This Row],[installierte Leistung MW min]]</f>
        <v>0</v>
      </c>
      <c r="DI18" s="46">
        <f>Tabelle5897112140[[#This Row],[Maximalauslastung durch]]*Tabelle5897112140[[#This Row],[installierte Leistung MW durch]]</f>
        <v>0</v>
      </c>
      <c r="DJ18" s="19">
        <f>Tabelle5897112140[[#This Row],[Maximalauslastung max]]*Tabelle5897112140[[#This Row],[installierte Leistung MW durch]]</f>
        <v>0</v>
      </c>
      <c r="DK18" s="9">
        <v>0</v>
      </c>
      <c r="DL18" s="9">
        <v>0</v>
      </c>
      <c r="DM18" s="9">
        <v>0</v>
      </c>
      <c r="DN18" s="1">
        <v>41</v>
      </c>
      <c r="DO18" s="1">
        <v>28</v>
      </c>
      <c r="DP18" s="1">
        <v>54</v>
      </c>
      <c r="DQ18" s="19"/>
      <c r="DR18" s="19"/>
      <c r="DW18" s="1">
        <v>0.8</v>
      </c>
      <c r="DX18" s="1">
        <v>0.5</v>
      </c>
      <c r="DY18" s="1">
        <v>1.1000000000000001</v>
      </c>
      <c r="EL18" s="1">
        <v>365</v>
      </c>
      <c r="EM18" s="1">
        <v>292</v>
      </c>
      <c r="EN18" s="1">
        <v>438</v>
      </c>
      <c r="EO18" s="11"/>
      <c r="EP18" s="11"/>
      <c r="EQ18" s="11"/>
      <c r="ER18" s="1">
        <v>365</v>
      </c>
      <c r="ES18" s="1">
        <v>292</v>
      </c>
      <c r="ET18" s="1">
        <v>438</v>
      </c>
      <c r="EV18" s="19"/>
      <c r="EW18" s="19"/>
      <c r="EX18" s="19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O18" s="1">
        <v>67</v>
      </c>
      <c r="FP18" s="1">
        <v>67</v>
      </c>
      <c r="FQ18" s="1">
        <v>67</v>
      </c>
      <c r="FR18" s="13" t="s">
        <v>806</v>
      </c>
      <c r="FS18" s="13" t="s">
        <v>806</v>
      </c>
      <c r="FT18" s="13" t="s">
        <v>806</v>
      </c>
      <c r="FU18" s="13"/>
      <c r="FV18" s="13" t="s">
        <v>806</v>
      </c>
      <c r="FW18" s="13" t="s">
        <v>806</v>
      </c>
      <c r="FX18" s="13" t="s">
        <v>806</v>
      </c>
      <c r="FY18" s="13" t="s">
        <v>806</v>
      </c>
      <c r="FZ18" s="13" t="s">
        <v>806</v>
      </c>
      <c r="GA18" s="13" t="s">
        <v>806</v>
      </c>
      <c r="GB18" s="13" t="s">
        <v>806</v>
      </c>
      <c r="GE18" s="13" t="s">
        <v>806</v>
      </c>
      <c r="GF18" s="13" t="s">
        <v>806</v>
      </c>
      <c r="GH18" s="13" t="s">
        <v>806</v>
      </c>
    </row>
    <row r="19" spans="1:190" ht="15" customHeight="1" x14ac:dyDescent="0.25">
      <c r="A19" s="1" t="s">
        <v>208</v>
      </c>
      <c r="B19" s="1" t="s">
        <v>651</v>
      </c>
      <c r="C19" s="1" t="s">
        <v>655</v>
      </c>
      <c r="D19" s="1" t="s">
        <v>671</v>
      </c>
      <c r="E19" s="1" t="s">
        <v>127</v>
      </c>
      <c r="F19" s="1">
        <v>0</v>
      </c>
      <c r="G19" s="1">
        <v>2020</v>
      </c>
      <c r="H19" s="1">
        <v>1</v>
      </c>
      <c r="I19" s="1">
        <v>0</v>
      </c>
      <c r="J19" s="1">
        <v>0</v>
      </c>
      <c r="K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11.491199999999999</v>
      </c>
      <c r="L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23.369999999999997</v>
      </c>
      <c r="M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41.860799999999998</v>
      </c>
      <c r="N19" s="19">
        <v>21.500399999999999</v>
      </c>
      <c r="O19" s="19">
        <v>11.491199999999999</v>
      </c>
      <c r="P19" s="19">
        <v>34.473599999999998</v>
      </c>
      <c r="Q19" s="19">
        <v>0</v>
      </c>
      <c r="R19" s="19">
        <v>0</v>
      </c>
      <c r="S19" s="19">
        <v>0</v>
      </c>
      <c r="T19" s="19">
        <v>21.500399999999999</v>
      </c>
      <c r="U19" s="19">
        <v>11.491199999999999</v>
      </c>
      <c r="V19" s="19">
        <v>34.473599999999998</v>
      </c>
      <c r="W19" s="19">
        <v>0</v>
      </c>
      <c r="X19" s="19">
        <v>0</v>
      </c>
      <c r="Y19" s="19">
        <v>0</v>
      </c>
      <c r="Z19" s="19">
        <v>27.109199999999998</v>
      </c>
      <c r="AA19" s="19">
        <v>15.321599999999998</v>
      </c>
      <c r="AB19" s="19">
        <v>41.860799999999998</v>
      </c>
      <c r="AC19" s="19">
        <v>0</v>
      </c>
      <c r="AD19" s="19">
        <v>0</v>
      </c>
      <c r="AE19" s="19">
        <v>0</v>
      </c>
      <c r="AF19" s="19">
        <v>21.500399999999999</v>
      </c>
      <c r="AG19" s="19">
        <v>11.491199999999999</v>
      </c>
      <c r="AH19" s="19">
        <v>34.473599999999998</v>
      </c>
      <c r="AI19" s="19">
        <v>0</v>
      </c>
      <c r="AJ19" s="19">
        <v>0</v>
      </c>
      <c r="AK19" s="19">
        <v>0</v>
      </c>
      <c r="AL19" s="19">
        <v>21.500399999999999</v>
      </c>
      <c r="AM19" s="19">
        <v>11.491199999999999</v>
      </c>
      <c r="AN19" s="19">
        <v>34.473599999999998</v>
      </c>
      <c r="AO19" s="19">
        <v>0</v>
      </c>
      <c r="AP19" s="19">
        <v>0</v>
      </c>
      <c r="AQ19" s="19">
        <v>0</v>
      </c>
      <c r="AR19" s="19">
        <v>27.109199999999998</v>
      </c>
      <c r="AS19" s="19">
        <v>15.321599999999998</v>
      </c>
      <c r="AT19" s="19">
        <v>41.860799999999998</v>
      </c>
      <c r="AU19" s="19">
        <v>0</v>
      </c>
      <c r="AV19" s="19">
        <v>0</v>
      </c>
      <c r="AW19" s="19">
        <v>0</v>
      </c>
      <c r="AX19" s="19">
        <v>21.500399999999999</v>
      </c>
      <c r="AY19" s="19">
        <v>11.491199999999999</v>
      </c>
      <c r="AZ19" s="19">
        <v>34.473599999999998</v>
      </c>
      <c r="BA19" s="19">
        <v>0</v>
      </c>
      <c r="BB19" s="19">
        <v>0</v>
      </c>
      <c r="BC19" s="19">
        <v>0</v>
      </c>
      <c r="BD19" s="19">
        <v>21.500399999999999</v>
      </c>
      <c r="BE19" s="19">
        <v>11.491199999999999</v>
      </c>
      <c r="BF19" s="19">
        <v>34.473599999999998</v>
      </c>
      <c r="BG19" s="19">
        <v>0</v>
      </c>
      <c r="BH19" s="19">
        <v>0</v>
      </c>
      <c r="BI19" s="19">
        <v>0</v>
      </c>
      <c r="BJ19" s="19">
        <v>27.109199999999998</v>
      </c>
      <c r="BK19" s="19">
        <v>15.321599999999998</v>
      </c>
      <c r="BL19" s="19">
        <v>41.860799999999998</v>
      </c>
      <c r="BM19" s="19">
        <v>0</v>
      </c>
      <c r="BN19" s="19">
        <v>0</v>
      </c>
      <c r="BO19" s="19">
        <v>0</v>
      </c>
      <c r="BP19" s="19"/>
      <c r="BQ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" s="11">
        <f>Tabelle5897112140[[#This Row],[Mindestauslastung min]]*Tabelle5897112140[[#This Row],[installierte Leistung MW min]]</f>
        <v>0</v>
      </c>
      <c r="BU19" s="11">
        <f>Tabelle5897112140[[#This Row],[Mindestauslastung durch]]*Tabelle5897112140[[#This Row],[installierte Leistung MW durch]]</f>
        <v>0</v>
      </c>
      <c r="BV19" s="11">
        <f>Tabelle5897112140[[#This Row],[Mindestauslastung max]]*Tabelle5897112140[[#This Row],[installierte Leistung MW max]]</f>
        <v>0</v>
      </c>
      <c r="BW19" s="9">
        <v>0</v>
      </c>
      <c r="BX19" s="9">
        <v>0</v>
      </c>
      <c r="BY19" s="9">
        <v>0</v>
      </c>
      <c r="BZ19" s="9"/>
      <c r="CA19" s="9">
        <v>0.46</v>
      </c>
      <c r="CB19" s="9">
        <v>0.36</v>
      </c>
      <c r="CC19" s="9">
        <v>0.56000000000000005</v>
      </c>
      <c r="CD19" s="9">
        <v>0.46</v>
      </c>
      <c r="CE19" s="9">
        <v>0.36</v>
      </c>
      <c r="CF19" s="9">
        <v>0.56000000000000005</v>
      </c>
      <c r="CG19" s="9">
        <v>0.57999999999999996</v>
      </c>
      <c r="CH19" s="9">
        <v>0.48</v>
      </c>
      <c r="CI19" s="9">
        <v>0.68</v>
      </c>
      <c r="CJ19" s="9">
        <v>0.46</v>
      </c>
      <c r="CK19" s="9">
        <v>0.36</v>
      </c>
      <c r="CL19" s="9">
        <v>0.56000000000000005</v>
      </c>
      <c r="CM19" s="9">
        <v>0.46</v>
      </c>
      <c r="CN19" s="9">
        <v>0.36</v>
      </c>
      <c r="CO19" s="9">
        <v>0.56000000000000005</v>
      </c>
      <c r="CP19" s="9">
        <v>0.57999999999999996</v>
      </c>
      <c r="CQ19" s="9">
        <v>0.48</v>
      </c>
      <c r="CR19" s="9">
        <v>0.68</v>
      </c>
      <c r="CS19" s="9">
        <v>0.46</v>
      </c>
      <c r="CT19" s="9">
        <v>0.36</v>
      </c>
      <c r="CU19" s="9">
        <v>0.56000000000000005</v>
      </c>
      <c r="CV19" s="9">
        <v>0.46</v>
      </c>
      <c r="CW19" s="9">
        <v>0.36</v>
      </c>
      <c r="CX19" s="9">
        <v>0.56000000000000005</v>
      </c>
      <c r="CY19" s="9">
        <v>0.57999999999999996</v>
      </c>
      <c r="CZ19" s="9">
        <v>0.48</v>
      </c>
      <c r="DA19" s="9">
        <v>0.68</v>
      </c>
      <c r="DB19" s="9">
        <f>MIN(Tabelle5897112140[[#This Row],[Durchschnittsauslastung durch Sommer WTT]:[Durchschnittsauslastung max Winter SFN]])</f>
        <v>0.36</v>
      </c>
      <c r="DC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19" s="9">
        <f>MAX(Tabelle5897112140[[#This Row],[Durchschnittsauslastung durch Sommer WTT]:[Durchschnittsauslastung max Winter SFN]])</f>
        <v>0.68</v>
      </c>
      <c r="DE19" s="40">
        <f>Tabelle5897112140[[#This Row],[Durchschnittsauslastung min]]*Tabelle5897112140[[#This Row],[installierte Leistung MW min]]</f>
        <v>11.491200000000001</v>
      </c>
      <c r="DF19" s="40">
        <f>Tabelle5897112140[[#This Row],[Durchschnittsauslastung durch]]*Tabelle5897112140[[#This Row],[installierte Leistung MW durch]]</f>
        <v>23.37</v>
      </c>
      <c r="DG19" s="40">
        <f>Tabelle5897112140[[#This Row],[Durchschnittsauslastung max]]*Tabelle5897112140[[#This Row],[installierte Leistung MW max]]</f>
        <v>41.860800000000005</v>
      </c>
      <c r="DH19" s="46">
        <f>Tabelle5897112140[[#This Row],[Maximalauslastung min]]*Tabelle5897112140[[#This Row],[installierte Leistung MW min]]</f>
        <v>0</v>
      </c>
      <c r="DI19" s="46">
        <f>Tabelle5897112140[[#This Row],[Maximalauslastung durch]]*Tabelle5897112140[[#This Row],[installierte Leistung MW durch]]</f>
        <v>0</v>
      </c>
      <c r="DJ19" s="19">
        <f>Tabelle5897112140[[#This Row],[Maximalauslastung max]]*Tabelle5897112140[[#This Row],[installierte Leistung MW durch]]</f>
        <v>0</v>
      </c>
      <c r="DK19" s="9">
        <v>0</v>
      </c>
      <c r="DL19" s="9">
        <v>0</v>
      </c>
      <c r="DM19" s="9">
        <v>0</v>
      </c>
      <c r="DN19" s="1">
        <v>46.74</v>
      </c>
      <c r="DO19" s="1">
        <v>31.92</v>
      </c>
      <c r="DP19" s="1">
        <v>61.56</v>
      </c>
      <c r="DQ19" s="19"/>
      <c r="DR19" s="19"/>
      <c r="DW19" s="1">
        <v>0.8</v>
      </c>
      <c r="DX19" s="1">
        <v>0.5</v>
      </c>
      <c r="DY19" s="1">
        <v>1.1000000000000001</v>
      </c>
      <c r="EL19" s="1">
        <v>365</v>
      </c>
      <c r="EM19" s="1">
        <v>292</v>
      </c>
      <c r="EN19" s="1">
        <v>438</v>
      </c>
      <c r="EO19" s="11"/>
      <c r="EP19" s="11"/>
      <c r="EQ19" s="11"/>
      <c r="ER19" s="1">
        <v>365</v>
      </c>
      <c r="ES19" s="1">
        <v>292</v>
      </c>
      <c r="ET19" s="1">
        <v>438</v>
      </c>
      <c r="EV19" s="19"/>
      <c r="EW19" s="19"/>
      <c r="EX19" s="19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O19" s="1">
        <v>67</v>
      </c>
      <c r="FP19" s="1">
        <v>67</v>
      </c>
      <c r="FQ19" s="1">
        <v>67</v>
      </c>
      <c r="FR19" s="13" t="s">
        <v>806</v>
      </c>
      <c r="FS19" s="13" t="s">
        <v>806</v>
      </c>
      <c r="FT19" s="13" t="s">
        <v>806</v>
      </c>
      <c r="FU19" s="13"/>
      <c r="FV19" s="13" t="s">
        <v>806</v>
      </c>
      <c r="FW19" s="13" t="s">
        <v>806</v>
      </c>
      <c r="FX19" s="13" t="s">
        <v>806</v>
      </c>
      <c r="FY19" s="13" t="s">
        <v>806</v>
      </c>
      <c r="FZ19" s="13" t="s">
        <v>806</v>
      </c>
      <c r="GA19" s="13" t="s">
        <v>806</v>
      </c>
      <c r="GB19" s="13" t="s">
        <v>806</v>
      </c>
      <c r="GE19" s="13" t="s">
        <v>806</v>
      </c>
      <c r="GF19" s="13" t="s">
        <v>806</v>
      </c>
      <c r="GH19" s="13" t="s">
        <v>806</v>
      </c>
    </row>
    <row r="20" spans="1:190" ht="15" customHeight="1" x14ac:dyDescent="0.25">
      <c r="A20" s="1" t="s">
        <v>208</v>
      </c>
      <c r="B20" s="1" t="s">
        <v>651</v>
      </c>
      <c r="C20" s="1" t="s">
        <v>655</v>
      </c>
      <c r="D20" s="1" t="s">
        <v>671</v>
      </c>
      <c r="E20" s="1" t="s">
        <v>127</v>
      </c>
      <c r="F20" s="1">
        <v>0</v>
      </c>
      <c r="G20" s="1">
        <v>2025</v>
      </c>
      <c r="H20" s="1">
        <v>1</v>
      </c>
      <c r="I20" s="1">
        <v>0</v>
      </c>
      <c r="J20" s="1">
        <v>0</v>
      </c>
      <c r="K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13.204800000000001</v>
      </c>
      <c r="L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26.855000000000004</v>
      </c>
      <c r="M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48.103200000000001</v>
      </c>
      <c r="N20" s="19">
        <v>24.706600000000002</v>
      </c>
      <c r="O20" s="19">
        <v>13.204800000000001</v>
      </c>
      <c r="P20" s="19">
        <v>39.614399999999996</v>
      </c>
      <c r="Q20" s="19">
        <v>0</v>
      </c>
      <c r="R20" s="19">
        <v>0</v>
      </c>
      <c r="S20" s="19">
        <v>0</v>
      </c>
      <c r="T20" s="19">
        <v>24.706600000000002</v>
      </c>
      <c r="U20" s="19">
        <v>13.204800000000001</v>
      </c>
      <c r="V20" s="19">
        <v>39.614399999999996</v>
      </c>
      <c r="W20" s="19">
        <v>0</v>
      </c>
      <c r="X20" s="19">
        <v>0</v>
      </c>
      <c r="Y20" s="19">
        <v>0</v>
      </c>
      <c r="Z20" s="19">
        <v>31.151800000000001</v>
      </c>
      <c r="AA20" s="19">
        <v>17.606400000000001</v>
      </c>
      <c r="AB20" s="19">
        <v>48.103200000000001</v>
      </c>
      <c r="AC20" s="19">
        <v>0</v>
      </c>
      <c r="AD20" s="19">
        <v>0</v>
      </c>
      <c r="AE20" s="19">
        <v>0</v>
      </c>
      <c r="AF20" s="19">
        <v>24.706600000000002</v>
      </c>
      <c r="AG20" s="19">
        <v>13.204800000000001</v>
      </c>
      <c r="AH20" s="19">
        <v>39.614399999999996</v>
      </c>
      <c r="AI20" s="19">
        <v>0</v>
      </c>
      <c r="AJ20" s="19">
        <v>0</v>
      </c>
      <c r="AK20" s="19">
        <v>0</v>
      </c>
      <c r="AL20" s="19">
        <v>24.706600000000002</v>
      </c>
      <c r="AM20" s="19">
        <v>13.204800000000001</v>
      </c>
      <c r="AN20" s="19">
        <v>39.614399999999996</v>
      </c>
      <c r="AO20" s="19">
        <v>0</v>
      </c>
      <c r="AP20" s="19">
        <v>0</v>
      </c>
      <c r="AQ20" s="19">
        <v>0</v>
      </c>
      <c r="AR20" s="19">
        <v>31.151800000000001</v>
      </c>
      <c r="AS20" s="19">
        <v>17.606400000000001</v>
      </c>
      <c r="AT20" s="19">
        <v>48.103200000000001</v>
      </c>
      <c r="AU20" s="19">
        <v>0</v>
      </c>
      <c r="AV20" s="19">
        <v>0</v>
      </c>
      <c r="AW20" s="19">
        <v>0</v>
      </c>
      <c r="AX20" s="19">
        <v>24.706600000000002</v>
      </c>
      <c r="AY20" s="19">
        <v>13.204800000000001</v>
      </c>
      <c r="AZ20" s="19">
        <v>39.614399999999996</v>
      </c>
      <c r="BA20" s="19">
        <v>0</v>
      </c>
      <c r="BB20" s="19">
        <v>0</v>
      </c>
      <c r="BC20" s="19">
        <v>0</v>
      </c>
      <c r="BD20" s="19">
        <v>24.706600000000002</v>
      </c>
      <c r="BE20" s="19">
        <v>13.204800000000001</v>
      </c>
      <c r="BF20" s="19">
        <v>39.614399999999996</v>
      </c>
      <c r="BG20" s="19">
        <v>0</v>
      </c>
      <c r="BH20" s="19">
        <v>0</v>
      </c>
      <c r="BI20" s="19">
        <v>0</v>
      </c>
      <c r="BJ20" s="19">
        <v>31.151800000000001</v>
      </c>
      <c r="BK20" s="19">
        <v>17.606400000000001</v>
      </c>
      <c r="BL20" s="19">
        <v>48.103200000000001</v>
      </c>
      <c r="BM20" s="19">
        <v>0</v>
      </c>
      <c r="BN20" s="19">
        <v>0</v>
      </c>
      <c r="BO20" s="19">
        <v>0</v>
      </c>
      <c r="BP20" s="19"/>
      <c r="BQ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0" s="11">
        <f>Tabelle5897112140[[#This Row],[Mindestauslastung min]]*Tabelle5897112140[[#This Row],[installierte Leistung MW min]]</f>
        <v>0</v>
      </c>
      <c r="BU20" s="11">
        <f>Tabelle5897112140[[#This Row],[Mindestauslastung durch]]*Tabelle5897112140[[#This Row],[installierte Leistung MW durch]]</f>
        <v>0</v>
      </c>
      <c r="BV20" s="11">
        <f>Tabelle5897112140[[#This Row],[Mindestauslastung max]]*Tabelle5897112140[[#This Row],[installierte Leistung MW max]]</f>
        <v>0</v>
      </c>
      <c r="BW20" s="9">
        <v>0</v>
      </c>
      <c r="BX20" s="9">
        <v>0</v>
      </c>
      <c r="BY20" s="9">
        <v>0</v>
      </c>
      <c r="BZ20" s="9"/>
      <c r="CA20" s="9">
        <v>0.46</v>
      </c>
      <c r="CB20" s="9">
        <v>0.36</v>
      </c>
      <c r="CC20" s="9">
        <v>0.56000000000000005</v>
      </c>
      <c r="CD20" s="9">
        <v>0.46</v>
      </c>
      <c r="CE20" s="9">
        <v>0.36</v>
      </c>
      <c r="CF20" s="9">
        <v>0.56000000000000005</v>
      </c>
      <c r="CG20" s="9">
        <v>0.57999999999999996</v>
      </c>
      <c r="CH20" s="9">
        <v>0.48</v>
      </c>
      <c r="CI20" s="9">
        <v>0.68</v>
      </c>
      <c r="CJ20" s="9">
        <v>0.46</v>
      </c>
      <c r="CK20" s="9">
        <v>0.36</v>
      </c>
      <c r="CL20" s="9">
        <v>0.56000000000000005</v>
      </c>
      <c r="CM20" s="9">
        <v>0.46</v>
      </c>
      <c r="CN20" s="9">
        <v>0.36</v>
      </c>
      <c r="CO20" s="9">
        <v>0.56000000000000005</v>
      </c>
      <c r="CP20" s="9">
        <v>0.57999999999999996</v>
      </c>
      <c r="CQ20" s="9">
        <v>0.48</v>
      </c>
      <c r="CR20" s="9">
        <v>0.68</v>
      </c>
      <c r="CS20" s="9">
        <v>0.46</v>
      </c>
      <c r="CT20" s="9">
        <v>0.36</v>
      </c>
      <c r="CU20" s="9">
        <v>0.56000000000000005</v>
      </c>
      <c r="CV20" s="9">
        <v>0.46</v>
      </c>
      <c r="CW20" s="9">
        <v>0.36</v>
      </c>
      <c r="CX20" s="9">
        <v>0.56000000000000005</v>
      </c>
      <c r="CY20" s="9">
        <v>0.57999999999999996</v>
      </c>
      <c r="CZ20" s="9">
        <v>0.48</v>
      </c>
      <c r="DA20" s="9">
        <v>0.68</v>
      </c>
      <c r="DB20" s="9">
        <f>MIN(Tabelle5897112140[[#This Row],[Durchschnittsauslastung durch Sommer WTT]:[Durchschnittsauslastung max Winter SFN]])</f>
        <v>0.36</v>
      </c>
      <c r="DC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0" s="9">
        <f>MAX(Tabelle5897112140[[#This Row],[Durchschnittsauslastung durch Sommer WTT]:[Durchschnittsauslastung max Winter SFN]])</f>
        <v>0.68</v>
      </c>
      <c r="DE20" s="40">
        <f>Tabelle5897112140[[#This Row],[Durchschnittsauslastung min]]*Tabelle5897112140[[#This Row],[installierte Leistung MW min]]</f>
        <v>13.204799999999999</v>
      </c>
      <c r="DF20" s="40">
        <f>Tabelle5897112140[[#This Row],[Durchschnittsauslastung durch]]*Tabelle5897112140[[#This Row],[installierte Leistung MW durch]]</f>
        <v>26.855</v>
      </c>
      <c r="DG20" s="40">
        <f>Tabelle5897112140[[#This Row],[Durchschnittsauslastung max]]*Tabelle5897112140[[#This Row],[installierte Leistung MW max]]</f>
        <v>48.103200000000001</v>
      </c>
      <c r="DH20" s="46">
        <f>Tabelle5897112140[[#This Row],[Maximalauslastung min]]*Tabelle5897112140[[#This Row],[installierte Leistung MW min]]</f>
        <v>0</v>
      </c>
      <c r="DI20" s="46">
        <f>Tabelle5897112140[[#This Row],[Maximalauslastung durch]]*Tabelle5897112140[[#This Row],[installierte Leistung MW durch]]</f>
        <v>0</v>
      </c>
      <c r="DJ20" s="19">
        <f>Tabelle5897112140[[#This Row],[Maximalauslastung max]]*Tabelle5897112140[[#This Row],[installierte Leistung MW durch]]</f>
        <v>0</v>
      </c>
      <c r="DK20" s="9">
        <v>0</v>
      </c>
      <c r="DL20" s="9">
        <v>0</v>
      </c>
      <c r="DM20" s="9">
        <v>0</v>
      </c>
      <c r="DN20" s="1">
        <v>53.71</v>
      </c>
      <c r="DO20" s="1">
        <v>36.68</v>
      </c>
      <c r="DP20" s="1">
        <v>70.739999999999995</v>
      </c>
      <c r="DQ20" s="19"/>
      <c r="DR20" s="19"/>
      <c r="DW20" s="1">
        <v>0.8</v>
      </c>
      <c r="DX20" s="1">
        <v>0.5</v>
      </c>
      <c r="DY20" s="1">
        <v>1.1000000000000001</v>
      </c>
      <c r="EL20" s="1">
        <v>365</v>
      </c>
      <c r="EM20" s="1">
        <v>292</v>
      </c>
      <c r="EN20" s="1">
        <v>438</v>
      </c>
      <c r="EO20" s="11"/>
      <c r="EP20" s="11"/>
      <c r="EQ20" s="11"/>
      <c r="ER20" s="1">
        <v>365</v>
      </c>
      <c r="ES20" s="1">
        <v>292</v>
      </c>
      <c r="ET20" s="1">
        <v>438</v>
      </c>
      <c r="EV20" s="19"/>
      <c r="EW20" s="19"/>
      <c r="EX20" s="19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O20" s="1">
        <v>67</v>
      </c>
      <c r="FP20" s="1">
        <v>67</v>
      </c>
      <c r="FQ20" s="1">
        <v>67</v>
      </c>
      <c r="FR20" s="13" t="s">
        <v>806</v>
      </c>
      <c r="FS20" s="13" t="s">
        <v>806</v>
      </c>
      <c r="FT20" s="13" t="s">
        <v>806</v>
      </c>
      <c r="FU20" s="13"/>
      <c r="FV20" s="13" t="s">
        <v>806</v>
      </c>
      <c r="FW20" s="13" t="s">
        <v>806</v>
      </c>
      <c r="FX20" s="13" t="s">
        <v>806</v>
      </c>
      <c r="FY20" s="13" t="s">
        <v>806</v>
      </c>
      <c r="FZ20" s="13" t="s">
        <v>806</v>
      </c>
      <c r="GA20" s="13" t="s">
        <v>806</v>
      </c>
      <c r="GB20" s="13" t="s">
        <v>806</v>
      </c>
      <c r="GE20" s="13" t="s">
        <v>806</v>
      </c>
      <c r="GF20" s="13" t="s">
        <v>806</v>
      </c>
      <c r="GH20" s="13" t="s">
        <v>806</v>
      </c>
    </row>
    <row r="21" spans="1:190" ht="15" customHeight="1" x14ac:dyDescent="0.25">
      <c r="A21" s="1" t="s">
        <v>208</v>
      </c>
      <c r="B21" s="1" t="s">
        <v>651</v>
      </c>
      <c r="C21" s="1" t="s">
        <v>655</v>
      </c>
      <c r="D21" s="1" t="s">
        <v>671</v>
      </c>
      <c r="E21" s="1" t="s">
        <v>127</v>
      </c>
      <c r="F21" s="1">
        <v>0</v>
      </c>
      <c r="G21" s="1">
        <v>2030</v>
      </c>
      <c r="H21" s="1">
        <v>1</v>
      </c>
      <c r="I21" s="1">
        <v>0</v>
      </c>
      <c r="J21" s="1">
        <v>0</v>
      </c>
      <c r="K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15.3216</v>
      </c>
      <c r="L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31.160000000000007</v>
      </c>
      <c r="M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55.814399999999999</v>
      </c>
      <c r="N21" s="19">
        <v>28.667200000000001</v>
      </c>
      <c r="O21" s="19">
        <v>15.3216</v>
      </c>
      <c r="P21" s="19">
        <v>45.964799999999997</v>
      </c>
      <c r="Q21" s="19">
        <v>0</v>
      </c>
      <c r="R21" s="19">
        <v>0</v>
      </c>
      <c r="S21" s="19">
        <v>0</v>
      </c>
      <c r="T21" s="19">
        <v>28.667200000000001</v>
      </c>
      <c r="U21" s="19">
        <v>15.3216</v>
      </c>
      <c r="V21" s="19">
        <v>45.964799999999997</v>
      </c>
      <c r="W21" s="19">
        <v>0</v>
      </c>
      <c r="X21" s="19">
        <v>0</v>
      </c>
      <c r="Y21" s="19">
        <v>0</v>
      </c>
      <c r="Z21" s="19">
        <v>36.145600000000002</v>
      </c>
      <c r="AA21" s="19">
        <v>20.428799999999999</v>
      </c>
      <c r="AB21" s="19">
        <v>55.814399999999999</v>
      </c>
      <c r="AC21" s="19">
        <v>0</v>
      </c>
      <c r="AD21" s="19">
        <v>0</v>
      </c>
      <c r="AE21" s="19">
        <v>0</v>
      </c>
      <c r="AF21" s="19">
        <v>28.667200000000001</v>
      </c>
      <c r="AG21" s="19">
        <v>15.3216</v>
      </c>
      <c r="AH21" s="19">
        <v>45.964799999999997</v>
      </c>
      <c r="AI21" s="19">
        <v>0</v>
      </c>
      <c r="AJ21" s="19">
        <v>0</v>
      </c>
      <c r="AK21" s="19">
        <v>0</v>
      </c>
      <c r="AL21" s="19">
        <v>28.667200000000001</v>
      </c>
      <c r="AM21" s="19">
        <v>15.3216</v>
      </c>
      <c r="AN21" s="19">
        <v>45.964799999999997</v>
      </c>
      <c r="AO21" s="19">
        <v>0</v>
      </c>
      <c r="AP21" s="19">
        <v>0</v>
      </c>
      <c r="AQ21" s="19">
        <v>0</v>
      </c>
      <c r="AR21" s="19">
        <v>36.145600000000002</v>
      </c>
      <c r="AS21" s="19">
        <v>20.428799999999999</v>
      </c>
      <c r="AT21" s="19">
        <v>55.814399999999999</v>
      </c>
      <c r="AU21" s="19">
        <v>0</v>
      </c>
      <c r="AV21" s="19">
        <v>0</v>
      </c>
      <c r="AW21" s="19">
        <v>0</v>
      </c>
      <c r="AX21" s="19">
        <v>28.667200000000001</v>
      </c>
      <c r="AY21" s="19">
        <v>15.3216</v>
      </c>
      <c r="AZ21" s="19">
        <v>45.964799999999997</v>
      </c>
      <c r="BA21" s="19">
        <v>0</v>
      </c>
      <c r="BB21" s="19">
        <v>0</v>
      </c>
      <c r="BC21" s="19">
        <v>0</v>
      </c>
      <c r="BD21" s="19">
        <v>28.667200000000001</v>
      </c>
      <c r="BE21" s="19">
        <v>15.3216</v>
      </c>
      <c r="BF21" s="19">
        <v>45.964799999999997</v>
      </c>
      <c r="BG21" s="19">
        <v>0</v>
      </c>
      <c r="BH21" s="19">
        <v>0</v>
      </c>
      <c r="BI21" s="19">
        <v>0</v>
      </c>
      <c r="BJ21" s="19">
        <v>36.145600000000002</v>
      </c>
      <c r="BK21" s="19">
        <v>20.428799999999999</v>
      </c>
      <c r="BL21" s="19">
        <v>55.814399999999999</v>
      </c>
      <c r="BM21" s="19">
        <v>0</v>
      </c>
      <c r="BN21" s="19">
        <v>0</v>
      </c>
      <c r="BO21" s="19">
        <v>0</v>
      </c>
      <c r="BP21" s="19"/>
      <c r="BQ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1" s="11">
        <f>Tabelle5897112140[[#This Row],[Mindestauslastung min]]*Tabelle5897112140[[#This Row],[installierte Leistung MW min]]</f>
        <v>0</v>
      </c>
      <c r="BU21" s="11">
        <f>Tabelle5897112140[[#This Row],[Mindestauslastung durch]]*Tabelle5897112140[[#This Row],[installierte Leistung MW durch]]</f>
        <v>0</v>
      </c>
      <c r="BV21" s="11">
        <f>Tabelle5897112140[[#This Row],[Mindestauslastung max]]*Tabelle5897112140[[#This Row],[installierte Leistung MW max]]</f>
        <v>0</v>
      </c>
      <c r="BW21" s="9">
        <v>0</v>
      </c>
      <c r="BX21" s="9">
        <v>0</v>
      </c>
      <c r="BY21" s="9">
        <v>0</v>
      </c>
      <c r="BZ21" s="9"/>
      <c r="CA21" s="9">
        <v>0.46</v>
      </c>
      <c r="CB21" s="9">
        <v>0.36</v>
      </c>
      <c r="CC21" s="9">
        <v>0.56000000000000005</v>
      </c>
      <c r="CD21" s="9">
        <v>0.46</v>
      </c>
      <c r="CE21" s="9">
        <v>0.36</v>
      </c>
      <c r="CF21" s="9">
        <v>0.56000000000000005</v>
      </c>
      <c r="CG21" s="9">
        <v>0.57999999999999996</v>
      </c>
      <c r="CH21" s="9">
        <v>0.48</v>
      </c>
      <c r="CI21" s="9">
        <v>0.68</v>
      </c>
      <c r="CJ21" s="9">
        <v>0.46</v>
      </c>
      <c r="CK21" s="9">
        <v>0.36</v>
      </c>
      <c r="CL21" s="9">
        <v>0.56000000000000005</v>
      </c>
      <c r="CM21" s="9">
        <v>0.46</v>
      </c>
      <c r="CN21" s="9">
        <v>0.36</v>
      </c>
      <c r="CO21" s="9">
        <v>0.56000000000000005</v>
      </c>
      <c r="CP21" s="9">
        <v>0.57999999999999996</v>
      </c>
      <c r="CQ21" s="9">
        <v>0.48</v>
      </c>
      <c r="CR21" s="9">
        <v>0.68</v>
      </c>
      <c r="CS21" s="9">
        <v>0.46</v>
      </c>
      <c r="CT21" s="9">
        <v>0.36</v>
      </c>
      <c r="CU21" s="9">
        <v>0.56000000000000005</v>
      </c>
      <c r="CV21" s="9">
        <v>0.46</v>
      </c>
      <c r="CW21" s="9">
        <v>0.36</v>
      </c>
      <c r="CX21" s="9">
        <v>0.56000000000000005</v>
      </c>
      <c r="CY21" s="9">
        <v>0.57999999999999996</v>
      </c>
      <c r="CZ21" s="9">
        <v>0.48</v>
      </c>
      <c r="DA21" s="9">
        <v>0.68</v>
      </c>
      <c r="DB21" s="9">
        <f>MIN(Tabelle5897112140[[#This Row],[Durchschnittsauslastung durch Sommer WTT]:[Durchschnittsauslastung max Winter SFN]])</f>
        <v>0.36</v>
      </c>
      <c r="DC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1" s="9">
        <f>MAX(Tabelle5897112140[[#This Row],[Durchschnittsauslastung durch Sommer WTT]:[Durchschnittsauslastung max Winter SFN]])</f>
        <v>0.68</v>
      </c>
      <c r="DE21" s="40">
        <f>Tabelle5897112140[[#This Row],[Durchschnittsauslastung min]]*Tabelle5897112140[[#This Row],[installierte Leistung MW min]]</f>
        <v>15.3216</v>
      </c>
      <c r="DF21" s="40">
        <f>Tabelle5897112140[[#This Row],[Durchschnittsauslastung durch]]*Tabelle5897112140[[#This Row],[installierte Leistung MW durch]]</f>
        <v>31.16</v>
      </c>
      <c r="DG21" s="40">
        <f>Tabelle5897112140[[#This Row],[Durchschnittsauslastung max]]*Tabelle5897112140[[#This Row],[installierte Leistung MW max]]</f>
        <v>55.814400000000006</v>
      </c>
      <c r="DH21" s="46">
        <f>Tabelle5897112140[[#This Row],[Maximalauslastung min]]*Tabelle5897112140[[#This Row],[installierte Leistung MW min]]</f>
        <v>0</v>
      </c>
      <c r="DI21" s="46">
        <f>Tabelle5897112140[[#This Row],[Maximalauslastung durch]]*Tabelle5897112140[[#This Row],[installierte Leistung MW durch]]</f>
        <v>0</v>
      </c>
      <c r="DJ21" s="19">
        <f>Tabelle5897112140[[#This Row],[Maximalauslastung max]]*Tabelle5897112140[[#This Row],[installierte Leistung MW durch]]</f>
        <v>0</v>
      </c>
      <c r="DK21" s="9">
        <v>0</v>
      </c>
      <c r="DL21" s="9">
        <v>0</v>
      </c>
      <c r="DM21" s="9">
        <v>0</v>
      </c>
      <c r="DN21" s="1">
        <v>62.32</v>
      </c>
      <c r="DO21" s="1">
        <v>42.56</v>
      </c>
      <c r="DP21" s="1">
        <v>82.08</v>
      </c>
      <c r="DQ21" s="19"/>
      <c r="DR21" s="19"/>
      <c r="DW21" s="1">
        <v>0.8</v>
      </c>
      <c r="DX21" s="1">
        <v>0.5</v>
      </c>
      <c r="DY21" s="1">
        <v>1.1000000000000001</v>
      </c>
      <c r="EL21" s="1">
        <v>365</v>
      </c>
      <c r="EM21" s="1">
        <v>292</v>
      </c>
      <c r="EN21" s="1">
        <v>438</v>
      </c>
      <c r="EO21" s="11"/>
      <c r="EP21" s="11"/>
      <c r="EQ21" s="11"/>
      <c r="ER21" s="1">
        <v>365</v>
      </c>
      <c r="ES21" s="1">
        <v>292</v>
      </c>
      <c r="ET21" s="1">
        <v>438</v>
      </c>
      <c r="EV21" s="19"/>
      <c r="EW21" s="19"/>
      <c r="EX21" s="19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O21" s="1">
        <v>67</v>
      </c>
      <c r="FP21" s="1">
        <v>67</v>
      </c>
      <c r="FQ21" s="1">
        <v>67</v>
      </c>
      <c r="FR21" s="13" t="s">
        <v>806</v>
      </c>
      <c r="FS21" s="13" t="s">
        <v>806</v>
      </c>
      <c r="FT21" s="13" t="s">
        <v>806</v>
      </c>
      <c r="FU21" s="13"/>
      <c r="FV21" s="13" t="s">
        <v>806</v>
      </c>
      <c r="FW21" s="13" t="s">
        <v>806</v>
      </c>
      <c r="FX21" s="13" t="s">
        <v>806</v>
      </c>
      <c r="FY21" s="13" t="s">
        <v>806</v>
      </c>
      <c r="FZ21" s="13" t="s">
        <v>806</v>
      </c>
      <c r="GA21" s="13" t="s">
        <v>806</v>
      </c>
      <c r="GB21" s="13" t="s">
        <v>806</v>
      </c>
      <c r="GE21" s="13" t="s">
        <v>806</v>
      </c>
      <c r="GF21" s="13" t="s">
        <v>806</v>
      </c>
      <c r="GH21" s="13" t="s">
        <v>806</v>
      </c>
    </row>
    <row r="22" spans="1:190" ht="15" customHeight="1" x14ac:dyDescent="0.25">
      <c r="A22" s="1" t="s">
        <v>208</v>
      </c>
      <c r="B22" s="1" t="s">
        <v>651</v>
      </c>
      <c r="C22" s="1" t="s">
        <v>655</v>
      </c>
      <c r="D22" s="1" t="s">
        <v>671</v>
      </c>
      <c r="E22" s="1" t="s">
        <v>127</v>
      </c>
      <c r="F22" s="1">
        <v>0</v>
      </c>
      <c r="G22" s="1">
        <v>2035</v>
      </c>
      <c r="H22" s="1">
        <v>1</v>
      </c>
      <c r="I22" s="1">
        <v>0</v>
      </c>
      <c r="J22" s="1">
        <v>0</v>
      </c>
      <c r="K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17.7408</v>
      </c>
      <c r="L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36.08</v>
      </c>
      <c r="M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64.627200000000002</v>
      </c>
      <c r="N22" s="19">
        <v>33.193599999999996</v>
      </c>
      <c r="O22" s="19">
        <v>17.7408</v>
      </c>
      <c r="P22" s="19">
        <v>53.2224</v>
      </c>
      <c r="Q22" s="19">
        <v>0</v>
      </c>
      <c r="R22" s="19">
        <v>0</v>
      </c>
      <c r="S22" s="19">
        <v>0</v>
      </c>
      <c r="T22" s="19">
        <v>33.193599999999996</v>
      </c>
      <c r="U22" s="19">
        <v>17.7408</v>
      </c>
      <c r="V22" s="19">
        <v>53.2224</v>
      </c>
      <c r="W22" s="19">
        <v>0</v>
      </c>
      <c r="X22" s="19">
        <v>0</v>
      </c>
      <c r="Y22" s="19">
        <v>0</v>
      </c>
      <c r="Z22" s="19">
        <v>41.852800000000002</v>
      </c>
      <c r="AA22" s="19">
        <v>23.654399999999999</v>
      </c>
      <c r="AB22" s="19">
        <v>64.627200000000002</v>
      </c>
      <c r="AC22" s="19">
        <v>0</v>
      </c>
      <c r="AD22" s="19">
        <v>0</v>
      </c>
      <c r="AE22" s="19">
        <v>0</v>
      </c>
      <c r="AF22" s="19">
        <v>33.193599999999996</v>
      </c>
      <c r="AG22" s="19">
        <v>17.7408</v>
      </c>
      <c r="AH22" s="19">
        <v>53.2224</v>
      </c>
      <c r="AI22" s="19">
        <v>0</v>
      </c>
      <c r="AJ22" s="19">
        <v>0</v>
      </c>
      <c r="AK22" s="19">
        <v>0</v>
      </c>
      <c r="AL22" s="19">
        <v>33.193599999999996</v>
      </c>
      <c r="AM22" s="19">
        <v>17.7408</v>
      </c>
      <c r="AN22" s="19">
        <v>53.2224</v>
      </c>
      <c r="AO22" s="19">
        <v>0</v>
      </c>
      <c r="AP22" s="19">
        <v>0</v>
      </c>
      <c r="AQ22" s="19">
        <v>0</v>
      </c>
      <c r="AR22" s="19">
        <v>41.852800000000002</v>
      </c>
      <c r="AS22" s="19">
        <v>23.654399999999999</v>
      </c>
      <c r="AT22" s="19">
        <v>64.627200000000002</v>
      </c>
      <c r="AU22" s="19">
        <v>0</v>
      </c>
      <c r="AV22" s="19">
        <v>0</v>
      </c>
      <c r="AW22" s="19">
        <v>0</v>
      </c>
      <c r="AX22" s="19">
        <v>33.193599999999996</v>
      </c>
      <c r="AY22" s="19">
        <v>17.7408</v>
      </c>
      <c r="AZ22" s="19">
        <v>53.2224</v>
      </c>
      <c r="BA22" s="19">
        <v>0</v>
      </c>
      <c r="BB22" s="19">
        <v>0</v>
      </c>
      <c r="BC22" s="19">
        <v>0</v>
      </c>
      <c r="BD22" s="19">
        <v>33.193599999999996</v>
      </c>
      <c r="BE22" s="19">
        <v>17.7408</v>
      </c>
      <c r="BF22" s="19">
        <v>53.2224</v>
      </c>
      <c r="BG22" s="19">
        <v>0</v>
      </c>
      <c r="BH22" s="19">
        <v>0</v>
      </c>
      <c r="BI22" s="19">
        <v>0</v>
      </c>
      <c r="BJ22" s="19">
        <v>41.852800000000002</v>
      </c>
      <c r="BK22" s="19">
        <v>23.654399999999999</v>
      </c>
      <c r="BL22" s="19">
        <v>64.627200000000002</v>
      </c>
      <c r="BM22" s="19">
        <v>0</v>
      </c>
      <c r="BN22" s="19">
        <v>0</v>
      </c>
      <c r="BO22" s="19">
        <v>0</v>
      </c>
      <c r="BP22" s="19"/>
      <c r="BQ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2" s="11">
        <f>Tabelle5897112140[[#This Row],[Mindestauslastung min]]*Tabelle5897112140[[#This Row],[installierte Leistung MW min]]</f>
        <v>0</v>
      </c>
      <c r="BU22" s="11">
        <f>Tabelle5897112140[[#This Row],[Mindestauslastung durch]]*Tabelle5897112140[[#This Row],[installierte Leistung MW durch]]</f>
        <v>0</v>
      </c>
      <c r="BV22" s="11">
        <f>Tabelle5897112140[[#This Row],[Mindestauslastung max]]*Tabelle5897112140[[#This Row],[installierte Leistung MW max]]</f>
        <v>0</v>
      </c>
      <c r="BW22" s="9">
        <v>0</v>
      </c>
      <c r="BX22" s="9">
        <v>0</v>
      </c>
      <c r="BY22" s="9">
        <v>0</v>
      </c>
      <c r="BZ22" s="9"/>
      <c r="CA22" s="9">
        <v>0.46</v>
      </c>
      <c r="CB22" s="9">
        <v>0.36</v>
      </c>
      <c r="CC22" s="9">
        <v>0.56000000000000005</v>
      </c>
      <c r="CD22" s="9">
        <v>0.46</v>
      </c>
      <c r="CE22" s="9">
        <v>0.36</v>
      </c>
      <c r="CF22" s="9">
        <v>0.56000000000000005</v>
      </c>
      <c r="CG22" s="9">
        <v>0.57999999999999996</v>
      </c>
      <c r="CH22" s="9">
        <v>0.48</v>
      </c>
      <c r="CI22" s="9">
        <v>0.68</v>
      </c>
      <c r="CJ22" s="9">
        <v>0.46</v>
      </c>
      <c r="CK22" s="9">
        <v>0.36</v>
      </c>
      <c r="CL22" s="9">
        <v>0.56000000000000005</v>
      </c>
      <c r="CM22" s="9">
        <v>0.46</v>
      </c>
      <c r="CN22" s="9">
        <v>0.36</v>
      </c>
      <c r="CO22" s="9">
        <v>0.56000000000000005</v>
      </c>
      <c r="CP22" s="9">
        <v>0.57999999999999996</v>
      </c>
      <c r="CQ22" s="9">
        <v>0.48</v>
      </c>
      <c r="CR22" s="9">
        <v>0.68</v>
      </c>
      <c r="CS22" s="9">
        <v>0.46</v>
      </c>
      <c r="CT22" s="9">
        <v>0.36</v>
      </c>
      <c r="CU22" s="9">
        <v>0.56000000000000005</v>
      </c>
      <c r="CV22" s="9">
        <v>0.46</v>
      </c>
      <c r="CW22" s="9">
        <v>0.36</v>
      </c>
      <c r="CX22" s="9">
        <v>0.56000000000000005</v>
      </c>
      <c r="CY22" s="9">
        <v>0.57999999999999996</v>
      </c>
      <c r="CZ22" s="9">
        <v>0.48</v>
      </c>
      <c r="DA22" s="9">
        <v>0.68</v>
      </c>
      <c r="DB22" s="9">
        <f>MIN(Tabelle5897112140[[#This Row],[Durchschnittsauslastung durch Sommer WTT]:[Durchschnittsauslastung max Winter SFN]])</f>
        <v>0.36</v>
      </c>
      <c r="DC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2" s="9">
        <f>MAX(Tabelle5897112140[[#This Row],[Durchschnittsauslastung durch Sommer WTT]:[Durchschnittsauslastung max Winter SFN]])</f>
        <v>0.68</v>
      </c>
      <c r="DE22" s="40">
        <f>Tabelle5897112140[[#This Row],[Durchschnittsauslastung min]]*Tabelle5897112140[[#This Row],[installierte Leistung MW min]]</f>
        <v>17.7408</v>
      </c>
      <c r="DF22" s="40">
        <f>Tabelle5897112140[[#This Row],[Durchschnittsauslastung durch]]*Tabelle5897112140[[#This Row],[installierte Leistung MW durch]]</f>
        <v>36.08</v>
      </c>
      <c r="DG22" s="40">
        <f>Tabelle5897112140[[#This Row],[Durchschnittsauslastung max]]*Tabelle5897112140[[#This Row],[installierte Leistung MW max]]</f>
        <v>64.627200000000002</v>
      </c>
      <c r="DH22" s="46">
        <f>Tabelle5897112140[[#This Row],[Maximalauslastung min]]*Tabelle5897112140[[#This Row],[installierte Leistung MW min]]</f>
        <v>0</v>
      </c>
      <c r="DI22" s="46">
        <f>Tabelle5897112140[[#This Row],[Maximalauslastung durch]]*Tabelle5897112140[[#This Row],[installierte Leistung MW durch]]</f>
        <v>0</v>
      </c>
      <c r="DJ22" s="19">
        <f>Tabelle5897112140[[#This Row],[Maximalauslastung max]]*Tabelle5897112140[[#This Row],[installierte Leistung MW durch]]</f>
        <v>0</v>
      </c>
      <c r="DK22" s="9">
        <v>0</v>
      </c>
      <c r="DL22" s="9">
        <v>0</v>
      </c>
      <c r="DM22" s="9">
        <v>0</v>
      </c>
      <c r="DN22" s="1">
        <v>72.16</v>
      </c>
      <c r="DO22" s="1">
        <v>49.28</v>
      </c>
      <c r="DP22" s="1">
        <v>95.04</v>
      </c>
      <c r="DQ22" s="19"/>
      <c r="DR22" s="19"/>
      <c r="DW22" s="1">
        <v>0.8</v>
      </c>
      <c r="DX22" s="1">
        <v>0.5</v>
      </c>
      <c r="DY22" s="1">
        <v>1.1000000000000001</v>
      </c>
      <c r="EL22" s="1">
        <v>365</v>
      </c>
      <c r="EM22" s="1">
        <v>292</v>
      </c>
      <c r="EN22" s="1">
        <v>438</v>
      </c>
      <c r="EO22" s="11"/>
      <c r="EP22" s="11"/>
      <c r="EQ22" s="11"/>
      <c r="ER22" s="1">
        <v>365</v>
      </c>
      <c r="ES22" s="1">
        <v>292</v>
      </c>
      <c r="ET22" s="1">
        <v>438</v>
      </c>
      <c r="EV22" s="19"/>
      <c r="EW22" s="19"/>
      <c r="EX22" s="19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O22" s="1">
        <v>67</v>
      </c>
      <c r="FP22" s="1">
        <v>67</v>
      </c>
      <c r="FQ22" s="1">
        <v>67</v>
      </c>
      <c r="FR22" s="13" t="s">
        <v>806</v>
      </c>
      <c r="FS22" s="13" t="s">
        <v>806</v>
      </c>
      <c r="FT22" s="13" t="s">
        <v>806</v>
      </c>
      <c r="FU22" s="13"/>
      <c r="FV22" s="13" t="s">
        <v>806</v>
      </c>
      <c r="FW22" s="13" t="s">
        <v>806</v>
      </c>
      <c r="FX22" s="13" t="s">
        <v>806</v>
      </c>
      <c r="FY22" s="13" t="s">
        <v>806</v>
      </c>
      <c r="FZ22" s="13" t="s">
        <v>806</v>
      </c>
      <c r="GA22" s="13" t="s">
        <v>806</v>
      </c>
      <c r="GB22" s="13" t="s">
        <v>806</v>
      </c>
      <c r="GE22" s="13" t="s">
        <v>806</v>
      </c>
      <c r="GF22" s="13" t="s">
        <v>806</v>
      </c>
      <c r="GH22" s="13" t="s">
        <v>806</v>
      </c>
    </row>
    <row r="23" spans="1:190" ht="15" customHeight="1" x14ac:dyDescent="0.25">
      <c r="A23" s="1" t="s">
        <v>208</v>
      </c>
      <c r="B23" s="1" t="s">
        <v>651</v>
      </c>
      <c r="C23" s="1" t="s">
        <v>655</v>
      </c>
      <c r="D23" s="1" t="s">
        <v>671</v>
      </c>
      <c r="E23" s="1" t="s">
        <v>127</v>
      </c>
      <c r="F23" s="1">
        <v>0</v>
      </c>
      <c r="G23" s="1">
        <v>2040</v>
      </c>
      <c r="H23" s="1">
        <v>1</v>
      </c>
      <c r="I23" s="1">
        <v>0</v>
      </c>
      <c r="J23" s="1">
        <v>0</v>
      </c>
      <c r="K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20.764800000000001</v>
      </c>
      <c r="L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42.230000000000004</v>
      </c>
      <c r="M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75.643199999999993</v>
      </c>
      <c r="N23" s="19">
        <v>38.851599999999998</v>
      </c>
      <c r="O23" s="19">
        <v>20.764800000000001</v>
      </c>
      <c r="P23" s="19">
        <v>62.294399999999996</v>
      </c>
      <c r="Q23" s="19">
        <v>0</v>
      </c>
      <c r="R23" s="19">
        <v>0</v>
      </c>
      <c r="S23" s="19">
        <v>0</v>
      </c>
      <c r="T23" s="19">
        <v>38.851599999999998</v>
      </c>
      <c r="U23" s="19">
        <v>20.764800000000001</v>
      </c>
      <c r="V23" s="19">
        <v>62.294399999999996</v>
      </c>
      <c r="W23" s="19">
        <v>0</v>
      </c>
      <c r="X23" s="19">
        <v>0</v>
      </c>
      <c r="Y23" s="19">
        <v>0</v>
      </c>
      <c r="Z23" s="19">
        <v>48.986800000000002</v>
      </c>
      <c r="AA23" s="19">
        <v>27.686399999999999</v>
      </c>
      <c r="AB23" s="19">
        <v>75.643199999999993</v>
      </c>
      <c r="AC23" s="19">
        <v>0</v>
      </c>
      <c r="AD23" s="19">
        <v>0</v>
      </c>
      <c r="AE23" s="19">
        <v>0</v>
      </c>
      <c r="AF23" s="19">
        <v>38.851599999999998</v>
      </c>
      <c r="AG23" s="19">
        <v>20.764800000000001</v>
      </c>
      <c r="AH23" s="19">
        <v>62.294399999999996</v>
      </c>
      <c r="AI23" s="19">
        <v>0</v>
      </c>
      <c r="AJ23" s="19">
        <v>0</v>
      </c>
      <c r="AK23" s="19">
        <v>0</v>
      </c>
      <c r="AL23" s="19">
        <v>38.851599999999998</v>
      </c>
      <c r="AM23" s="19">
        <v>20.764800000000001</v>
      </c>
      <c r="AN23" s="19">
        <v>62.294399999999996</v>
      </c>
      <c r="AO23" s="19">
        <v>0</v>
      </c>
      <c r="AP23" s="19">
        <v>0</v>
      </c>
      <c r="AQ23" s="19">
        <v>0</v>
      </c>
      <c r="AR23" s="19">
        <v>48.986800000000002</v>
      </c>
      <c r="AS23" s="19">
        <v>27.686399999999999</v>
      </c>
      <c r="AT23" s="19">
        <v>75.643199999999993</v>
      </c>
      <c r="AU23" s="19">
        <v>0</v>
      </c>
      <c r="AV23" s="19">
        <v>0</v>
      </c>
      <c r="AW23" s="19">
        <v>0</v>
      </c>
      <c r="AX23" s="19">
        <v>38.851599999999998</v>
      </c>
      <c r="AY23" s="19">
        <v>20.764800000000001</v>
      </c>
      <c r="AZ23" s="19">
        <v>62.294399999999996</v>
      </c>
      <c r="BA23" s="19">
        <v>0</v>
      </c>
      <c r="BB23" s="19">
        <v>0</v>
      </c>
      <c r="BC23" s="19">
        <v>0</v>
      </c>
      <c r="BD23" s="19">
        <v>38.851599999999998</v>
      </c>
      <c r="BE23" s="19">
        <v>20.764800000000001</v>
      </c>
      <c r="BF23" s="19">
        <v>62.294399999999996</v>
      </c>
      <c r="BG23" s="19">
        <v>0</v>
      </c>
      <c r="BH23" s="19">
        <v>0</v>
      </c>
      <c r="BI23" s="19">
        <v>0</v>
      </c>
      <c r="BJ23" s="19">
        <v>48.986800000000002</v>
      </c>
      <c r="BK23" s="19">
        <v>27.686399999999999</v>
      </c>
      <c r="BL23" s="19">
        <v>75.643199999999993</v>
      </c>
      <c r="BM23" s="19">
        <v>0</v>
      </c>
      <c r="BN23" s="19">
        <v>0</v>
      </c>
      <c r="BO23" s="19">
        <v>0</v>
      </c>
      <c r="BP23" s="19"/>
      <c r="BQ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3" s="11">
        <f>Tabelle5897112140[[#This Row],[Mindestauslastung min]]*Tabelle5897112140[[#This Row],[installierte Leistung MW min]]</f>
        <v>0</v>
      </c>
      <c r="BU23" s="11">
        <f>Tabelle5897112140[[#This Row],[Mindestauslastung durch]]*Tabelle5897112140[[#This Row],[installierte Leistung MW durch]]</f>
        <v>0</v>
      </c>
      <c r="BV23" s="11">
        <f>Tabelle5897112140[[#This Row],[Mindestauslastung max]]*Tabelle5897112140[[#This Row],[installierte Leistung MW max]]</f>
        <v>0</v>
      </c>
      <c r="BW23" s="9">
        <v>0</v>
      </c>
      <c r="BX23" s="9">
        <v>0</v>
      </c>
      <c r="BY23" s="9">
        <v>0</v>
      </c>
      <c r="BZ23" s="9"/>
      <c r="CA23" s="9">
        <v>0.46</v>
      </c>
      <c r="CB23" s="9">
        <v>0.36</v>
      </c>
      <c r="CC23" s="9">
        <v>0.56000000000000005</v>
      </c>
      <c r="CD23" s="9">
        <v>0.46</v>
      </c>
      <c r="CE23" s="9">
        <v>0.36</v>
      </c>
      <c r="CF23" s="9">
        <v>0.56000000000000005</v>
      </c>
      <c r="CG23" s="9">
        <v>0.57999999999999996</v>
      </c>
      <c r="CH23" s="9">
        <v>0.48</v>
      </c>
      <c r="CI23" s="9">
        <v>0.68</v>
      </c>
      <c r="CJ23" s="9">
        <v>0.46</v>
      </c>
      <c r="CK23" s="9">
        <v>0.36</v>
      </c>
      <c r="CL23" s="9">
        <v>0.56000000000000005</v>
      </c>
      <c r="CM23" s="9">
        <v>0.46</v>
      </c>
      <c r="CN23" s="9">
        <v>0.36</v>
      </c>
      <c r="CO23" s="9">
        <v>0.56000000000000005</v>
      </c>
      <c r="CP23" s="9">
        <v>0.57999999999999996</v>
      </c>
      <c r="CQ23" s="9">
        <v>0.48</v>
      </c>
      <c r="CR23" s="9">
        <v>0.68</v>
      </c>
      <c r="CS23" s="9">
        <v>0.46</v>
      </c>
      <c r="CT23" s="9">
        <v>0.36</v>
      </c>
      <c r="CU23" s="9">
        <v>0.56000000000000005</v>
      </c>
      <c r="CV23" s="9">
        <v>0.46</v>
      </c>
      <c r="CW23" s="9">
        <v>0.36</v>
      </c>
      <c r="CX23" s="9">
        <v>0.56000000000000005</v>
      </c>
      <c r="CY23" s="9">
        <v>0.57999999999999996</v>
      </c>
      <c r="CZ23" s="9">
        <v>0.48</v>
      </c>
      <c r="DA23" s="9">
        <v>0.68</v>
      </c>
      <c r="DB23" s="9">
        <f>MIN(Tabelle5897112140[[#This Row],[Durchschnittsauslastung durch Sommer WTT]:[Durchschnittsauslastung max Winter SFN]])</f>
        <v>0.36</v>
      </c>
      <c r="DC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3" s="9">
        <f>MAX(Tabelle5897112140[[#This Row],[Durchschnittsauslastung durch Sommer WTT]:[Durchschnittsauslastung max Winter SFN]])</f>
        <v>0.68</v>
      </c>
      <c r="DE23" s="40">
        <f>Tabelle5897112140[[#This Row],[Durchschnittsauslastung min]]*Tabelle5897112140[[#This Row],[installierte Leistung MW min]]</f>
        <v>20.764799999999997</v>
      </c>
      <c r="DF23" s="40">
        <f>Tabelle5897112140[[#This Row],[Durchschnittsauslastung durch]]*Tabelle5897112140[[#This Row],[installierte Leistung MW durch]]</f>
        <v>42.23</v>
      </c>
      <c r="DG23" s="40">
        <f>Tabelle5897112140[[#This Row],[Durchschnittsauslastung max]]*Tabelle5897112140[[#This Row],[installierte Leistung MW max]]</f>
        <v>75.643200000000007</v>
      </c>
      <c r="DH23" s="46">
        <f>Tabelle5897112140[[#This Row],[Maximalauslastung min]]*Tabelle5897112140[[#This Row],[installierte Leistung MW min]]</f>
        <v>0</v>
      </c>
      <c r="DI23" s="46">
        <f>Tabelle5897112140[[#This Row],[Maximalauslastung durch]]*Tabelle5897112140[[#This Row],[installierte Leistung MW durch]]</f>
        <v>0</v>
      </c>
      <c r="DJ23" s="19">
        <f>Tabelle5897112140[[#This Row],[Maximalauslastung max]]*Tabelle5897112140[[#This Row],[installierte Leistung MW durch]]</f>
        <v>0</v>
      </c>
      <c r="DK23" s="9">
        <v>0</v>
      </c>
      <c r="DL23" s="9">
        <v>0</v>
      </c>
      <c r="DM23" s="9">
        <v>0</v>
      </c>
      <c r="DN23" s="1">
        <v>84.46</v>
      </c>
      <c r="DO23" s="1">
        <v>57.68</v>
      </c>
      <c r="DP23" s="1">
        <v>111.24</v>
      </c>
      <c r="DQ23" s="19"/>
      <c r="DR23" s="19"/>
      <c r="DW23" s="1">
        <v>0.8</v>
      </c>
      <c r="DX23" s="1">
        <v>0.5</v>
      </c>
      <c r="DY23" s="1">
        <v>1.1000000000000001</v>
      </c>
      <c r="EL23" s="1">
        <v>365</v>
      </c>
      <c r="EM23" s="1">
        <v>292</v>
      </c>
      <c r="EN23" s="1">
        <v>438</v>
      </c>
      <c r="EO23" s="11"/>
      <c r="EP23" s="11"/>
      <c r="EQ23" s="11"/>
      <c r="ER23" s="1">
        <v>365</v>
      </c>
      <c r="ES23" s="1">
        <v>292</v>
      </c>
      <c r="ET23" s="1">
        <v>438</v>
      </c>
      <c r="EV23" s="19"/>
      <c r="EW23" s="19"/>
      <c r="EX23" s="19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O23" s="1">
        <v>67</v>
      </c>
      <c r="FP23" s="1">
        <v>67</v>
      </c>
      <c r="FQ23" s="1">
        <v>67</v>
      </c>
      <c r="FR23" s="13" t="s">
        <v>806</v>
      </c>
      <c r="FS23" s="13" t="s">
        <v>806</v>
      </c>
      <c r="FT23" s="13" t="s">
        <v>806</v>
      </c>
      <c r="FU23" s="13"/>
      <c r="FV23" s="13" t="s">
        <v>806</v>
      </c>
      <c r="FW23" s="13" t="s">
        <v>806</v>
      </c>
      <c r="FX23" s="13" t="s">
        <v>806</v>
      </c>
      <c r="FY23" s="13" t="s">
        <v>806</v>
      </c>
      <c r="FZ23" s="13" t="s">
        <v>806</v>
      </c>
      <c r="GA23" s="13" t="s">
        <v>806</v>
      </c>
      <c r="GB23" s="13" t="s">
        <v>806</v>
      </c>
      <c r="GE23" s="13" t="s">
        <v>806</v>
      </c>
      <c r="GF23" s="13" t="s">
        <v>806</v>
      </c>
      <c r="GH23" s="13" t="s">
        <v>806</v>
      </c>
    </row>
    <row r="24" spans="1:190" ht="15" customHeight="1" x14ac:dyDescent="0.25">
      <c r="A24" s="1" t="s">
        <v>208</v>
      </c>
      <c r="B24" s="1" t="s">
        <v>651</v>
      </c>
      <c r="C24" s="1" t="s">
        <v>655</v>
      </c>
      <c r="D24" s="1" t="s">
        <v>671</v>
      </c>
      <c r="E24" s="1" t="s">
        <v>127</v>
      </c>
      <c r="F24" s="1">
        <v>0</v>
      </c>
      <c r="G24" s="1">
        <v>2045</v>
      </c>
      <c r="H24" s="1">
        <v>1</v>
      </c>
      <c r="I24" s="1">
        <v>0</v>
      </c>
      <c r="J24" s="1">
        <v>0</v>
      </c>
      <c r="K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24.292800000000003</v>
      </c>
      <c r="L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49.405000000000001</v>
      </c>
      <c r="M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88.495199999999997</v>
      </c>
      <c r="N24" s="19">
        <v>45.452600000000004</v>
      </c>
      <c r="O24" s="19">
        <v>24.292800000000003</v>
      </c>
      <c r="P24" s="19">
        <v>72.878399999999999</v>
      </c>
      <c r="Q24" s="19">
        <v>0</v>
      </c>
      <c r="R24" s="19">
        <v>0</v>
      </c>
      <c r="S24" s="19">
        <v>0</v>
      </c>
      <c r="T24" s="19">
        <v>45.452600000000004</v>
      </c>
      <c r="U24" s="19">
        <v>24.292800000000003</v>
      </c>
      <c r="V24" s="19">
        <v>72.878399999999999</v>
      </c>
      <c r="W24" s="19">
        <v>0</v>
      </c>
      <c r="X24" s="19">
        <v>0</v>
      </c>
      <c r="Y24" s="19">
        <v>0</v>
      </c>
      <c r="Z24" s="19">
        <v>57.309800000000003</v>
      </c>
      <c r="AA24" s="19">
        <v>32.3904</v>
      </c>
      <c r="AB24" s="19">
        <v>88.495199999999997</v>
      </c>
      <c r="AC24" s="19">
        <v>0</v>
      </c>
      <c r="AD24" s="19">
        <v>0</v>
      </c>
      <c r="AE24" s="19">
        <v>0</v>
      </c>
      <c r="AF24" s="19">
        <v>45.452600000000004</v>
      </c>
      <c r="AG24" s="19">
        <v>24.292800000000003</v>
      </c>
      <c r="AH24" s="19">
        <v>72.878399999999999</v>
      </c>
      <c r="AI24" s="19">
        <v>0</v>
      </c>
      <c r="AJ24" s="19">
        <v>0</v>
      </c>
      <c r="AK24" s="19">
        <v>0</v>
      </c>
      <c r="AL24" s="19">
        <v>45.452600000000004</v>
      </c>
      <c r="AM24" s="19">
        <v>24.292800000000003</v>
      </c>
      <c r="AN24" s="19">
        <v>72.878399999999999</v>
      </c>
      <c r="AO24" s="19">
        <v>0</v>
      </c>
      <c r="AP24" s="19">
        <v>0</v>
      </c>
      <c r="AQ24" s="19">
        <v>0</v>
      </c>
      <c r="AR24" s="19">
        <v>57.309800000000003</v>
      </c>
      <c r="AS24" s="19">
        <v>32.3904</v>
      </c>
      <c r="AT24" s="19">
        <v>88.495199999999997</v>
      </c>
      <c r="AU24" s="19">
        <v>0</v>
      </c>
      <c r="AV24" s="19">
        <v>0</v>
      </c>
      <c r="AW24" s="19">
        <v>0</v>
      </c>
      <c r="AX24" s="19">
        <v>45.452600000000004</v>
      </c>
      <c r="AY24" s="19">
        <v>24.292800000000003</v>
      </c>
      <c r="AZ24" s="19">
        <v>72.878399999999999</v>
      </c>
      <c r="BA24" s="19">
        <v>0</v>
      </c>
      <c r="BB24" s="19">
        <v>0</v>
      </c>
      <c r="BC24" s="19">
        <v>0</v>
      </c>
      <c r="BD24" s="19">
        <v>45.452600000000004</v>
      </c>
      <c r="BE24" s="19">
        <v>24.292800000000003</v>
      </c>
      <c r="BF24" s="19">
        <v>72.878399999999999</v>
      </c>
      <c r="BG24" s="19">
        <v>0</v>
      </c>
      <c r="BH24" s="19">
        <v>0</v>
      </c>
      <c r="BI24" s="19">
        <v>0</v>
      </c>
      <c r="BJ24" s="19">
        <v>57.309800000000003</v>
      </c>
      <c r="BK24" s="19">
        <v>32.3904</v>
      </c>
      <c r="BL24" s="19">
        <v>88.495199999999997</v>
      </c>
      <c r="BM24" s="19">
        <v>0</v>
      </c>
      <c r="BN24" s="19">
        <v>0</v>
      </c>
      <c r="BO24" s="19">
        <v>0</v>
      </c>
      <c r="BP24" s="19"/>
      <c r="BQ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4" s="11">
        <f>Tabelle5897112140[[#This Row],[Mindestauslastung min]]*Tabelle5897112140[[#This Row],[installierte Leistung MW min]]</f>
        <v>0</v>
      </c>
      <c r="BU24" s="11">
        <f>Tabelle5897112140[[#This Row],[Mindestauslastung durch]]*Tabelle5897112140[[#This Row],[installierte Leistung MW durch]]</f>
        <v>0</v>
      </c>
      <c r="BV24" s="11">
        <f>Tabelle5897112140[[#This Row],[Mindestauslastung max]]*Tabelle5897112140[[#This Row],[installierte Leistung MW max]]</f>
        <v>0</v>
      </c>
      <c r="BW24" s="9">
        <v>0</v>
      </c>
      <c r="BX24" s="9">
        <v>0</v>
      </c>
      <c r="BY24" s="9">
        <v>0</v>
      </c>
      <c r="BZ24" s="9"/>
      <c r="CA24" s="9">
        <v>0.46</v>
      </c>
      <c r="CB24" s="9">
        <v>0.36</v>
      </c>
      <c r="CC24" s="9">
        <v>0.56000000000000005</v>
      </c>
      <c r="CD24" s="9">
        <v>0.46</v>
      </c>
      <c r="CE24" s="9">
        <v>0.36</v>
      </c>
      <c r="CF24" s="9">
        <v>0.56000000000000005</v>
      </c>
      <c r="CG24" s="9">
        <v>0.57999999999999996</v>
      </c>
      <c r="CH24" s="9">
        <v>0.48</v>
      </c>
      <c r="CI24" s="9">
        <v>0.68</v>
      </c>
      <c r="CJ24" s="9">
        <v>0.46</v>
      </c>
      <c r="CK24" s="9">
        <v>0.36</v>
      </c>
      <c r="CL24" s="9">
        <v>0.56000000000000005</v>
      </c>
      <c r="CM24" s="9">
        <v>0.46</v>
      </c>
      <c r="CN24" s="9">
        <v>0.36</v>
      </c>
      <c r="CO24" s="9">
        <v>0.56000000000000005</v>
      </c>
      <c r="CP24" s="9">
        <v>0.57999999999999996</v>
      </c>
      <c r="CQ24" s="9">
        <v>0.48</v>
      </c>
      <c r="CR24" s="9">
        <v>0.68</v>
      </c>
      <c r="CS24" s="9">
        <v>0.46</v>
      </c>
      <c r="CT24" s="9">
        <v>0.36</v>
      </c>
      <c r="CU24" s="9">
        <v>0.56000000000000005</v>
      </c>
      <c r="CV24" s="9">
        <v>0.46</v>
      </c>
      <c r="CW24" s="9">
        <v>0.36</v>
      </c>
      <c r="CX24" s="9">
        <v>0.56000000000000005</v>
      </c>
      <c r="CY24" s="9">
        <v>0.57999999999999996</v>
      </c>
      <c r="CZ24" s="9">
        <v>0.48</v>
      </c>
      <c r="DA24" s="9">
        <v>0.68</v>
      </c>
      <c r="DB24" s="9">
        <f>MIN(Tabelle5897112140[[#This Row],[Durchschnittsauslastung durch Sommer WTT]:[Durchschnittsauslastung max Winter SFN]])</f>
        <v>0.36</v>
      </c>
      <c r="DC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4" s="9">
        <f>MAX(Tabelle5897112140[[#This Row],[Durchschnittsauslastung durch Sommer WTT]:[Durchschnittsauslastung max Winter SFN]])</f>
        <v>0.68</v>
      </c>
      <c r="DE24" s="40">
        <f>Tabelle5897112140[[#This Row],[Durchschnittsauslastung min]]*Tabelle5897112140[[#This Row],[installierte Leistung MW min]]</f>
        <v>24.2928</v>
      </c>
      <c r="DF24" s="40">
        <f>Tabelle5897112140[[#This Row],[Durchschnittsauslastung durch]]*Tabelle5897112140[[#This Row],[installierte Leistung MW durch]]</f>
        <v>49.405000000000001</v>
      </c>
      <c r="DG24" s="40">
        <f>Tabelle5897112140[[#This Row],[Durchschnittsauslastung max]]*Tabelle5897112140[[#This Row],[installierte Leistung MW max]]</f>
        <v>88.495199999999997</v>
      </c>
      <c r="DH24" s="46">
        <f>Tabelle5897112140[[#This Row],[Maximalauslastung min]]*Tabelle5897112140[[#This Row],[installierte Leistung MW min]]</f>
        <v>0</v>
      </c>
      <c r="DI24" s="46">
        <f>Tabelle5897112140[[#This Row],[Maximalauslastung durch]]*Tabelle5897112140[[#This Row],[installierte Leistung MW durch]]</f>
        <v>0</v>
      </c>
      <c r="DJ24" s="19">
        <f>Tabelle5897112140[[#This Row],[Maximalauslastung max]]*Tabelle5897112140[[#This Row],[installierte Leistung MW durch]]</f>
        <v>0</v>
      </c>
      <c r="DK24" s="9">
        <v>0</v>
      </c>
      <c r="DL24" s="9">
        <v>0</v>
      </c>
      <c r="DM24" s="9">
        <v>0</v>
      </c>
      <c r="DN24" s="1">
        <v>98.81</v>
      </c>
      <c r="DO24" s="1">
        <v>67.48</v>
      </c>
      <c r="DP24" s="1">
        <v>130.13999999999999</v>
      </c>
      <c r="DQ24" s="19"/>
      <c r="DR24" s="19"/>
      <c r="DW24" s="1">
        <v>0.8</v>
      </c>
      <c r="DX24" s="1">
        <v>0.5</v>
      </c>
      <c r="DY24" s="1">
        <v>1.1000000000000001</v>
      </c>
      <c r="EL24" s="1">
        <v>365</v>
      </c>
      <c r="EM24" s="1">
        <v>292</v>
      </c>
      <c r="EN24" s="1">
        <v>438</v>
      </c>
      <c r="EO24" s="11"/>
      <c r="EP24" s="11"/>
      <c r="EQ24" s="11"/>
      <c r="ER24" s="1">
        <v>365</v>
      </c>
      <c r="ES24" s="1">
        <v>292</v>
      </c>
      <c r="ET24" s="1">
        <v>438</v>
      </c>
      <c r="EV24" s="19"/>
      <c r="EW24" s="19"/>
      <c r="EX24" s="19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O24" s="1">
        <v>67</v>
      </c>
      <c r="FP24" s="1">
        <v>67</v>
      </c>
      <c r="FQ24" s="1">
        <v>67</v>
      </c>
      <c r="FR24" s="13" t="s">
        <v>806</v>
      </c>
      <c r="FS24" s="13" t="s">
        <v>806</v>
      </c>
      <c r="FT24" s="13" t="s">
        <v>806</v>
      </c>
      <c r="FU24" s="13"/>
      <c r="FV24" s="13" t="s">
        <v>806</v>
      </c>
      <c r="FW24" s="13" t="s">
        <v>806</v>
      </c>
      <c r="FX24" s="13" t="s">
        <v>806</v>
      </c>
      <c r="FY24" s="13" t="s">
        <v>806</v>
      </c>
      <c r="FZ24" s="13" t="s">
        <v>806</v>
      </c>
      <c r="GA24" s="13" t="s">
        <v>806</v>
      </c>
      <c r="GB24" s="13" t="s">
        <v>806</v>
      </c>
      <c r="GE24" s="13" t="s">
        <v>806</v>
      </c>
      <c r="GF24" s="13" t="s">
        <v>806</v>
      </c>
      <c r="GH24" s="13" t="s">
        <v>806</v>
      </c>
    </row>
    <row r="25" spans="1:190" ht="15" customHeight="1" x14ac:dyDescent="0.25">
      <c r="A25" s="1" t="s">
        <v>208</v>
      </c>
      <c r="B25" s="1" t="s">
        <v>651</v>
      </c>
      <c r="C25" s="1" t="s">
        <v>655</v>
      </c>
      <c r="D25" s="1" t="s">
        <v>671</v>
      </c>
      <c r="E25" s="1" t="s">
        <v>127</v>
      </c>
      <c r="F25" s="1">
        <v>0</v>
      </c>
      <c r="G25" s="1">
        <v>2050</v>
      </c>
      <c r="H25" s="1">
        <v>1</v>
      </c>
      <c r="I25" s="1">
        <v>0</v>
      </c>
      <c r="J25" s="1">
        <v>0</v>
      </c>
      <c r="K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28.627199999999998</v>
      </c>
      <c r="L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58.220000000000013</v>
      </c>
      <c r="M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104.28479999999999</v>
      </c>
      <c r="N25" s="19">
        <v>53.562399999999997</v>
      </c>
      <c r="O25" s="19">
        <v>28.627199999999998</v>
      </c>
      <c r="P25" s="19">
        <v>85.881599999999992</v>
      </c>
      <c r="Q25" s="19">
        <v>0</v>
      </c>
      <c r="R25" s="19">
        <v>0</v>
      </c>
      <c r="S25" s="19">
        <v>0</v>
      </c>
      <c r="T25" s="19">
        <v>53.562399999999997</v>
      </c>
      <c r="U25" s="19">
        <v>28.627199999999998</v>
      </c>
      <c r="V25" s="19">
        <v>85.881599999999992</v>
      </c>
      <c r="W25" s="19">
        <v>0</v>
      </c>
      <c r="X25" s="19">
        <v>0</v>
      </c>
      <c r="Y25" s="19">
        <v>0</v>
      </c>
      <c r="Z25" s="19">
        <v>67.535200000000003</v>
      </c>
      <c r="AA25" s="19">
        <v>38.169599999999996</v>
      </c>
      <c r="AB25" s="19">
        <v>104.28479999999999</v>
      </c>
      <c r="AC25" s="19">
        <v>0</v>
      </c>
      <c r="AD25" s="19">
        <v>0</v>
      </c>
      <c r="AE25" s="19">
        <v>0</v>
      </c>
      <c r="AF25" s="19">
        <v>53.562399999999997</v>
      </c>
      <c r="AG25" s="19">
        <v>28.627199999999998</v>
      </c>
      <c r="AH25" s="19">
        <v>85.881599999999992</v>
      </c>
      <c r="AI25" s="19">
        <v>0</v>
      </c>
      <c r="AJ25" s="19">
        <v>0</v>
      </c>
      <c r="AK25" s="19">
        <v>0</v>
      </c>
      <c r="AL25" s="19">
        <v>53.562399999999997</v>
      </c>
      <c r="AM25" s="19">
        <v>28.627199999999998</v>
      </c>
      <c r="AN25" s="19">
        <v>85.881599999999992</v>
      </c>
      <c r="AO25" s="19">
        <v>0</v>
      </c>
      <c r="AP25" s="19">
        <v>0</v>
      </c>
      <c r="AQ25" s="19">
        <v>0</v>
      </c>
      <c r="AR25" s="19">
        <v>67.535200000000003</v>
      </c>
      <c r="AS25" s="19">
        <v>38.169599999999996</v>
      </c>
      <c r="AT25" s="19">
        <v>104.28479999999999</v>
      </c>
      <c r="AU25" s="19">
        <v>0</v>
      </c>
      <c r="AV25" s="19">
        <v>0</v>
      </c>
      <c r="AW25" s="19">
        <v>0</v>
      </c>
      <c r="AX25" s="19">
        <v>53.562399999999997</v>
      </c>
      <c r="AY25" s="19">
        <v>28.627199999999998</v>
      </c>
      <c r="AZ25" s="19">
        <v>85.881599999999992</v>
      </c>
      <c r="BA25" s="19">
        <v>0</v>
      </c>
      <c r="BB25" s="19">
        <v>0</v>
      </c>
      <c r="BC25" s="19">
        <v>0</v>
      </c>
      <c r="BD25" s="19">
        <v>53.562399999999997</v>
      </c>
      <c r="BE25" s="19">
        <v>28.627199999999998</v>
      </c>
      <c r="BF25" s="19">
        <v>85.881599999999992</v>
      </c>
      <c r="BG25" s="19">
        <v>0</v>
      </c>
      <c r="BH25" s="19">
        <v>0</v>
      </c>
      <c r="BI25" s="19">
        <v>0</v>
      </c>
      <c r="BJ25" s="19">
        <v>67.535200000000003</v>
      </c>
      <c r="BK25" s="19">
        <v>38.169599999999996</v>
      </c>
      <c r="BL25" s="19">
        <v>104.28479999999999</v>
      </c>
      <c r="BM25" s="19">
        <v>0</v>
      </c>
      <c r="BN25" s="19">
        <v>0</v>
      </c>
      <c r="BO25" s="19">
        <v>0</v>
      </c>
      <c r="BP25" s="19"/>
      <c r="BQ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5" s="11">
        <f>Tabelle5897112140[[#This Row],[Mindestauslastung min]]*Tabelle5897112140[[#This Row],[installierte Leistung MW min]]</f>
        <v>0</v>
      </c>
      <c r="BU25" s="11">
        <f>Tabelle5897112140[[#This Row],[Mindestauslastung durch]]*Tabelle5897112140[[#This Row],[installierte Leistung MW durch]]</f>
        <v>0</v>
      </c>
      <c r="BV25" s="11">
        <f>Tabelle5897112140[[#This Row],[Mindestauslastung max]]*Tabelle5897112140[[#This Row],[installierte Leistung MW max]]</f>
        <v>0</v>
      </c>
      <c r="BW25" s="9">
        <v>0</v>
      </c>
      <c r="BX25" s="9">
        <v>0</v>
      </c>
      <c r="BY25" s="9">
        <v>0</v>
      </c>
      <c r="BZ25" s="9"/>
      <c r="CA25" s="9">
        <v>0.46</v>
      </c>
      <c r="CB25" s="9">
        <v>0.36</v>
      </c>
      <c r="CC25" s="9">
        <v>0.56000000000000005</v>
      </c>
      <c r="CD25" s="9">
        <v>0.46</v>
      </c>
      <c r="CE25" s="9">
        <v>0.36</v>
      </c>
      <c r="CF25" s="9">
        <v>0.56000000000000005</v>
      </c>
      <c r="CG25" s="9">
        <v>0.57999999999999996</v>
      </c>
      <c r="CH25" s="9">
        <v>0.48</v>
      </c>
      <c r="CI25" s="9">
        <v>0.68</v>
      </c>
      <c r="CJ25" s="9">
        <v>0.46</v>
      </c>
      <c r="CK25" s="9">
        <v>0.36</v>
      </c>
      <c r="CL25" s="9">
        <v>0.56000000000000005</v>
      </c>
      <c r="CM25" s="9">
        <v>0.46</v>
      </c>
      <c r="CN25" s="9">
        <v>0.36</v>
      </c>
      <c r="CO25" s="9">
        <v>0.56000000000000005</v>
      </c>
      <c r="CP25" s="9">
        <v>0.57999999999999996</v>
      </c>
      <c r="CQ25" s="9">
        <v>0.48</v>
      </c>
      <c r="CR25" s="9">
        <v>0.68</v>
      </c>
      <c r="CS25" s="9">
        <v>0.46</v>
      </c>
      <c r="CT25" s="9">
        <v>0.36</v>
      </c>
      <c r="CU25" s="9">
        <v>0.56000000000000005</v>
      </c>
      <c r="CV25" s="9">
        <v>0.46</v>
      </c>
      <c r="CW25" s="9">
        <v>0.36</v>
      </c>
      <c r="CX25" s="9">
        <v>0.56000000000000005</v>
      </c>
      <c r="CY25" s="9">
        <v>0.57999999999999996</v>
      </c>
      <c r="CZ25" s="9">
        <v>0.48</v>
      </c>
      <c r="DA25" s="9">
        <v>0.68</v>
      </c>
      <c r="DB25" s="9">
        <f>MIN(Tabelle5897112140[[#This Row],[Durchschnittsauslastung durch Sommer WTT]:[Durchschnittsauslastung max Winter SFN]])</f>
        <v>0.36</v>
      </c>
      <c r="DC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5" s="9">
        <f>MAX(Tabelle5897112140[[#This Row],[Durchschnittsauslastung durch Sommer WTT]:[Durchschnittsauslastung max Winter SFN]])</f>
        <v>0.68</v>
      </c>
      <c r="DE25" s="40">
        <f>Tabelle5897112140[[#This Row],[Durchschnittsauslastung min]]*Tabelle5897112140[[#This Row],[installierte Leistung MW min]]</f>
        <v>28.627199999999998</v>
      </c>
      <c r="DF25" s="40">
        <f>Tabelle5897112140[[#This Row],[Durchschnittsauslastung durch]]*Tabelle5897112140[[#This Row],[installierte Leistung MW durch]]</f>
        <v>58.22</v>
      </c>
      <c r="DG25" s="40">
        <f>Tabelle5897112140[[#This Row],[Durchschnittsauslastung max]]*Tabelle5897112140[[#This Row],[installierte Leistung MW max]]</f>
        <v>104.28480000000002</v>
      </c>
      <c r="DH25" s="46">
        <f>Tabelle5897112140[[#This Row],[Maximalauslastung min]]*Tabelle5897112140[[#This Row],[installierte Leistung MW min]]</f>
        <v>0</v>
      </c>
      <c r="DI25" s="46">
        <f>Tabelle5897112140[[#This Row],[Maximalauslastung durch]]*Tabelle5897112140[[#This Row],[installierte Leistung MW durch]]</f>
        <v>0</v>
      </c>
      <c r="DJ25" s="19">
        <f>Tabelle5897112140[[#This Row],[Maximalauslastung max]]*Tabelle5897112140[[#This Row],[installierte Leistung MW durch]]</f>
        <v>0</v>
      </c>
      <c r="DK25" s="9">
        <v>0</v>
      </c>
      <c r="DL25" s="9">
        <v>0</v>
      </c>
      <c r="DM25" s="9">
        <v>0</v>
      </c>
      <c r="DN25" s="1">
        <v>116.44</v>
      </c>
      <c r="DO25" s="1">
        <v>79.52</v>
      </c>
      <c r="DP25" s="1">
        <v>153.36000000000001</v>
      </c>
      <c r="DQ25" s="19"/>
      <c r="DR25" s="19"/>
      <c r="DW25" s="1">
        <v>0.8</v>
      </c>
      <c r="DX25" s="1">
        <v>0.5</v>
      </c>
      <c r="DY25" s="1">
        <v>1.1000000000000001</v>
      </c>
      <c r="EL25" s="1">
        <v>365</v>
      </c>
      <c r="EM25" s="1">
        <v>292</v>
      </c>
      <c r="EN25" s="1">
        <v>438</v>
      </c>
      <c r="EO25" s="11"/>
      <c r="EP25" s="11"/>
      <c r="EQ25" s="11"/>
      <c r="ER25" s="1">
        <v>365</v>
      </c>
      <c r="ES25" s="1">
        <v>292</v>
      </c>
      <c r="ET25" s="1">
        <v>438</v>
      </c>
      <c r="EV25" s="19"/>
      <c r="EW25" s="19"/>
      <c r="EX25" s="19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O25" s="1">
        <v>67</v>
      </c>
      <c r="FP25" s="1">
        <v>67</v>
      </c>
      <c r="FQ25" s="1">
        <v>67</v>
      </c>
      <c r="FR25" s="13" t="s">
        <v>806</v>
      </c>
      <c r="FS25" s="13" t="s">
        <v>806</v>
      </c>
      <c r="FT25" s="13" t="s">
        <v>806</v>
      </c>
      <c r="FU25" s="13"/>
      <c r="FV25" s="13" t="s">
        <v>806</v>
      </c>
      <c r="FW25" s="13" t="s">
        <v>806</v>
      </c>
      <c r="FX25" s="13" t="s">
        <v>806</v>
      </c>
      <c r="FY25" s="13" t="s">
        <v>806</v>
      </c>
      <c r="FZ25" s="13" t="s">
        <v>806</v>
      </c>
      <c r="GA25" s="13" t="s">
        <v>806</v>
      </c>
      <c r="GB25" s="13" t="s">
        <v>806</v>
      </c>
      <c r="GE25" s="13" t="s">
        <v>806</v>
      </c>
      <c r="GF25" s="13" t="s">
        <v>806</v>
      </c>
      <c r="GH25" s="13" t="s">
        <v>806</v>
      </c>
    </row>
    <row r="26" spans="1:190" ht="15" customHeight="1" x14ac:dyDescent="0.25">
      <c r="A26" s="1" t="s">
        <v>362</v>
      </c>
      <c r="B26" s="1" t="s">
        <v>650</v>
      </c>
      <c r="C26" s="1" t="s">
        <v>656</v>
      </c>
      <c r="D26" s="1" t="s">
        <v>672</v>
      </c>
      <c r="E26" s="1" t="s">
        <v>127</v>
      </c>
      <c r="F26" s="1">
        <v>0</v>
      </c>
      <c r="G26" s="1">
        <v>2015</v>
      </c>
      <c r="H26" s="1">
        <v>1</v>
      </c>
      <c r="I26" s="1">
        <v>0</v>
      </c>
      <c r="J26" s="1">
        <v>0</v>
      </c>
      <c r="K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56.366666666666667</v>
      </c>
      <c r="M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581.4</v>
      </c>
      <c r="N26" s="19">
        <v>418.3</v>
      </c>
      <c r="O26" s="19">
        <v>281.2</v>
      </c>
      <c r="P26" s="19">
        <v>581.4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213.6</v>
      </c>
      <c r="X26" s="19">
        <v>167.2</v>
      </c>
      <c r="Y26" s="19">
        <v>265.2</v>
      </c>
      <c r="Z26" s="19">
        <v>0</v>
      </c>
      <c r="AA26" s="19">
        <v>0</v>
      </c>
      <c r="AB26" s="19">
        <v>0</v>
      </c>
      <c r="AC26" s="19">
        <v>213.6</v>
      </c>
      <c r="AD26" s="19">
        <v>167.2</v>
      </c>
      <c r="AE26" s="19">
        <v>265.2</v>
      </c>
      <c r="AF26" s="19">
        <v>89</v>
      </c>
      <c r="AG26" s="19">
        <v>0</v>
      </c>
      <c r="AH26" s="19">
        <v>204</v>
      </c>
      <c r="AI26" s="19">
        <v>124.6</v>
      </c>
      <c r="AJ26" s="19">
        <v>15.2</v>
      </c>
      <c r="AK26" s="19">
        <v>265.2</v>
      </c>
      <c r="AL26" s="19">
        <v>0</v>
      </c>
      <c r="AM26" s="19">
        <v>0</v>
      </c>
      <c r="AN26" s="19">
        <v>0</v>
      </c>
      <c r="AO26" s="19">
        <v>213.6</v>
      </c>
      <c r="AP26" s="19">
        <v>167.2</v>
      </c>
      <c r="AQ26" s="19">
        <v>265.2</v>
      </c>
      <c r="AR26" s="19">
        <v>0</v>
      </c>
      <c r="AS26" s="19">
        <v>0</v>
      </c>
      <c r="AT26" s="19">
        <v>0</v>
      </c>
      <c r="AU26" s="19">
        <v>213.6</v>
      </c>
      <c r="AV26" s="19">
        <v>167.2</v>
      </c>
      <c r="AW26" s="19">
        <v>265.2</v>
      </c>
      <c r="AX26" s="19">
        <v>0</v>
      </c>
      <c r="AY26" s="19">
        <v>0</v>
      </c>
      <c r="AZ26" s="19">
        <v>0</v>
      </c>
      <c r="BA26" s="19">
        <v>213.6</v>
      </c>
      <c r="BB26" s="19">
        <v>167.2</v>
      </c>
      <c r="BC26" s="19">
        <v>265.2</v>
      </c>
      <c r="BD26" s="19">
        <v>0</v>
      </c>
      <c r="BE26" s="19">
        <v>0</v>
      </c>
      <c r="BF26" s="19">
        <v>0</v>
      </c>
      <c r="BG26" s="19">
        <v>213.6</v>
      </c>
      <c r="BH26" s="19">
        <v>167.2</v>
      </c>
      <c r="BI26" s="19">
        <v>265.2</v>
      </c>
      <c r="BJ26" s="19">
        <v>0</v>
      </c>
      <c r="BK26" s="19">
        <v>0</v>
      </c>
      <c r="BL26" s="19">
        <v>0</v>
      </c>
      <c r="BM26" s="19">
        <v>213.6</v>
      </c>
      <c r="BN26" s="19">
        <v>167.2</v>
      </c>
      <c r="BO26" s="19">
        <v>265.2</v>
      </c>
      <c r="BP26" s="19"/>
      <c r="BQ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179.97777777777776</v>
      </c>
      <c r="BS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265.2</v>
      </c>
      <c r="BT26" s="11">
        <f>Tabelle5897112140[[#This Row],[Mindestauslastung min]]*Tabelle5897112140[[#This Row],[installierte Leistung MW min]]</f>
        <v>0</v>
      </c>
      <c r="BU26" s="11">
        <f>Tabelle5897112140[[#This Row],[Mindestauslastung durch]]*Tabelle5897112140[[#This Row],[installierte Leistung MW durch]]</f>
        <v>0</v>
      </c>
      <c r="BV26" s="11">
        <f>Tabelle5897112140[[#This Row],[Mindestauslastung max]]*Tabelle5897112140[[#This Row],[installierte Leistung MW max]]</f>
        <v>0</v>
      </c>
      <c r="BW26" s="9">
        <v>0</v>
      </c>
      <c r="BX26" s="9">
        <v>0</v>
      </c>
      <c r="BY26" s="9">
        <v>0</v>
      </c>
      <c r="BZ26" s="9"/>
      <c r="CA26" s="9">
        <v>0.47</v>
      </c>
      <c r="CB26" s="9">
        <v>0.37</v>
      </c>
      <c r="CC26" s="9">
        <v>0.56999999999999995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0.1</v>
      </c>
      <c r="CK26" s="9">
        <v>0</v>
      </c>
      <c r="CL26" s="9">
        <v>0.2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f>MIN(Tabelle5897112140[[#This Row],[Durchschnittsauslastung durch Sommer WTT]:[Durchschnittsauslastung max Winter SFN]])</f>
        <v>0</v>
      </c>
      <c r="DC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6" s="9">
        <f>MAX(Tabelle5897112140[[#This Row],[Durchschnittsauslastung durch Sommer WTT]:[Durchschnittsauslastung max Winter SFN]])</f>
        <v>0.56999999999999995</v>
      </c>
      <c r="DE26" s="40">
        <f>Tabelle5897112140[[#This Row],[Durchschnittsauslastung min]]*Tabelle5897112140[[#This Row],[installierte Leistung MW min]]</f>
        <v>0</v>
      </c>
      <c r="DF26" s="40">
        <f>Tabelle5897112140[[#This Row],[Durchschnittsauslastung durch]]*Tabelle5897112140[[#This Row],[installierte Leistung MW durch]]</f>
        <v>56.36666666666666</v>
      </c>
      <c r="DG26" s="40">
        <f>Tabelle5897112140[[#This Row],[Durchschnittsauslastung max]]*Tabelle5897112140[[#This Row],[installierte Leistung MW max]]</f>
        <v>581.4</v>
      </c>
      <c r="DH26" s="46">
        <f>Tabelle5897112140[[#This Row],[Maximalauslastung min]]*Tabelle5897112140[[#This Row],[installierte Leistung MW min]]</f>
        <v>167.2</v>
      </c>
      <c r="DI26" s="46">
        <f>Tabelle5897112140[[#This Row],[Maximalauslastung durch]]*Tabelle5897112140[[#This Row],[installierte Leistung MW durch]]</f>
        <v>213.6</v>
      </c>
      <c r="DJ26" s="19">
        <f>Tabelle5897112140[[#This Row],[Maximalauslastung max]]*Tabelle5897112140[[#This Row],[installierte Leistung MW durch]]</f>
        <v>231.4</v>
      </c>
      <c r="DK26" s="9">
        <v>0.22</v>
      </c>
      <c r="DL26" s="9">
        <v>0.24</v>
      </c>
      <c r="DM26" s="9">
        <v>0.26</v>
      </c>
      <c r="DN26" s="1">
        <v>890</v>
      </c>
      <c r="DO26" s="1">
        <v>760</v>
      </c>
      <c r="DP26" s="1">
        <v>1020</v>
      </c>
      <c r="DQ26" s="19"/>
      <c r="DR26" s="19"/>
      <c r="DW26" s="1">
        <v>0.17</v>
      </c>
      <c r="DX26" s="1">
        <v>6.0000000000000012E-2</v>
      </c>
      <c r="DY26" s="1">
        <v>0.28000000000000003</v>
      </c>
      <c r="EL26" s="1">
        <v>365</v>
      </c>
      <c r="EM26" s="1">
        <v>292</v>
      </c>
      <c r="EN26" s="1">
        <v>438</v>
      </c>
      <c r="EO26" s="11"/>
      <c r="EP26" s="11"/>
      <c r="EQ26" s="11"/>
      <c r="ER26" s="1">
        <v>365</v>
      </c>
      <c r="ES26" s="1">
        <v>292</v>
      </c>
      <c r="ET26" s="1">
        <v>438</v>
      </c>
      <c r="EV26" s="19"/>
      <c r="EW26" s="19"/>
      <c r="EX26" s="19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O26" s="1">
        <v>67</v>
      </c>
      <c r="FP26" s="1">
        <v>67</v>
      </c>
      <c r="FQ26" s="1">
        <v>67</v>
      </c>
      <c r="FR26" s="13" t="s">
        <v>806</v>
      </c>
      <c r="FS26" s="13" t="s">
        <v>806</v>
      </c>
      <c r="FT26" s="13" t="s">
        <v>806</v>
      </c>
      <c r="FU26" s="13"/>
      <c r="FV26" s="13" t="s">
        <v>806</v>
      </c>
      <c r="FW26" s="13" t="s">
        <v>806</v>
      </c>
      <c r="FX26" s="13" t="s">
        <v>806</v>
      </c>
      <c r="FY26" s="13" t="s">
        <v>806</v>
      </c>
      <c r="FZ26" s="13" t="s">
        <v>806</v>
      </c>
      <c r="GA26" s="13" t="s">
        <v>806</v>
      </c>
      <c r="GB26" s="13" t="s">
        <v>806</v>
      </c>
      <c r="GE26" s="13" t="s">
        <v>806</v>
      </c>
      <c r="GF26" s="13" t="s">
        <v>806</v>
      </c>
      <c r="GH26" s="13" t="s">
        <v>806</v>
      </c>
    </row>
    <row r="27" spans="1:190" ht="15" customHeight="1" x14ac:dyDescent="0.25">
      <c r="A27" s="1" t="s">
        <v>362</v>
      </c>
      <c r="B27" s="1" t="s">
        <v>650</v>
      </c>
      <c r="C27" s="1" t="s">
        <v>656</v>
      </c>
      <c r="D27" s="1" t="s">
        <v>672</v>
      </c>
      <c r="E27" s="1" t="s">
        <v>127</v>
      </c>
      <c r="F27" s="1">
        <v>0</v>
      </c>
      <c r="G27" s="1">
        <v>2020</v>
      </c>
      <c r="H27" s="1">
        <v>1</v>
      </c>
      <c r="I27" s="1">
        <v>0</v>
      </c>
      <c r="J27" s="1">
        <v>0</v>
      </c>
      <c r="K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63.694333333333333</v>
      </c>
      <c r="M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656.98199999999986</v>
      </c>
      <c r="N27" s="19">
        <v>472.67899999999997</v>
      </c>
      <c r="O27" s="19">
        <v>317.75599999999997</v>
      </c>
      <c r="P27" s="19">
        <v>656.98199999999986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241.36799999999997</v>
      </c>
      <c r="X27" s="19">
        <v>188.93599999999998</v>
      </c>
      <c r="Y27" s="19">
        <v>299.67599999999993</v>
      </c>
      <c r="Z27" s="19">
        <v>0</v>
      </c>
      <c r="AA27" s="19">
        <v>0</v>
      </c>
      <c r="AB27" s="19">
        <v>0</v>
      </c>
      <c r="AC27" s="19">
        <v>241.36799999999997</v>
      </c>
      <c r="AD27" s="19">
        <v>188.93599999999998</v>
      </c>
      <c r="AE27" s="19">
        <v>299.67599999999993</v>
      </c>
      <c r="AF27" s="19">
        <v>100.57</v>
      </c>
      <c r="AG27" s="19">
        <v>0</v>
      </c>
      <c r="AH27" s="19">
        <v>230.51999999999998</v>
      </c>
      <c r="AI27" s="19">
        <v>140.79799999999997</v>
      </c>
      <c r="AJ27" s="19">
        <v>17.175999999999998</v>
      </c>
      <c r="AK27" s="19">
        <v>299.67599999999993</v>
      </c>
      <c r="AL27" s="19">
        <v>0</v>
      </c>
      <c r="AM27" s="19">
        <v>0</v>
      </c>
      <c r="AN27" s="19">
        <v>0</v>
      </c>
      <c r="AO27" s="19">
        <v>241.36799999999997</v>
      </c>
      <c r="AP27" s="19">
        <v>188.93599999999998</v>
      </c>
      <c r="AQ27" s="19">
        <v>299.67599999999993</v>
      </c>
      <c r="AR27" s="19">
        <v>0</v>
      </c>
      <c r="AS27" s="19">
        <v>0</v>
      </c>
      <c r="AT27" s="19">
        <v>0</v>
      </c>
      <c r="AU27" s="19">
        <v>241.36799999999997</v>
      </c>
      <c r="AV27" s="19">
        <v>188.93599999999998</v>
      </c>
      <c r="AW27" s="19">
        <v>299.67599999999993</v>
      </c>
      <c r="AX27" s="19">
        <v>0</v>
      </c>
      <c r="AY27" s="19">
        <v>0</v>
      </c>
      <c r="AZ27" s="19">
        <v>0</v>
      </c>
      <c r="BA27" s="19">
        <v>241.36799999999997</v>
      </c>
      <c r="BB27" s="19">
        <v>188.93599999999998</v>
      </c>
      <c r="BC27" s="19">
        <v>299.67599999999993</v>
      </c>
      <c r="BD27" s="19">
        <v>0</v>
      </c>
      <c r="BE27" s="19">
        <v>0</v>
      </c>
      <c r="BF27" s="19">
        <v>0</v>
      </c>
      <c r="BG27" s="19">
        <v>241.36799999999997</v>
      </c>
      <c r="BH27" s="19">
        <v>188.93599999999998</v>
      </c>
      <c r="BI27" s="19">
        <v>299.67599999999993</v>
      </c>
      <c r="BJ27" s="19">
        <v>0</v>
      </c>
      <c r="BK27" s="19">
        <v>0</v>
      </c>
      <c r="BL27" s="19">
        <v>0</v>
      </c>
      <c r="BM27" s="19">
        <v>241.36799999999997</v>
      </c>
      <c r="BN27" s="19">
        <v>188.93599999999998</v>
      </c>
      <c r="BO27" s="19">
        <v>299.67599999999993</v>
      </c>
      <c r="BP27" s="19"/>
      <c r="BQ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203.37488888888885</v>
      </c>
      <c r="BS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299.67599999999993</v>
      </c>
      <c r="BT27" s="11">
        <f>Tabelle5897112140[[#This Row],[Mindestauslastung min]]*Tabelle5897112140[[#This Row],[installierte Leistung MW min]]</f>
        <v>0</v>
      </c>
      <c r="BU27" s="11">
        <f>Tabelle5897112140[[#This Row],[Mindestauslastung durch]]*Tabelle5897112140[[#This Row],[installierte Leistung MW durch]]</f>
        <v>0</v>
      </c>
      <c r="BV27" s="11">
        <f>Tabelle5897112140[[#This Row],[Mindestauslastung max]]*Tabelle5897112140[[#This Row],[installierte Leistung MW max]]</f>
        <v>0</v>
      </c>
      <c r="BW27" s="9">
        <v>0</v>
      </c>
      <c r="BX27" s="9">
        <v>0</v>
      </c>
      <c r="BY27" s="9">
        <v>0</v>
      </c>
      <c r="BZ27" s="9"/>
      <c r="CA27" s="9">
        <v>0.47</v>
      </c>
      <c r="CB27" s="9">
        <v>0.37</v>
      </c>
      <c r="CC27" s="9">
        <v>0.56999999999999995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0.1</v>
      </c>
      <c r="CK27" s="9">
        <v>0</v>
      </c>
      <c r="CL27" s="9">
        <v>0.2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f>MIN(Tabelle5897112140[[#This Row],[Durchschnittsauslastung durch Sommer WTT]:[Durchschnittsauslastung max Winter SFN]])</f>
        <v>0</v>
      </c>
      <c r="DC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7" s="9">
        <f>MAX(Tabelle5897112140[[#This Row],[Durchschnittsauslastung durch Sommer WTT]:[Durchschnittsauslastung max Winter SFN]])</f>
        <v>0.56999999999999995</v>
      </c>
      <c r="DE27" s="40">
        <f>Tabelle5897112140[[#This Row],[Durchschnittsauslastung min]]*Tabelle5897112140[[#This Row],[installierte Leistung MW min]]</f>
        <v>0</v>
      </c>
      <c r="DF27" s="40">
        <f>Tabelle5897112140[[#This Row],[Durchschnittsauslastung durch]]*Tabelle5897112140[[#This Row],[installierte Leistung MW durch]]</f>
        <v>63.694333333333326</v>
      </c>
      <c r="DG27" s="40">
        <f>Tabelle5897112140[[#This Row],[Durchschnittsauslastung max]]*Tabelle5897112140[[#This Row],[installierte Leistung MW max]]</f>
        <v>656.98199999999986</v>
      </c>
      <c r="DH27" s="46">
        <f>Tabelle5897112140[[#This Row],[Maximalauslastung min]]*Tabelle5897112140[[#This Row],[installierte Leistung MW min]]</f>
        <v>188.93599999999998</v>
      </c>
      <c r="DI27" s="46">
        <f>Tabelle5897112140[[#This Row],[Maximalauslastung durch]]*Tabelle5897112140[[#This Row],[installierte Leistung MW durch]]</f>
        <v>241.36799999999999</v>
      </c>
      <c r="DJ27" s="19">
        <f>Tabelle5897112140[[#This Row],[Maximalauslastung max]]*Tabelle5897112140[[#This Row],[installierte Leistung MW durch]]</f>
        <v>261.48200000000003</v>
      </c>
      <c r="DK27" s="9">
        <v>0.22</v>
      </c>
      <c r="DL27" s="9">
        <v>0.24</v>
      </c>
      <c r="DM27" s="9">
        <v>0.26</v>
      </c>
      <c r="DN27" s="1">
        <v>1005.7</v>
      </c>
      <c r="DO27" s="1">
        <v>858.8</v>
      </c>
      <c r="DP27" s="1">
        <v>1152.5999999999999</v>
      </c>
      <c r="DQ27" s="19"/>
      <c r="DR27" s="19"/>
      <c r="DW27" s="1">
        <v>0.17</v>
      </c>
      <c r="DX27" s="1">
        <v>6.0000000000000012E-2</v>
      </c>
      <c r="DY27" s="1">
        <v>0.28000000000000003</v>
      </c>
      <c r="EL27" s="1">
        <v>365</v>
      </c>
      <c r="EM27" s="1">
        <v>292</v>
      </c>
      <c r="EN27" s="1">
        <v>438</v>
      </c>
      <c r="EO27" s="11"/>
      <c r="EP27" s="11"/>
      <c r="EQ27" s="11"/>
      <c r="ER27" s="1">
        <v>365</v>
      </c>
      <c r="ES27" s="1">
        <v>292</v>
      </c>
      <c r="ET27" s="1">
        <v>438</v>
      </c>
      <c r="EV27" s="19"/>
      <c r="EW27" s="19"/>
      <c r="EX27" s="19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O27" s="1">
        <v>67</v>
      </c>
      <c r="FP27" s="1">
        <v>67</v>
      </c>
      <c r="FQ27" s="1">
        <v>67</v>
      </c>
      <c r="FR27" s="13" t="s">
        <v>806</v>
      </c>
      <c r="FS27" s="13" t="s">
        <v>806</v>
      </c>
      <c r="FT27" s="13" t="s">
        <v>806</v>
      </c>
      <c r="FU27" s="13"/>
      <c r="FV27" s="13" t="s">
        <v>806</v>
      </c>
      <c r="FW27" s="13" t="s">
        <v>806</v>
      </c>
      <c r="FX27" s="13" t="s">
        <v>806</v>
      </c>
      <c r="FY27" s="13" t="s">
        <v>806</v>
      </c>
      <c r="FZ27" s="13" t="s">
        <v>806</v>
      </c>
      <c r="GA27" s="13" t="s">
        <v>806</v>
      </c>
      <c r="GB27" s="13" t="s">
        <v>806</v>
      </c>
      <c r="GE27" s="13" t="s">
        <v>806</v>
      </c>
      <c r="GF27" s="13" t="s">
        <v>806</v>
      </c>
      <c r="GH27" s="13" t="s">
        <v>806</v>
      </c>
    </row>
    <row r="28" spans="1:190" ht="15" customHeight="1" x14ac:dyDescent="0.25">
      <c r="A28" s="1" t="s">
        <v>362</v>
      </c>
      <c r="B28" s="1" t="s">
        <v>650</v>
      </c>
      <c r="C28" s="1" t="s">
        <v>656</v>
      </c>
      <c r="D28" s="1" t="s">
        <v>672</v>
      </c>
      <c r="E28" s="1" t="s">
        <v>127</v>
      </c>
      <c r="F28" s="1">
        <v>0</v>
      </c>
      <c r="G28" s="1">
        <v>2025</v>
      </c>
      <c r="H28" s="1">
        <v>1</v>
      </c>
      <c r="I28" s="1">
        <v>0</v>
      </c>
      <c r="J28" s="1">
        <v>0</v>
      </c>
      <c r="K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71.585666666666668</v>
      </c>
      <c r="M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738.37799999999993</v>
      </c>
      <c r="N28" s="19">
        <v>531.24099999999999</v>
      </c>
      <c r="O28" s="19">
        <v>357.12399999999997</v>
      </c>
      <c r="P28" s="19">
        <v>738.37799999999993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271.27199999999999</v>
      </c>
      <c r="X28" s="19">
        <v>212.34399999999999</v>
      </c>
      <c r="Y28" s="19">
        <v>336.80399999999997</v>
      </c>
      <c r="Z28" s="19">
        <v>0</v>
      </c>
      <c r="AA28" s="19">
        <v>0</v>
      </c>
      <c r="AB28" s="19">
        <v>0</v>
      </c>
      <c r="AC28" s="19">
        <v>271.27199999999999</v>
      </c>
      <c r="AD28" s="19">
        <v>212.34399999999999</v>
      </c>
      <c r="AE28" s="19">
        <v>336.80399999999997</v>
      </c>
      <c r="AF28" s="19">
        <v>113.03</v>
      </c>
      <c r="AG28" s="19">
        <v>0</v>
      </c>
      <c r="AH28" s="19">
        <v>259.08</v>
      </c>
      <c r="AI28" s="19">
        <v>158.24199999999999</v>
      </c>
      <c r="AJ28" s="19">
        <v>19.303999999999998</v>
      </c>
      <c r="AK28" s="19">
        <v>336.80399999999997</v>
      </c>
      <c r="AL28" s="19">
        <v>0</v>
      </c>
      <c r="AM28" s="19">
        <v>0</v>
      </c>
      <c r="AN28" s="19">
        <v>0</v>
      </c>
      <c r="AO28" s="19">
        <v>271.27199999999999</v>
      </c>
      <c r="AP28" s="19">
        <v>212.34399999999999</v>
      </c>
      <c r="AQ28" s="19">
        <v>336.80399999999997</v>
      </c>
      <c r="AR28" s="19">
        <v>0</v>
      </c>
      <c r="AS28" s="19">
        <v>0</v>
      </c>
      <c r="AT28" s="19">
        <v>0</v>
      </c>
      <c r="AU28" s="19">
        <v>271.27199999999999</v>
      </c>
      <c r="AV28" s="19">
        <v>212.34399999999999</v>
      </c>
      <c r="AW28" s="19">
        <v>336.80399999999997</v>
      </c>
      <c r="AX28" s="19">
        <v>0</v>
      </c>
      <c r="AY28" s="19">
        <v>0</v>
      </c>
      <c r="AZ28" s="19">
        <v>0</v>
      </c>
      <c r="BA28" s="19">
        <v>271.27199999999999</v>
      </c>
      <c r="BB28" s="19">
        <v>212.34399999999999</v>
      </c>
      <c r="BC28" s="19">
        <v>336.80399999999997</v>
      </c>
      <c r="BD28" s="19">
        <v>0</v>
      </c>
      <c r="BE28" s="19">
        <v>0</v>
      </c>
      <c r="BF28" s="19">
        <v>0</v>
      </c>
      <c r="BG28" s="19">
        <v>271.27199999999999</v>
      </c>
      <c r="BH28" s="19">
        <v>212.34399999999999</v>
      </c>
      <c r="BI28" s="19">
        <v>336.80399999999997</v>
      </c>
      <c r="BJ28" s="19">
        <v>0</v>
      </c>
      <c r="BK28" s="19">
        <v>0</v>
      </c>
      <c r="BL28" s="19">
        <v>0</v>
      </c>
      <c r="BM28" s="19">
        <v>271.27199999999999</v>
      </c>
      <c r="BN28" s="19">
        <v>212.34399999999999</v>
      </c>
      <c r="BO28" s="19">
        <v>336.80399999999997</v>
      </c>
      <c r="BP28" s="19"/>
      <c r="BQ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228.57177777777775</v>
      </c>
      <c r="BS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336.80399999999997</v>
      </c>
      <c r="BT28" s="11">
        <f>Tabelle5897112140[[#This Row],[Mindestauslastung min]]*Tabelle5897112140[[#This Row],[installierte Leistung MW min]]</f>
        <v>0</v>
      </c>
      <c r="BU28" s="11">
        <f>Tabelle5897112140[[#This Row],[Mindestauslastung durch]]*Tabelle5897112140[[#This Row],[installierte Leistung MW durch]]</f>
        <v>0</v>
      </c>
      <c r="BV28" s="11">
        <f>Tabelle5897112140[[#This Row],[Mindestauslastung max]]*Tabelle5897112140[[#This Row],[installierte Leistung MW max]]</f>
        <v>0</v>
      </c>
      <c r="BW28" s="9">
        <v>0</v>
      </c>
      <c r="BX28" s="9">
        <v>0</v>
      </c>
      <c r="BY28" s="9">
        <v>0</v>
      </c>
      <c r="BZ28" s="9"/>
      <c r="CA28" s="9">
        <v>0.47</v>
      </c>
      <c r="CB28" s="9">
        <v>0.37</v>
      </c>
      <c r="CC28" s="9">
        <v>0.56999999999999995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0.1</v>
      </c>
      <c r="CK28" s="9">
        <v>0</v>
      </c>
      <c r="CL28" s="9">
        <v>0.2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f>MIN(Tabelle5897112140[[#This Row],[Durchschnittsauslastung durch Sommer WTT]:[Durchschnittsauslastung max Winter SFN]])</f>
        <v>0</v>
      </c>
      <c r="DC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8" s="9">
        <f>MAX(Tabelle5897112140[[#This Row],[Durchschnittsauslastung durch Sommer WTT]:[Durchschnittsauslastung max Winter SFN]])</f>
        <v>0.56999999999999995</v>
      </c>
      <c r="DE28" s="40">
        <f>Tabelle5897112140[[#This Row],[Durchschnittsauslastung min]]*Tabelle5897112140[[#This Row],[installierte Leistung MW min]]</f>
        <v>0</v>
      </c>
      <c r="DF28" s="40">
        <f>Tabelle5897112140[[#This Row],[Durchschnittsauslastung durch]]*Tabelle5897112140[[#This Row],[installierte Leistung MW durch]]</f>
        <v>71.585666666666654</v>
      </c>
      <c r="DG28" s="40">
        <f>Tabelle5897112140[[#This Row],[Durchschnittsauslastung max]]*Tabelle5897112140[[#This Row],[installierte Leistung MW max]]</f>
        <v>738.37800000000004</v>
      </c>
      <c r="DH28" s="46">
        <f>Tabelle5897112140[[#This Row],[Maximalauslastung min]]*Tabelle5897112140[[#This Row],[installierte Leistung MW min]]</f>
        <v>212.34400000000002</v>
      </c>
      <c r="DI28" s="46">
        <f>Tabelle5897112140[[#This Row],[Maximalauslastung durch]]*Tabelle5897112140[[#This Row],[installierte Leistung MW durch]]</f>
        <v>271.27199999999999</v>
      </c>
      <c r="DJ28" s="19">
        <f>Tabelle5897112140[[#This Row],[Maximalauslastung max]]*Tabelle5897112140[[#This Row],[installierte Leistung MW durch]]</f>
        <v>293.87799999999999</v>
      </c>
      <c r="DK28" s="9">
        <v>0.22</v>
      </c>
      <c r="DL28" s="9">
        <v>0.24</v>
      </c>
      <c r="DM28" s="9">
        <v>0.26</v>
      </c>
      <c r="DN28" s="1">
        <v>1130.3</v>
      </c>
      <c r="DO28" s="1">
        <v>965.2</v>
      </c>
      <c r="DP28" s="1">
        <v>1295.4000000000001</v>
      </c>
      <c r="DQ28" s="19"/>
      <c r="DR28" s="19"/>
      <c r="DW28" s="1">
        <v>0.17</v>
      </c>
      <c r="DX28" s="1">
        <v>6.0000000000000012E-2</v>
      </c>
      <c r="DY28" s="1">
        <v>0.28000000000000003</v>
      </c>
      <c r="EL28" s="1">
        <v>365</v>
      </c>
      <c r="EM28" s="1">
        <v>292</v>
      </c>
      <c r="EN28" s="1">
        <v>438</v>
      </c>
      <c r="EO28" s="11"/>
      <c r="EP28" s="11"/>
      <c r="EQ28" s="11"/>
      <c r="ER28" s="1">
        <v>365</v>
      </c>
      <c r="ES28" s="1">
        <v>292</v>
      </c>
      <c r="ET28" s="1">
        <v>438</v>
      </c>
      <c r="EV28" s="19"/>
      <c r="EW28" s="19"/>
      <c r="EX28" s="19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O28" s="1">
        <v>67</v>
      </c>
      <c r="FP28" s="1">
        <v>67</v>
      </c>
      <c r="FQ28" s="1">
        <v>67</v>
      </c>
      <c r="FR28" s="13" t="s">
        <v>806</v>
      </c>
      <c r="FS28" s="13" t="s">
        <v>806</v>
      </c>
      <c r="FT28" s="13" t="s">
        <v>806</v>
      </c>
      <c r="FU28" s="13"/>
      <c r="FV28" s="13" t="s">
        <v>806</v>
      </c>
      <c r="FW28" s="13" t="s">
        <v>806</v>
      </c>
      <c r="FX28" s="13" t="s">
        <v>806</v>
      </c>
      <c r="FY28" s="13" t="s">
        <v>806</v>
      </c>
      <c r="FZ28" s="13" t="s">
        <v>806</v>
      </c>
      <c r="GA28" s="13" t="s">
        <v>806</v>
      </c>
      <c r="GB28" s="13" t="s">
        <v>806</v>
      </c>
      <c r="GE28" s="13" t="s">
        <v>806</v>
      </c>
      <c r="GF28" s="13" t="s">
        <v>806</v>
      </c>
      <c r="GH28" s="13" t="s">
        <v>806</v>
      </c>
    </row>
    <row r="29" spans="1:190" ht="15" customHeight="1" x14ac:dyDescent="0.25">
      <c r="A29" s="1" t="s">
        <v>362</v>
      </c>
      <c r="B29" s="1" t="s">
        <v>650</v>
      </c>
      <c r="C29" s="1" t="s">
        <v>656</v>
      </c>
      <c r="D29" s="1" t="s">
        <v>672</v>
      </c>
      <c r="E29" s="1" t="s">
        <v>127</v>
      </c>
      <c r="F29" s="1">
        <v>0</v>
      </c>
      <c r="G29" s="1">
        <v>2030</v>
      </c>
      <c r="H29" s="1">
        <v>1</v>
      </c>
      <c r="I29" s="1">
        <v>0</v>
      </c>
      <c r="J29" s="1">
        <v>0</v>
      </c>
      <c r="K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80.604333333333329</v>
      </c>
      <c r="M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831.40199999999993</v>
      </c>
      <c r="N29" s="19">
        <v>598.16899999999998</v>
      </c>
      <c r="O29" s="19">
        <v>402.11599999999999</v>
      </c>
      <c r="P29" s="19">
        <v>831.40199999999993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305.44799999999998</v>
      </c>
      <c r="X29" s="19">
        <v>239.09599999999998</v>
      </c>
      <c r="Y29" s="19">
        <v>379.23599999999999</v>
      </c>
      <c r="Z29" s="19">
        <v>0</v>
      </c>
      <c r="AA29" s="19">
        <v>0</v>
      </c>
      <c r="AB29" s="19">
        <v>0</v>
      </c>
      <c r="AC29" s="19">
        <v>305.44799999999998</v>
      </c>
      <c r="AD29" s="19">
        <v>239.09599999999998</v>
      </c>
      <c r="AE29" s="19">
        <v>379.23599999999999</v>
      </c>
      <c r="AF29" s="19">
        <v>127.27</v>
      </c>
      <c r="AG29" s="19">
        <v>0</v>
      </c>
      <c r="AH29" s="19">
        <v>291.71999999999997</v>
      </c>
      <c r="AI29" s="19">
        <v>178.178</v>
      </c>
      <c r="AJ29" s="19">
        <v>21.735999999999997</v>
      </c>
      <c r="AK29" s="19">
        <v>379.23599999999999</v>
      </c>
      <c r="AL29" s="19">
        <v>0</v>
      </c>
      <c r="AM29" s="19">
        <v>0</v>
      </c>
      <c r="AN29" s="19">
        <v>0</v>
      </c>
      <c r="AO29" s="19">
        <v>305.44799999999998</v>
      </c>
      <c r="AP29" s="19">
        <v>239.09599999999998</v>
      </c>
      <c r="AQ29" s="19">
        <v>379.23599999999999</v>
      </c>
      <c r="AR29" s="19">
        <v>0</v>
      </c>
      <c r="AS29" s="19">
        <v>0</v>
      </c>
      <c r="AT29" s="19">
        <v>0</v>
      </c>
      <c r="AU29" s="19">
        <v>305.44799999999998</v>
      </c>
      <c r="AV29" s="19">
        <v>239.09599999999998</v>
      </c>
      <c r="AW29" s="19">
        <v>379.23599999999999</v>
      </c>
      <c r="AX29" s="19">
        <v>0</v>
      </c>
      <c r="AY29" s="19">
        <v>0</v>
      </c>
      <c r="AZ29" s="19">
        <v>0</v>
      </c>
      <c r="BA29" s="19">
        <v>305.44799999999998</v>
      </c>
      <c r="BB29" s="19">
        <v>239.09599999999998</v>
      </c>
      <c r="BC29" s="19">
        <v>379.23599999999999</v>
      </c>
      <c r="BD29" s="19">
        <v>0</v>
      </c>
      <c r="BE29" s="19">
        <v>0</v>
      </c>
      <c r="BF29" s="19">
        <v>0</v>
      </c>
      <c r="BG29" s="19">
        <v>305.44799999999998</v>
      </c>
      <c r="BH29" s="19">
        <v>239.09599999999998</v>
      </c>
      <c r="BI29" s="19">
        <v>379.23599999999999</v>
      </c>
      <c r="BJ29" s="19">
        <v>0</v>
      </c>
      <c r="BK29" s="19">
        <v>0</v>
      </c>
      <c r="BL29" s="19">
        <v>0</v>
      </c>
      <c r="BM29" s="19">
        <v>305.44799999999998</v>
      </c>
      <c r="BN29" s="19">
        <v>239.09599999999998</v>
      </c>
      <c r="BO29" s="19">
        <v>379.23599999999999</v>
      </c>
      <c r="BP29" s="19"/>
      <c r="BQ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257.36822222222213</v>
      </c>
      <c r="BS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379.23599999999999</v>
      </c>
      <c r="BT29" s="11">
        <f>Tabelle5897112140[[#This Row],[Mindestauslastung min]]*Tabelle5897112140[[#This Row],[installierte Leistung MW min]]</f>
        <v>0</v>
      </c>
      <c r="BU29" s="11">
        <f>Tabelle5897112140[[#This Row],[Mindestauslastung durch]]*Tabelle5897112140[[#This Row],[installierte Leistung MW durch]]</f>
        <v>0</v>
      </c>
      <c r="BV29" s="11">
        <f>Tabelle5897112140[[#This Row],[Mindestauslastung max]]*Tabelle5897112140[[#This Row],[installierte Leistung MW max]]</f>
        <v>0</v>
      </c>
      <c r="BW29" s="9">
        <v>0</v>
      </c>
      <c r="BX29" s="9">
        <v>0</v>
      </c>
      <c r="BY29" s="9">
        <v>0</v>
      </c>
      <c r="BZ29" s="9"/>
      <c r="CA29" s="9">
        <v>0.47</v>
      </c>
      <c r="CB29" s="9">
        <v>0.37</v>
      </c>
      <c r="CC29" s="9">
        <v>0.56999999999999995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0.1</v>
      </c>
      <c r="CK29" s="9">
        <v>0</v>
      </c>
      <c r="CL29" s="9">
        <v>0.2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f>MIN(Tabelle5897112140[[#This Row],[Durchschnittsauslastung durch Sommer WTT]:[Durchschnittsauslastung max Winter SFN]])</f>
        <v>0</v>
      </c>
      <c r="DC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9" s="9">
        <f>MAX(Tabelle5897112140[[#This Row],[Durchschnittsauslastung durch Sommer WTT]:[Durchschnittsauslastung max Winter SFN]])</f>
        <v>0.56999999999999995</v>
      </c>
      <c r="DE29" s="40">
        <f>Tabelle5897112140[[#This Row],[Durchschnittsauslastung min]]*Tabelle5897112140[[#This Row],[installierte Leistung MW min]]</f>
        <v>0</v>
      </c>
      <c r="DF29" s="40">
        <f>Tabelle5897112140[[#This Row],[Durchschnittsauslastung durch]]*Tabelle5897112140[[#This Row],[installierte Leistung MW durch]]</f>
        <v>80.604333333333329</v>
      </c>
      <c r="DG29" s="40">
        <f>Tabelle5897112140[[#This Row],[Durchschnittsauslastung max]]*Tabelle5897112140[[#This Row],[installierte Leistung MW max]]</f>
        <v>831.40199999999993</v>
      </c>
      <c r="DH29" s="46">
        <f>Tabelle5897112140[[#This Row],[Maximalauslastung min]]*Tabelle5897112140[[#This Row],[installierte Leistung MW min]]</f>
        <v>239.096</v>
      </c>
      <c r="DI29" s="46">
        <f>Tabelle5897112140[[#This Row],[Maximalauslastung durch]]*Tabelle5897112140[[#This Row],[installierte Leistung MW durch]]</f>
        <v>305.44799999999998</v>
      </c>
      <c r="DJ29" s="19">
        <f>Tabelle5897112140[[#This Row],[Maximalauslastung max]]*Tabelle5897112140[[#This Row],[installierte Leistung MW durch]]</f>
        <v>330.90200000000004</v>
      </c>
      <c r="DK29" s="9">
        <v>0.22</v>
      </c>
      <c r="DL29" s="9">
        <v>0.24</v>
      </c>
      <c r="DM29" s="9">
        <v>0.26</v>
      </c>
      <c r="DN29" s="1">
        <v>1272.7</v>
      </c>
      <c r="DO29" s="1">
        <v>1086.8</v>
      </c>
      <c r="DP29" s="1">
        <v>1458.6</v>
      </c>
      <c r="DQ29" s="19"/>
      <c r="DR29" s="19"/>
      <c r="DW29" s="1">
        <v>0.17</v>
      </c>
      <c r="DX29" s="1">
        <v>6.0000000000000012E-2</v>
      </c>
      <c r="DY29" s="1">
        <v>0.28000000000000003</v>
      </c>
      <c r="EL29" s="1">
        <v>365</v>
      </c>
      <c r="EM29" s="1">
        <v>292</v>
      </c>
      <c r="EN29" s="1">
        <v>438</v>
      </c>
      <c r="EO29" s="11"/>
      <c r="EP29" s="11"/>
      <c r="EQ29" s="11"/>
      <c r="ER29" s="1">
        <v>365</v>
      </c>
      <c r="ES29" s="1">
        <v>292</v>
      </c>
      <c r="ET29" s="1">
        <v>438</v>
      </c>
      <c r="EV29" s="19"/>
      <c r="EW29" s="19"/>
      <c r="EX29" s="19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O29" s="1">
        <v>67</v>
      </c>
      <c r="FP29" s="1">
        <v>67</v>
      </c>
      <c r="FQ29" s="1">
        <v>67</v>
      </c>
      <c r="FR29" s="13" t="s">
        <v>806</v>
      </c>
      <c r="FS29" s="13" t="s">
        <v>806</v>
      </c>
      <c r="FT29" s="13" t="s">
        <v>806</v>
      </c>
      <c r="FU29" s="13"/>
      <c r="FV29" s="13" t="s">
        <v>806</v>
      </c>
      <c r="FW29" s="13" t="s">
        <v>806</v>
      </c>
      <c r="FX29" s="13" t="s">
        <v>806</v>
      </c>
      <c r="FY29" s="13" t="s">
        <v>806</v>
      </c>
      <c r="FZ29" s="13" t="s">
        <v>806</v>
      </c>
      <c r="GA29" s="13" t="s">
        <v>806</v>
      </c>
      <c r="GB29" s="13" t="s">
        <v>806</v>
      </c>
      <c r="GE29" s="13" t="s">
        <v>806</v>
      </c>
      <c r="GF29" s="13" t="s">
        <v>806</v>
      </c>
      <c r="GH29" s="13" t="s">
        <v>806</v>
      </c>
    </row>
    <row r="30" spans="1:190" ht="15" customHeight="1" x14ac:dyDescent="0.25">
      <c r="A30" s="1" t="s">
        <v>362</v>
      </c>
      <c r="B30" s="1" t="s">
        <v>650</v>
      </c>
      <c r="C30" s="1" t="s">
        <v>656</v>
      </c>
      <c r="D30" s="1" t="s">
        <v>672</v>
      </c>
      <c r="E30" s="1" t="s">
        <v>127</v>
      </c>
      <c r="F30" s="1">
        <v>0</v>
      </c>
      <c r="G30" s="1">
        <v>2035</v>
      </c>
      <c r="H30" s="1">
        <v>1</v>
      </c>
      <c r="I30" s="1">
        <v>0</v>
      </c>
      <c r="J30" s="1">
        <v>0</v>
      </c>
      <c r="K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90.750333333333344</v>
      </c>
      <c r="M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936.05399999999997</v>
      </c>
      <c r="N30" s="19">
        <v>673.46300000000008</v>
      </c>
      <c r="O30" s="19">
        <v>452.73200000000003</v>
      </c>
      <c r="P30" s="19">
        <v>936.05399999999997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343.89600000000002</v>
      </c>
      <c r="X30" s="19">
        <v>269.19200000000001</v>
      </c>
      <c r="Y30" s="19">
        <v>426.97199999999998</v>
      </c>
      <c r="Z30" s="19">
        <v>0</v>
      </c>
      <c r="AA30" s="19">
        <v>0</v>
      </c>
      <c r="AB30" s="19">
        <v>0</v>
      </c>
      <c r="AC30" s="19">
        <v>343.89600000000002</v>
      </c>
      <c r="AD30" s="19">
        <v>269.19200000000001</v>
      </c>
      <c r="AE30" s="19">
        <v>426.97199999999998</v>
      </c>
      <c r="AF30" s="19">
        <v>143.29000000000002</v>
      </c>
      <c r="AG30" s="19">
        <v>0</v>
      </c>
      <c r="AH30" s="19">
        <v>328.44</v>
      </c>
      <c r="AI30" s="19">
        <v>200.60599999999999</v>
      </c>
      <c r="AJ30" s="19">
        <v>24.472000000000001</v>
      </c>
      <c r="AK30" s="19">
        <v>426.97199999999998</v>
      </c>
      <c r="AL30" s="19">
        <v>0</v>
      </c>
      <c r="AM30" s="19">
        <v>0</v>
      </c>
      <c r="AN30" s="19">
        <v>0</v>
      </c>
      <c r="AO30" s="19">
        <v>343.89600000000002</v>
      </c>
      <c r="AP30" s="19">
        <v>269.19200000000001</v>
      </c>
      <c r="AQ30" s="19">
        <v>426.97199999999998</v>
      </c>
      <c r="AR30" s="19">
        <v>0</v>
      </c>
      <c r="AS30" s="19">
        <v>0</v>
      </c>
      <c r="AT30" s="19">
        <v>0</v>
      </c>
      <c r="AU30" s="19">
        <v>343.89600000000002</v>
      </c>
      <c r="AV30" s="19">
        <v>269.19200000000001</v>
      </c>
      <c r="AW30" s="19">
        <v>426.97199999999998</v>
      </c>
      <c r="AX30" s="19">
        <v>0</v>
      </c>
      <c r="AY30" s="19">
        <v>0</v>
      </c>
      <c r="AZ30" s="19">
        <v>0</v>
      </c>
      <c r="BA30" s="19">
        <v>343.89600000000002</v>
      </c>
      <c r="BB30" s="19">
        <v>269.19200000000001</v>
      </c>
      <c r="BC30" s="19">
        <v>426.97199999999998</v>
      </c>
      <c r="BD30" s="19">
        <v>0</v>
      </c>
      <c r="BE30" s="19">
        <v>0</v>
      </c>
      <c r="BF30" s="19">
        <v>0</v>
      </c>
      <c r="BG30" s="19">
        <v>343.89600000000002</v>
      </c>
      <c r="BH30" s="19">
        <v>269.19200000000001</v>
      </c>
      <c r="BI30" s="19">
        <v>426.97199999999998</v>
      </c>
      <c r="BJ30" s="19">
        <v>0</v>
      </c>
      <c r="BK30" s="19">
        <v>0</v>
      </c>
      <c r="BL30" s="19">
        <v>0</v>
      </c>
      <c r="BM30" s="19">
        <v>343.89600000000002</v>
      </c>
      <c r="BN30" s="19">
        <v>269.19200000000001</v>
      </c>
      <c r="BO30" s="19">
        <v>426.97199999999998</v>
      </c>
      <c r="BP30" s="19"/>
      <c r="BQ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289.76422222222226</v>
      </c>
      <c r="BS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426.97199999999998</v>
      </c>
      <c r="BT30" s="11">
        <f>Tabelle5897112140[[#This Row],[Mindestauslastung min]]*Tabelle5897112140[[#This Row],[installierte Leistung MW min]]</f>
        <v>0</v>
      </c>
      <c r="BU30" s="11">
        <f>Tabelle5897112140[[#This Row],[Mindestauslastung durch]]*Tabelle5897112140[[#This Row],[installierte Leistung MW durch]]</f>
        <v>0</v>
      </c>
      <c r="BV30" s="11">
        <f>Tabelle5897112140[[#This Row],[Mindestauslastung max]]*Tabelle5897112140[[#This Row],[installierte Leistung MW max]]</f>
        <v>0</v>
      </c>
      <c r="BW30" s="9">
        <v>0</v>
      </c>
      <c r="BX30" s="9">
        <v>0</v>
      </c>
      <c r="BY30" s="9">
        <v>0</v>
      </c>
      <c r="BZ30" s="9"/>
      <c r="CA30" s="9">
        <v>0.47</v>
      </c>
      <c r="CB30" s="9">
        <v>0.37</v>
      </c>
      <c r="CC30" s="9">
        <v>0.56999999999999995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0.1</v>
      </c>
      <c r="CK30" s="9">
        <v>0</v>
      </c>
      <c r="CL30" s="9">
        <v>0.2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f>MIN(Tabelle5897112140[[#This Row],[Durchschnittsauslastung durch Sommer WTT]:[Durchschnittsauslastung max Winter SFN]])</f>
        <v>0</v>
      </c>
      <c r="DC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0" s="9">
        <f>MAX(Tabelle5897112140[[#This Row],[Durchschnittsauslastung durch Sommer WTT]:[Durchschnittsauslastung max Winter SFN]])</f>
        <v>0.56999999999999995</v>
      </c>
      <c r="DE30" s="40">
        <f>Tabelle5897112140[[#This Row],[Durchschnittsauslastung min]]*Tabelle5897112140[[#This Row],[installierte Leistung MW min]]</f>
        <v>0</v>
      </c>
      <c r="DF30" s="40">
        <f>Tabelle5897112140[[#This Row],[Durchschnittsauslastung durch]]*Tabelle5897112140[[#This Row],[installierte Leistung MW durch]]</f>
        <v>90.75033333333333</v>
      </c>
      <c r="DG30" s="40">
        <f>Tabelle5897112140[[#This Row],[Durchschnittsauslastung max]]*Tabelle5897112140[[#This Row],[installierte Leistung MW max]]</f>
        <v>936.05399999999997</v>
      </c>
      <c r="DH30" s="46">
        <f>Tabelle5897112140[[#This Row],[Maximalauslastung min]]*Tabelle5897112140[[#This Row],[installierte Leistung MW min]]</f>
        <v>269.19200000000001</v>
      </c>
      <c r="DI30" s="46">
        <f>Tabelle5897112140[[#This Row],[Maximalauslastung durch]]*Tabelle5897112140[[#This Row],[installierte Leistung MW durch]]</f>
        <v>343.89600000000002</v>
      </c>
      <c r="DJ30" s="19">
        <f>Tabelle5897112140[[#This Row],[Maximalauslastung max]]*Tabelle5897112140[[#This Row],[installierte Leistung MW durch]]</f>
        <v>372.55400000000003</v>
      </c>
      <c r="DK30" s="9">
        <v>0.22</v>
      </c>
      <c r="DL30" s="9">
        <v>0.24</v>
      </c>
      <c r="DM30" s="9">
        <v>0.26</v>
      </c>
      <c r="DN30" s="1">
        <v>1432.9</v>
      </c>
      <c r="DO30" s="1">
        <v>1223.5999999999999</v>
      </c>
      <c r="DP30" s="1">
        <v>1642.2</v>
      </c>
      <c r="DQ30" s="19"/>
      <c r="DR30" s="19"/>
      <c r="DW30" s="1">
        <v>0.17</v>
      </c>
      <c r="DX30" s="1">
        <v>6.0000000000000012E-2</v>
      </c>
      <c r="DY30" s="1">
        <v>0.28000000000000003</v>
      </c>
      <c r="EL30" s="1">
        <v>365</v>
      </c>
      <c r="EM30" s="1">
        <v>292</v>
      </c>
      <c r="EN30" s="1">
        <v>438</v>
      </c>
      <c r="EO30" s="11"/>
      <c r="EP30" s="11"/>
      <c r="EQ30" s="11"/>
      <c r="ER30" s="1">
        <v>365</v>
      </c>
      <c r="ES30" s="1">
        <v>292</v>
      </c>
      <c r="ET30" s="1">
        <v>438</v>
      </c>
      <c r="EV30" s="19"/>
      <c r="EW30" s="19"/>
      <c r="EX30" s="19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O30" s="1">
        <v>67</v>
      </c>
      <c r="FP30" s="1">
        <v>67</v>
      </c>
      <c r="FQ30" s="1">
        <v>67</v>
      </c>
      <c r="FR30" s="13" t="s">
        <v>806</v>
      </c>
      <c r="FS30" s="13" t="s">
        <v>806</v>
      </c>
      <c r="FT30" s="13" t="s">
        <v>806</v>
      </c>
      <c r="FU30" s="13"/>
      <c r="FV30" s="13" t="s">
        <v>806</v>
      </c>
      <c r="FW30" s="13" t="s">
        <v>806</v>
      </c>
      <c r="FX30" s="13" t="s">
        <v>806</v>
      </c>
      <c r="FY30" s="13" t="s">
        <v>806</v>
      </c>
      <c r="FZ30" s="13" t="s">
        <v>806</v>
      </c>
      <c r="GA30" s="13" t="s">
        <v>806</v>
      </c>
      <c r="GB30" s="13" t="s">
        <v>806</v>
      </c>
      <c r="GE30" s="13" t="s">
        <v>806</v>
      </c>
      <c r="GF30" s="13" t="s">
        <v>806</v>
      </c>
      <c r="GH30" s="13" t="s">
        <v>806</v>
      </c>
    </row>
    <row r="31" spans="1:190" ht="15" customHeight="1" x14ac:dyDescent="0.25">
      <c r="A31" s="1" t="s">
        <v>362</v>
      </c>
      <c r="B31" s="1" t="s">
        <v>650</v>
      </c>
      <c r="C31" s="1" t="s">
        <v>656</v>
      </c>
      <c r="D31" s="1" t="s">
        <v>672</v>
      </c>
      <c r="E31" s="1" t="s">
        <v>127</v>
      </c>
      <c r="F31" s="1">
        <v>0</v>
      </c>
      <c r="G31" s="1">
        <v>2040</v>
      </c>
      <c r="H31" s="1">
        <v>1</v>
      </c>
      <c r="I31" s="1">
        <v>0</v>
      </c>
      <c r="J31" s="1">
        <v>0</v>
      </c>
      <c r="K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102.02366666666667</v>
      </c>
      <c r="M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1052.3340000000001</v>
      </c>
      <c r="N31" s="19">
        <v>757.12300000000005</v>
      </c>
      <c r="O31" s="19">
        <v>508.97199999999998</v>
      </c>
      <c r="P31" s="19">
        <v>1052.3340000000001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386.61599999999999</v>
      </c>
      <c r="X31" s="19">
        <v>302.63200000000001</v>
      </c>
      <c r="Y31" s="19">
        <v>480.012</v>
      </c>
      <c r="Z31" s="19">
        <v>0</v>
      </c>
      <c r="AA31" s="19">
        <v>0</v>
      </c>
      <c r="AB31" s="19">
        <v>0</v>
      </c>
      <c r="AC31" s="19">
        <v>386.61599999999999</v>
      </c>
      <c r="AD31" s="19">
        <v>302.63200000000001</v>
      </c>
      <c r="AE31" s="19">
        <v>480.012</v>
      </c>
      <c r="AF31" s="19">
        <v>161.09</v>
      </c>
      <c r="AG31" s="19">
        <v>0</v>
      </c>
      <c r="AH31" s="19">
        <v>369.24</v>
      </c>
      <c r="AI31" s="19">
        <v>225.52600000000001</v>
      </c>
      <c r="AJ31" s="19">
        <v>27.512</v>
      </c>
      <c r="AK31" s="19">
        <v>480.012</v>
      </c>
      <c r="AL31" s="19">
        <v>0</v>
      </c>
      <c r="AM31" s="19">
        <v>0</v>
      </c>
      <c r="AN31" s="19">
        <v>0</v>
      </c>
      <c r="AO31" s="19">
        <v>386.61599999999999</v>
      </c>
      <c r="AP31" s="19">
        <v>302.63200000000001</v>
      </c>
      <c r="AQ31" s="19">
        <v>480.012</v>
      </c>
      <c r="AR31" s="19">
        <v>0</v>
      </c>
      <c r="AS31" s="19">
        <v>0</v>
      </c>
      <c r="AT31" s="19">
        <v>0</v>
      </c>
      <c r="AU31" s="19">
        <v>386.61599999999999</v>
      </c>
      <c r="AV31" s="19">
        <v>302.63200000000001</v>
      </c>
      <c r="AW31" s="19">
        <v>480.012</v>
      </c>
      <c r="AX31" s="19">
        <v>0</v>
      </c>
      <c r="AY31" s="19">
        <v>0</v>
      </c>
      <c r="AZ31" s="19">
        <v>0</v>
      </c>
      <c r="BA31" s="19">
        <v>386.61599999999999</v>
      </c>
      <c r="BB31" s="19">
        <v>302.63200000000001</v>
      </c>
      <c r="BC31" s="19">
        <v>480.012</v>
      </c>
      <c r="BD31" s="19">
        <v>0</v>
      </c>
      <c r="BE31" s="19">
        <v>0</v>
      </c>
      <c r="BF31" s="19">
        <v>0</v>
      </c>
      <c r="BG31" s="19">
        <v>386.61599999999999</v>
      </c>
      <c r="BH31" s="19">
        <v>302.63200000000001</v>
      </c>
      <c r="BI31" s="19">
        <v>480.012</v>
      </c>
      <c r="BJ31" s="19">
        <v>0</v>
      </c>
      <c r="BK31" s="19">
        <v>0</v>
      </c>
      <c r="BL31" s="19">
        <v>0</v>
      </c>
      <c r="BM31" s="19">
        <v>386.61599999999999</v>
      </c>
      <c r="BN31" s="19">
        <v>302.63200000000001</v>
      </c>
      <c r="BO31" s="19">
        <v>480.012</v>
      </c>
      <c r="BP31" s="19"/>
      <c r="BQ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325.75977777777774</v>
      </c>
      <c r="BS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480.012</v>
      </c>
      <c r="BT31" s="11">
        <f>Tabelle5897112140[[#This Row],[Mindestauslastung min]]*Tabelle5897112140[[#This Row],[installierte Leistung MW min]]</f>
        <v>0</v>
      </c>
      <c r="BU31" s="11">
        <f>Tabelle5897112140[[#This Row],[Mindestauslastung durch]]*Tabelle5897112140[[#This Row],[installierte Leistung MW durch]]</f>
        <v>0</v>
      </c>
      <c r="BV31" s="11">
        <f>Tabelle5897112140[[#This Row],[Mindestauslastung max]]*Tabelle5897112140[[#This Row],[installierte Leistung MW max]]</f>
        <v>0</v>
      </c>
      <c r="BW31" s="9">
        <v>0</v>
      </c>
      <c r="BX31" s="9">
        <v>0</v>
      </c>
      <c r="BY31" s="9">
        <v>0</v>
      </c>
      <c r="BZ31" s="9"/>
      <c r="CA31" s="9">
        <v>0.47</v>
      </c>
      <c r="CB31" s="9">
        <v>0.37</v>
      </c>
      <c r="CC31" s="9">
        <v>0.56999999999999995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0.1</v>
      </c>
      <c r="CK31" s="9">
        <v>0</v>
      </c>
      <c r="CL31" s="9">
        <v>0.2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f>MIN(Tabelle5897112140[[#This Row],[Durchschnittsauslastung durch Sommer WTT]:[Durchschnittsauslastung max Winter SFN]])</f>
        <v>0</v>
      </c>
      <c r="DC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1" s="9">
        <f>MAX(Tabelle5897112140[[#This Row],[Durchschnittsauslastung durch Sommer WTT]:[Durchschnittsauslastung max Winter SFN]])</f>
        <v>0.56999999999999995</v>
      </c>
      <c r="DE31" s="40">
        <f>Tabelle5897112140[[#This Row],[Durchschnittsauslastung min]]*Tabelle5897112140[[#This Row],[installierte Leistung MW min]]</f>
        <v>0</v>
      </c>
      <c r="DF31" s="40">
        <f>Tabelle5897112140[[#This Row],[Durchschnittsauslastung durch]]*Tabelle5897112140[[#This Row],[installierte Leistung MW durch]]</f>
        <v>102.02366666666666</v>
      </c>
      <c r="DG31" s="40">
        <f>Tabelle5897112140[[#This Row],[Durchschnittsauslastung max]]*Tabelle5897112140[[#This Row],[installierte Leistung MW max]]</f>
        <v>1052.3339999999998</v>
      </c>
      <c r="DH31" s="46">
        <f>Tabelle5897112140[[#This Row],[Maximalauslastung min]]*Tabelle5897112140[[#This Row],[installierte Leistung MW min]]</f>
        <v>302.63200000000001</v>
      </c>
      <c r="DI31" s="46">
        <f>Tabelle5897112140[[#This Row],[Maximalauslastung durch]]*Tabelle5897112140[[#This Row],[installierte Leistung MW durch]]</f>
        <v>386.61599999999999</v>
      </c>
      <c r="DJ31" s="19">
        <f>Tabelle5897112140[[#This Row],[Maximalauslastung max]]*Tabelle5897112140[[#This Row],[installierte Leistung MW durch]]</f>
        <v>418.83400000000006</v>
      </c>
      <c r="DK31" s="9">
        <v>0.22</v>
      </c>
      <c r="DL31" s="9">
        <v>0.24</v>
      </c>
      <c r="DM31" s="9">
        <v>0.26</v>
      </c>
      <c r="DN31" s="1">
        <v>1610.9</v>
      </c>
      <c r="DO31" s="1">
        <v>1375.6</v>
      </c>
      <c r="DP31" s="1">
        <v>1846.2</v>
      </c>
      <c r="DQ31" s="19"/>
      <c r="DR31" s="19"/>
      <c r="DW31" s="1">
        <v>0.17</v>
      </c>
      <c r="DX31" s="1">
        <v>6.0000000000000012E-2</v>
      </c>
      <c r="DY31" s="1">
        <v>0.28000000000000003</v>
      </c>
      <c r="EL31" s="1">
        <v>365</v>
      </c>
      <c r="EM31" s="1">
        <v>292</v>
      </c>
      <c r="EN31" s="1">
        <v>438</v>
      </c>
      <c r="EO31" s="11"/>
      <c r="EP31" s="11"/>
      <c r="EQ31" s="11"/>
      <c r="ER31" s="1">
        <v>365</v>
      </c>
      <c r="ES31" s="1">
        <v>292</v>
      </c>
      <c r="ET31" s="1">
        <v>438</v>
      </c>
      <c r="EV31" s="19"/>
      <c r="EW31" s="19"/>
      <c r="EX31" s="19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O31" s="1">
        <v>67</v>
      </c>
      <c r="FP31" s="1">
        <v>67</v>
      </c>
      <c r="FQ31" s="1">
        <v>67</v>
      </c>
      <c r="FR31" s="13" t="s">
        <v>806</v>
      </c>
      <c r="FS31" s="13" t="s">
        <v>806</v>
      </c>
      <c r="FT31" s="13" t="s">
        <v>806</v>
      </c>
      <c r="FU31" s="13"/>
      <c r="FV31" s="13" t="s">
        <v>806</v>
      </c>
      <c r="FW31" s="13" t="s">
        <v>806</v>
      </c>
      <c r="FX31" s="13" t="s">
        <v>806</v>
      </c>
      <c r="FY31" s="13" t="s">
        <v>806</v>
      </c>
      <c r="FZ31" s="13" t="s">
        <v>806</v>
      </c>
      <c r="GA31" s="13" t="s">
        <v>806</v>
      </c>
      <c r="GB31" s="13" t="s">
        <v>806</v>
      </c>
      <c r="GE31" s="13" t="s">
        <v>806</v>
      </c>
      <c r="GF31" s="13" t="s">
        <v>806</v>
      </c>
      <c r="GH31" s="13" t="s">
        <v>806</v>
      </c>
    </row>
    <row r="32" spans="1:190" ht="15" customHeight="1" x14ac:dyDescent="0.25">
      <c r="A32" s="1" t="s">
        <v>362</v>
      </c>
      <c r="B32" s="1" t="s">
        <v>650</v>
      </c>
      <c r="C32" s="1" t="s">
        <v>656</v>
      </c>
      <c r="D32" s="1" t="s">
        <v>672</v>
      </c>
      <c r="E32" s="1" t="s">
        <v>127</v>
      </c>
      <c r="F32" s="1">
        <v>0</v>
      </c>
      <c r="G32" s="1">
        <v>2045</v>
      </c>
      <c r="H32" s="1">
        <v>1</v>
      </c>
      <c r="I32" s="1">
        <v>0</v>
      </c>
      <c r="J32" s="1">
        <v>0</v>
      </c>
      <c r="K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114.988</v>
      </c>
      <c r="M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1186.056</v>
      </c>
      <c r="N32" s="19">
        <v>853.33199999999999</v>
      </c>
      <c r="O32" s="19">
        <v>573.64800000000002</v>
      </c>
      <c r="P32" s="19">
        <v>1186.056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435.74399999999997</v>
      </c>
      <c r="X32" s="19">
        <v>341.08799999999997</v>
      </c>
      <c r="Y32" s="19">
        <v>541.00800000000004</v>
      </c>
      <c r="Z32" s="19">
        <v>0</v>
      </c>
      <c r="AA32" s="19">
        <v>0</v>
      </c>
      <c r="AB32" s="19">
        <v>0</v>
      </c>
      <c r="AC32" s="19">
        <v>435.74399999999997</v>
      </c>
      <c r="AD32" s="19">
        <v>341.08799999999997</v>
      </c>
      <c r="AE32" s="19">
        <v>541.00800000000004</v>
      </c>
      <c r="AF32" s="19">
        <v>181.56</v>
      </c>
      <c r="AG32" s="19">
        <v>0</v>
      </c>
      <c r="AH32" s="19">
        <v>416.16</v>
      </c>
      <c r="AI32" s="19">
        <v>254.184</v>
      </c>
      <c r="AJ32" s="19">
        <v>31.007999999999999</v>
      </c>
      <c r="AK32" s="19">
        <v>541.00800000000004</v>
      </c>
      <c r="AL32" s="19">
        <v>0</v>
      </c>
      <c r="AM32" s="19">
        <v>0</v>
      </c>
      <c r="AN32" s="19">
        <v>0</v>
      </c>
      <c r="AO32" s="19">
        <v>435.74399999999997</v>
      </c>
      <c r="AP32" s="19">
        <v>341.08799999999997</v>
      </c>
      <c r="AQ32" s="19">
        <v>541.00800000000004</v>
      </c>
      <c r="AR32" s="19">
        <v>0</v>
      </c>
      <c r="AS32" s="19">
        <v>0</v>
      </c>
      <c r="AT32" s="19">
        <v>0</v>
      </c>
      <c r="AU32" s="19">
        <v>435.74399999999997</v>
      </c>
      <c r="AV32" s="19">
        <v>341.08799999999997</v>
      </c>
      <c r="AW32" s="19">
        <v>541.00800000000004</v>
      </c>
      <c r="AX32" s="19">
        <v>0</v>
      </c>
      <c r="AY32" s="19">
        <v>0</v>
      </c>
      <c r="AZ32" s="19">
        <v>0</v>
      </c>
      <c r="BA32" s="19">
        <v>435.74399999999997</v>
      </c>
      <c r="BB32" s="19">
        <v>341.08799999999997</v>
      </c>
      <c r="BC32" s="19">
        <v>541.00800000000004</v>
      </c>
      <c r="BD32" s="19">
        <v>0</v>
      </c>
      <c r="BE32" s="19">
        <v>0</v>
      </c>
      <c r="BF32" s="19">
        <v>0</v>
      </c>
      <c r="BG32" s="19">
        <v>435.74399999999997</v>
      </c>
      <c r="BH32" s="19">
        <v>341.08799999999997</v>
      </c>
      <c r="BI32" s="19">
        <v>541.00800000000004</v>
      </c>
      <c r="BJ32" s="19">
        <v>0</v>
      </c>
      <c r="BK32" s="19">
        <v>0</v>
      </c>
      <c r="BL32" s="19">
        <v>0</v>
      </c>
      <c r="BM32" s="19">
        <v>435.74399999999997</v>
      </c>
      <c r="BN32" s="19">
        <v>341.08799999999997</v>
      </c>
      <c r="BO32" s="19">
        <v>541.00800000000004</v>
      </c>
      <c r="BP32" s="19"/>
      <c r="BQ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367.15466666666669</v>
      </c>
      <c r="BS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541.00800000000004</v>
      </c>
      <c r="BT32" s="11">
        <f>Tabelle5897112140[[#This Row],[Mindestauslastung min]]*Tabelle5897112140[[#This Row],[installierte Leistung MW min]]</f>
        <v>0</v>
      </c>
      <c r="BU32" s="11">
        <f>Tabelle5897112140[[#This Row],[Mindestauslastung durch]]*Tabelle5897112140[[#This Row],[installierte Leistung MW durch]]</f>
        <v>0</v>
      </c>
      <c r="BV32" s="11">
        <f>Tabelle5897112140[[#This Row],[Mindestauslastung max]]*Tabelle5897112140[[#This Row],[installierte Leistung MW max]]</f>
        <v>0</v>
      </c>
      <c r="BW32" s="9">
        <v>0</v>
      </c>
      <c r="BX32" s="9">
        <v>0</v>
      </c>
      <c r="BY32" s="9">
        <v>0</v>
      </c>
      <c r="BZ32" s="9"/>
      <c r="CA32" s="9">
        <v>0.47</v>
      </c>
      <c r="CB32" s="9">
        <v>0.37</v>
      </c>
      <c r="CC32" s="9">
        <v>0.56999999999999995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0.1</v>
      </c>
      <c r="CK32" s="9">
        <v>0</v>
      </c>
      <c r="CL32" s="9">
        <v>0.2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f>MIN(Tabelle5897112140[[#This Row],[Durchschnittsauslastung durch Sommer WTT]:[Durchschnittsauslastung max Winter SFN]])</f>
        <v>0</v>
      </c>
      <c r="DC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2" s="9">
        <f>MAX(Tabelle5897112140[[#This Row],[Durchschnittsauslastung durch Sommer WTT]:[Durchschnittsauslastung max Winter SFN]])</f>
        <v>0.56999999999999995</v>
      </c>
      <c r="DE32" s="40">
        <f>Tabelle5897112140[[#This Row],[Durchschnittsauslastung min]]*Tabelle5897112140[[#This Row],[installierte Leistung MW min]]</f>
        <v>0</v>
      </c>
      <c r="DF32" s="40">
        <f>Tabelle5897112140[[#This Row],[Durchschnittsauslastung durch]]*Tabelle5897112140[[#This Row],[installierte Leistung MW durch]]</f>
        <v>114.98799999999999</v>
      </c>
      <c r="DG32" s="40">
        <f>Tabelle5897112140[[#This Row],[Durchschnittsauslastung max]]*Tabelle5897112140[[#This Row],[installierte Leistung MW max]]</f>
        <v>1186.056</v>
      </c>
      <c r="DH32" s="46">
        <f>Tabelle5897112140[[#This Row],[Maximalauslastung min]]*Tabelle5897112140[[#This Row],[installierte Leistung MW min]]</f>
        <v>341.08800000000002</v>
      </c>
      <c r="DI32" s="46">
        <f>Tabelle5897112140[[#This Row],[Maximalauslastung durch]]*Tabelle5897112140[[#This Row],[installierte Leistung MW durch]]</f>
        <v>435.74399999999997</v>
      </c>
      <c r="DJ32" s="19">
        <f>Tabelle5897112140[[#This Row],[Maximalauslastung max]]*Tabelle5897112140[[#This Row],[installierte Leistung MW durch]]</f>
        <v>472.05599999999998</v>
      </c>
      <c r="DK32" s="9">
        <v>0.22</v>
      </c>
      <c r="DL32" s="9">
        <v>0.24</v>
      </c>
      <c r="DM32" s="9">
        <v>0.26</v>
      </c>
      <c r="DN32" s="1">
        <v>1815.6</v>
      </c>
      <c r="DO32" s="1">
        <v>1550.4</v>
      </c>
      <c r="DP32" s="1">
        <v>2080.8000000000002</v>
      </c>
      <c r="DQ32" s="19"/>
      <c r="DR32" s="19"/>
      <c r="DW32" s="1">
        <v>0.17</v>
      </c>
      <c r="DX32" s="1">
        <v>6.0000000000000012E-2</v>
      </c>
      <c r="DY32" s="1">
        <v>0.28000000000000003</v>
      </c>
      <c r="EL32" s="1">
        <v>365</v>
      </c>
      <c r="EM32" s="1">
        <v>292</v>
      </c>
      <c r="EN32" s="1">
        <v>438</v>
      </c>
      <c r="EO32" s="11"/>
      <c r="EP32" s="11"/>
      <c r="EQ32" s="11"/>
      <c r="ER32" s="1">
        <v>365</v>
      </c>
      <c r="ES32" s="1">
        <v>292</v>
      </c>
      <c r="ET32" s="1">
        <v>438</v>
      </c>
      <c r="EV32" s="19"/>
      <c r="EW32" s="19"/>
      <c r="EX32" s="19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O32" s="1">
        <v>67</v>
      </c>
      <c r="FP32" s="1">
        <v>67</v>
      </c>
      <c r="FQ32" s="1">
        <v>67</v>
      </c>
      <c r="FR32" s="13" t="s">
        <v>806</v>
      </c>
      <c r="FS32" s="13" t="s">
        <v>806</v>
      </c>
      <c r="FT32" s="13" t="s">
        <v>806</v>
      </c>
      <c r="FU32" s="13"/>
      <c r="FV32" s="13" t="s">
        <v>806</v>
      </c>
      <c r="FW32" s="13" t="s">
        <v>806</v>
      </c>
      <c r="FX32" s="13" t="s">
        <v>806</v>
      </c>
      <c r="FY32" s="13" t="s">
        <v>806</v>
      </c>
      <c r="FZ32" s="13" t="s">
        <v>806</v>
      </c>
      <c r="GA32" s="13" t="s">
        <v>806</v>
      </c>
      <c r="GB32" s="13" t="s">
        <v>806</v>
      </c>
      <c r="GE32" s="13" t="s">
        <v>806</v>
      </c>
      <c r="GF32" s="13" t="s">
        <v>806</v>
      </c>
      <c r="GH32" s="13" t="s">
        <v>806</v>
      </c>
    </row>
    <row r="33" spans="1:190" ht="15" customHeight="1" x14ac:dyDescent="0.25">
      <c r="A33" s="1" t="s">
        <v>362</v>
      </c>
      <c r="B33" s="1" t="s">
        <v>650</v>
      </c>
      <c r="C33" s="1" t="s">
        <v>656</v>
      </c>
      <c r="D33" s="1" t="s">
        <v>672</v>
      </c>
      <c r="E33" s="1" t="s">
        <v>127</v>
      </c>
      <c r="F33" s="1">
        <v>0</v>
      </c>
      <c r="G33" s="1">
        <v>2050</v>
      </c>
      <c r="H33" s="1">
        <v>1</v>
      </c>
      <c r="I33" s="1">
        <v>0</v>
      </c>
      <c r="J33" s="1">
        <v>0</v>
      </c>
      <c r="K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129.64333333333332</v>
      </c>
      <c r="M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1337.2199999999998</v>
      </c>
      <c r="N33" s="19">
        <v>962.08999999999992</v>
      </c>
      <c r="O33" s="19">
        <v>646.75999999999988</v>
      </c>
      <c r="P33" s="19">
        <v>1337.2199999999998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491.28</v>
      </c>
      <c r="X33" s="19">
        <v>384.55999999999995</v>
      </c>
      <c r="Y33" s="19">
        <v>609.95999999999992</v>
      </c>
      <c r="Z33" s="19">
        <v>0</v>
      </c>
      <c r="AA33" s="19">
        <v>0</v>
      </c>
      <c r="AB33" s="19">
        <v>0</v>
      </c>
      <c r="AC33" s="19">
        <v>491.28</v>
      </c>
      <c r="AD33" s="19">
        <v>384.55999999999995</v>
      </c>
      <c r="AE33" s="19">
        <v>609.95999999999992</v>
      </c>
      <c r="AF33" s="19">
        <v>204.7</v>
      </c>
      <c r="AG33" s="19">
        <v>0</v>
      </c>
      <c r="AH33" s="19">
        <v>469.2</v>
      </c>
      <c r="AI33" s="19">
        <v>286.58</v>
      </c>
      <c r="AJ33" s="19">
        <v>34.959999999999994</v>
      </c>
      <c r="AK33" s="19">
        <v>609.95999999999992</v>
      </c>
      <c r="AL33" s="19">
        <v>0</v>
      </c>
      <c r="AM33" s="19">
        <v>0</v>
      </c>
      <c r="AN33" s="19">
        <v>0</v>
      </c>
      <c r="AO33" s="19">
        <v>491.28</v>
      </c>
      <c r="AP33" s="19">
        <v>384.55999999999995</v>
      </c>
      <c r="AQ33" s="19">
        <v>609.95999999999992</v>
      </c>
      <c r="AR33" s="19">
        <v>0</v>
      </c>
      <c r="AS33" s="19">
        <v>0</v>
      </c>
      <c r="AT33" s="19">
        <v>0</v>
      </c>
      <c r="AU33" s="19">
        <v>491.28</v>
      </c>
      <c r="AV33" s="19">
        <v>384.55999999999995</v>
      </c>
      <c r="AW33" s="19">
        <v>609.95999999999992</v>
      </c>
      <c r="AX33" s="19">
        <v>0</v>
      </c>
      <c r="AY33" s="19">
        <v>0</v>
      </c>
      <c r="AZ33" s="19">
        <v>0</v>
      </c>
      <c r="BA33" s="19">
        <v>491.28</v>
      </c>
      <c r="BB33" s="19">
        <v>384.55999999999995</v>
      </c>
      <c r="BC33" s="19">
        <v>609.95999999999992</v>
      </c>
      <c r="BD33" s="19">
        <v>0</v>
      </c>
      <c r="BE33" s="19">
        <v>0</v>
      </c>
      <c r="BF33" s="19">
        <v>0</v>
      </c>
      <c r="BG33" s="19">
        <v>491.28</v>
      </c>
      <c r="BH33" s="19">
        <v>384.55999999999995</v>
      </c>
      <c r="BI33" s="19">
        <v>609.95999999999992</v>
      </c>
      <c r="BJ33" s="19">
        <v>0</v>
      </c>
      <c r="BK33" s="19">
        <v>0</v>
      </c>
      <c r="BL33" s="19">
        <v>0</v>
      </c>
      <c r="BM33" s="19">
        <v>491.28</v>
      </c>
      <c r="BN33" s="19">
        <v>384.55999999999995</v>
      </c>
      <c r="BO33" s="19">
        <v>609.95999999999992</v>
      </c>
      <c r="BP33" s="19"/>
      <c r="BQ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413.9488888888888</v>
      </c>
      <c r="BS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609.95999999999992</v>
      </c>
      <c r="BT33" s="11">
        <f>Tabelle5897112140[[#This Row],[Mindestauslastung min]]*Tabelle5897112140[[#This Row],[installierte Leistung MW min]]</f>
        <v>0</v>
      </c>
      <c r="BU33" s="11">
        <f>Tabelle5897112140[[#This Row],[Mindestauslastung durch]]*Tabelle5897112140[[#This Row],[installierte Leistung MW durch]]</f>
        <v>0</v>
      </c>
      <c r="BV33" s="11">
        <f>Tabelle5897112140[[#This Row],[Mindestauslastung max]]*Tabelle5897112140[[#This Row],[installierte Leistung MW max]]</f>
        <v>0</v>
      </c>
      <c r="BW33" s="9">
        <v>0</v>
      </c>
      <c r="BX33" s="9">
        <v>0</v>
      </c>
      <c r="BY33" s="9">
        <v>0</v>
      </c>
      <c r="BZ33" s="9"/>
      <c r="CA33" s="9">
        <v>0.47</v>
      </c>
      <c r="CB33" s="9">
        <v>0.37</v>
      </c>
      <c r="CC33" s="9">
        <v>0.56999999999999995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0.1</v>
      </c>
      <c r="CK33" s="9">
        <v>0</v>
      </c>
      <c r="CL33" s="9">
        <v>0.2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f>MIN(Tabelle5897112140[[#This Row],[Durchschnittsauslastung durch Sommer WTT]:[Durchschnittsauslastung max Winter SFN]])</f>
        <v>0</v>
      </c>
      <c r="DC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3" s="9">
        <f>MAX(Tabelle5897112140[[#This Row],[Durchschnittsauslastung durch Sommer WTT]:[Durchschnittsauslastung max Winter SFN]])</f>
        <v>0.56999999999999995</v>
      </c>
      <c r="DE33" s="40">
        <f>Tabelle5897112140[[#This Row],[Durchschnittsauslastung min]]*Tabelle5897112140[[#This Row],[installierte Leistung MW min]]</f>
        <v>0</v>
      </c>
      <c r="DF33" s="40">
        <f>Tabelle5897112140[[#This Row],[Durchschnittsauslastung durch]]*Tabelle5897112140[[#This Row],[installierte Leistung MW durch]]</f>
        <v>129.64333333333332</v>
      </c>
      <c r="DG33" s="40">
        <f>Tabelle5897112140[[#This Row],[Durchschnittsauslastung max]]*Tabelle5897112140[[#This Row],[installierte Leistung MW max]]</f>
        <v>1337.2199999999998</v>
      </c>
      <c r="DH33" s="46">
        <f>Tabelle5897112140[[#This Row],[Maximalauslastung min]]*Tabelle5897112140[[#This Row],[installierte Leistung MW min]]</f>
        <v>384.56</v>
      </c>
      <c r="DI33" s="46">
        <f>Tabelle5897112140[[#This Row],[Maximalauslastung durch]]*Tabelle5897112140[[#This Row],[installierte Leistung MW durch]]</f>
        <v>491.28</v>
      </c>
      <c r="DJ33" s="19">
        <f>Tabelle5897112140[[#This Row],[Maximalauslastung max]]*Tabelle5897112140[[#This Row],[installierte Leistung MW durch]]</f>
        <v>532.22</v>
      </c>
      <c r="DK33" s="9">
        <v>0.22</v>
      </c>
      <c r="DL33" s="9">
        <v>0.24</v>
      </c>
      <c r="DM33" s="9">
        <v>0.26</v>
      </c>
      <c r="DN33" s="1">
        <v>2047</v>
      </c>
      <c r="DO33" s="1">
        <v>1748</v>
      </c>
      <c r="DP33" s="1">
        <v>2346</v>
      </c>
      <c r="DQ33" s="19"/>
      <c r="DR33" s="19"/>
      <c r="DW33" s="1">
        <v>0.17</v>
      </c>
      <c r="DX33" s="1">
        <v>6.0000000000000012E-2</v>
      </c>
      <c r="DY33" s="1">
        <v>0.28000000000000003</v>
      </c>
      <c r="EL33" s="1">
        <v>365</v>
      </c>
      <c r="EM33" s="1">
        <v>292</v>
      </c>
      <c r="EN33" s="1">
        <v>438</v>
      </c>
      <c r="EO33" s="11"/>
      <c r="EP33" s="11"/>
      <c r="EQ33" s="11"/>
      <c r="ER33" s="1">
        <v>365</v>
      </c>
      <c r="ES33" s="1">
        <v>292</v>
      </c>
      <c r="ET33" s="1">
        <v>438</v>
      </c>
      <c r="EV33" s="19"/>
      <c r="EW33" s="19"/>
      <c r="EX33" s="19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O33" s="1">
        <v>67</v>
      </c>
      <c r="FP33" s="1">
        <v>67</v>
      </c>
      <c r="FQ33" s="1">
        <v>67</v>
      </c>
      <c r="FR33" s="13" t="s">
        <v>806</v>
      </c>
      <c r="FS33" s="13" t="s">
        <v>806</v>
      </c>
      <c r="FT33" s="13" t="s">
        <v>806</v>
      </c>
      <c r="FU33" s="13"/>
      <c r="FV33" s="13" t="s">
        <v>806</v>
      </c>
      <c r="FW33" s="13" t="s">
        <v>806</v>
      </c>
      <c r="FX33" s="13" t="s">
        <v>806</v>
      </c>
      <c r="FY33" s="13" t="s">
        <v>806</v>
      </c>
      <c r="FZ33" s="13" t="s">
        <v>806</v>
      </c>
      <c r="GA33" s="13" t="s">
        <v>806</v>
      </c>
      <c r="GB33" s="13" t="s">
        <v>806</v>
      </c>
      <c r="GE33" s="13" t="s">
        <v>806</v>
      </c>
      <c r="GF33" s="13" t="s">
        <v>806</v>
      </c>
      <c r="GH33" s="13" t="s">
        <v>806</v>
      </c>
    </row>
    <row r="34" spans="1:190" ht="15" customHeight="1" x14ac:dyDescent="0.25">
      <c r="A34" s="1" t="s">
        <v>206</v>
      </c>
      <c r="B34" s="1" t="s">
        <v>747</v>
      </c>
      <c r="C34" s="1" t="s">
        <v>656</v>
      </c>
      <c r="D34" s="1" t="s">
        <v>673</v>
      </c>
      <c r="E34" s="1" t="s">
        <v>127</v>
      </c>
      <c r="F34" s="1">
        <v>0</v>
      </c>
      <c r="G34" s="1">
        <v>2015</v>
      </c>
      <c r="H34" s="1">
        <v>1</v>
      </c>
      <c r="I34" s="1">
        <v>0</v>
      </c>
      <c r="J34" s="1">
        <v>0</v>
      </c>
      <c r="K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34.450000000000003</v>
      </c>
      <c r="L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45.86666666666666</v>
      </c>
      <c r="M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62.7</v>
      </c>
      <c r="N34" s="19">
        <v>52.8</v>
      </c>
      <c r="O34" s="19">
        <v>42.9</v>
      </c>
      <c r="P34" s="19">
        <v>62.7</v>
      </c>
      <c r="Q34" s="19">
        <v>27.2</v>
      </c>
      <c r="R34" s="19">
        <v>22.1</v>
      </c>
      <c r="S34" s="19">
        <v>32.299999999999997</v>
      </c>
      <c r="T34" s="19">
        <v>42.4</v>
      </c>
      <c r="U34" s="19">
        <v>34.450000000000003</v>
      </c>
      <c r="V34" s="19">
        <v>50.35</v>
      </c>
      <c r="W34" s="19">
        <v>37.6</v>
      </c>
      <c r="X34" s="19">
        <v>30.55</v>
      </c>
      <c r="Y34" s="19">
        <v>44.65</v>
      </c>
      <c r="Z34" s="19">
        <v>42.4</v>
      </c>
      <c r="AA34" s="19">
        <v>34.450000000000003</v>
      </c>
      <c r="AB34" s="19">
        <v>50.35</v>
      </c>
      <c r="AC34" s="19">
        <v>37.6</v>
      </c>
      <c r="AD34" s="19">
        <v>30.55</v>
      </c>
      <c r="AE34" s="19">
        <v>44.65</v>
      </c>
      <c r="AF34" s="19">
        <v>52.8</v>
      </c>
      <c r="AG34" s="19">
        <v>42.9</v>
      </c>
      <c r="AH34" s="19">
        <v>62.7</v>
      </c>
      <c r="AI34" s="19">
        <v>27.2</v>
      </c>
      <c r="AJ34" s="19">
        <v>22.1</v>
      </c>
      <c r="AK34" s="19">
        <v>32.299999999999997</v>
      </c>
      <c r="AL34" s="19">
        <v>42.4</v>
      </c>
      <c r="AM34" s="19">
        <v>34.450000000000003</v>
      </c>
      <c r="AN34" s="19">
        <v>50.35</v>
      </c>
      <c r="AO34" s="19">
        <v>37.6</v>
      </c>
      <c r="AP34" s="19">
        <v>30.55</v>
      </c>
      <c r="AQ34" s="19">
        <v>44.65</v>
      </c>
      <c r="AR34" s="19">
        <v>42.4</v>
      </c>
      <c r="AS34" s="19">
        <v>34.450000000000003</v>
      </c>
      <c r="AT34" s="19">
        <v>50.35</v>
      </c>
      <c r="AU34" s="19">
        <v>37.6</v>
      </c>
      <c r="AV34" s="19">
        <v>30.55</v>
      </c>
      <c r="AW34" s="19">
        <v>44.65</v>
      </c>
      <c r="AX34" s="19">
        <v>52.8</v>
      </c>
      <c r="AY34" s="19">
        <v>42.9</v>
      </c>
      <c r="AZ34" s="19">
        <v>62.7</v>
      </c>
      <c r="BA34" s="19">
        <v>27.2</v>
      </c>
      <c r="BB34" s="19">
        <v>22.1</v>
      </c>
      <c r="BC34" s="19">
        <v>32.299999999999997</v>
      </c>
      <c r="BD34" s="19">
        <v>42.4</v>
      </c>
      <c r="BE34" s="19">
        <v>34.450000000000003</v>
      </c>
      <c r="BF34" s="19">
        <v>50.35</v>
      </c>
      <c r="BG34" s="19">
        <v>37.6</v>
      </c>
      <c r="BH34" s="19">
        <v>30.55</v>
      </c>
      <c r="BI34" s="19">
        <v>44.65</v>
      </c>
      <c r="BJ34" s="19">
        <v>42.4</v>
      </c>
      <c r="BK34" s="19">
        <v>34.450000000000003</v>
      </c>
      <c r="BL34" s="19">
        <v>50.35</v>
      </c>
      <c r="BM34" s="19">
        <v>37.6</v>
      </c>
      <c r="BN34" s="19">
        <v>30.55</v>
      </c>
      <c r="BO34" s="19">
        <v>44.65</v>
      </c>
      <c r="BP34" s="19"/>
      <c r="BQ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22.1</v>
      </c>
      <c r="BR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34.133333333333333</v>
      </c>
      <c r="BS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44.65</v>
      </c>
      <c r="BT34" s="11">
        <f>Tabelle5897112140[[#This Row],[Mindestauslastung min]]*Tabelle5897112140[[#This Row],[installierte Leistung MW min]]</f>
        <v>0</v>
      </c>
      <c r="BU34" s="11">
        <f>Tabelle5897112140[[#This Row],[Mindestauslastung durch]]*Tabelle5897112140[[#This Row],[installierte Leistung MW durch]]</f>
        <v>0</v>
      </c>
      <c r="BV34" s="11">
        <f>Tabelle5897112140[[#This Row],[Mindestauslastung max]]*Tabelle5897112140[[#This Row],[installierte Leistung MW max]]</f>
        <v>0</v>
      </c>
      <c r="BW34" s="9">
        <v>0</v>
      </c>
      <c r="BX34" s="9">
        <v>0</v>
      </c>
      <c r="BY34" s="9">
        <v>0</v>
      </c>
      <c r="BZ34" s="9"/>
      <c r="CA34" s="9">
        <v>0.66</v>
      </c>
      <c r="CB34" s="9">
        <v>0.66</v>
      </c>
      <c r="CC34" s="9">
        <v>0.66</v>
      </c>
      <c r="CD34" s="9">
        <v>0.53</v>
      </c>
      <c r="CE34" s="9">
        <v>0.53</v>
      </c>
      <c r="CF34" s="9">
        <v>0.53</v>
      </c>
      <c r="CG34" s="9">
        <v>0.53</v>
      </c>
      <c r="CH34" s="9">
        <v>0.53</v>
      </c>
      <c r="CI34" s="9">
        <v>0.53</v>
      </c>
      <c r="CJ34" s="9">
        <v>0.66</v>
      </c>
      <c r="CK34" s="9">
        <v>0.66</v>
      </c>
      <c r="CL34" s="9">
        <v>0.66</v>
      </c>
      <c r="CM34" s="9">
        <v>0.53</v>
      </c>
      <c r="CN34" s="9">
        <v>0.53</v>
      </c>
      <c r="CO34" s="9">
        <v>0.53</v>
      </c>
      <c r="CP34" s="9">
        <v>0.53</v>
      </c>
      <c r="CQ34" s="9">
        <v>0.53</v>
      </c>
      <c r="CR34" s="9">
        <v>0.53</v>
      </c>
      <c r="CS34" s="9">
        <v>0.66</v>
      </c>
      <c r="CT34" s="9">
        <v>0.66</v>
      </c>
      <c r="CU34" s="9">
        <v>0.66</v>
      </c>
      <c r="CV34" s="9">
        <v>0.53</v>
      </c>
      <c r="CW34" s="9">
        <v>0.53</v>
      </c>
      <c r="CX34" s="9">
        <v>0.53</v>
      </c>
      <c r="CY34" s="9">
        <v>0.53</v>
      </c>
      <c r="CZ34" s="9">
        <v>0.53</v>
      </c>
      <c r="DA34" s="9">
        <v>0.53</v>
      </c>
      <c r="DB34" s="9">
        <f>MIN(Tabelle5897112140[[#This Row],[Durchschnittsauslastung durch Sommer WTT]:[Durchschnittsauslastung max Winter SFN]])</f>
        <v>0.53</v>
      </c>
      <c r="DC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4" s="9">
        <f>MAX(Tabelle5897112140[[#This Row],[Durchschnittsauslastung durch Sommer WTT]:[Durchschnittsauslastung max Winter SFN]])</f>
        <v>0.66</v>
      </c>
      <c r="DE34" s="40">
        <f>Tabelle5897112140[[#This Row],[Durchschnittsauslastung min]]*Tabelle5897112140[[#This Row],[installierte Leistung MW min]]</f>
        <v>34.450000000000003</v>
      </c>
      <c r="DF34" s="40">
        <f>Tabelle5897112140[[#This Row],[Durchschnittsauslastung durch]]*Tabelle5897112140[[#This Row],[installierte Leistung MW durch]]</f>
        <v>45.866666666666674</v>
      </c>
      <c r="DG34" s="40">
        <f>Tabelle5897112140[[#This Row],[Durchschnittsauslastung max]]*Tabelle5897112140[[#This Row],[installierte Leistung MW max]]</f>
        <v>62.7</v>
      </c>
      <c r="DH34" s="46">
        <f>Tabelle5897112140[[#This Row],[Maximalauslastung min]]*Tabelle5897112140[[#This Row],[installierte Leistung MW min]]</f>
        <v>65</v>
      </c>
      <c r="DI34" s="46">
        <f>Tabelle5897112140[[#This Row],[Maximalauslastung durch]]*Tabelle5897112140[[#This Row],[installierte Leistung MW durch]]</f>
        <v>80</v>
      </c>
      <c r="DJ34" s="19">
        <f>Tabelle5897112140[[#This Row],[Maximalauslastung max]]*Tabelle5897112140[[#This Row],[installierte Leistung MW durch]]</f>
        <v>80</v>
      </c>
      <c r="DK34" s="9">
        <v>1</v>
      </c>
      <c r="DL34" s="9">
        <v>1</v>
      </c>
      <c r="DM34" s="9">
        <v>1</v>
      </c>
      <c r="DN34" s="1">
        <v>80</v>
      </c>
      <c r="DO34" s="1">
        <v>65</v>
      </c>
      <c r="DP34" s="1">
        <v>95</v>
      </c>
      <c r="DQ34" s="19"/>
      <c r="DR34" s="19"/>
      <c r="DW34" s="1">
        <v>1.1125</v>
      </c>
      <c r="DX34" s="1">
        <v>1</v>
      </c>
      <c r="DY34" s="1">
        <v>1.9</v>
      </c>
      <c r="EL34" s="1">
        <v>365</v>
      </c>
      <c r="EM34" s="1">
        <v>292</v>
      </c>
      <c r="EN34" s="1">
        <v>438</v>
      </c>
      <c r="EO34" s="11"/>
      <c r="EP34" s="11"/>
      <c r="EQ34" s="11"/>
      <c r="ER34" s="1">
        <v>365</v>
      </c>
      <c r="ES34" s="1">
        <v>292</v>
      </c>
      <c r="ET34" s="1">
        <v>438</v>
      </c>
      <c r="EV34" s="19"/>
      <c r="EW34" s="19"/>
      <c r="EX34" s="19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O34" s="1">
        <v>67</v>
      </c>
      <c r="FP34" s="1">
        <v>67</v>
      </c>
      <c r="FQ34" s="1">
        <v>67</v>
      </c>
      <c r="FR34" s="13" t="s">
        <v>806</v>
      </c>
      <c r="FS34" s="13" t="s">
        <v>806</v>
      </c>
      <c r="FT34" s="13" t="s">
        <v>806</v>
      </c>
      <c r="FU34" s="13"/>
      <c r="FV34" s="13" t="s">
        <v>806</v>
      </c>
      <c r="FW34" s="13" t="s">
        <v>806</v>
      </c>
      <c r="FX34" s="13" t="s">
        <v>806</v>
      </c>
      <c r="FY34" s="13" t="s">
        <v>806</v>
      </c>
      <c r="FZ34" s="13" t="s">
        <v>806</v>
      </c>
      <c r="GA34" s="13" t="s">
        <v>806</v>
      </c>
      <c r="GB34" s="13" t="s">
        <v>806</v>
      </c>
      <c r="GE34" s="13" t="s">
        <v>806</v>
      </c>
      <c r="GF34" s="13" t="s">
        <v>806</v>
      </c>
      <c r="GH34" s="13" t="s">
        <v>806</v>
      </c>
    </row>
    <row r="35" spans="1:190" ht="15" customHeight="1" x14ac:dyDescent="0.25">
      <c r="A35" s="1" t="s">
        <v>206</v>
      </c>
      <c r="B35" s="1" t="s">
        <v>747</v>
      </c>
      <c r="C35" s="1" t="s">
        <v>656</v>
      </c>
      <c r="D35" s="1" t="s">
        <v>673</v>
      </c>
      <c r="E35" s="1" t="s">
        <v>127</v>
      </c>
      <c r="F35" s="1">
        <v>0</v>
      </c>
      <c r="G35" s="1">
        <v>2020</v>
      </c>
      <c r="H35" s="1">
        <v>1</v>
      </c>
      <c r="I35" s="1">
        <v>0</v>
      </c>
      <c r="J35" s="1">
        <v>0</v>
      </c>
      <c r="K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38.9285</v>
      </c>
      <c r="L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51.829333333333324</v>
      </c>
      <c r="M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70.850999999999999</v>
      </c>
      <c r="N35" s="19">
        <v>59.663999999999994</v>
      </c>
      <c r="O35" s="19">
        <v>48.476999999999997</v>
      </c>
      <c r="P35" s="19">
        <v>70.850999999999999</v>
      </c>
      <c r="Q35" s="19">
        <v>30.735999999999997</v>
      </c>
      <c r="R35" s="19">
        <v>24.972999999999999</v>
      </c>
      <c r="S35" s="19">
        <v>36.498999999999995</v>
      </c>
      <c r="T35" s="19">
        <v>47.911999999999992</v>
      </c>
      <c r="U35" s="19">
        <v>38.9285</v>
      </c>
      <c r="V35" s="19">
        <v>56.895499999999998</v>
      </c>
      <c r="W35" s="19">
        <v>42.488</v>
      </c>
      <c r="X35" s="19">
        <v>34.521499999999996</v>
      </c>
      <c r="Y35" s="19">
        <v>50.454499999999996</v>
      </c>
      <c r="Z35" s="19">
        <v>47.911999999999992</v>
      </c>
      <c r="AA35" s="19">
        <v>38.9285</v>
      </c>
      <c r="AB35" s="19">
        <v>56.895499999999998</v>
      </c>
      <c r="AC35" s="19">
        <v>42.488</v>
      </c>
      <c r="AD35" s="19">
        <v>34.521499999999996</v>
      </c>
      <c r="AE35" s="19">
        <v>50.454499999999996</v>
      </c>
      <c r="AF35" s="19">
        <v>59.663999999999994</v>
      </c>
      <c r="AG35" s="19">
        <v>48.476999999999997</v>
      </c>
      <c r="AH35" s="19">
        <v>70.850999999999999</v>
      </c>
      <c r="AI35" s="19">
        <v>30.735999999999997</v>
      </c>
      <c r="AJ35" s="19">
        <v>24.972999999999999</v>
      </c>
      <c r="AK35" s="19">
        <v>36.498999999999995</v>
      </c>
      <c r="AL35" s="19">
        <v>47.911999999999992</v>
      </c>
      <c r="AM35" s="19">
        <v>38.9285</v>
      </c>
      <c r="AN35" s="19">
        <v>56.895499999999998</v>
      </c>
      <c r="AO35" s="19">
        <v>42.488</v>
      </c>
      <c r="AP35" s="19">
        <v>34.521499999999996</v>
      </c>
      <c r="AQ35" s="19">
        <v>50.454499999999996</v>
      </c>
      <c r="AR35" s="19">
        <v>47.911999999999992</v>
      </c>
      <c r="AS35" s="19">
        <v>38.9285</v>
      </c>
      <c r="AT35" s="19">
        <v>56.895499999999998</v>
      </c>
      <c r="AU35" s="19">
        <v>42.488</v>
      </c>
      <c r="AV35" s="19">
        <v>34.521499999999996</v>
      </c>
      <c r="AW35" s="19">
        <v>50.454499999999996</v>
      </c>
      <c r="AX35" s="19">
        <v>59.663999999999994</v>
      </c>
      <c r="AY35" s="19">
        <v>48.476999999999997</v>
      </c>
      <c r="AZ35" s="19">
        <v>70.850999999999999</v>
      </c>
      <c r="BA35" s="19">
        <v>30.735999999999997</v>
      </c>
      <c r="BB35" s="19">
        <v>24.972999999999999</v>
      </c>
      <c r="BC35" s="19">
        <v>36.498999999999995</v>
      </c>
      <c r="BD35" s="19">
        <v>47.911999999999992</v>
      </c>
      <c r="BE35" s="19">
        <v>38.9285</v>
      </c>
      <c r="BF35" s="19">
        <v>56.895499999999998</v>
      </c>
      <c r="BG35" s="19">
        <v>42.488</v>
      </c>
      <c r="BH35" s="19">
        <v>34.521499999999996</v>
      </c>
      <c r="BI35" s="19">
        <v>50.454499999999996</v>
      </c>
      <c r="BJ35" s="19">
        <v>47.911999999999992</v>
      </c>
      <c r="BK35" s="19">
        <v>38.9285</v>
      </c>
      <c r="BL35" s="19">
        <v>56.895499999999998</v>
      </c>
      <c r="BM35" s="19">
        <v>42.488</v>
      </c>
      <c r="BN35" s="19">
        <v>34.521499999999996</v>
      </c>
      <c r="BO35" s="19">
        <v>50.454499999999996</v>
      </c>
      <c r="BP35" s="19"/>
      <c r="BQ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24.972999999999999</v>
      </c>
      <c r="BR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38.570666666666661</v>
      </c>
      <c r="BS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50.454499999999996</v>
      </c>
      <c r="BT35" s="11">
        <f>Tabelle5897112140[[#This Row],[Mindestauslastung min]]*Tabelle5897112140[[#This Row],[installierte Leistung MW min]]</f>
        <v>0</v>
      </c>
      <c r="BU35" s="11">
        <f>Tabelle5897112140[[#This Row],[Mindestauslastung durch]]*Tabelle5897112140[[#This Row],[installierte Leistung MW durch]]</f>
        <v>0</v>
      </c>
      <c r="BV35" s="11">
        <f>Tabelle5897112140[[#This Row],[Mindestauslastung max]]*Tabelle5897112140[[#This Row],[installierte Leistung MW max]]</f>
        <v>0</v>
      </c>
      <c r="BW35" s="9">
        <v>0</v>
      </c>
      <c r="BX35" s="9">
        <v>0</v>
      </c>
      <c r="BY35" s="9">
        <v>0</v>
      </c>
      <c r="BZ35" s="9"/>
      <c r="CA35" s="9">
        <v>0.66</v>
      </c>
      <c r="CB35" s="9">
        <v>0.66</v>
      </c>
      <c r="CC35" s="9">
        <v>0.66</v>
      </c>
      <c r="CD35" s="9">
        <v>0.53</v>
      </c>
      <c r="CE35" s="9">
        <v>0.53</v>
      </c>
      <c r="CF35" s="9">
        <v>0.53</v>
      </c>
      <c r="CG35" s="9">
        <v>0.53</v>
      </c>
      <c r="CH35" s="9">
        <v>0.53</v>
      </c>
      <c r="CI35" s="9">
        <v>0.53</v>
      </c>
      <c r="CJ35" s="9">
        <v>0.66</v>
      </c>
      <c r="CK35" s="9">
        <v>0.66</v>
      </c>
      <c r="CL35" s="9">
        <v>0.66</v>
      </c>
      <c r="CM35" s="9">
        <v>0.53</v>
      </c>
      <c r="CN35" s="9">
        <v>0.53</v>
      </c>
      <c r="CO35" s="9">
        <v>0.53</v>
      </c>
      <c r="CP35" s="9">
        <v>0.53</v>
      </c>
      <c r="CQ35" s="9">
        <v>0.53</v>
      </c>
      <c r="CR35" s="9">
        <v>0.53</v>
      </c>
      <c r="CS35" s="9">
        <v>0.66</v>
      </c>
      <c r="CT35" s="9">
        <v>0.66</v>
      </c>
      <c r="CU35" s="9">
        <v>0.66</v>
      </c>
      <c r="CV35" s="9">
        <v>0.53</v>
      </c>
      <c r="CW35" s="9">
        <v>0.53</v>
      </c>
      <c r="CX35" s="9">
        <v>0.53</v>
      </c>
      <c r="CY35" s="9">
        <v>0.53</v>
      </c>
      <c r="CZ35" s="9">
        <v>0.53</v>
      </c>
      <c r="DA35" s="9">
        <v>0.53</v>
      </c>
      <c r="DB35" s="9">
        <f>MIN(Tabelle5897112140[[#This Row],[Durchschnittsauslastung durch Sommer WTT]:[Durchschnittsauslastung max Winter SFN]])</f>
        <v>0.53</v>
      </c>
      <c r="DC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5" s="9">
        <f>MAX(Tabelle5897112140[[#This Row],[Durchschnittsauslastung durch Sommer WTT]:[Durchschnittsauslastung max Winter SFN]])</f>
        <v>0.66</v>
      </c>
      <c r="DE35" s="40">
        <f>Tabelle5897112140[[#This Row],[Durchschnittsauslastung min]]*Tabelle5897112140[[#This Row],[installierte Leistung MW min]]</f>
        <v>38.928500000000007</v>
      </c>
      <c r="DF35" s="40">
        <f>Tabelle5897112140[[#This Row],[Durchschnittsauslastung durch]]*Tabelle5897112140[[#This Row],[installierte Leistung MW durch]]</f>
        <v>51.829333333333352</v>
      </c>
      <c r="DG35" s="40">
        <f>Tabelle5897112140[[#This Row],[Durchschnittsauslastung max]]*Tabelle5897112140[[#This Row],[installierte Leistung MW max]]</f>
        <v>70.850999999999999</v>
      </c>
      <c r="DH35" s="46">
        <f>Tabelle5897112140[[#This Row],[Maximalauslastung min]]*Tabelle5897112140[[#This Row],[installierte Leistung MW min]]</f>
        <v>73.45</v>
      </c>
      <c r="DI35" s="46">
        <f>Tabelle5897112140[[#This Row],[Maximalauslastung durch]]*Tabelle5897112140[[#This Row],[installierte Leistung MW durch]]</f>
        <v>90.4</v>
      </c>
      <c r="DJ35" s="19">
        <f>Tabelle5897112140[[#This Row],[Maximalauslastung max]]*Tabelle5897112140[[#This Row],[installierte Leistung MW durch]]</f>
        <v>90.4</v>
      </c>
      <c r="DK35" s="9">
        <v>1</v>
      </c>
      <c r="DL35" s="9">
        <v>1</v>
      </c>
      <c r="DM35" s="9">
        <v>1</v>
      </c>
      <c r="DN35" s="1">
        <v>90.4</v>
      </c>
      <c r="DO35" s="1">
        <v>73.45</v>
      </c>
      <c r="DP35" s="1">
        <v>107.35</v>
      </c>
      <c r="DQ35" s="19"/>
      <c r="DR35" s="19"/>
      <c r="DW35" s="1">
        <v>1.1125</v>
      </c>
      <c r="DX35" s="1">
        <v>1</v>
      </c>
      <c r="DY35" s="1">
        <v>1.9</v>
      </c>
      <c r="EL35" s="1">
        <v>365</v>
      </c>
      <c r="EM35" s="1">
        <v>292</v>
      </c>
      <c r="EN35" s="1">
        <v>438</v>
      </c>
      <c r="EO35" s="11"/>
      <c r="EP35" s="11"/>
      <c r="EQ35" s="11"/>
      <c r="ER35" s="1">
        <v>365</v>
      </c>
      <c r="ES35" s="1">
        <v>292</v>
      </c>
      <c r="ET35" s="1">
        <v>438</v>
      </c>
      <c r="EV35" s="19"/>
      <c r="EW35" s="19"/>
      <c r="EX35" s="19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O35" s="1">
        <v>67</v>
      </c>
      <c r="FP35" s="1">
        <v>67</v>
      </c>
      <c r="FQ35" s="1">
        <v>67</v>
      </c>
      <c r="FR35" s="13" t="s">
        <v>806</v>
      </c>
      <c r="FS35" s="13" t="s">
        <v>806</v>
      </c>
      <c r="FT35" s="13" t="s">
        <v>806</v>
      </c>
      <c r="FU35" s="13"/>
      <c r="FV35" s="13" t="s">
        <v>806</v>
      </c>
      <c r="FW35" s="13" t="s">
        <v>806</v>
      </c>
      <c r="FX35" s="13" t="s">
        <v>806</v>
      </c>
      <c r="FY35" s="13" t="s">
        <v>806</v>
      </c>
      <c r="FZ35" s="13" t="s">
        <v>806</v>
      </c>
      <c r="GA35" s="13" t="s">
        <v>806</v>
      </c>
      <c r="GB35" s="13" t="s">
        <v>806</v>
      </c>
      <c r="GE35" s="13" t="s">
        <v>806</v>
      </c>
      <c r="GF35" s="13" t="s">
        <v>806</v>
      </c>
      <c r="GH35" s="13" t="s">
        <v>806</v>
      </c>
    </row>
    <row r="36" spans="1:190" ht="15" customHeight="1" x14ac:dyDescent="0.25">
      <c r="A36" s="1" t="s">
        <v>206</v>
      </c>
      <c r="B36" s="1" t="s">
        <v>747</v>
      </c>
      <c r="C36" s="1" t="s">
        <v>656</v>
      </c>
      <c r="D36" s="1" t="s">
        <v>673</v>
      </c>
      <c r="E36" s="1" t="s">
        <v>127</v>
      </c>
      <c r="F36" s="1">
        <v>0</v>
      </c>
      <c r="G36" s="1">
        <v>2025</v>
      </c>
      <c r="H36" s="1">
        <v>1</v>
      </c>
      <c r="I36" s="1">
        <v>0</v>
      </c>
      <c r="J36" s="1">
        <v>0</v>
      </c>
      <c r="K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43.751500000000007</v>
      </c>
      <c r="L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58.25066666666666</v>
      </c>
      <c r="M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79.629000000000005</v>
      </c>
      <c r="N36" s="19">
        <v>67.055999999999997</v>
      </c>
      <c r="O36" s="19">
        <v>54.482999999999997</v>
      </c>
      <c r="P36" s="19">
        <v>79.629000000000005</v>
      </c>
      <c r="Q36" s="19">
        <v>34.543999999999997</v>
      </c>
      <c r="R36" s="19">
        <v>28.067000000000004</v>
      </c>
      <c r="S36" s="19">
        <v>41.020999999999994</v>
      </c>
      <c r="T36" s="19">
        <v>53.847999999999999</v>
      </c>
      <c r="U36" s="19">
        <v>43.751500000000007</v>
      </c>
      <c r="V36" s="19">
        <v>63.944500000000005</v>
      </c>
      <c r="W36" s="19">
        <v>47.752000000000002</v>
      </c>
      <c r="X36" s="19">
        <v>38.798500000000004</v>
      </c>
      <c r="Y36" s="19">
        <v>56.705500000000001</v>
      </c>
      <c r="Z36" s="19">
        <v>53.847999999999999</v>
      </c>
      <c r="AA36" s="19">
        <v>43.751500000000007</v>
      </c>
      <c r="AB36" s="19">
        <v>63.944500000000005</v>
      </c>
      <c r="AC36" s="19">
        <v>47.752000000000002</v>
      </c>
      <c r="AD36" s="19">
        <v>38.798500000000004</v>
      </c>
      <c r="AE36" s="19">
        <v>56.705500000000001</v>
      </c>
      <c r="AF36" s="19">
        <v>67.055999999999997</v>
      </c>
      <c r="AG36" s="19">
        <v>54.482999999999997</v>
      </c>
      <c r="AH36" s="19">
        <v>79.629000000000005</v>
      </c>
      <c r="AI36" s="19">
        <v>34.543999999999997</v>
      </c>
      <c r="AJ36" s="19">
        <v>28.067000000000004</v>
      </c>
      <c r="AK36" s="19">
        <v>41.020999999999994</v>
      </c>
      <c r="AL36" s="19">
        <v>53.847999999999999</v>
      </c>
      <c r="AM36" s="19">
        <v>43.751500000000007</v>
      </c>
      <c r="AN36" s="19">
        <v>63.944500000000005</v>
      </c>
      <c r="AO36" s="19">
        <v>47.752000000000002</v>
      </c>
      <c r="AP36" s="19">
        <v>38.798500000000004</v>
      </c>
      <c r="AQ36" s="19">
        <v>56.705500000000001</v>
      </c>
      <c r="AR36" s="19">
        <v>53.847999999999999</v>
      </c>
      <c r="AS36" s="19">
        <v>43.751500000000007</v>
      </c>
      <c r="AT36" s="19">
        <v>63.944500000000005</v>
      </c>
      <c r="AU36" s="19">
        <v>47.752000000000002</v>
      </c>
      <c r="AV36" s="19">
        <v>38.798500000000004</v>
      </c>
      <c r="AW36" s="19">
        <v>56.705500000000001</v>
      </c>
      <c r="AX36" s="19">
        <v>67.055999999999997</v>
      </c>
      <c r="AY36" s="19">
        <v>54.482999999999997</v>
      </c>
      <c r="AZ36" s="19">
        <v>79.629000000000005</v>
      </c>
      <c r="BA36" s="19">
        <v>34.543999999999997</v>
      </c>
      <c r="BB36" s="19">
        <v>28.067000000000004</v>
      </c>
      <c r="BC36" s="19">
        <v>41.020999999999994</v>
      </c>
      <c r="BD36" s="19">
        <v>53.847999999999999</v>
      </c>
      <c r="BE36" s="19">
        <v>43.751500000000007</v>
      </c>
      <c r="BF36" s="19">
        <v>63.944500000000005</v>
      </c>
      <c r="BG36" s="19">
        <v>47.752000000000002</v>
      </c>
      <c r="BH36" s="19">
        <v>38.798500000000004</v>
      </c>
      <c r="BI36" s="19">
        <v>56.705500000000001</v>
      </c>
      <c r="BJ36" s="19">
        <v>53.847999999999999</v>
      </c>
      <c r="BK36" s="19">
        <v>43.751500000000007</v>
      </c>
      <c r="BL36" s="19">
        <v>63.944500000000005</v>
      </c>
      <c r="BM36" s="19">
        <v>47.752000000000002</v>
      </c>
      <c r="BN36" s="19">
        <v>38.798500000000004</v>
      </c>
      <c r="BO36" s="19">
        <v>56.705500000000001</v>
      </c>
      <c r="BP36" s="19"/>
      <c r="BQ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28.067000000000004</v>
      </c>
      <c r="BR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43.349333333333334</v>
      </c>
      <c r="BS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56.705500000000001</v>
      </c>
      <c r="BT36" s="11">
        <f>Tabelle5897112140[[#This Row],[Mindestauslastung min]]*Tabelle5897112140[[#This Row],[installierte Leistung MW min]]</f>
        <v>0</v>
      </c>
      <c r="BU36" s="11">
        <f>Tabelle5897112140[[#This Row],[Mindestauslastung durch]]*Tabelle5897112140[[#This Row],[installierte Leistung MW durch]]</f>
        <v>0</v>
      </c>
      <c r="BV36" s="11">
        <f>Tabelle5897112140[[#This Row],[Mindestauslastung max]]*Tabelle5897112140[[#This Row],[installierte Leistung MW max]]</f>
        <v>0</v>
      </c>
      <c r="BW36" s="9">
        <v>0</v>
      </c>
      <c r="BX36" s="9">
        <v>0</v>
      </c>
      <c r="BY36" s="9">
        <v>0</v>
      </c>
      <c r="BZ36" s="9"/>
      <c r="CA36" s="9">
        <v>0.66</v>
      </c>
      <c r="CB36" s="9">
        <v>0.66</v>
      </c>
      <c r="CC36" s="9">
        <v>0.66</v>
      </c>
      <c r="CD36" s="9">
        <v>0.53</v>
      </c>
      <c r="CE36" s="9">
        <v>0.53</v>
      </c>
      <c r="CF36" s="9">
        <v>0.53</v>
      </c>
      <c r="CG36" s="9">
        <v>0.53</v>
      </c>
      <c r="CH36" s="9">
        <v>0.53</v>
      </c>
      <c r="CI36" s="9">
        <v>0.53</v>
      </c>
      <c r="CJ36" s="9">
        <v>0.66</v>
      </c>
      <c r="CK36" s="9">
        <v>0.66</v>
      </c>
      <c r="CL36" s="9">
        <v>0.66</v>
      </c>
      <c r="CM36" s="9">
        <v>0.53</v>
      </c>
      <c r="CN36" s="9">
        <v>0.53</v>
      </c>
      <c r="CO36" s="9">
        <v>0.53</v>
      </c>
      <c r="CP36" s="9">
        <v>0.53</v>
      </c>
      <c r="CQ36" s="9">
        <v>0.53</v>
      </c>
      <c r="CR36" s="9">
        <v>0.53</v>
      </c>
      <c r="CS36" s="9">
        <v>0.66</v>
      </c>
      <c r="CT36" s="9">
        <v>0.66</v>
      </c>
      <c r="CU36" s="9">
        <v>0.66</v>
      </c>
      <c r="CV36" s="9">
        <v>0.53</v>
      </c>
      <c r="CW36" s="9">
        <v>0.53</v>
      </c>
      <c r="CX36" s="9">
        <v>0.53</v>
      </c>
      <c r="CY36" s="9">
        <v>0.53</v>
      </c>
      <c r="CZ36" s="9">
        <v>0.53</v>
      </c>
      <c r="DA36" s="9">
        <v>0.53</v>
      </c>
      <c r="DB36" s="9">
        <f>MIN(Tabelle5897112140[[#This Row],[Durchschnittsauslastung durch Sommer WTT]:[Durchschnittsauslastung max Winter SFN]])</f>
        <v>0.53</v>
      </c>
      <c r="DC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6" s="9">
        <f>MAX(Tabelle5897112140[[#This Row],[Durchschnittsauslastung durch Sommer WTT]:[Durchschnittsauslastung max Winter SFN]])</f>
        <v>0.66</v>
      </c>
      <c r="DE36" s="40">
        <f>Tabelle5897112140[[#This Row],[Durchschnittsauslastung min]]*Tabelle5897112140[[#This Row],[installierte Leistung MW min]]</f>
        <v>43.7515</v>
      </c>
      <c r="DF36" s="40">
        <f>Tabelle5897112140[[#This Row],[Durchschnittsauslastung durch]]*Tabelle5897112140[[#This Row],[installierte Leistung MW durch]]</f>
        <v>58.250666666666675</v>
      </c>
      <c r="DG36" s="40">
        <f>Tabelle5897112140[[#This Row],[Durchschnittsauslastung max]]*Tabelle5897112140[[#This Row],[installierte Leistung MW max]]</f>
        <v>79.629000000000005</v>
      </c>
      <c r="DH36" s="46">
        <f>Tabelle5897112140[[#This Row],[Maximalauslastung min]]*Tabelle5897112140[[#This Row],[installierte Leistung MW min]]</f>
        <v>82.55</v>
      </c>
      <c r="DI36" s="46">
        <f>Tabelle5897112140[[#This Row],[Maximalauslastung durch]]*Tabelle5897112140[[#This Row],[installierte Leistung MW durch]]</f>
        <v>101.6</v>
      </c>
      <c r="DJ36" s="19">
        <f>Tabelle5897112140[[#This Row],[Maximalauslastung max]]*Tabelle5897112140[[#This Row],[installierte Leistung MW durch]]</f>
        <v>101.6</v>
      </c>
      <c r="DK36" s="9">
        <v>1</v>
      </c>
      <c r="DL36" s="9">
        <v>1</v>
      </c>
      <c r="DM36" s="9">
        <v>1</v>
      </c>
      <c r="DN36" s="1">
        <v>101.6</v>
      </c>
      <c r="DO36" s="1">
        <v>82.55</v>
      </c>
      <c r="DP36" s="1">
        <v>120.65</v>
      </c>
      <c r="DQ36" s="19"/>
      <c r="DR36" s="19"/>
      <c r="DW36" s="1">
        <v>1.1125</v>
      </c>
      <c r="DX36" s="1">
        <v>1</v>
      </c>
      <c r="DY36" s="1">
        <v>1.9</v>
      </c>
      <c r="EL36" s="1">
        <v>365</v>
      </c>
      <c r="EM36" s="1">
        <v>292</v>
      </c>
      <c r="EN36" s="1">
        <v>438</v>
      </c>
      <c r="EO36" s="11"/>
      <c r="EP36" s="11"/>
      <c r="EQ36" s="11"/>
      <c r="ER36" s="1">
        <v>365</v>
      </c>
      <c r="ES36" s="1">
        <v>292</v>
      </c>
      <c r="ET36" s="1">
        <v>438</v>
      </c>
      <c r="EV36" s="19"/>
      <c r="EW36" s="19"/>
      <c r="EX36" s="19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O36" s="1">
        <v>67</v>
      </c>
      <c r="FP36" s="1">
        <v>67</v>
      </c>
      <c r="FQ36" s="1">
        <v>67</v>
      </c>
      <c r="FR36" s="13" t="s">
        <v>806</v>
      </c>
      <c r="FS36" s="13" t="s">
        <v>806</v>
      </c>
      <c r="FT36" s="13" t="s">
        <v>806</v>
      </c>
      <c r="FU36" s="13"/>
      <c r="FV36" s="13" t="s">
        <v>806</v>
      </c>
      <c r="FW36" s="13" t="s">
        <v>806</v>
      </c>
      <c r="FX36" s="13" t="s">
        <v>806</v>
      </c>
      <c r="FY36" s="13" t="s">
        <v>806</v>
      </c>
      <c r="FZ36" s="13" t="s">
        <v>806</v>
      </c>
      <c r="GA36" s="13" t="s">
        <v>806</v>
      </c>
      <c r="GB36" s="13" t="s">
        <v>806</v>
      </c>
      <c r="GE36" s="13" t="s">
        <v>806</v>
      </c>
      <c r="GF36" s="13" t="s">
        <v>806</v>
      </c>
      <c r="GH36" s="13" t="s">
        <v>806</v>
      </c>
    </row>
    <row r="37" spans="1:190" ht="15" customHeight="1" x14ac:dyDescent="0.25">
      <c r="A37" s="1" t="s">
        <v>206</v>
      </c>
      <c r="B37" s="1" t="s">
        <v>747</v>
      </c>
      <c r="C37" s="1" t="s">
        <v>656</v>
      </c>
      <c r="D37" s="1" t="s">
        <v>673</v>
      </c>
      <c r="E37" s="1" t="s">
        <v>127</v>
      </c>
      <c r="F37" s="1">
        <v>0</v>
      </c>
      <c r="G37" s="1">
        <v>2030</v>
      </c>
      <c r="H37" s="1">
        <v>1</v>
      </c>
      <c r="I37" s="1">
        <v>0</v>
      </c>
      <c r="J37" s="1">
        <v>0</v>
      </c>
      <c r="K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49.263500000000001</v>
      </c>
      <c r="L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65.589333333333315</v>
      </c>
      <c r="M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89.661000000000001</v>
      </c>
      <c r="N37" s="19">
        <v>75.503999999999991</v>
      </c>
      <c r="O37" s="19">
        <v>61.346999999999994</v>
      </c>
      <c r="P37" s="19">
        <v>89.661000000000001</v>
      </c>
      <c r="Q37" s="19">
        <v>38.896000000000001</v>
      </c>
      <c r="R37" s="19">
        <v>31.603000000000002</v>
      </c>
      <c r="S37" s="19">
        <v>46.188999999999993</v>
      </c>
      <c r="T37" s="19">
        <v>60.631999999999998</v>
      </c>
      <c r="U37" s="19">
        <v>49.263500000000001</v>
      </c>
      <c r="V37" s="19">
        <v>72.000500000000002</v>
      </c>
      <c r="W37" s="19">
        <v>53.768000000000001</v>
      </c>
      <c r="X37" s="19">
        <v>43.686500000000002</v>
      </c>
      <c r="Y37" s="19">
        <v>63.849499999999992</v>
      </c>
      <c r="Z37" s="19">
        <v>60.631999999999998</v>
      </c>
      <c r="AA37" s="19">
        <v>49.263500000000001</v>
      </c>
      <c r="AB37" s="19">
        <v>72.000500000000002</v>
      </c>
      <c r="AC37" s="19">
        <v>53.768000000000001</v>
      </c>
      <c r="AD37" s="19">
        <v>43.686500000000002</v>
      </c>
      <c r="AE37" s="19">
        <v>63.849499999999992</v>
      </c>
      <c r="AF37" s="19">
        <v>75.503999999999991</v>
      </c>
      <c r="AG37" s="19">
        <v>61.346999999999994</v>
      </c>
      <c r="AH37" s="19">
        <v>89.661000000000001</v>
      </c>
      <c r="AI37" s="19">
        <v>38.896000000000001</v>
      </c>
      <c r="AJ37" s="19">
        <v>31.603000000000002</v>
      </c>
      <c r="AK37" s="19">
        <v>46.188999999999993</v>
      </c>
      <c r="AL37" s="19">
        <v>60.631999999999998</v>
      </c>
      <c r="AM37" s="19">
        <v>49.263500000000001</v>
      </c>
      <c r="AN37" s="19">
        <v>72.000500000000002</v>
      </c>
      <c r="AO37" s="19">
        <v>53.768000000000001</v>
      </c>
      <c r="AP37" s="19">
        <v>43.686500000000002</v>
      </c>
      <c r="AQ37" s="19">
        <v>63.849499999999992</v>
      </c>
      <c r="AR37" s="19">
        <v>60.631999999999998</v>
      </c>
      <c r="AS37" s="19">
        <v>49.263500000000001</v>
      </c>
      <c r="AT37" s="19">
        <v>72.000500000000002</v>
      </c>
      <c r="AU37" s="19">
        <v>53.768000000000001</v>
      </c>
      <c r="AV37" s="19">
        <v>43.686500000000002</v>
      </c>
      <c r="AW37" s="19">
        <v>63.849499999999992</v>
      </c>
      <c r="AX37" s="19">
        <v>75.503999999999991</v>
      </c>
      <c r="AY37" s="19">
        <v>61.346999999999994</v>
      </c>
      <c r="AZ37" s="19">
        <v>89.661000000000001</v>
      </c>
      <c r="BA37" s="19">
        <v>38.896000000000001</v>
      </c>
      <c r="BB37" s="19">
        <v>31.603000000000002</v>
      </c>
      <c r="BC37" s="19">
        <v>46.188999999999993</v>
      </c>
      <c r="BD37" s="19">
        <v>60.631999999999998</v>
      </c>
      <c r="BE37" s="19">
        <v>49.263500000000001</v>
      </c>
      <c r="BF37" s="19">
        <v>72.000500000000002</v>
      </c>
      <c r="BG37" s="19">
        <v>53.768000000000001</v>
      </c>
      <c r="BH37" s="19">
        <v>43.686500000000002</v>
      </c>
      <c r="BI37" s="19">
        <v>63.849499999999992</v>
      </c>
      <c r="BJ37" s="19">
        <v>60.631999999999998</v>
      </c>
      <c r="BK37" s="19">
        <v>49.263500000000001</v>
      </c>
      <c r="BL37" s="19">
        <v>72.000500000000002</v>
      </c>
      <c r="BM37" s="19">
        <v>53.768000000000001</v>
      </c>
      <c r="BN37" s="19">
        <v>43.686500000000002</v>
      </c>
      <c r="BO37" s="19">
        <v>63.849499999999992</v>
      </c>
      <c r="BP37" s="19"/>
      <c r="BQ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31.603000000000002</v>
      </c>
      <c r="BR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48.81066666666667</v>
      </c>
      <c r="BS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63.849499999999992</v>
      </c>
      <c r="BT37" s="11">
        <f>Tabelle5897112140[[#This Row],[Mindestauslastung min]]*Tabelle5897112140[[#This Row],[installierte Leistung MW min]]</f>
        <v>0</v>
      </c>
      <c r="BU37" s="11">
        <f>Tabelle5897112140[[#This Row],[Mindestauslastung durch]]*Tabelle5897112140[[#This Row],[installierte Leistung MW durch]]</f>
        <v>0</v>
      </c>
      <c r="BV37" s="11">
        <f>Tabelle5897112140[[#This Row],[Mindestauslastung max]]*Tabelle5897112140[[#This Row],[installierte Leistung MW max]]</f>
        <v>0</v>
      </c>
      <c r="BW37" s="9">
        <v>0</v>
      </c>
      <c r="BX37" s="9">
        <v>0</v>
      </c>
      <c r="BY37" s="9">
        <v>0</v>
      </c>
      <c r="BZ37" s="9"/>
      <c r="CA37" s="9">
        <v>0.66</v>
      </c>
      <c r="CB37" s="9">
        <v>0.66</v>
      </c>
      <c r="CC37" s="9">
        <v>0.66</v>
      </c>
      <c r="CD37" s="9">
        <v>0.53</v>
      </c>
      <c r="CE37" s="9">
        <v>0.53</v>
      </c>
      <c r="CF37" s="9">
        <v>0.53</v>
      </c>
      <c r="CG37" s="9">
        <v>0.53</v>
      </c>
      <c r="CH37" s="9">
        <v>0.53</v>
      </c>
      <c r="CI37" s="9">
        <v>0.53</v>
      </c>
      <c r="CJ37" s="9">
        <v>0.66</v>
      </c>
      <c r="CK37" s="9">
        <v>0.66</v>
      </c>
      <c r="CL37" s="9">
        <v>0.66</v>
      </c>
      <c r="CM37" s="9">
        <v>0.53</v>
      </c>
      <c r="CN37" s="9">
        <v>0.53</v>
      </c>
      <c r="CO37" s="9">
        <v>0.53</v>
      </c>
      <c r="CP37" s="9">
        <v>0.53</v>
      </c>
      <c r="CQ37" s="9">
        <v>0.53</v>
      </c>
      <c r="CR37" s="9">
        <v>0.53</v>
      </c>
      <c r="CS37" s="9">
        <v>0.66</v>
      </c>
      <c r="CT37" s="9">
        <v>0.66</v>
      </c>
      <c r="CU37" s="9">
        <v>0.66</v>
      </c>
      <c r="CV37" s="9">
        <v>0.53</v>
      </c>
      <c r="CW37" s="9">
        <v>0.53</v>
      </c>
      <c r="CX37" s="9">
        <v>0.53</v>
      </c>
      <c r="CY37" s="9">
        <v>0.53</v>
      </c>
      <c r="CZ37" s="9">
        <v>0.53</v>
      </c>
      <c r="DA37" s="9">
        <v>0.53</v>
      </c>
      <c r="DB37" s="9">
        <f>MIN(Tabelle5897112140[[#This Row],[Durchschnittsauslastung durch Sommer WTT]:[Durchschnittsauslastung max Winter SFN]])</f>
        <v>0.53</v>
      </c>
      <c r="DC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7" s="9">
        <f>MAX(Tabelle5897112140[[#This Row],[Durchschnittsauslastung durch Sommer WTT]:[Durchschnittsauslastung max Winter SFN]])</f>
        <v>0.66</v>
      </c>
      <c r="DE37" s="40">
        <f>Tabelle5897112140[[#This Row],[Durchschnittsauslastung min]]*Tabelle5897112140[[#This Row],[installierte Leistung MW min]]</f>
        <v>49.263500000000001</v>
      </c>
      <c r="DF37" s="40">
        <f>Tabelle5897112140[[#This Row],[Durchschnittsauslastung durch]]*Tabelle5897112140[[#This Row],[installierte Leistung MW durch]]</f>
        <v>65.589333333333357</v>
      </c>
      <c r="DG37" s="40">
        <f>Tabelle5897112140[[#This Row],[Durchschnittsauslastung max]]*Tabelle5897112140[[#This Row],[installierte Leistung MW max]]</f>
        <v>89.661000000000001</v>
      </c>
      <c r="DH37" s="46">
        <f>Tabelle5897112140[[#This Row],[Maximalauslastung min]]*Tabelle5897112140[[#This Row],[installierte Leistung MW min]]</f>
        <v>92.95</v>
      </c>
      <c r="DI37" s="46">
        <f>Tabelle5897112140[[#This Row],[Maximalauslastung durch]]*Tabelle5897112140[[#This Row],[installierte Leistung MW durch]]</f>
        <v>114.4</v>
      </c>
      <c r="DJ37" s="19">
        <f>Tabelle5897112140[[#This Row],[Maximalauslastung max]]*Tabelle5897112140[[#This Row],[installierte Leistung MW durch]]</f>
        <v>114.4</v>
      </c>
      <c r="DK37" s="9">
        <v>1</v>
      </c>
      <c r="DL37" s="9">
        <v>1</v>
      </c>
      <c r="DM37" s="9">
        <v>1</v>
      </c>
      <c r="DN37" s="1">
        <v>114.4</v>
      </c>
      <c r="DO37" s="1">
        <v>92.95</v>
      </c>
      <c r="DP37" s="1">
        <v>135.85</v>
      </c>
      <c r="DQ37" s="19"/>
      <c r="DR37" s="19"/>
      <c r="DW37" s="1">
        <v>1.1125</v>
      </c>
      <c r="DX37" s="1">
        <v>1</v>
      </c>
      <c r="DY37" s="1">
        <v>1.9</v>
      </c>
      <c r="EL37" s="1">
        <v>365</v>
      </c>
      <c r="EM37" s="1">
        <v>292</v>
      </c>
      <c r="EN37" s="1">
        <v>438</v>
      </c>
      <c r="EO37" s="11"/>
      <c r="EP37" s="11"/>
      <c r="EQ37" s="11"/>
      <c r="ER37" s="1">
        <v>365</v>
      </c>
      <c r="ES37" s="1">
        <v>292</v>
      </c>
      <c r="ET37" s="1">
        <v>438</v>
      </c>
      <c r="EV37" s="19"/>
      <c r="EW37" s="19"/>
      <c r="EX37" s="19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O37" s="1">
        <v>67</v>
      </c>
      <c r="FP37" s="1">
        <v>67</v>
      </c>
      <c r="FQ37" s="1">
        <v>67</v>
      </c>
      <c r="FR37" s="13" t="s">
        <v>806</v>
      </c>
      <c r="FS37" s="13" t="s">
        <v>806</v>
      </c>
      <c r="FT37" s="13" t="s">
        <v>806</v>
      </c>
      <c r="FU37" s="13"/>
      <c r="FV37" s="13" t="s">
        <v>806</v>
      </c>
      <c r="FW37" s="13" t="s">
        <v>806</v>
      </c>
      <c r="FX37" s="13" t="s">
        <v>806</v>
      </c>
      <c r="FY37" s="13" t="s">
        <v>806</v>
      </c>
      <c r="FZ37" s="13" t="s">
        <v>806</v>
      </c>
      <c r="GA37" s="13" t="s">
        <v>806</v>
      </c>
      <c r="GB37" s="13" t="s">
        <v>806</v>
      </c>
      <c r="GE37" s="13" t="s">
        <v>806</v>
      </c>
      <c r="GF37" s="13" t="s">
        <v>806</v>
      </c>
      <c r="GH37" s="13" t="s">
        <v>806</v>
      </c>
    </row>
    <row r="38" spans="1:190" ht="15" customHeight="1" x14ac:dyDescent="0.25">
      <c r="A38" s="1" t="s">
        <v>206</v>
      </c>
      <c r="B38" s="1" t="s">
        <v>747</v>
      </c>
      <c r="C38" s="1" t="s">
        <v>656</v>
      </c>
      <c r="D38" s="1" t="s">
        <v>673</v>
      </c>
      <c r="E38" s="1" t="s">
        <v>127</v>
      </c>
      <c r="F38" s="1">
        <v>0</v>
      </c>
      <c r="G38" s="1">
        <v>2035</v>
      </c>
      <c r="H38" s="1">
        <v>1</v>
      </c>
      <c r="I38" s="1">
        <v>0</v>
      </c>
      <c r="J38" s="1">
        <v>0</v>
      </c>
      <c r="K3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55.464500000000008</v>
      </c>
      <c r="L3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73.845333333333343</v>
      </c>
      <c r="M3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100.94700000000002</v>
      </c>
      <c r="N38" s="19">
        <v>85.007999999999996</v>
      </c>
      <c r="O38" s="19">
        <v>69.069000000000003</v>
      </c>
      <c r="P38" s="19">
        <v>100.94700000000002</v>
      </c>
      <c r="Q38" s="19">
        <v>43.792000000000002</v>
      </c>
      <c r="R38" s="19">
        <v>35.581000000000003</v>
      </c>
      <c r="S38" s="19">
        <v>52.003</v>
      </c>
      <c r="T38" s="19">
        <v>68.263999999999996</v>
      </c>
      <c r="U38" s="19">
        <v>55.464500000000008</v>
      </c>
      <c r="V38" s="19">
        <v>81.063500000000005</v>
      </c>
      <c r="W38" s="19">
        <v>60.536000000000008</v>
      </c>
      <c r="X38" s="19">
        <v>49.185500000000005</v>
      </c>
      <c r="Y38" s="19">
        <v>71.886499999999998</v>
      </c>
      <c r="Z38" s="19">
        <v>68.263999999999996</v>
      </c>
      <c r="AA38" s="19">
        <v>55.464500000000008</v>
      </c>
      <c r="AB38" s="19">
        <v>81.063500000000005</v>
      </c>
      <c r="AC38" s="19">
        <v>60.536000000000008</v>
      </c>
      <c r="AD38" s="19">
        <v>49.185500000000005</v>
      </c>
      <c r="AE38" s="19">
        <v>71.886499999999998</v>
      </c>
      <c r="AF38" s="19">
        <v>85.007999999999996</v>
      </c>
      <c r="AG38" s="19">
        <v>69.069000000000003</v>
      </c>
      <c r="AH38" s="19">
        <v>100.94700000000002</v>
      </c>
      <c r="AI38" s="19">
        <v>43.792000000000002</v>
      </c>
      <c r="AJ38" s="19">
        <v>35.581000000000003</v>
      </c>
      <c r="AK38" s="19">
        <v>52.003</v>
      </c>
      <c r="AL38" s="19">
        <v>68.263999999999996</v>
      </c>
      <c r="AM38" s="19">
        <v>55.464500000000008</v>
      </c>
      <c r="AN38" s="19">
        <v>81.063500000000005</v>
      </c>
      <c r="AO38" s="19">
        <v>60.536000000000008</v>
      </c>
      <c r="AP38" s="19">
        <v>49.185500000000005</v>
      </c>
      <c r="AQ38" s="19">
        <v>71.886499999999998</v>
      </c>
      <c r="AR38" s="19">
        <v>68.263999999999996</v>
      </c>
      <c r="AS38" s="19">
        <v>55.464500000000008</v>
      </c>
      <c r="AT38" s="19">
        <v>81.063500000000005</v>
      </c>
      <c r="AU38" s="19">
        <v>60.536000000000008</v>
      </c>
      <c r="AV38" s="19">
        <v>49.185500000000005</v>
      </c>
      <c r="AW38" s="19">
        <v>71.886499999999998</v>
      </c>
      <c r="AX38" s="19">
        <v>85.007999999999996</v>
      </c>
      <c r="AY38" s="19">
        <v>69.069000000000003</v>
      </c>
      <c r="AZ38" s="19">
        <v>100.94700000000002</v>
      </c>
      <c r="BA38" s="19">
        <v>43.792000000000002</v>
      </c>
      <c r="BB38" s="19">
        <v>35.581000000000003</v>
      </c>
      <c r="BC38" s="19">
        <v>52.003</v>
      </c>
      <c r="BD38" s="19">
        <v>68.263999999999996</v>
      </c>
      <c r="BE38" s="19">
        <v>55.464500000000008</v>
      </c>
      <c r="BF38" s="19">
        <v>81.063500000000005</v>
      </c>
      <c r="BG38" s="19">
        <v>60.536000000000008</v>
      </c>
      <c r="BH38" s="19">
        <v>49.185500000000005</v>
      </c>
      <c r="BI38" s="19">
        <v>71.886499999999998</v>
      </c>
      <c r="BJ38" s="19">
        <v>68.263999999999996</v>
      </c>
      <c r="BK38" s="19">
        <v>55.464500000000008</v>
      </c>
      <c r="BL38" s="19">
        <v>81.063500000000005</v>
      </c>
      <c r="BM38" s="19">
        <v>60.536000000000008</v>
      </c>
      <c r="BN38" s="19">
        <v>49.185500000000005</v>
      </c>
      <c r="BO38" s="19">
        <v>71.886499999999998</v>
      </c>
      <c r="BP38" s="19"/>
      <c r="BQ3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35.581000000000003</v>
      </c>
      <c r="BR3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54.954666666666668</v>
      </c>
      <c r="BS3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71.886499999999998</v>
      </c>
      <c r="BT38" s="11">
        <f>Tabelle5897112140[[#This Row],[Mindestauslastung min]]*Tabelle5897112140[[#This Row],[installierte Leistung MW min]]</f>
        <v>0</v>
      </c>
      <c r="BU38" s="11">
        <f>Tabelle5897112140[[#This Row],[Mindestauslastung durch]]*Tabelle5897112140[[#This Row],[installierte Leistung MW durch]]</f>
        <v>0</v>
      </c>
      <c r="BV38" s="11">
        <f>Tabelle5897112140[[#This Row],[Mindestauslastung max]]*Tabelle5897112140[[#This Row],[installierte Leistung MW max]]</f>
        <v>0</v>
      </c>
      <c r="BW38" s="9">
        <v>0</v>
      </c>
      <c r="BX38" s="9">
        <v>0</v>
      </c>
      <c r="BY38" s="9">
        <v>0</v>
      </c>
      <c r="BZ38" s="9"/>
      <c r="CA38" s="9">
        <v>0.66</v>
      </c>
      <c r="CB38" s="9">
        <v>0.66</v>
      </c>
      <c r="CC38" s="9">
        <v>0.66</v>
      </c>
      <c r="CD38" s="9">
        <v>0.53</v>
      </c>
      <c r="CE38" s="9">
        <v>0.53</v>
      </c>
      <c r="CF38" s="9">
        <v>0.53</v>
      </c>
      <c r="CG38" s="9">
        <v>0.53</v>
      </c>
      <c r="CH38" s="9">
        <v>0.53</v>
      </c>
      <c r="CI38" s="9">
        <v>0.53</v>
      </c>
      <c r="CJ38" s="9">
        <v>0.66</v>
      </c>
      <c r="CK38" s="9">
        <v>0.66</v>
      </c>
      <c r="CL38" s="9">
        <v>0.66</v>
      </c>
      <c r="CM38" s="9">
        <v>0.53</v>
      </c>
      <c r="CN38" s="9">
        <v>0.53</v>
      </c>
      <c r="CO38" s="9">
        <v>0.53</v>
      </c>
      <c r="CP38" s="9">
        <v>0.53</v>
      </c>
      <c r="CQ38" s="9">
        <v>0.53</v>
      </c>
      <c r="CR38" s="9">
        <v>0.53</v>
      </c>
      <c r="CS38" s="9">
        <v>0.66</v>
      </c>
      <c r="CT38" s="9">
        <v>0.66</v>
      </c>
      <c r="CU38" s="9">
        <v>0.66</v>
      </c>
      <c r="CV38" s="9">
        <v>0.53</v>
      </c>
      <c r="CW38" s="9">
        <v>0.53</v>
      </c>
      <c r="CX38" s="9">
        <v>0.53</v>
      </c>
      <c r="CY38" s="9">
        <v>0.53</v>
      </c>
      <c r="CZ38" s="9">
        <v>0.53</v>
      </c>
      <c r="DA38" s="9">
        <v>0.53</v>
      </c>
      <c r="DB38" s="9">
        <f>MIN(Tabelle5897112140[[#This Row],[Durchschnittsauslastung durch Sommer WTT]:[Durchschnittsauslastung max Winter SFN]])</f>
        <v>0.53</v>
      </c>
      <c r="DC3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8" s="9">
        <f>MAX(Tabelle5897112140[[#This Row],[Durchschnittsauslastung durch Sommer WTT]:[Durchschnittsauslastung max Winter SFN]])</f>
        <v>0.66</v>
      </c>
      <c r="DE38" s="40">
        <f>Tabelle5897112140[[#This Row],[Durchschnittsauslastung min]]*Tabelle5897112140[[#This Row],[installierte Leistung MW min]]</f>
        <v>55.464500000000008</v>
      </c>
      <c r="DF38" s="40">
        <f>Tabelle5897112140[[#This Row],[Durchschnittsauslastung durch]]*Tabelle5897112140[[#This Row],[installierte Leistung MW durch]]</f>
        <v>73.845333333333357</v>
      </c>
      <c r="DG38" s="40">
        <f>Tabelle5897112140[[#This Row],[Durchschnittsauslastung max]]*Tabelle5897112140[[#This Row],[installierte Leistung MW max]]</f>
        <v>100.947</v>
      </c>
      <c r="DH38" s="46">
        <f>Tabelle5897112140[[#This Row],[Maximalauslastung min]]*Tabelle5897112140[[#This Row],[installierte Leistung MW min]]</f>
        <v>104.65</v>
      </c>
      <c r="DI38" s="46">
        <f>Tabelle5897112140[[#This Row],[Maximalauslastung durch]]*Tabelle5897112140[[#This Row],[installierte Leistung MW durch]]</f>
        <v>128.80000000000001</v>
      </c>
      <c r="DJ38" s="19">
        <f>Tabelle5897112140[[#This Row],[Maximalauslastung max]]*Tabelle5897112140[[#This Row],[installierte Leistung MW durch]]</f>
        <v>128.80000000000001</v>
      </c>
      <c r="DK38" s="9">
        <v>1</v>
      </c>
      <c r="DL38" s="9">
        <v>1</v>
      </c>
      <c r="DM38" s="9">
        <v>1</v>
      </c>
      <c r="DN38" s="1">
        <v>128.80000000000001</v>
      </c>
      <c r="DO38" s="1">
        <v>104.65</v>
      </c>
      <c r="DP38" s="1">
        <v>152.94999999999999</v>
      </c>
      <c r="DQ38" s="19"/>
      <c r="DR38" s="19"/>
      <c r="DW38" s="1">
        <v>1.1125</v>
      </c>
      <c r="DX38" s="1">
        <v>1</v>
      </c>
      <c r="DY38" s="1">
        <v>1.9</v>
      </c>
      <c r="EL38" s="1">
        <v>365</v>
      </c>
      <c r="EM38" s="1">
        <v>292</v>
      </c>
      <c r="EN38" s="1">
        <v>438</v>
      </c>
      <c r="EO38" s="11"/>
      <c r="EP38" s="11"/>
      <c r="EQ38" s="11"/>
      <c r="ER38" s="1">
        <v>365</v>
      </c>
      <c r="ES38" s="1">
        <v>292</v>
      </c>
      <c r="ET38" s="1">
        <v>438</v>
      </c>
      <c r="EV38" s="19"/>
      <c r="EW38" s="19"/>
      <c r="EX38" s="19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O38" s="1">
        <v>67</v>
      </c>
      <c r="FP38" s="1">
        <v>67</v>
      </c>
      <c r="FQ38" s="1">
        <v>67</v>
      </c>
      <c r="FR38" s="13" t="s">
        <v>806</v>
      </c>
      <c r="FS38" s="13" t="s">
        <v>806</v>
      </c>
      <c r="FT38" s="13" t="s">
        <v>806</v>
      </c>
      <c r="FU38" s="13"/>
      <c r="FV38" s="13" t="s">
        <v>806</v>
      </c>
      <c r="FW38" s="13" t="s">
        <v>806</v>
      </c>
      <c r="FX38" s="13" t="s">
        <v>806</v>
      </c>
      <c r="FY38" s="13" t="s">
        <v>806</v>
      </c>
      <c r="FZ38" s="13" t="s">
        <v>806</v>
      </c>
      <c r="GA38" s="13" t="s">
        <v>806</v>
      </c>
      <c r="GB38" s="13" t="s">
        <v>806</v>
      </c>
      <c r="GE38" s="13" t="s">
        <v>806</v>
      </c>
      <c r="GF38" s="13" t="s">
        <v>806</v>
      </c>
      <c r="GH38" s="13" t="s">
        <v>806</v>
      </c>
    </row>
    <row r="39" spans="1:190" ht="15" customHeight="1" x14ac:dyDescent="0.25">
      <c r="A39" s="1" t="s">
        <v>206</v>
      </c>
      <c r="B39" s="1" t="s">
        <v>747</v>
      </c>
      <c r="C39" s="1" t="s">
        <v>656</v>
      </c>
      <c r="D39" s="1" t="s">
        <v>673</v>
      </c>
      <c r="E39" s="1" t="s">
        <v>127</v>
      </c>
      <c r="F39" s="1">
        <v>0</v>
      </c>
      <c r="G39" s="1">
        <v>2040</v>
      </c>
      <c r="H39" s="1">
        <v>1</v>
      </c>
      <c r="I39" s="1">
        <v>0</v>
      </c>
      <c r="J39" s="1">
        <v>0</v>
      </c>
      <c r="K3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62.354500000000009</v>
      </c>
      <c r="L3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83.018666666666675</v>
      </c>
      <c r="M3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113.48700000000001</v>
      </c>
      <c r="N39" s="19">
        <v>95.567999999999998</v>
      </c>
      <c r="O39" s="19">
        <v>77.649000000000001</v>
      </c>
      <c r="P39" s="19">
        <v>113.48700000000001</v>
      </c>
      <c r="Q39" s="19">
        <v>49.231999999999999</v>
      </c>
      <c r="R39" s="19">
        <v>40.001000000000005</v>
      </c>
      <c r="S39" s="19">
        <v>58.462999999999994</v>
      </c>
      <c r="T39" s="19">
        <v>76.744</v>
      </c>
      <c r="U39" s="19">
        <v>62.354500000000009</v>
      </c>
      <c r="V39" s="19">
        <v>91.133500000000012</v>
      </c>
      <c r="W39" s="19">
        <v>68.056000000000012</v>
      </c>
      <c r="X39" s="19">
        <v>55.295500000000004</v>
      </c>
      <c r="Y39" s="19">
        <v>80.816500000000005</v>
      </c>
      <c r="Z39" s="19">
        <v>76.744</v>
      </c>
      <c r="AA39" s="19">
        <v>62.354500000000009</v>
      </c>
      <c r="AB39" s="19">
        <v>91.133500000000012</v>
      </c>
      <c r="AC39" s="19">
        <v>68.056000000000012</v>
      </c>
      <c r="AD39" s="19">
        <v>55.295500000000004</v>
      </c>
      <c r="AE39" s="19">
        <v>80.816500000000005</v>
      </c>
      <c r="AF39" s="19">
        <v>95.567999999999998</v>
      </c>
      <c r="AG39" s="19">
        <v>77.649000000000001</v>
      </c>
      <c r="AH39" s="19">
        <v>113.48700000000001</v>
      </c>
      <c r="AI39" s="19">
        <v>49.231999999999999</v>
      </c>
      <c r="AJ39" s="19">
        <v>40.001000000000005</v>
      </c>
      <c r="AK39" s="19">
        <v>58.462999999999994</v>
      </c>
      <c r="AL39" s="19">
        <v>76.744</v>
      </c>
      <c r="AM39" s="19">
        <v>62.354500000000009</v>
      </c>
      <c r="AN39" s="19">
        <v>91.133500000000012</v>
      </c>
      <c r="AO39" s="19">
        <v>68.056000000000012</v>
      </c>
      <c r="AP39" s="19">
        <v>55.295500000000004</v>
      </c>
      <c r="AQ39" s="19">
        <v>80.816500000000005</v>
      </c>
      <c r="AR39" s="19">
        <v>76.744</v>
      </c>
      <c r="AS39" s="19">
        <v>62.354500000000009</v>
      </c>
      <c r="AT39" s="19">
        <v>91.133500000000012</v>
      </c>
      <c r="AU39" s="19">
        <v>68.056000000000012</v>
      </c>
      <c r="AV39" s="19">
        <v>55.295500000000004</v>
      </c>
      <c r="AW39" s="19">
        <v>80.816500000000005</v>
      </c>
      <c r="AX39" s="19">
        <v>95.567999999999998</v>
      </c>
      <c r="AY39" s="19">
        <v>77.649000000000001</v>
      </c>
      <c r="AZ39" s="19">
        <v>113.48700000000001</v>
      </c>
      <c r="BA39" s="19">
        <v>49.231999999999999</v>
      </c>
      <c r="BB39" s="19">
        <v>40.001000000000005</v>
      </c>
      <c r="BC39" s="19">
        <v>58.462999999999994</v>
      </c>
      <c r="BD39" s="19">
        <v>76.744</v>
      </c>
      <c r="BE39" s="19">
        <v>62.354500000000009</v>
      </c>
      <c r="BF39" s="19">
        <v>91.133500000000012</v>
      </c>
      <c r="BG39" s="19">
        <v>68.056000000000012</v>
      </c>
      <c r="BH39" s="19">
        <v>55.295500000000004</v>
      </c>
      <c r="BI39" s="19">
        <v>80.816500000000005</v>
      </c>
      <c r="BJ39" s="19">
        <v>76.744</v>
      </c>
      <c r="BK39" s="19">
        <v>62.354500000000009</v>
      </c>
      <c r="BL39" s="19">
        <v>91.133500000000012</v>
      </c>
      <c r="BM39" s="19">
        <v>68.056000000000012</v>
      </c>
      <c r="BN39" s="19">
        <v>55.295500000000004</v>
      </c>
      <c r="BO39" s="19">
        <v>80.816500000000005</v>
      </c>
      <c r="BP39" s="19"/>
      <c r="BQ3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40.001000000000005</v>
      </c>
      <c r="BR3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61.78133333333335</v>
      </c>
      <c r="BS3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80.816500000000005</v>
      </c>
      <c r="BT39" s="11">
        <f>Tabelle5897112140[[#This Row],[Mindestauslastung min]]*Tabelle5897112140[[#This Row],[installierte Leistung MW min]]</f>
        <v>0</v>
      </c>
      <c r="BU39" s="11">
        <f>Tabelle5897112140[[#This Row],[Mindestauslastung durch]]*Tabelle5897112140[[#This Row],[installierte Leistung MW durch]]</f>
        <v>0</v>
      </c>
      <c r="BV39" s="11">
        <f>Tabelle5897112140[[#This Row],[Mindestauslastung max]]*Tabelle5897112140[[#This Row],[installierte Leistung MW max]]</f>
        <v>0</v>
      </c>
      <c r="BW39" s="9">
        <v>0</v>
      </c>
      <c r="BX39" s="9">
        <v>0</v>
      </c>
      <c r="BY39" s="9">
        <v>0</v>
      </c>
      <c r="BZ39" s="9"/>
      <c r="CA39" s="9">
        <v>0.66</v>
      </c>
      <c r="CB39" s="9">
        <v>0.66</v>
      </c>
      <c r="CC39" s="9">
        <v>0.66</v>
      </c>
      <c r="CD39" s="9">
        <v>0.53</v>
      </c>
      <c r="CE39" s="9">
        <v>0.53</v>
      </c>
      <c r="CF39" s="9">
        <v>0.53</v>
      </c>
      <c r="CG39" s="9">
        <v>0.53</v>
      </c>
      <c r="CH39" s="9">
        <v>0.53</v>
      </c>
      <c r="CI39" s="9">
        <v>0.53</v>
      </c>
      <c r="CJ39" s="9">
        <v>0.66</v>
      </c>
      <c r="CK39" s="9">
        <v>0.66</v>
      </c>
      <c r="CL39" s="9">
        <v>0.66</v>
      </c>
      <c r="CM39" s="9">
        <v>0.53</v>
      </c>
      <c r="CN39" s="9">
        <v>0.53</v>
      </c>
      <c r="CO39" s="9">
        <v>0.53</v>
      </c>
      <c r="CP39" s="9">
        <v>0.53</v>
      </c>
      <c r="CQ39" s="9">
        <v>0.53</v>
      </c>
      <c r="CR39" s="9">
        <v>0.53</v>
      </c>
      <c r="CS39" s="9">
        <v>0.66</v>
      </c>
      <c r="CT39" s="9">
        <v>0.66</v>
      </c>
      <c r="CU39" s="9">
        <v>0.66</v>
      </c>
      <c r="CV39" s="9">
        <v>0.53</v>
      </c>
      <c r="CW39" s="9">
        <v>0.53</v>
      </c>
      <c r="CX39" s="9">
        <v>0.53</v>
      </c>
      <c r="CY39" s="9">
        <v>0.53</v>
      </c>
      <c r="CZ39" s="9">
        <v>0.53</v>
      </c>
      <c r="DA39" s="9">
        <v>0.53</v>
      </c>
      <c r="DB39" s="9">
        <f>MIN(Tabelle5897112140[[#This Row],[Durchschnittsauslastung durch Sommer WTT]:[Durchschnittsauslastung max Winter SFN]])</f>
        <v>0.53</v>
      </c>
      <c r="DC3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9" s="9">
        <f>MAX(Tabelle5897112140[[#This Row],[Durchschnittsauslastung durch Sommer WTT]:[Durchschnittsauslastung max Winter SFN]])</f>
        <v>0.66</v>
      </c>
      <c r="DE39" s="40">
        <f>Tabelle5897112140[[#This Row],[Durchschnittsauslastung min]]*Tabelle5897112140[[#This Row],[installierte Leistung MW min]]</f>
        <v>62.354500000000009</v>
      </c>
      <c r="DF39" s="40">
        <f>Tabelle5897112140[[#This Row],[Durchschnittsauslastung durch]]*Tabelle5897112140[[#This Row],[installierte Leistung MW durch]]</f>
        <v>83.018666666666689</v>
      </c>
      <c r="DG39" s="40">
        <f>Tabelle5897112140[[#This Row],[Durchschnittsauslastung max]]*Tabelle5897112140[[#This Row],[installierte Leistung MW max]]</f>
        <v>113.48699999999999</v>
      </c>
      <c r="DH39" s="46">
        <f>Tabelle5897112140[[#This Row],[Maximalauslastung min]]*Tabelle5897112140[[#This Row],[installierte Leistung MW min]]</f>
        <v>117.65</v>
      </c>
      <c r="DI39" s="46">
        <f>Tabelle5897112140[[#This Row],[Maximalauslastung durch]]*Tabelle5897112140[[#This Row],[installierte Leistung MW durch]]</f>
        <v>144.80000000000001</v>
      </c>
      <c r="DJ39" s="19">
        <f>Tabelle5897112140[[#This Row],[Maximalauslastung max]]*Tabelle5897112140[[#This Row],[installierte Leistung MW durch]]</f>
        <v>144.80000000000001</v>
      </c>
      <c r="DK39" s="9">
        <v>1</v>
      </c>
      <c r="DL39" s="9">
        <v>1</v>
      </c>
      <c r="DM39" s="9">
        <v>1</v>
      </c>
      <c r="DN39" s="1">
        <v>144.80000000000001</v>
      </c>
      <c r="DO39" s="1">
        <v>117.65</v>
      </c>
      <c r="DP39" s="1">
        <v>171.95</v>
      </c>
      <c r="DQ39" s="19"/>
      <c r="DR39" s="19"/>
      <c r="DW39" s="1">
        <v>1.1125</v>
      </c>
      <c r="DX39" s="1">
        <v>1</v>
      </c>
      <c r="DY39" s="1">
        <v>1.9</v>
      </c>
      <c r="EL39" s="1">
        <v>365</v>
      </c>
      <c r="EM39" s="1">
        <v>292</v>
      </c>
      <c r="EN39" s="1">
        <v>438</v>
      </c>
      <c r="EO39" s="11"/>
      <c r="EP39" s="11"/>
      <c r="EQ39" s="11"/>
      <c r="ER39" s="1">
        <v>365</v>
      </c>
      <c r="ES39" s="1">
        <v>292</v>
      </c>
      <c r="ET39" s="1">
        <v>438</v>
      </c>
      <c r="EV39" s="19"/>
      <c r="EW39" s="19"/>
      <c r="EX39" s="19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O39" s="1">
        <v>67</v>
      </c>
      <c r="FP39" s="1">
        <v>67</v>
      </c>
      <c r="FQ39" s="1">
        <v>67</v>
      </c>
      <c r="FR39" s="13" t="s">
        <v>806</v>
      </c>
      <c r="FS39" s="13" t="s">
        <v>806</v>
      </c>
      <c r="FT39" s="13" t="s">
        <v>806</v>
      </c>
      <c r="FU39" s="13"/>
      <c r="FV39" s="13" t="s">
        <v>806</v>
      </c>
      <c r="FW39" s="13" t="s">
        <v>806</v>
      </c>
      <c r="FX39" s="13" t="s">
        <v>806</v>
      </c>
      <c r="FY39" s="13" t="s">
        <v>806</v>
      </c>
      <c r="FZ39" s="13" t="s">
        <v>806</v>
      </c>
      <c r="GA39" s="13" t="s">
        <v>806</v>
      </c>
      <c r="GB39" s="13" t="s">
        <v>806</v>
      </c>
      <c r="GE39" s="13" t="s">
        <v>806</v>
      </c>
      <c r="GF39" s="13" t="s">
        <v>806</v>
      </c>
      <c r="GH39" s="13" t="s">
        <v>806</v>
      </c>
    </row>
    <row r="40" spans="1:190" ht="15" customHeight="1" x14ac:dyDescent="0.25">
      <c r="A40" s="1" t="s">
        <v>206</v>
      </c>
      <c r="B40" s="1" t="s">
        <v>747</v>
      </c>
      <c r="C40" s="1" t="s">
        <v>656</v>
      </c>
      <c r="D40" s="1" t="s">
        <v>673</v>
      </c>
      <c r="E40" s="1" t="s">
        <v>127</v>
      </c>
      <c r="F40" s="1">
        <v>0</v>
      </c>
      <c r="G40" s="1">
        <v>2045</v>
      </c>
      <c r="H40" s="1">
        <v>1</v>
      </c>
      <c r="I40" s="1">
        <v>0</v>
      </c>
      <c r="J40" s="1">
        <v>0</v>
      </c>
      <c r="K4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70.278000000000006</v>
      </c>
      <c r="L4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93.567999999999984</v>
      </c>
      <c r="M4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127.908</v>
      </c>
      <c r="N40" s="19">
        <v>107.71199999999999</v>
      </c>
      <c r="O40" s="19">
        <v>87.516000000000005</v>
      </c>
      <c r="P40" s="19">
        <v>127.908</v>
      </c>
      <c r="Q40" s="19">
        <v>55.488</v>
      </c>
      <c r="R40" s="19">
        <v>45.084000000000003</v>
      </c>
      <c r="S40" s="19">
        <v>65.891999999999996</v>
      </c>
      <c r="T40" s="19">
        <v>86.495999999999995</v>
      </c>
      <c r="U40" s="19">
        <v>70.278000000000006</v>
      </c>
      <c r="V40" s="19">
        <v>102.714</v>
      </c>
      <c r="W40" s="19">
        <v>76.704000000000008</v>
      </c>
      <c r="X40" s="19">
        <v>62.322000000000003</v>
      </c>
      <c r="Y40" s="19">
        <v>91.085999999999999</v>
      </c>
      <c r="Z40" s="19">
        <v>86.495999999999995</v>
      </c>
      <c r="AA40" s="19">
        <v>70.278000000000006</v>
      </c>
      <c r="AB40" s="19">
        <v>102.714</v>
      </c>
      <c r="AC40" s="19">
        <v>76.704000000000008</v>
      </c>
      <c r="AD40" s="19">
        <v>62.322000000000003</v>
      </c>
      <c r="AE40" s="19">
        <v>91.085999999999999</v>
      </c>
      <c r="AF40" s="19">
        <v>107.71199999999999</v>
      </c>
      <c r="AG40" s="19">
        <v>87.516000000000005</v>
      </c>
      <c r="AH40" s="19">
        <v>127.908</v>
      </c>
      <c r="AI40" s="19">
        <v>55.488</v>
      </c>
      <c r="AJ40" s="19">
        <v>45.084000000000003</v>
      </c>
      <c r="AK40" s="19">
        <v>65.891999999999996</v>
      </c>
      <c r="AL40" s="19">
        <v>86.495999999999995</v>
      </c>
      <c r="AM40" s="19">
        <v>70.278000000000006</v>
      </c>
      <c r="AN40" s="19">
        <v>102.714</v>
      </c>
      <c r="AO40" s="19">
        <v>76.704000000000008</v>
      </c>
      <c r="AP40" s="19">
        <v>62.322000000000003</v>
      </c>
      <c r="AQ40" s="19">
        <v>91.085999999999999</v>
      </c>
      <c r="AR40" s="19">
        <v>86.495999999999995</v>
      </c>
      <c r="AS40" s="19">
        <v>70.278000000000006</v>
      </c>
      <c r="AT40" s="19">
        <v>102.714</v>
      </c>
      <c r="AU40" s="19">
        <v>76.704000000000008</v>
      </c>
      <c r="AV40" s="19">
        <v>62.322000000000003</v>
      </c>
      <c r="AW40" s="19">
        <v>91.085999999999999</v>
      </c>
      <c r="AX40" s="19">
        <v>107.71199999999999</v>
      </c>
      <c r="AY40" s="19">
        <v>87.516000000000005</v>
      </c>
      <c r="AZ40" s="19">
        <v>127.908</v>
      </c>
      <c r="BA40" s="19">
        <v>55.488</v>
      </c>
      <c r="BB40" s="19">
        <v>45.084000000000003</v>
      </c>
      <c r="BC40" s="19">
        <v>65.891999999999996</v>
      </c>
      <c r="BD40" s="19">
        <v>86.495999999999995</v>
      </c>
      <c r="BE40" s="19">
        <v>70.278000000000006</v>
      </c>
      <c r="BF40" s="19">
        <v>102.714</v>
      </c>
      <c r="BG40" s="19">
        <v>76.704000000000008</v>
      </c>
      <c r="BH40" s="19">
        <v>62.322000000000003</v>
      </c>
      <c r="BI40" s="19">
        <v>91.085999999999999</v>
      </c>
      <c r="BJ40" s="19">
        <v>86.495999999999995</v>
      </c>
      <c r="BK40" s="19">
        <v>70.278000000000006</v>
      </c>
      <c r="BL40" s="19">
        <v>102.714</v>
      </c>
      <c r="BM40" s="19">
        <v>76.704000000000008</v>
      </c>
      <c r="BN40" s="19">
        <v>62.322000000000003</v>
      </c>
      <c r="BO40" s="19">
        <v>91.085999999999999</v>
      </c>
      <c r="BP40" s="19"/>
      <c r="BQ4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45.084000000000003</v>
      </c>
      <c r="BR4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69.632000000000005</v>
      </c>
      <c r="BS4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91.085999999999999</v>
      </c>
      <c r="BT40" s="11">
        <f>Tabelle5897112140[[#This Row],[Mindestauslastung min]]*Tabelle5897112140[[#This Row],[installierte Leistung MW min]]</f>
        <v>0</v>
      </c>
      <c r="BU40" s="11">
        <f>Tabelle5897112140[[#This Row],[Mindestauslastung durch]]*Tabelle5897112140[[#This Row],[installierte Leistung MW durch]]</f>
        <v>0</v>
      </c>
      <c r="BV40" s="11">
        <f>Tabelle5897112140[[#This Row],[Mindestauslastung max]]*Tabelle5897112140[[#This Row],[installierte Leistung MW max]]</f>
        <v>0</v>
      </c>
      <c r="BW40" s="9">
        <v>0</v>
      </c>
      <c r="BX40" s="9">
        <v>0</v>
      </c>
      <c r="BY40" s="9">
        <v>0</v>
      </c>
      <c r="BZ40" s="9"/>
      <c r="CA40" s="9">
        <v>0.66</v>
      </c>
      <c r="CB40" s="9">
        <v>0.66</v>
      </c>
      <c r="CC40" s="9">
        <v>0.66</v>
      </c>
      <c r="CD40" s="9">
        <v>0.53</v>
      </c>
      <c r="CE40" s="9">
        <v>0.53</v>
      </c>
      <c r="CF40" s="9">
        <v>0.53</v>
      </c>
      <c r="CG40" s="9">
        <v>0.53</v>
      </c>
      <c r="CH40" s="9">
        <v>0.53</v>
      </c>
      <c r="CI40" s="9">
        <v>0.53</v>
      </c>
      <c r="CJ40" s="9">
        <v>0.66</v>
      </c>
      <c r="CK40" s="9">
        <v>0.66</v>
      </c>
      <c r="CL40" s="9">
        <v>0.66</v>
      </c>
      <c r="CM40" s="9">
        <v>0.53</v>
      </c>
      <c r="CN40" s="9">
        <v>0.53</v>
      </c>
      <c r="CO40" s="9">
        <v>0.53</v>
      </c>
      <c r="CP40" s="9">
        <v>0.53</v>
      </c>
      <c r="CQ40" s="9">
        <v>0.53</v>
      </c>
      <c r="CR40" s="9">
        <v>0.53</v>
      </c>
      <c r="CS40" s="9">
        <v>0.66</v>
      </c>
      <c r="CT40" s="9">
        <v>0.66</v>
      </c>
      <c r="CU40" s="9">
        <v>0.66</v>
      </c>
      <c r="CV40" s="9">
        <v>0.53</v>
      </c>
      <c r="CW40" s="9">
        <v>0.53</v>
      </c>
      <c r="CX40" s="9">
        <v>0.53</v>
      </c>
      <c r="CY40" s="9">
        <v>0.53</v>
      </c>
      <c r="CZ40" s="9">
        <v>0.53</v>
      </c>
      <c r="DA40" s="9">
        <v>0.53</v>
      </c>
      <c r="DB40" s="9">
        <f>MIN(Tabelle5897112140[[#This Row],[Durchschnittsauslastung durch Sommer WTT]:[Durchschnittsauslastung max Winter SFN]])</f>
        <v>0.53</v>
      </c>
      <c r="DC4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40" s="9">
        <f>MAX(Tabelle5897112140[[#This Row],[Durchschnittsauslastung durch Sommer WTT]:[Durchschnittsauslastung max Winter SFN]])</f>
        <v>0.66</v>
      </c>
      <c r="DE40" s="40">
        <f>Tabelle5897112140[[#This Row],[Durchschnittsauslastung min]]*Tabelle5897112140[[#This Row],[installierte Leistung MW min]]</f>
        <v>70.278000000000006</v>
      </c>
      <c r="DF40" s="40">
        <f>Tabelle5897112140[[#This Row],[Durchschnittsauslastung durch]]*Tabelle5897112140[[#This Row],[installierte Leistung MW durch]]</f>
        <v>93.568000000000012</v>
      </c>
      <c r="DG40" s="40">
        <f>Tabelle5897112140[[#This Row],[Durchschnittsauslastung max]]*Tabelle5897112140[[#This Row],[installierte Leistung MW max]]</f>
        <v>127.90800000000002</v>
      </c>
      <c r="DH40" s="46">
        <f>Tabelle5897112140[[#This Row],[Maximalauslastung min]]*Tabelle5897112140[[#This Row],[installierte Leistung MW min]]</f>
        <v>132.6</v>
      </c>
      <c r="DI40" s="46">
        <f>Tabelle5897112140[[#This Row],[Maximalauslastung durch]]*Tabelle5897112140[[#This Row],[installierte Leistung MW durch]]</f>
        <v>163.19999999999999</v>
      </c>
      <c r="DJ40" s="19">
        <f>Tabelle5897112140[[#This Row],[Maximalauslastung max]]*Tabelle5897112140[[#This Row],[installierte Leistung MW durch]]</f>
        <v>163.19999999999999</v>
      </c>
      <c r="DK40" s="9">
        <v>1</v>
      </c>
      <c r="DL40" s="9">
        <v>1</v>
      </c>
      <c r="DM40" s="9">
        <v>1</v>
      </c>
      <c r="DN40" s="1">
        <v>163.19999999999999</v>
      </c>
      <c r="DO40" s="1">
        <v>132.6</v>
      </c>
      <c r="DP40" s="1">
        <v>193.8</v>
      </c>
      <c r="DQ40" s="19"/>
      <c r="DR40" s="19"/>
      <c r="DW40" s="1">
        <v>1.1125</v>
      </c>
      <c r="DX40" s="1">
        <v>1</v>
      </c>
      <c r="DY40" s="1">
        <v>1.9</v>
      </c>
      <c r="EL40" s="1">
        <v>365</v>
      </c>
      <c r="EM40" s="1">
        <v>292</v>
      </c>
      <c r="EN40" s="1">
        <v>438</v>
      </c>
      <c r="EO40" s="11"/>
      <c r="EP40" s="11"/>
      <c r="EQ40" s="11"/>
      <c r="ER40" s="1">
        <v>365</v>
      </c>
      <c r="ES40" s="1">
        <v>292</v>
      </c>
      <c r="ET40" s="1">
        <v>438</v>
      </c>
      <c r="EV40" s="19"/>
      <c r="EW40" s="19"/>
      <c r="EX40" s="19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O40" s="1">
        <v>67</v>
      </c>
      <c r="FP40" s="1">
        <v>67</v>
      </c>
      <c r="FQ40" s="1">
        <v>67</v>
      </c>
      <c r="FR40" s="13" t="s">
        <v>806</v>
      </c>
      <c r="FS40" s="13" t="s">
        <v>806</v>
      </c>
      <c r="FT40" s="13" t="s">
        <v>806</v>
      </c>
      <c r="FU40" s="13"/>
      <c r="FV40" s="13" t="s">
        <v>806</v>
      </c>
      <c r="FW40" s="13" t="s">
        <v>806</v>
      </c>
      <c r="FX40" s="13" t="s">
        <v>806</v>
      </c>
      <c r="FY40" s="13" t="s">
        <v>806</v>
      </c>
      <c r="FZ40" s="13" t="s">
        <v>806</v>
      </c>
      <c r="GA40" s="13" t="s">
        <v>806</v>
      </c>
      <c r="GB40" s="13" t="s">
        <v>806</v>
      </c>
      <c r="GE40" s="13" t="s">
        <v>806</v>
      </c>
      <c r="GF40" s="13" t="s">
        <v>806</v>
      </c>
      <c r="GH40" s="13" t="s">
        <v>806</v>
      </c>
    </row>
    <row r="41" spans="1:190" ht="15" customHeight="1" x14ac:dyDescent="0.25">
      <c r="A41" s="1" t="s">
        <v>206</v>
      </c>
      <c r="B41" s="1" t="s">
        <v>747</v>
      </c>
      <c r="C41" s="1" t="s">
        <v>656</v>
      </c>
      <c r="D41" s="1" t="s">
        <v>673</v>
      </c>
      <c r="E41" s="1" t="s">
        <v>127</v>
      </c>
      <c r="F41" s="1">
        <v>0</v>
      </c>
      <c r="G41" s="1">
        <v>2050</v>
      </c>
      <c r="H41" s="1">
        <v>1</v>
      </c>
      <c r="I41" s="1">
        <v>0</v>
      </c>
      <c r="J41" s="1">
        <v>0</v>
      </c>
      <c r="K4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79.234999999999999</v>
      </c>
      <c r="L4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105.49333333333331</v>
      </c>
      <c r="M4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144.21</v>
      </c>
      <c r="N41" s="19">
        <v>121.43999999999998</v>
      </c>
      <c r="O41" s="19">
        <v>98.669999999999987</v>
      </c>
      <c r="P41" s="19">
        <v>144.21</v>
      </c>
      <c r="Q41" s="19">
        <v>62.559999999999995</v>
      </c>
      <c r="R41" s="19">
        <v>50.83</v>
      </c>
      <c r="S41" s="19">
        <v>74.289999999999992</v>
      </c>
      <c r="T41" s="19">
        <v>97.52</v>
      </c>
      <c r="U41" s="19">
        <v>79.234999999999999</v>
      </c>
      <c r="V41" s="19">
        <v>115.80499999999999</v>
      </c>
      <c r="W41" s="19">
        <v>86.47999999999999</v>
      </c>
      <c r="X41" s="19">
        <v>70.265000000000001</v>
      </c>
      <c r="Y41" s="19">
        <v>102.69499999999999</v>
      </c>
      <c r="Z41" s="19">
        <v>97.52</v>
      </c>
      <c r="AA41" s="19">
        <v>79.234999999999999</v>
      </c>
      <c r="AB41" s="19">
        <v>115.80499999999999</v>
      </c>
      <c r="AC41" s="19">
        <v>86.47999999999999</v>
      </c>
      <c r="AD41" s="19">
        <v>70.265000000000001</v>
      </c>
      <c r="AE41" s="19">
        <v>102.69499999999999</v>
      </c>
      <c r="AF41" s="19">
        <v>121.43999999999998</v>
      </c>
      <c r="AG41" s="19">
        <v>98.669999999999987</v>
      </c>
      <c r="AH41" s="19">
        <v>144.21</v>
      </c>
      <c r="AI41" s="19">
        <v>62.559999999999995</v>
      </c>
      <c r="AJ41" s="19">
        <v>50.83</v>
      </c>
      <c r="AK41" s="19">
        <v>74.289999999999992</v>
      </c>
      <c r="AL41" s="19">
        <v>97.52</v>
      </c>
      <c r="AM41" s="19">
        <v>79.234999999999999</v>
      </c>
      <c r="AN41" s="19">
        <v>115.80499999999999</v>
      </c>
      <c r="AO41" s="19">
        <v>86.47999999999999</v>
      </c>
      <c r="AP41" s="19">
        <v>70.265000000000001</v>
      </c>
      <c r="AQ41" s="19">
        <v>102.69499999999999</v>
      </c>
      <c r="AR41" s="19">
        <v>97.52</v>
      </c>
      <c r="AS41" s="19">
        <v>79.234999999999999</v>
      </c>
      <c r="AT41" s="19">
        <v>115.80499999999999</v>
      </c>
      <c r="AU41" s="19">
        <v>86.47999999999999</v>
      </c>
      <c r="AV41" s="19">
        <v>70.265000000000001</v>
      </c>
      <c r="AW41" s="19">
        <v>102.69499999999999</v>
      </c>
      <c r="AX41" s="19">
        <v>121.43999999999998</v>
      </c>
      <c r="AY41" s="19">
        <v>98.669999999999987</v>
      </c>
      <c r="AZ41" s="19">
        <v>144.21</v>
      </c>
      <c r="BA41" s="19">
        <v>62.559999999999995</v>
      </c>
      <c r="BB41" s="19">
        <v>50.83</v>
      </c>
      <c r="BC41" s="19">
        <v>74.289999999999992</v>
      </c>
      <c r="BD41" s="19">
        <v>97.52</v>
      </c>
      <c r="BE41" s="19">
        <v>79.234999999999999</v>
      </c>
      <c r="BF41" s="19">
        <v>115.80499999999999</v>
      </c>
      <c r="BG41" s="19">
        <v>86.47999999999999</v>
      </c>
      <c r="BH41" s="19">
        <v>70.265000000000001</v>
      </c>
      <c r="BI41" s="19">
        <v>102.69499999999999</v>
      </c>
      <c r="BJ41" s="19">
        <v>97.52</v>
      </c>
      <c r="BK41" s="19">
        <v>79.234999999999999</v>
      </c>
      <c r="BL41" s="19">
        <v>115.80499999999999</v>
      </c>
      <c r="BM41" s="19">
        <v>86.47999999999999</v>
      </c>
      <c r="BN41" s="19">
        <v>70.265000000000001</v>
      </c>
      <c r="BO41" s="19">
        <v>102.69499999999999</v>
      </c>
      <c r="BP41" s="19"/>
      <c r="BQ4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50.83</v>
      </c>
      <c r="BR4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78.506666666666661</v>
      </c>
      <c r="BS4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102.69499999999999</v>
      </c>
      <c r="BT41" s="11">
        <f>Tabelle5897112140[[#This Row],[Mindestauslastung min]]*Tabelle5897112140[[#This Row],[installierte Leistung MW min]]</f>
        <v>0</v>
      </c>
      <c r="BU41" s="11">
        <f>Tabelle5897112140[[#This Row],[Mindestauslastung durch]]*Tabelle5897112140[[#This Row],[installierte Leistung MW durch]]</f>
        <v>0</v>
      </c>
      <c r="BV41" s="11">
        <f>Tabelle5897112140[[#This Row],[Mindestauslastung max]]*Tabelle5897112140[[#This Row],[installierte Leistung MW max]]</f>
        <v>0</v>
      </c>
      <c r="BW41" s="9">
        <v>0</v>
      </c>
      <c r="BX41" s="9">
        <v>0</v>
      </c>
      <c r="BY41" s="9">
        <v>0</v>
      </c>
      <c r="BZ41" s="9"/>
      <c r="CA41" s="9">
        <v>0.66</v>
      </c>
      <c r="CB41" s="9">
        <v>0.66</v>
      </c>
      <c r="CC41" s="9">
        <v>0.66</v>
      </c>
      <c r="CD41" s="9">
        <v>0.53</v>
      </c>
      <c r="CE41" s="9">
        <v>0.53</v>
      </c>
      <c r="CF41" s="9">
        <v>0.53</v>
      </c>
      <c r="CG41" s="9">
        <v>0.53</v>
      </c>
      <c r="CH41" s="9">
        <v>0.53</v>
      </c>
      <c r="CI41" s="9">
        <v>0.53</v>
      </c>
      <c r="CJ41" s="9">
        <v>0.66</v>
      </c>
      <c r="CK41" s="9">
        <v>0.66</v>
      </c>
      <c r="CL41" s="9">
        <v>0.66</v>
      </c>
      <c r="CM41" s="9">
        <v>0.53</v>
      </c>
      <c r="CN41" s="9">
        <v>0.53</v>
      </c>
      <c r="CO41" s="9">
        <v>0.53</v>
      </c>
      <c r="CP41" s="9">
        <v>0.53</v>
      </c>
      <c r="CQ41" s="9">
        <v>0.53</v>
      </c>
      <c r="CR41" s="9">
        <v>0.53</v>
      </c>
      <c r="CS41" s="9">
        <v>0.66</v>
      </c>
      <c r="CT41" s="9">
        <v>0.66</v>
      </c>
      <c r="CU41" s="9">
        <v>0.66</v>
      </c>
      <c r="CV41" s="9">
        <v>0.53</v>
      </c>
      <c r="CW41" s="9">
        <v>0.53</v>
      </c>
      <c r="CX41" s="9">
        <v>0.53</v>
      </c>
      <c r="CY41" s="9">
        <v>0.53</v>
      </c>
      <c r="CZ41" s="9">
        <v>0.53</v>
      </c>
      <c r="DA41" s="9">
        <v>0.53</v>
      </c>
      <c r="DB41" s="9">
        <f>MIN(Tabelle5897112140[[#This Row],[Durchschnittsauslastung durch Sommer WTT]:[Durchschnittsauslastung max Winter SFN]])</f>
        <v>0.53</v>
      </c>
      <c r="DC4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41" s="9">
        <f>MAX(Tabelle5897112140[[#This Row],[Durchschnittsauslastung durch Sommer WTT]:[Durchschnittsauslastung max Winter SFN]])</f>
        <v>0.66</v>
      </c>
      <c r="DE41" s="40">
        <f>Tabelle5897112140[[#This Row],[Durchschnittsauslastung min]]*Tabelle5897112140[[#This Row],[installierte Leistung MW min]]</f>
        <v>79.234999999999999</v>
      </c>
      <c r="DF41" s="40">
        <f>Tabelle5897112140[[#This Row],[Durchschnittsauslastung durch]]*Tabelle5897112140[[#This Row],[installierte Leistung MW durch]]</f>
        <v>105.49333333333335</v>
      </c>
      <c r="DG41" s="40">
        <f>Tabelle5897112140[[#This Row],[Durchschnittsauslastung max]]*Tabelle5897112140[[#This Row],[installierte Leistung MW max]]</f>
        <v>144.21</v>
      </c>
      <c r="DH41" s="46">
        <f>Tabelle5897112140[[#This Row],[Maximalauslastung min]]*Tabelle5897112140[[#This Row],[installierte Leistung MW min]]</f>
        <v>149.5</v>
      </c>
      <c r="DI41" s="46">
        <f>Tabelle5897112140[[#This Row],[Maximalauslastung durch]]*Tabelle5897112140[[#This Row],[installierte Leistung MW durch]]</f>
        <v>184</v>
      </c>
      <c r="DJ41" s="19">
        <f>Tabelle5897112140[[#This Row],[Maximalauslastung max]]*Tabelle5897112140[[#This Row],[installierte Leistung MW durch]]</f>
        <v>184</v>
      </c>
      <c r="DK41" s="9">
        <v>1</v>
      </c>
      <c r="DL41" s="9">
        <v>1</v>
      </c>
      <c r="DM41" s="9">
        <v>1</v>
      </c>
      <c r="DN41" s="1">
        <v>184</v>
      </c>
      <c r="DO41" s="1">
        <v>149.5</v>
      </c>
      <c r="DP41" s="1">
        <v>218.5</v>
      </c>
      <c r="DQ41" s="19"/>
      <c r="DR41" s="19"/>
      <c r="DW41" s="1">
        <v>1.1125</v>
      </c>
      <c r="DX41" s="1">
        <v>1</v>
      </c>
      <c r="DY41" s="1">
        <v>1.9</v>
      </c>
      <c r="EL41" s="1">
        <v>365</v>
      </c>
      <c r="EM41" s="1">
        <v>292</v>
      </c>
      <c r="EN41" s="1">
        <v>438</v>
      </c>
      <c r="EO41" s="11"/>
      <c r="EP41" s="11"/>
      <c r="EQ41" s="11"/>
      <c r="ER41" s="1">
        <v>365</v>
      </c>
      <c r="ES41" s="1">
        <v>292</v>
      </c>
      <c r="ET41" s="1">
        <v>438</v>
      </c>
      <c r="EV41" s="19"/>
      <c r="EW41" s="19"/>
      <c r="EX41" s="19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O41" s="1">
        <v>67</v>
      </c>
      <c r="FP41" s="1">
        <v>67</v>
      </c>
      <c r="FQ41" s="1">
        <v>67</v>
      </c>
      <c r="FR41" s="13" t="s">
        <v>806</v>
      </c>
      <c r="FS41" s="13" t="s">
        <v>806</v>
      </c>
      <c r="FT41" s="13" t="s">
        <v>806</v>
      </c>
      <c r="FU41" s="13"/>
      <c r="FV41" s="13" t="s">
        <v>806</v>
      </c>
      <c r="FW41" s="13" t="s">
        <v>806</v>
      </c>
      <c r="FX41" s="13" t="s">
        <v>806</v>
      </c>
      <c r="FY41" s="13" t="s">
        <v>806</v>
      </c>
      <c r="FZ41" s="13" t="s">
        <v>806</v>
      </c>
      <c r="GA41" s="13" t="s">
        <v>806</v>
      </c>
      <c r="GB41" s="13" t="s">
        <v>806</v>
      </c>
      <c r="GE41" s="13" t="s">
        <v>806</v>
      </c>
      <c r="GF41" s="13" t="s">
        <v>806</v>
      </c>
      <c r="GH41" s="13" t="s">
        <v>806</v>
      </c>
    </row>
    <row r="42" spans="1:190" ht="15" customHeight="1" x14ac:dyDescent="0.25">
      <c r="A42" s="1" t="s">
        <v>208</v>
      </c>
      <c r="B42" s="1" t="s">
        <v>651</v>
      </c>
      <c r="C42" s="1" t="s">
        <v>656</v>
      </c>
      <c r="D42" s="1" t="s">
        <v>674</v>
      </c>
      <c r="E42" s="1" t="s">
        <v>127</v>
      </c>
      <c r="F42" s="1">
        <v>0</v>
      </c>
      <c r="G42" s="1">
        <v>2015</v>
      </c>
      <c r="H42" s="1">
        <v>1</v>
      </c>
      <c r="I42" s="1">
        <v>0</v>
      </c>
      <c r="J42" s="1">
        <v>0</v>
      </c>
      <c r="K4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2.5</v>
      </c>
      <c r="L4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30.916666666666668</v>
      </c>
      <c r="M4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105.75</v>
      </c>
      <c r="N42" s="19">
        <v>61.25</v>
      </c>
      <c r="O42" s="19">
        <v>28.75</v>
      </c>
      <c r="P42" s="19">
        <v>105.75</v>
      </c>
      <c r="Q42" s="19">
        <v>1.75</v>
      </c>
      <c r="R42" s="19">
        <v>0</v>
      </c>
      <c r="S42" s="19">
        <v>36</v>
      </c>
      <c r="T42" s="19">
        <v>15.75</v>
      </c>
      <c r="U42" s="19">
        <v>2.5</v>
      </c>
      <c r="V42" s="19">
        <v>36</v>
      </c>
      <c r="W42" s="19">
        <v>47.25</v>
      </c>
      <c r="X42" s="19">
        <v>21.25</v>
      </c>
      <c r="Y42" s="19">
        <v>83.25</v>
      </c>
      <c r="Z42" s="19">
        <v>15.75</v>
      </c>
      <c r="AA42" s="19">
        <v>2.5</v>
      </c>
      <c r="AB42" s="19">
        <v>36</v>
      </c>
      <c r="AC42" s="19">
        <v>47.25</v>
      </c>
      <c r="AD42" s="19">
        <v>21.25</v>
      </c>
      <c r="AE42" s="19">
        <v>83.25</v>
      </c>
      <c r="AF42" s="19">
        <v>61.25</v>
      </c>
      <c r="AG42" s="19">
        <v>28.75</v>
      </c>
      <c r="AH42" s="19">
        <v>105.75</v>
      </c>
      <c r="AI42" s="19">
        <v>1.75</v>
      </c>
      <c r="AJ42" s="19">
        <v>0</v>
      </c>
      <c r="AK42" s="19">
        <v>36</v>
      </c>
      <c r="AL42" s="19">
        <v>15.75</v>
      </c>
      <c r="AM42" s="19">
        <v>2.5</v>
      </c>
      <c r="AN42" s="19">
        <v>36</v>
      </c>
      <c r="AO42" s="19">
        <v>47.25</v>
      </c>
      <c r="AP42" s="19">
        <v>21.25</v>
      </c>
      <c r="AQ42" s="19">
        <v>83.25</v>
      </c>
      <c r="AR42" s="19">
        <v>15.75</v>
      </c>
      <c r="AS42" s="19">
        <v>2.5</v>
      </c>
      <c r="AT42" s="19">
        <v>36</v>
      </c>
      <c r="AU42" s="19">
        <v>47.25</v>
      </c>
      <c r="AV42" s="19">
        <v>21.25</v>
      </c>
      <c r="AW42" s="19">
        <v>83.25</v>
      </c>
      <c r="AX42" s="19">
        <v>61.25</v>
      </c>
      <c r="AY42" s="19">
        <v>28.75</v>
      </c>
      <c r="AZ42" s="19">
        <v>105.75</v>
      </c>
      <c r="BA42" s="19">
        <v>1.75</v>
      </c>
      <c r="BB42" s="19">
        <v>0</v>
      </c>
      <c r="BC42" s="19">
        <v>36</v>
      </c>
      <c r="BD42" s="19">
        <v>15.75</v>
      </c>
      <c r="BE42" s="19">
        <v>2.5</v>
      </c>
      <c r="BF42" s="19">
        <v>36</v>
      </c>
      <c r="BG42" s="19">
        <v>47.25</v>
      </c>
      <c r="BH42" s="19">
        <v>21.25</v>
      </c>
      <c r="BI42" s="19">
        <v>83.25</v>
      </c>
      <c r="BJ42" s="19">
        <v>15.75</v>
      </c>
      <c r="BK42" s="19">
        <v>2.5</v>
      </c>
      <c r="BL42" s="19">
        <v>36</v>
      </c>
      <c r="BM42" s="19">
        <v>47.25</v>
      </c>
      <c r="BN42" s="19">
        <v>21.25</v>
      </c>
      <c r="BO42" s="19">
        <v>83.25</v>
      </c>
      <c r="BP42" s="19"/>
      <c r="BQ4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32.083333333333336</v>
      </c>
      <c r="BS4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83.25</v>
      </c>
      <c r="BT42" s="11">
        <f>Tabelle5897112140[[#This Row],[Mindestauslastung min]]*Tabelle5897112140[[#This Row],[installierte Leistung MW min]]</f>
        <v>16.25</v>
      </c>
      <c r="BU42" s="11">
        <f>Tabelle5897112140[[#This Row],[Mindestauslastung durch]]*Tabelle5897112140[[#This Row],[installierte Leistung MW durch]]</f>
        <v>26.25</v>
      </c>
      <c r="BV42" s="11">
        <f>Tabelle5897112140[[#This Row],[Mindestauslastung max]]*Tabelle5897112140[[#This Row],[installierte Leistung MW max]]</f>
        <v>38.25</v>
      </c>
      <c r="BW42" s="9">
        <v>0.13</v>
      </c>
      <c r="BX42" s="9">
        <v>0.15</v>
      </c>
      <c r="BY42" s="9">
        <v>0.17</v>
      </c>
      <c r="BZ42" s="9"/>
      <c r="CA42" s="9">
        <v>0.5</v>
      </c>
      <c r="CB42" s="9">
        <v>0.4</v>
      </c>
      <c r="CC42" s="9">
        <v>0.6</v>
      </c>
      <c r="CD42" s="9">
        <v>0.24</v>
      </c>
      <c r="CE42" s="9">
        <v>0.19</v>
      </c>
      <c r="CF42" s="9">
        <v>0.28999999999999998</v>
      </c>
      <c r="CG42" s="9">
        <v>0.24</v>
      </c>
      <c r="CH42" s="9">
        <v>0.19</v>
      </c>
      <c r="CI42" s="9">
        <v>0.28999999999999998</v>
      </c>
      <c r="CJ42" s="9">
        <v>0.5</v>
      </c>
      <c r="CK42" s="9">
        <v>0.4</v>
      </c>
      <c r="CL42" s="9">
        <v>0.6</v>
      </c>
      <c r="CM42" s="9">
        <v>0.24</v>
      </c>
      <c r="CN42" s="9">
        <v>0.19</v>
      </c>
      <c r="CO42" s="9">
        <v>0.28999999999999998</v>
      </c>
      <c r="CP42" s="9">
        <v>0.24</v>
      </c>
      <c r="CQ42" s="9">
        <v>0.19</v>
      </c>
      <c r="CR42" s="9">
        <v>0.28999999999999998</v>
      </c>
      <c r="CS42" s="9">
        <v>0.5</v>
      </c>
      <c r="CT42" s="9">
        <v>0.4</v>
      </c>
      <c r="CU42" s="9">
        <v>0.6</v>
      </c>
      <c r="CV42" s="9">
        <v>0.24</v>
      </c>
      <c r="CW42" s="9">
        <v>0.19</v>
      </c>
      <c r="CX42" s="9">
        <v>0.28999999999999998</v>
      </c>
      <c r="CY42" s="9">
        <v>0.24</v>
      </c>
      <c r="CZ42" s="9">
        <v>0.19</v>
      </c>
      <c r="DA42" s="9">
        <v>0.28999999999999998</v>
      </c>
      <c r="DB42" s="9">
        <f>MIN(Tabelle5897112140[[#This Row],[Durchschnittsauslastung durch Sommer WTT]:[Durchschnittsauslastung max Winter SFN]])</f>
        <v>0.19</v>
      </c>
      <c r="DC4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2" s="9">
        <f>MAX(Tabelle5897112140[[#This Row],[Durchschnittsauslastung durch Sommer WTT]:[Durchschnittsauslastung max Winter SFN]])</f>
        <v>0.6</v>
      </c>
      <c r="DE42" s="40">
        <f>Tabelle5897112140[[#This Row],[Durchschnittsauslastung min]]*Tabelle5897112140[[#This Row],[installierte Leistung MW min]]</f>
        <v>23.75</v>
      </c>
      <c r="DF42" s="40">
        <f>Tabelle5897112140[[#This Row],[Durchschnittsauslastung durch]]*Tabelle5897112140[[#This Row],[installierte Leistung MW durch]]</f>
        <v>57.166666666666679</v>
      </c>
      <c r="DG42" s="40">
        <f>Tabelle5897112140[[#This Row],[Durchschnittsauslastung max]]*Tabelle5897112140[[#This Row],[installierte Leistung MW max]]</f>
        <v>135</v>
      </c>
      <c r="DH42" s="46">
        <f>Tabelle5897112140[[#This Row],[Maximalauslastung min]]*Tabelle5897112140[[#This Row],[installierte Leistung MW min]]</f>
        <v>57.5</v>
      </c>
      <c r="DI42" s="46">
        <f>Tabelle5897112140[[#This Row],[Maximalauslastung durch]]*Tabelle5897112140[[#This Row],[installierte Leistung MW durch]]</f>
        <v>89.25</v>
      </c>
      <c r="DJ42" s="19">
        <f>Tabelle5897112140[[#This Row],[Maximalauslastung max]]*Tabelle5897112140[[#This Row],[installierte Leistung MW durch]]</f>
        <v>98.000000000000014</v>
      </c>
      <c r="DK42" s="9">
        <v>0.46</v>
      </c>
      <c r="DL42" s="9">
        <v>0.51</v>
      </c>
      <c r="DM42" s="9">
        <v>0.56000000000000005</v>
      </c>
      <c r="DN42" s="1">
        <v>175</v>
      </c>
      <c r="DO42" s="1">
        <v>125</v>
      </c>
      <c r="DP42" s="1">
        <v>225</v>
      </c>
      <c r="DQ42" s="19"/>
      <c r="DR42" s="19"/>
      <c r="DW42" s="1">
        <v>1.1000000000000001</v>
      </c>
      <c r="DX42" s="1">
        <v>0.8</v>
      </c>
      <c r="DY42" s="1">
        <v>1.4</v>
      </c>
      <c r="EL42" s="1">
        <v>365</v>
      </c>
      <c r="EM42" s="1">
        <v>292</v>
      </c>
      <c r="EN42" s="1">
        <v>438</v>
      </c>
      <c r="EO42" s="11"/>
      <c r="EP42" s="11"/>
      <c r="EQ42" s="11"/>
      <c r="ER42" s="1">
        <v>365</v>
      </c>
      <c r="ES42" s="1">
        <v>292</v>
      </c>
      <c r="ET42" s="1">
        <v>438</v>
      </c>
      <c r="EV42" s="19"/>
      <c r="EW42" s="19"/>
      <c r="EX42" s="19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O42" s="1">
        <v>67</v>
      </c>
      <c r="FP42" s="1">
        <v>67</v>
      </c>
      <c r="FQ42" s="1">
        <v>67</v>
      </c>
      <c r="FR42" s="13" t="s">
        <v>806</v>
      </c>
      <c r="FS42" s="13" t="s">
        <v>806</v>
      </c>
      <c r="FT42" s="13" t="s">
        <v>806</v>
      </c>
      <c r="FU42" s="13"/>
      <c r="FV42" s="13" t="s">
        <v>806</v>
      </c>
      <c r="FW42" s="13" t="s">
        <v>806</v>
      </c>
      <c r="FX42" s="13" t="s">
        <v>806</v>
      </c>
      <c r="FY42" s="13" t="s">
        <v>806</v>
      </c>
      <c r="FZ42" s="13" t="s">
        <v>806</v>
      </c>
      <c r="GA42" s="13" t="s">
        <v>806</v>
      </c>
      <c r="GB42" s="13" t="s">
        <v>806</v>
      </c>
      <c r="GE42" s="13" t="s">
        <v>806</v>
      </c>
      <c r="GF42" s="13" t="s">
        <v>806</v>
      </c>
      <c r="GH42" s="13" t="s">
        <v>806</v>
      </c>
    </row>
    <row r="43" spans="1:190" ht="15" customHeight="1" x14ac:dyDescent="0.25">
      <c r="A43" s="1" t="s">
        <v>208</v>
      </c>
      <c r="B43" s="1" t="s">
        <v>651</v>
      </c>
      <c r="C43" s="1" t="s">
        <v>656</v>
      </c>
      <c r="D43" s="1" t="s">
        <v>674</v>
      </c>
      <c r="E43" s="1" t="s">
        <v>127</v>
      </c>
      <c r="F43" s="1">
        <v>0</v>
      </c>
      <c r="G43" s="1">
        <v>2020</v>
      </c>
      <c r="H43" s="1">
        <v>1</v>
      </c>
      <c r="I43" s="1">
        <v>0</v>
      </c>
      <c r="J43" s="1">
        <v>0</v>
      </c>
      <c r="K4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2.8249999999999997</v>
      </c>
      <c r="L4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34.935833333333335</v>
      </c>
      <c r="M4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119.49749999999999</v>
      </c>
      <c r="N43" s="19">
        <v>69.212499999999991</v>
      </c>
      <c r="O43" s="19">
        <v>32.487499999999997</v>
      </c>
      <c r="P43" s="19">
        <v>119.49749999999999</v>
      </c>
      <c r="Q43" s="19">
        <v>1.9774999999999998</v>
      </c>
      <c r="R43" s="19">
        <v>0</v>
      </c>
      <c r="S43" s="19">
        <v>40.679999999999993</v>
      </c>
      <c r="T43" s="19">
        <v>17.797499999999999</v>
      </c>
      <c r="U43" s="19">
        <v>2.8249999999999997</v>
      </c>
      <c r="V43" s="19">
        <v>40.679999999999993</v>
      </c>
      <c r="W43" s="19">
        <v>53.392499999999998</v>
      </c>
      <c r="X43" s="19">
        <v>24.012499999999999</v>
      </c>
      <c r="Y43" s="19">
        <v>94.072499999999991</v>
      </c>
      <c r="Z43" s="19">
        <v>17.797499999999999</v>
      </c>
      <c r="AA43" s="19">
        <v>2.8249999999999997</v>
      </c>
      <c r="AB43" s="19">
        <v>40.679999999999993</v>
      </c>
      <c r="AC43" s="19">
        <v>53.392499999999998</v>
      </c>
      <c r="AD43" s="19">
        <v>24.012499999999999</v>
      </c>
      <c r="AE43" s="19">
        <v>94.072499999999991</v>
      </c>
      <c r="AF43" s="19">
        <v>69.212499999999991</v>
      </c>
      <c r="AG43" s="19">
        <v>32.487499999999997</v>
      </c>
      <c r="AH43" s="19">
        <v>119.49749999999999</v>
      </c>
      <c r="AI43" s="19">
        <v>1.9774999999999998</v>
      </c>
      <c r="AJ43" s="19">
        <v>0</v>
      </c>
      <c r="AK43" s="19">
        <v>40.679999999999993</v>
      </c>
      <c r="AL43" s="19">
        <v>17.797499999999999</v>
      </c>
      <c r="AM43" s="19">
        <v>2.8249999999999997</v>
      </c>
      <c r="AN43" s="19">
        <v>40.679999999999993</v>
      </c>
      <c r="AO43" s="19">
        <v>53.392499999999998</v>
      </c>
      <c r="AP43" s="19">
        <v>24.012499999999999</v>
      </c>
      <c r="AQ43" s="19">
        <v>94.072499999999991</v>
      </c>
      <c r="AR43" s="19">
        <v>17.797499999999999</v>
      </c>
      <c r="AS43" s="19">
        <v>2.8249999999999997</v>
      </c>
      <c r="AT43" s="19">
        <v>40.679999999999993</v>
      </c>
      <c r="AU43" s="19">
        <v>53.392499999999998</v>
      </c>
      <c r="AV43" s="19">
        <v>24.012499999999999</v>
      </c>
      <c r="AW43" s="19">
        <v>94.072499999999991</v>
      </c>
      <c r="AX43" s="19">
        <v>69.212499999999991</v>
      </c>
      <c r="AY43" s="19">
        <v>32.487499999999997</v>
      </c>
      <c r="AZ43" s="19">
        <v>119.49749999999999</v>
      </c>
      <c r="BA43" s="19">
        <v>1.9774999999999998</v>
      </c>
      <c r="BB43" s="19">
        <v>0</v>
      </c>
      <c r="BC43" s="19">
        <v>40.679999999999993</v>
      </c>
      <c r="BD43" s="19">
        <v>17.797499999999999</v>
      </c>
      <c r="BE43" s="19">
        <v>2.8249999999999997</v>
      </c>
      <c r="BF43" s="19">
        <v>40.679999999999993</v>
      </c>
      <c r="BG43" s="19">
        <v>53.392499999999998</v>
      </c>
      <c r="BH43" s="19">
        <v>24.012499999999999</v>
      </c>
      <c r="BI43" s="19">
        <v>94.072499999999991</v>
      </c>
      <c r="BJ43" s="19">
        <v>17.797499999999999</v>
      </c>
      <c r="BK43" s="19">
        <v>2.8249999999999997</v>
      </c>
      <c r="BL43" s="19">
        <v>40.679999999999993</v>
      </c>
      <c r="BM43" s="19">
        <v>53.392499999999998</v>
      </c>
      <c r="BN43" s="19">
        <v>24.012499999999999</v>
      </c>
      <c r="BO43" s="19">
        <v>94.072499999999991</v>
      </c>
      <c r="BP43" s="19"/>
      <c r="BQ4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36.254166666666663</v>
      </c>
      <c r="BS4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94.072499999999991</v>
      </c>
      <c r="BT43" s="11">
        <f>Tabelle5897112140[[#This Row],[Mindestauslastung min]]*Tabelle5897112140[[#This Row],[installierte Leistung MW min]]</f>
        <v>18.362500000000001</v>
      </c>
      <c r="BU43" s="11">
        <f>Tabelle5897112140[[#This Row],[Mindestauslastung durch]]*Tabelle5897112140[[#This Row],[installierte Leistung MW durch]]</f>
        <v>29.662499999999998</v>
      </c>
      <c r="BV43" s="11">
        <f>Tabelle5897112140[[#This Row],[Mindestauslastung max]]*Tabelle5897112140[[#This Row],[installierte Leistung MW max]]</f>
        <v>43.222500000000004</v>
      </c>
      <c r="BW43" s="9">
        <v>0.13</v>
      </c>
      <c r="BX43" s="9">
        <v>0.15</v>
      </c>
      <c r="BY43" s="9">
        <v>0.17</v>
      </c>
      <c r="BZ43" s="9"/>
      <c r="CA43" s="9">
        <v>0.5</v>
      </c>
      <c r="CB43" s="9">
        <v>0.4</v>
      </c>
      <c r="CC43" s="9">
        <v>0.6</v>
      </c>
      <c r="CD43" s="9">
        <v>0.24</v>
      </c>
      <c r="CE43" s="9">
        <v>0.19</v>
      </c>
      <c r="CF43" s="9">
        <v>0.28999999999999998</v>
      </c>
      <c r="CG43" s="9">
        <v>0.24</v>
      </c>
      <c r="CH43" s="9">
        <v>0.19</v>
      </c>
      <c r="CI43" s="9">
        <v>0.28999999999999998</v>
      </c>
      <c r="CJ43" s="9">
        <v>0.5</v>
      </c>
      <c r="CK43" s="9">
        <v>0.4</v>
      </c>
      <c r="CL43" s="9">
        <v>0.6</v>
      </c>
      <c r="CM43" s="9">
        <v>0.24</v>
      </c>
      <c r="CN43" s="9">
        <v>0.19</v>
      </c>
      <c r="CO43" s="9">
        <v>0.28999999999999998</v>
      </c>
      <c r="CP43" s="9">
        <v>0.24</v>
      </c>
      <c r="CQ43" s="9">
        <v>0.19</v>
      </c>
      <c r="CR43" s="9">
        <v>0.28999999999999998</v>
      </c>
      <c r="CS43" s="9">
        <v>0.5</v>
      </c>
      <c r="CT43" s="9">
        <v>0.4</v>
      </c>
      <c r="CU43" s="9">
        <v>0.6</v>
      </c>
      <c r="CV43" s="9">
        <v>0.24</v>
      </c>
      <c r="CW43" s="9">
        <v>0.19</v>
      </c>
      <c r="CX43" s="9">
        <v>0.28999999999999998</v>
      </c>
      <c r="CY43" s="9">
        <v>0.24</v>
      </c>
      <c r="CZ43" s="9">
        <v>0.19</v>
      </c>
      <c r="DA43" s="9">
        <v>0.28999999999999998</v>
      </c>
      <c r="DB43" s="9">
        <f>MIN(Tabelle5897112140[[#This Row],[Durchschnittsauslastung durch Sommer WTT]:[Durchschnittsauslastung max Winter SFN]])</f>
        <v>0.19</v>
      </c>
      <c r="DC4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3" s="9">
        <f>MAX(Tabelle5897112140[[#This Row],[Durchschnittsauslastung durch Sommer WTT]:[Durchschnittsauslastung max Winter SFN]])</f>
        <v>0.6</v>
      </c>
      <c r="DE43" s="40">
        <f>Tabelle5897112140[[#This Row],[Durchschnittsauslastung min]]*Tabelle5897112140[[#This Row],[installierte Leistung MW min]]</f>
        <v>26.837499999999999</v>
      </c>
      <c r="DF43" s="40">
        <f>Tabelle5897112140[[#This Row],[Durchschnittsauslastung durch]]*Tabelle5897112140[[#This Row],[installierte Leistung MW durch]]</f>
        <v>64.598333333333343</v>
      </c>
      <c r="DG43" s="40">
        <f>Tabelle5897112140[[#This Row],[Durchschnittsauslastung max]]*Tabelle5897112140[[#This Row],[installierte Leistung MW max]]</f>
        <v>152.54999999999998</v>
      </c>
      <c r="DH43" s="46">
        <f>Tabelle5897112140[[#This Row],[Maximalauslastung min]]*Tabelle5897112140[[#This Row],[installierte Leistung MW min]]</f>
        <v>64.975000000000009</v>
      </c>
      <c r="DI43" s="46">
        <f>Tabelle5897112140[[#This Row],[Maximalauslastung durch]]*Tabelle5897112140[[#This Row],[installierte Leistung MW durch]]</f>
        <v>100.85250000000001</v>
      </c>
      <c r="DJ43" s="19">
        <f>Tabelle5897112140[[#This Row],[Maximalauslastung max]]*Tabelle5897112140[[#This Row],[installierte Leistung MW durch]]</f>
        <v>110.74000000000001</v>
      </c>
      <c r="DK43" s="9">
        <v>0.46</v>
      </c>
      <c r="DL43" s="9">
        <v>0.51</v>
      </c>
      <c r="DM43" s="9">
        <v>0.56000000000000005</v>
      </c>
      <c r="DN43" s="1">
        <v>197.75</v>
      </c>
      <c r="DO43" s="1">
        <v>141.25</v>
      </c>
      <c r="DP43" s="1">
        <v>254.25</v>
      </c>
      <c r="DQ43" s="19"/>
      <c r="DR43" s="19"/>
      <c r="DW43" s="1">
        <v>1.1000000000000001</v>
      </c>
      <c r="DX43" s="1">
        <v>0.8</v>
      </c>
      <c r="DY43" s="1">
        <v>1.4</v>
      </c>
      <c r="EL43" s="1">
        <v>365</v>
      </c>
      <c r="EM43" s="1">
        <v>292</v>
      </c>
      <c r="EN43" s="1">
        <v>438</v>
      </c>
      <c r="EO43" s="11"/>
      <c r="EP43" s="11"/>
      <c r="EQ43" s="11"/>
      <c r="ER43" s="1">
        <v>365</v>
      </c>
      <c r="ES43" s="1">
        <v>292</v>
      </c>
      <c r="ET43" s="1">
        <v>438</v>
      </c>
      <c r="EV43" s="19"/>
      <c r="EW43" s="19"/>
      <c r="EX43" s="19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O43" s="1">
        <v>67</v>
      </c>
      <c r="FP43" s="1">
        <v>67</v>
      </c>
      <c r="FQ43" s="1">
        <v>67</v>
      </c>
      <c r="FR43" s="13" t="s">
        <v>806</v>
      </c>
      <c r="FS43" s="13" t="s">
        <v>806</v>
      </c>
      <c r="FT43" s="13" t="s">
        <v>806</v>
      </c>
      <c r="FU43" s="13"/>
      <c r="FV43" s="13" t="s">
        <v>806</v>
      </c>
      <c r="FW43" s="13" t="s">
        <v>806</v>
      </c>
      <c r="FX43" s="13" t="s">
        <v>806</v>
      </c>
      <c r="FY43" s="13" t="s">
        <v>806</v>
      </c>
      <c r="FZ43" s="13" t="s">
        <v>806</v>
      </c>
      <c r="GA43" s="13" t="s">
        <v>806</v>
      </c>
      <c r="GB43" s="13" t="s">
        <v>806</v>
      </c>
      <c r="GE43" s="13" t="s">
        <v>806</v>
      </c>
      <c r="GF43" s="13" t="s">
        <v>806</v>
      </c>
      <c r="GH43" s="13" t="s">
        <v>806</v>
      </c>
    </row>
    <row r="44" spans="1:190" ht="15" customHeight="1" x14ac:dyDescent="0.25">
      <c r="A44" s="1" t="s">
        <v>208</v>
      </c>
      <c r="B44" s="1" t="s">
        <v>651</v>
      </c>
      <c r="C44" s="1" t="s">
        <v>656</v>
      </c>
      <c r="D44" s="1" t="s">
        <v>674</v>
      </c>
      <c r="E44" s="1" t="s">
        <v>127</v>
      </c>
      <c r="F44" s="1">
        <v>0</v>
      </c>
      <c r="G44" s="1">
        <v>2025</v>
      </c>
      <c r="H44" s="1">
        <v>1</v>
      </c>
      <c r="I44" s="1">
        <v>0</v>
      </c>
      <c r="J44" s="1">
        <v>0</v>
      </c>
      <c r="K4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3.1749999999999998</v>
      </c>
      <c r="L4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39.264166666666661</v>
      </c>
      <c r="M4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134.30250000000001</v>
      </c>
      <c r="N44" s="19">
        <v>77.787499999999994</v>
      </c>
      <c r="O44" s="19">
        <v>36.512500000000003</v>
      </c>
      <c r="P44" s="19">
        <v>134.30250000000001</v>
      </c>
      <c r="Q44" s="19">
        <v>2.2225000000000001</v>
      </c>
      <c r="R44" s="19">
        <v>0</v>
      </c>
      <c r="S44" s="19">
        <v>45.72</v>
      </c>
      <c r="T44" s="19">
        <v>20.002500000000001</v>
      </c>
      <c r="U44" s="19">
        <v>3.1749999999999998</v>
      </c>
      <c r="V44" s="19">
        <v>45.72</v>
      </c>
      <c r="W44" s="19">
        <v>60.0075</v>
      </c>
      <c r="X44" s="19">
        <v>26.987500000000001</v>
      </c>
      <c r="Y44" s="19">
        <v>105.72750000000001</v>
      </c>
      <c r="Z44" s="19">
        <v>20.002500000000001</v>
      </c>
      <c r="AA44" s="19">
        <v>3.1749999999999998</v>
      </c>
      <c r="AB44" s="19">
        <v>45.72</v>
      </c>
      <c r="AC44" s="19">
        <v>60.0075</v>
      </c>
      <c r="AD44" s="19">
        <v>26.987500000000001</v>
      </c>
      <c r="AE44" s="19">
        <v>105.72750000000001</v>
      </c>
      <c r="AF44" s="19">
        <v>77.787499999999994</v>
      </c>
      <c r="AG44" s="19">
        <v>36.512500000000003</v>
      </c>
      <c r="AH44" s="19">
        <v>134.30250000000001</v>
      </c>
      <c r="AI44" s="19">
        <v>2.2225000000000001</v>
      </c>
      <c r="AJ44" s="19">
        <v>0</v>
      </c>
      <c r="AK44" s="19">
        <v>45.72</v>
      </c>
      <c r="AL44" s="19">
        <v>20.002500000000001</v>
      </c>
      <c r="AM44" s="19">
        <v>3.1749999999999998</v>
      </c>
      <c r="AN44" s="19">
        <v>45.72</v>
      </c>
      <c r="AO44" s="19">
        <v>60.0075</v>
      </c>
      <c r="AP44" s="19">
        <v>26.987500000000001</v>
      </c>
      <c r="AQ44" s="19">
        <v>105.72750000000001</v>
      </c>
      <c r="AR44" s="19">
        <v>20.002500000000001</v>
      </c>
      <c r="AS44" s="19">
        <v>3.1749999999999998</v>
      </c>
      <c r="AT44" s="19">
        <v>45.72</v>
      </c>
      <c r="AU44" s="19">
        <v>60.0075</v>
      </c>
      <c r="AV44" s="19">
        <v>26.987500000000001</v>
      </c>
      <c r="AW44" s="19">
        <v>105.72750000000001</v>
      </c>
      <c r="AX44" s="19">
        <v>77.787499999999994</v>
      </c>
      <c r="AY44" s="19">
        <v>36.512500000000003</v>
      </c>
      <c r="AZ44" s="19">
        <v>134.30250000000001</v>
      </c>
      <c r="BA44" s="19">
        <v>2.2225000000000001</v>
      </c>
      <c r="BB44" s="19">
        <v>0</v>
      </c>
      <c r="BC44" s="19">
        <v>45.72</v>
      </c>
      <c r="BD44" s="19">
        <v>20.002500000000001</v>
      </c>
      <c r="BE44" s="19">
        <v>3.1749999999999998</v>
      </c>
      <c r="BF44" s="19">
        <v>45.72</v>
      </c>
      <c r="BG44" s="19">
        <v>60.0075</v>
      </c>
      <c r="BH44" s="19">
        <v>26.987500000000001</v>
      </c>
      <c r="BI44" s="19">
        <v>105.72750000000001</v>
      </c>
      <c r="BJ44" s="19">
        <v>20.002500000000001</v>
      </c>
      <c r="BK44" s="19">
        <v>3.1749999999999998</v>
      </c>
      <c r="BL44" s="19">
        <v>45.72</v>
      </c>
      <c r="BM44" s="19">
        <v>60.0075</v>
      </c>
      <c r="BN44" s="19">
        <v>26.987500000000001</v>
      </c>
      <c r="BO44" s="19">
        <v>105.72750000000001</v>
      </c>
      <c r="BP44" s="19"/>
      <c r="BQ4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40.74583333333333</v>
      </c>
      <c r="BS4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105.72750000000001</v>
      </c>
      <c r="BT44" s="11">
        <f>Tabelle5897112140[[#This Row],[Mindestauslastung min]]*Tabelle5897112140[[#This Row],[installierte Leistung MW min]]</f>
        <v>20.637499999999999</v>
      </c>
      <c r="BU44" s="11">
        <f>Tabelle5897112140[[#This Row],[Mindestauslastung durch]]*Tabelle5897112140[[#This Row],[installierte Leistung MW durch]]</f>
        <v>33.337499999999999</v>
      </c>
      <c r="BV44" s="11">
        <f>Tabelle5897112140[[#This Row],[Mindestauslastung max]]*Tabelle5897112140[[#This Row],[installierte Leistung MW max]]</f>
        <v>48.577500000000001</v>
      </c>
      <c r="BW44" s="9">
        <v>0.13</v>
      </c>
      <c r="BX44" s="9">
        <v>0.15</v>
      </c>
      <c r="BY44" s="9">
        <v>0.17</v>
      </c>
      <c r="BZ44" s="9"/>
      <c r="CA44" s="9">
        <v>0.5</v>
      </c>
      <c r="CB44" s="9">
        <v>0.4</v>
      </c>
      <c r="CC44" s="9">
        <v>0.6</v>
      </c>
      <c r="CD44" s="9">
        <v>0.24</v>
      </c>
      <c r="CE44" s="9">
        <v>0.19</v>
      </c>
      <c r="CF44" s="9">
        <v>0.28999999999999998</v>
      </c>
      <c r="CG44" s="9">
        <v>0.24</v>
      </c>
      <c r="CH44" s="9">
        <v>0.19</v>
      </c>
      <c r="CI44" s="9">
        <v>0.28999999999999998</v>
      </c>
      <c r="CJ44" s="9">
        <v>0.5</v>
      </c>
      <c r="CK44" s="9">
        <v>0.4</v>
      </c>
      <c r="CL44" s="9">
        <v>0.6</v>
      </c>
      <c r="CM44" s="9">
        <v>0.24</v>
      </c>
      <c r="CN44" s="9">
        <v>0.19</v>
      </c>
      <c r="CO44" s="9">
        <v>0.28999999999999998</v>
      </c>
      <c r="CP44" s="9">
        <v>0.24</v>
      </c>
      <c r="CQ44" s="9">
        <v>0.19</v>
      </c>
      <c r="CR44" s="9">
        <v>0.28999999999999998</v>
      </c>
      <c r="CS44" s="9">
        <v>0.5</v>
      </c>
      <c r="CT44" s="9">
        <v>0.4</v>
      </c>
      <c r="CU44" s="9">
        <v>0.6</v>
      </c>
      <c r="CV44" s="9">
        <v>0.24</v>
      </c>
      <c r="CW44" s="9">
        <v>0.19</v>
      </c>
      <c r="CX44" s="9">
        <v>0.28999999999999998</v>
      </c>
      <c r="CY44" s="9">
        <v>0.24</v>
      </c>
      <c r="CZ44" s="9">
        <v>0.19</v>
      </c>
      <c r="DA44" s="9">
        <v>0.28999999999999998</v>
      </c>
      <c r="DB44" s="9">
        <f>MIN(Tabelle5897112140[[#This Row],[Durchschnittsauslastung durch Sommer WTT]:[Durchschnittsauslastung max Winter SFN]])</f>
        <v>0.19</v>
      </c>
      <c r="DC4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4" s="9">
        <f>MAX(Tabelle5897112140[[#This Row],[Durchschnittsauslastung durch Sommer WTT]:[Durchschnittsauslastung max Winter SFN]])</f>
        <v>0.6</v>
      </c>
      <c r="DE44" s="40">
        <f>Tabelle5897112140[[#This Row],[Durchschnittsauslastung min]]*Tabelle5897112140[[#This Row],[installierte Leistung MW min]]</f>
        <v>30.162500000000001</v>
      </c>
      <c r="DF44" s="40">
        <f>Tabelle5897112140[[#This Row],[Durchschnittsauslastung durch]]*Tabelle5897112140[[#This Row],[installierte Leistung MW durch]]</f>
        <v>72.601666666666674</v>
      </c>
      <c r="DG44" s="40">
        <f>Tabelle5897112140[[#This Row],[Durchschnittsauslastung max]]*Tabelle5897112140[[#This Row],[installierte Leistung MW max]]</f>
        <v>171.45</v>
      </c>
      <c r="DH44" s="46">
        <f>Tabelle5897112140[[#This Row],[Maximalauslastung min]]*Tabelle5897112140[[#This Row],[installierte Leistung MW min]]</f>
        <v>73.025000000000006</v>
      </c>
      <c r="DI44" s="46">
        <f>Tabelle5897112140[[#This Row],[Maximalauslastung durch]]*Tabelle5897112140[[#This Row],[installierte Leistung MW durch]]</f>
        <v>113.3475</v>
      </c>
      <c r="DJ44" s="19">
        <f>Tabelle5897112140[[#This Row],[Maximalauslastung max]]*Tabelle5897112140[[#This Row],[installierte Leistung MW durch]]</f>
        <v>124.46000000000001</v>
      </c>
      <c r="DK44" s="9">
        <v>0.46</v>
      </c>
      <c r="DL44" s="9">
        <v>0.51</v>
      </c>
      <c r="DM44" s="9">
        <v>0.56000000000000005</v>
      </c>
      <c r="DN44" s="1">
        <v>222.25</v>
      </c>
      <c r="DO44" s="1">
        <v>158.75</v>
      </c>
      <c r="DP44" s="1">
        <v>285.75</v>
      </c>
      <c r="DQ44" s="19"/>
      <c r="DR44" s="19"/>
      <c r="DW44" s="1">
        <v>1.1000000000000001</v>
      </c>
      <c r="DX44" s="1">
        <v>0.8</v>
      </c>
      <c r="DY44" s="1">
        <v>1.4</v>
      </c>
      <c r="EL44" s="1">
        <v>365</v>
      </c>
      <c r="EM44" s="1">
        <v>292</v>
      </c>
      <c r="EN44" s="1">
        <v>438</v>
      </c>
      <c r="EO44" s="11"/>
      <c r="EP44" s="11"/>
      <c r="EQ44" s="11"/>
      <c r="ER44" s="1">
        <v>365</v>
      </c>
      <c r="ES44" s="1">
        <v>292</v>
      </c>
      <c r="ET44" s="1">
        <v>438</v>
      </c>
      <c r="EV44" s="19"/>
      <c r="EW44" s="19"/>
      <c r="EX44" s="19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O44" s="1">
        <v>67</v>
      </c>
      <c r="FP44" s="1">
        <v>67</v>
      </c>
      <c r="FQ44" s="1">
        <v>67</v>
      </c>
      <c r="FR44" s="13" t="s">
        <v>806</v>
      </c>
      <c r="FS44" s="13" t="s">
        <v>806</v>
      </c>
      <c r="FT44" s="13" t="s">
        <v>806</v>
      </c>
      <c r="FU44" s="13"/>
      <c r="FV44" s="13" t="s">
        <v>806</v>
      </c>
      <c r="FW44" s="13" t="s">
        <v>806</v>
      </c>
      <c r="FX44" s="13" t="s">
        <v>806</v>
      </c>
      <c r="FY44" s="13" t="s">
        <v>806</v>
      </c>
      <c r="FZ44" s="13" t="s">
        <v>806</v>
      </c>
      <c r="GA44" s="13" t="s">
        <v>806</v>
      </c>
      <c r="GB44" s="13" t="s">
        <v>806</v>
      </c>
      <c r="GE44" s="13" t="s">
        <v>806</v>
      </c>
      <c r="GF44" s="13" t="s">
        <v>806</v>
      </c>
      <c r="GH44" s="13" t="s">
        <v>806</v>
      </c>
    </row>
    <row r="45" spans="1:190" ht="15" customHeight="1" x14ac:dyDescent="0.25">
      <c r="A45" s="1" t="s">
        <v>208</v>
      </c>
      <c r="B45" s="1" t="s">
        <v>651</v>
      </c>
      <c r="C45" s="1" t="s">
        <v>656</v>
      </c>
      <c r="D45" s="1" t="s">
        <v>674</v>
      </c>
      <c r="E45" s="1" t="s">
        <v>127</v>
      </c>
      <c r="F45" s="1">
        <v>0</v>
      </c>
      <c r="G45" s="1">
        <v>2030</v>
      </c>
      <c r="H45" s="1">
        <v>1</v>
      </c>
      <c r="I45" s="1">
        <v>0</v>
      </c>
      <c r="J45" s="1">
        <v>0</v>
      </c>
      <c r="K4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3.5749999999999997</v>
      </c>
      <c r="L4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44.210833333333326</v>
      </c>
      <c r="M4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151.2225</v>
      </c>
      <c r="N45" s="19">
        <v>87.587499999999991</v>
      </c>
      <c r="O45" s="19">
        <v>41.112499999999997</v>
      </c>
      <c r="P45" s="19">
        <v>151.2225</v>
      </c>
      <c r="Q45" s="19">
        <v>2.5024999999999999</v>
      </c>
      <c r="R45" s="19">
        <v>0</v>
      </c>
      <c r="S45" s="19">
        <v>51.48</v>
      </c>
      <c r="T45" s="19">
        <v>22.522499999999997</v>
      </c>
      <c r="U45" s="19">
        <v>3.5749999999999997</v>
      </c>
      <c r="V45" s="19">
        <v>51.48</v>
      </c>
      <c r="W45" s="19">
        <v>67.567499999999995</v>
      </c>
      <c r="X45" s="19">
        <v>30.387499999999999</v>
      </c>
      <c r="Y45" s="19">
        <v>119.0475</v>
      </c>
      <c r="Z45" s="19">
        <v>22.522499999999997</v>
      </c>
      <c r="AA45" s="19">
        <v>3.5749999999999997</v>
      </c>
      <c r="AB45" s="19">
        <v>51.48</v>
      </c>
      <c r="AC45" s="19">
        <v>67.567499999999995</v>
      </c>
      <c r="AD45" s="19">
        <v>30.387499999999999</v>
      </c>
      <c r="AE45" s="19">
        <v>119.0475</v>
      </c>
      <c r="AF45" s="19">
        <v>87.587499999999991</v>
      </c>
      <c r="AG45" s="19">
        <v>41.112499999999997</v>
      </c>
      <c r="AH45" s="19">
        <v>151.2225</v>
      </c>
      <c r="AI45" s="19">
        <v>2.5024999999999999</v>
      </c>
      <c r="AJ45" s="19">
        <v>0</v>
      </c>
      <c r="AK45" s="19">
        <v>51.48</v>
      </c>
      <c r="AL45" s="19">
        <v>22.522499999999997</v>
      </c>
      <c r="AM45" s="19">
        <v>3.5749999999999997</v>
      </c>
      <c r="AN45" s="19">
        <v>51.48</v>
      </c>
      <c r="AO45" s="19">
        <v>67.567499999999995</v>
      </c>
      <c r="AP45" s="19">
        <v>30.387499999999999</v>
      </c>
      <c r="AQ45" s="19">
        <v>119.0475</v>
      </c>
      <c r="AR45" s="19">
        <v>22.522499999999997</v>
      </c>
      <c r="AS45" s="19">
        <v>3.5749999999999997</v>
      </c>
      <c r="AT45" s="19">
        <v>51.48</v>
      </c>
      <c r="AU45" s="19">
        <v>67.567499999999995</v>
      </c>
      <c r="AV45" s="19">
        <v>30.387499999999999</v>
      </c>
      <c r="AW45" s="19">
        <v>119.0475</v>
      </c>
      <c r="AX45" s="19">
        <v>87.587499999999991</v>
      </c>
      <c r="AY45" s="19">
        <v>41.112499999999997</v>
      </c>
      <c r="AZ45" s="19">
        <v>151.2225</v>
      </c>
      <c r="BA45" s="19">
        <v>2.5024999999999999</v>
      </c>
      <c r="BB45" s="19">
        <v>0</v>
      </c>
      <c r="BC45" s="19">
        <v>51.48</v>
      </c>
      <c r="BD45" s="19">
        <v>22.522499999999997</v>
      </c>
      <c r="BE45" s="19">
        <v>3.5749999999999997</v>
      </c>
      <c r="BF45" s="19">
        <v>51.48</v>
      </c>
      <c r="BG45" s="19">
        <v>67.567499999999995</v>
      </c>
      <c r="BH45" s="19">
        <v>30.387499999999999</v>
      </c>
      <c r="BI45" s="19">
        <v>119.0475</v>
      </c>
      <c r="BJ45" s="19">
        <v>22.522499999999997</v>
      </c>
      <c r="BK45" s="19">
        <v>3.5749999999999997</v>
      </c>
      <c r="BL45" s="19">
        <v>51.48</v>
      </c>
      <c r="BM45" s="19">
        <v>67.567499999999995</v>
      </c>
      <c r="BN45" s="19">
        <v>30.387499999999999</v>
      </c>
      <c r="BO45" s="19">
        <v>119.0475</v>
      </c>
      <c r="BP45" s="19"/>
      <c r="BQ4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45.879166666666663</v>
      </c>
      <c r="BS4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119.0475</v>
      </c>
      <c r="BT45" s="11">
        <f>Tabelle5897112140[[#This Row],[Mindestauslastung min]]*Tabelle5897112140[[#This Row],[installierte Leistung MW min]]</f>
        <v>23.237500000000001</v>
      </c>
      <c r="BU45" s="11">
        <f>Tabelle5897112140[[#This Row],[Mindestauslastung durch]]*Tabelle5897112140[[#This Row],[installierte Leistung MW durch]]</f>
        <v>37.537500000000001</v>
      </c>
      <c r="BV45" s="11">
        <f>Tabelle5897112140[[#This Row],[Mindestauslastung max]]*Tabelle5897112140[[#This Row],[installierte Leistung MW max]]</f>
        <v>54.697500000000005</v>
      </c>
      <c r="BW45" s="9">
        <v>0.13</v>
      </c>
      <c r="BX45" s="9">
        <v>0.15</v>
      </c>
      <c r="BY45" s="9">
        <v>0.17</v>
      </c>
      <c r="BZ45" s="9"/>
      <c r="CA45" s="9">
        <v>0.5</v>
      </c>
      <c r="CB45" s="9">
        <v>0.4</v>
      </c>
      <c r="CC45" s="9">
        <v>0.6</v>
      </c>
      <c r="CD45" s="9">
        <v>0.24</v>
      </c>
      <c r="CE45" s="9">
        <v>0.19</v>
      </c>
      <c r="CF45" s="9">
        <v>0.28999999999999998</v>
      </c>
      <c r="CG45" s="9">
        <v>0.24</v>
      </c>
      <c r="CH45" s="9">
        <v>0.19</v>
      </c>
      <c r="CI45" s="9">
        <v>0.28999999999999998</v>
      </c>
      <c r="CJ45" s="9">
        <v>0.5</v>
      </c>
      <c r="CK45" s="9">
        <v>0.4</v>
      </c>
      <c r="CL45" s="9">
        <v>0.6</v>
      </c>
      <c r="CM45" s="9">
        <v>0.24</v>
      </c>
      <c r="CN45" s="9">
        <v>0.19</v>
      </c>
      <c r="CO45" s="9">
        <v>0.28999999999999998</v>
      </c>
      <c r="CP45" s="9">
        <v>0.24</v>
      </c>
      <c r="CQ45" s="9">
        <v>0.19</v>
      </c>
      <c r="CR45" s="9">
        <v>0.28999999999999998</v>
      </c>
      <c r="CS45" s="9">
        <v>0.5</v>
      </c>
      <c r="CT45" s="9">
        <v>0.4</v>
      </c>
      <c r="CU45" s="9">
        <v>0.6</v>
      </c>
      <c r="CV45" s="9">
        <v>0.24</v>
      </c>
      <c r="CW45" s="9">
        <v>0.19</v>
      </c>
      <c r="CX45" s="9">
        <v>0.28999999999999998</v>
      </c>
      <c r="CY45" s="9">
        <v>0.24</v>
      </c>
      <c r="CZ45" s="9">
        <v>0.19</v>
      </c>
      <c r="DA45" s="9">
        <v>0.28999999999999998</v>
      </c>
      <c r="DB45" s="9">
        <f>MIN(Tabelle5897112140[[#This Row],[Durchschnittsauslastung durch Sommer WTT]:[Durchschnittsauslastung max Winter SFN]])</f>
        <v>0.19</v>
      </c>
      <c r="DC4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5" s="9">
        <f>MAX(Tabelle5897112140[[#This Row],[Durchschnittsauslastung durch Sommer WTT]:[Durchschnittsauslastung max Winter SFN]])</f>
        <v>0.6</v>
      </c>
      <c r="DE45" s="40">
        <f>Tabelle5897112140[[#This Row],[Durchschnittsauslastung min]]*Tabelle5897112140[[#This Row],[installierte Leistung MW min]]</f>
        <v>33.962499999999999</v>
      </c>
      <c r="DF45" s="40">
        <f>Tabelle5897112140[[#This Row],[Durchschnittsauslastung durch]]*Tabelle5897112140[[#This Row],[installierte Leistung MW durch]]</f>
        <v>81.748333333333349</v>
      </c>
      <c r="DG45" s="40">
        <f>Tabelle5897112140[[#This Row],[Durchschnittsauslastung max]]*Tabelle5897112140[[#This Row],[installierte Leistung MW max]]</f>
        <v>193.04999999999998</v>
      </c>
      <c r="DH45" s="46">
        <f>Tabelle5897112140[[#This Row],[Maximalauslastung min]]*Tabelle5897112140[[#This Row],[installierte Leistung MW min]]</f>
        <v>82.225000000000009</v>
      </c>
      <c r="DI45" s="46">
        <f>Tabelle5897112140[[#This Row],[Maximalauslastung durch]]*Tabelle5897112140[[#This Row],[installierte Leistung MW durch]]</f>
        <v>127.6275</v>
      </c>
      <c r="DJ45" s="19">
        <f>Tabelle5897112140[[#This Row],[Maximalauslastung max]]*Tabelle5897112140[[#This Row],[installierte Leistung MW durch]]</f>
        <v>140.14000000000001</v>
      </c>
      <c r="DK45" s="9">
        <v>0.46</v>
      </c>
      <c r="DL45" s="9">
        <v>0.51</v>
      </c>
      <c r="DM45" s="9">
        <v>0.56000000000000005</v>
      </c>
      <c r="DN45" s="1">
        <v>250.25</v>
      </c>
      <c r="DO45" s="1">
        <v>178.75</v>
      </c>
      <c r="DP45" s="1">
        <v>321.75</v>
      </c>
      <c r="DQ45" s="19"/>
      <c r="DR45" s="19"/>
      <c r="DW45" s="1">
        <v>1.1000000000000001</v>
      </c>
      <c r="DX45" s="1">
        <v>0.8</v>
      </c>
      <c r="DY45" s="1">
        <v>1.4</v>
      </c>
      <c r="EL45" s="1">
        <v>365</v>
      </c>
      <c r="EM45" s="1">
        <v>292</v>
      </c>
      <c r="EN45" s="1">
        <v>438</v>
      </c>
      <c r="EO45" s="11"/>
      <c r="EP45" s="11"/>
      <c r="EQ45" s="11"/>
      <c r="ER45" s="1">
        <v>365</v>
      </c>
      <c r="ES45" s="1">
        <v>292</v>
      </c>
      <c r="ET45" s="1">
        <v>438</v>
      </c>
      <c r="EV45" s="19"/>
      <c r="EW45" s="19"/>
      <c r="EX45" s="19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O45" s="1">
        <v>67</v>
      </c>
      <c r="FP45" s="1">
        <v>67</v>
      </c>
      <c r="FQ45" s="1">
        <v>67</v>
      </c>
      <c r="FR45" s="13" t="s">
        <v>806</v>
      </c>
      <c r="FS45" s="13" t="s">
        <v>806</v>
      </c>
      <c r="FT45" s="13" t="s">
        <v>806</v>
      </c>
      <c r="FU45" s="13"/>
      <c r="FV45" s="13" t="s">
        <v>806</v>
      </c>
      <c r="FW45" s="13" t="s">
        <v>806</v>
      </c>
      <c r="FX45" s="13" t="s">
        <v>806</v>
      </c>
      <c r="FY45" s="13" t="s">
        <v>806</v>
      </c>
      <c r="FZ45" s="13" t="s">
        <v>806</v>
      </c>
      <c r="GA45" s="13" t="s">
        <v>806</v>
      </c>
      <c r="GB45" s="13" t="s">
        <v>806</v>
      </c>
      <c r="GE45" s="13" t="s">
        <v>806</v>
      </c>
      <c r="GF45" s="13" t="s">
        <v>806</v>
      </c>
      <c r="GH45" s="13" t="s">
        <v>806</v>
      </c>
    </row>
    <row r="46" spans="1:190" ht="15" customHeight="1" x14ac:dyDescent="0.25">
      <c r="A46" s="1" t="s">
        <v>208</v>
      </c>
      <c r="B46" s="1" t="s">
        <v>651</v>
      </c>
      <c r="C46" s="1" t="s">
        <v>656</v>
      </c>
      <c r="D46" s="1" t="s">
        <v>674</v>
      </c>
      <c r="E46" s="1" t="s">
        <v>127</v>
      </c>
      <c r="F46" s="1">
        <v>0</v>
      </c>
      <c r="G46" s="1">
        <v>2035</v>
      </c>
      <c r="H46" s="1">
        <v>1</v>
      </c>
      <c r="I46" s="1">
        <v>0</v>
      </c>
      <c r="J46" s="1">
        <v>0</v>
      </c>
      <c r="K4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4.0250000000000004</v>
      </c>
      <c r="L4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49.775833333333338</v>
      </c>
      <c r="M4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170.25750000000002</v>
      </c>
      <c r="N46" s="19">
        <v>98.612500000000011</v>
      </c>
      <c r="O46" s="19">
        <v>46.287500000000001</v>
      </c>
      <c r="P46" s="19">
        <v>170.25750000000002</v>
      </c>
      <c r="Q46" s="19">
        <v>2.8175000000000003</v>
      </c>
      <c r="R46" s="19">
        <v>0</v>
      </c>
      <c r="S46" s="19">
        <v>57.96</v>
      </c>
      <c r="T46" s="19">
        <v>25.357500000000002</v>
      </c>
      <c r="U46" s="19">
        <v>4.0250000000000004</v>
      </c>
      <c r="V46" s="19">
        <v>57.96</v>
      </c>
      <c r="W46" s="19">
        <v>76.072500000000005</v>
      </c>
      <c r="X46" s="19">
        <v>34.212499999999999</v>
      </c>
      <c r="Y46" s="19">
        <v>134.0325</v>
      </c>
      <c r="Z46" s="19">
        <v>25.357500000000002</v>
      </c>
      <c r="AA46" s="19">
        <v>4.0250000000000004</v>
      </c>
      <c r="AB46" s="19">
        <v>57.96</v>
      </c>
      <c r="AC46" s="19">
        <v>76.072500000000005</v>
      </c>
      <c r="AD46" s="19">
        <v>34.212499999999999</v>
      </c>
      <c r="AE46" s="19">
        <v>134.0325</v>
      </c>
      <c r="AF46" s="19">
        <v>98.612500000000011</v>
      </c>
      <c r="AG46" s="19">
        <v>46.287500000000001</v>
      </c>
      <c r="AH46" s="19">
        <v>170.25750000000002</v>
      </c>
      <c r="AI46" s="19">
        <v>2.8175000000000003</v>
      </c>
      <c r="AJ46" s="19">
        <v>0</v>
      </c>
      <c r="AK46" s="19">
        <v>57.96</v>
      </c>
      <c r="AL46" s="19">
        <v>25.357500000000002</v>
      </c>
      <c r="AM46" s="19">
        <v>4.0250000000000004</v>
      </c>
      <c r="AN46" s="19">
        <v>57.96</v>
      </c>
      <c r="AO46" s="19">
        <v>76.072500000000005</v>
      </c>
      <c r="AP46" s="19">
        <v>34.212499999999999</v>
      </c>
      <c r="AQ46" s="19">
        <v>134.0325</v>
      </c>
      <c r="AR46" s="19">
        <v>25.357500000000002</v>
      </c>
      <c r="AS46" s="19">
        <v>4.0250000000000004</v>
      </c>
      <c r="AT46" s="19">
        <v>57.96</v>
      </c>
      <c r="AU46" s="19">
        <v>76.072500000000005</v>
      </c>
      <c r="AV46" s="19">
        <v>34.212499999999999</v>
      </c>
      <c r="AW46" s="19">
        <v>134.0325</v>
      </c>
      <c r="AX46" s="19">
        <v>98.612500000000011</v>
      </c>
      <c r="AY46" s="19">
        <v>46.287500000000001</v>
      </c>
      <c r="AZ46" s="19">
        <v>170.25750000000002</v>
      </c>
      <c r="BA46" s="19">
        <v>2.8175000000000003</v>
      </c>
      <c r="BB46" s="19">
        <v>0</v>
      </c>
      <c r="BC46" s="19">
        <v>57.96</v>
      </c>
      <c r="BD46" s="19">
        <v>25.357500000000002</v>
      </c>
      <c r="BE46" s="19">
        <v>4.0250000000000004</v>
      </c>
      <c r="BF46" s="19">
        <v>57.96</v>
      </c>
      <c r="BG46" s="19">
        <v>76.072500000000005</v>
      </c>
      <c r="BH46" s="19">
        <v>34.212499999999999</v>
      </c>
      <c r="BI46" s="19">
        <v>134.0325</v>
      </c>
      <c r="BJ46" s="19">
        <v>25.357500000000002</v>
      </c>
      <c r="BK46" s="19">
        <v>4.0250000000000004</v>
      </c>
      <c r="BL46" s="19">
        <v>57.96</v>
      </c>
      <c r="BM46" s="19">
        <v>76.072500000000005</v>
      </c>
      <c r="BN46" s="19">
        <v>34.212499999999999</v>
      </c>
      <c r="BO46" s="19">
        <v>134.0325</v>
      </c>
      <c r="BP46" s="19"/>
      <c r="BQ4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51.654166666666669</v>
      </c>
      <c r="BS4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134.0325</v>
      </c>
      <c r="BT46" s="11">
        <f>Tabelle5897112140[[#This Row],[Mindestauslastung min]]*Tabelle5897112140[[#This Row],[installierte Leistung MW min]]</f>
        <v>26.162500000000001</v>
      </c>
      <c r="BU46" s="11">
        <f>Tabelle5897112140[[#This Row],[Mindestauslastung durch]]*Tabelle5897112140[[#This Row],[installierte Leistung MW durch]]</f>
        <v>42.262499999999996</v>
      </c>
      <c r="BV46" s="11">
        <f>Tabelle5897112140[[#This Row],[Mindestauslastung max]]*Tabelle5897112140[[#This Row],[installierte Leistung MW max]]</f>
        <v>61.582500000000003</v>
      </c>
      <c r="BW46" s="9">
        <v>0.13</v>
      </c>
      <c r="BX46" s="9">
        <v>0.15</v>
      </c>
      <c r="BY46" s="9">
        <v>0.17</v>
      </c>
      <c r="BZ46" s="9"/>
      <c r="CA46" s="9">
        <v>0.5</v>
      </c>
      <c r="CB46" s="9">
        <v>0.4</v>
      </c>
      <c r="CC46" s="9">
        <v>0.6</v>
      </c>
      <c r="CD46" s="9">
        <v>0.24</v>
      </c>
      <c r="CE46" s="9">
        <v>0.19</v>
      </c>
      <c r="CF46" s="9">
        <v>0.28999999999999998</v>
      </c>
      <c r="CG46" s="9">
        <v>0.24</v>
      </c>
      <c r="CH46" s="9">
        <v>0.19</v>
      </c>
      <c r="CI46" s="9">
        <v>0.28999999999999998</v>
      </c>
      <c r="CJ46" s="9">
        <v>0.5</v>
      </c>
      <c r="CK46" s="9">
        <v>0.4</v>
      </c>
      <c r="CL46" s="9">
        <v>0.6</v>
      </c>
      <c r="CM46" s="9">
        <v>0.24</v>
      </c>
      <c r="CN46" s="9">
        <v>0.19</v>
      </c>
      <c r="CO46" s="9">
        <v>0.28999999999999998</v>
      </c>
      <c r="CP46" s="9">
        <v>0.24</v>
      </c>
      <c r="CQ46" s="9">
        <v>0.19</v>
      </c>
      <c r="CR46" s="9">
        <v>0.28999999999999998</v>
      </c>
      <c r="CS46" s="9">
        <v>0.5</v>
      </c>
      <c r="CT46" s="9">
        <v>0.4</v>
      </c>
      <c r="CU46" s="9">
        <v>0.6</v>
      </c>
      <c r="CV46" s="9">
        <v>0.24</v>
      </c>
      <c r="CW46" s="9">
        <v>0.19</v>
      </c>
      <c r="CX46" s="9">
        <v>0.28999999999999998</v>
      </c>
      <c r="CY46" s="9">
        <v>0.24</v>
      </c>
      <c r="CZ46" s="9">
        <v>0.19</v>
      </c>
      <c r="DA46" s="9">
        <v>0.28999999999999998</v>
      </c>
      <c r="DB46" s="9">
        <f>MIN(Tabelle5897112140[[#This Row],[Durchschnittsauslastung durch Sommer WTT]:[Durchschnittsauslastung max Winter SFN]])</f>
        <v>0.19</v>
      </c>
      <c r="DC4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6" s="9">
        <f>MAX(Tabelle5897112140[[#This Row],[Durchschnittsauslastung durch Sommer WTT]:[Durchschnittsauslastung max Winter SFN]])</f>
        <v>0.6</v>
      </c>
      <c r="DE46" s="40">
        <f>Tabelle5897112140[[#This Row],[Durchschnittsauslastung min]]*Tabelle5897112140[[#This Row],[installierte Leistung MW min]]</f>
        <v>38.237499999999997</v>
      </c>
      <c r="DF46" s="40">
        <f>Tabelle5897112140[[#This Row],[Durchschnittsauslastung durch]]*Tabelle5897112140[[#This Row],[installierte Leistung MW durch]]</f>
        <v>92.038333333333341</v>
      </c>
      <c r="DG46" s="40">
        <f>Tabelle5897112140[[#This Row],[Durchschnittsauslastung max]]*Tabelle5897112140[[#This Row],[installierte Leistung MW max]]</f>
        <v>217.35</v>
      </c>
      <c r="DH46" s="46">
        <f>Tabelle5897112140[[#This Row],[Maximalauslastung min]]*Tabelle5897112140[[#This Row],[installierte Leistung MW min]]</f>
        <v>92.575000000000003</v>
      </c>
      <c r="DI46" s="46">
        <f>Tabelle5897112140[[#This Row],[Maximalauslastung durch]]*Tabelle5897112140[[#This Row],[installierte Leistung MW durch]]</f>
        <v>143.6925</v>
      </c>
      <c r="DJ46" s="19">
        <f>Tabelle5897112140[[#This Row],[Maximalauslastung max]]*Tabelle5897112140[[#This Row],[installierte Leistung MW durch]]</f>
        <v>157.78</v>
      </c>
      <c r="DK46" s="9">
        <v>0.46</v>
      </c>
      <c r="DL46" s="9">
        <v>0.51</v>
      </c>
      <c r="DM46" s="9">
        <v>0.56000000000000005</v>
      </c>
      <c r="DN46" s="1">
        <v>281.75</v>
      </c>
      <c r="DO46" s="1">
        <v>201.25</v>
      </c>
      <c r="DP46" s="1">
        <v>362.25</v>
      </c>
      <c r="DQ46" s="19"/>
      <c r="DR46" s="19"/>
      <c r="DW46" s="1">
        <v>1.1000000000000001</v>
      </c>
      <c r="DX46" s="1">
        <v>0.8</v>
      </c>
      <c r="DY46" s="1">
        <v>1.4</v>
      </c>
      <c r="EL46" s="1">
        <v>365</v>
      </c>
      <c r="EM46" s="1">
        <v>292</v>
      </c>
      <c r="EN46" s="1">
        <v>438</v>
      </c>
      <c r="EO46" s="11"/>
      <c r="EP46" s="11"/>
      <c r="EQ46" s="11"/>
      <c r="ER46" s="1">
        <v>365</v>
      </c>
      <c r="ES46" s="1">
        <v>292</v>
      </c>
      <c r="ET46" s="1">
        <v>438</v>
      </c>
      <c r="EV46" s="19"/>
      <c r="EW46" s="19"/>
      <c r="EX46" s="19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O46" s="1">
        <v>67</v>
      </c>
      <c r="FP46" s="1">
        <v>67</v>
      </c>
      <c r="FQ46" s="1">
        <v>67</v>
      </c>
      <c r="FR46" s="13" t="s">
        <v>806</v>
      </c>
      <c r="FS46" s="13" t="s">
        <v>806</v>
      </c>
      <c r="FT46" s="13" t="s">
        <v>806</v>
      </c>
      <c r="FU46" s="13"/>
      <c r="FV46" s="13" t="s">
        <v>806</v>
      </c>
      <c r="FW46" s="13" t="s">
        <v>806</v>
      </c>
      <c r="FX46" s="13" t="s">
        <v>806</v>
      </c>
      <c r="FY46" s="13" t="s">
        <v>806</v>
      </c>
      <c r="FZ46" s="13" t="s">
        <v>806</v>
      </c>
      <c r="GA46" s="13" t="s">
        <v>806</v>
      </c>
      <c r="GB46" s="13" t="s">
        <v>806</v>
      </c>
      <c r="GE46" s="13" t="s">
        <v>806</v>
      </c>
      <c r="GF46" s="13" t="s">
        <v>806</v>
      </c>
      <c r="GH46" s="13" t="s">
        <v>806</v>
      </c>
    </row>
    <row r="47" spans="1:190" ht="15" customHeight="1" x14ac:dyDescent="0.25">
      <c r="A47" s="1" t="s">
        <v>208</v>
      </c>
      <c r="B47" s="1" t="s">
        <v>651</v>
      </c>
      <c r="C47" s="1" t="s">
        <v>656</v>
      </c>
      <c r="D47" s="1" t="s">
        <v>674</v>
      </c>
      <c r="E47" s="1" t="s">
        <v>127</v>
      </c>
      <c r="F47" s="1">
        <v>0</v>
      </c>
      <c r="G47" s="1">
        <v>2040</v>
      </c>
      <c r="H47" s="1">
        <v>1</v>
      </c>
      <c r="I47" s="1">
        <v>0</v>
      </c>
      <c r="J47" s="1">
        <v>0</v>
      </c>
      <c r="K4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4.5250000000000004</v>
      </c>
      <c r="L4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55.959166666666668</v>
      </c>
      <c r="M4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191.4075</v>
      </c>
      <c r="N47" s="19">
        <v>110.8625</v>
      </c>
      <c r="O47" s="19">
        <v>52.037500000000001</v>
      </c>
      <c r="P47" s="19">
        <v>191.4075</v>
      </c>
      <c r="Q47" s="19">
        <v>3.1675</v>
      </c>
      <c r="R47" s="19">
        <v>0</v>
      </c>
      <c r="S47" s="19">
        <v>65.16</v>
      </c>
      <c r="T47" s="19">
        <v>28.5075</v>
      </c>
      <c r="U47" s="19">
        <v>4.5250000000000004</v>
      </c>
      <c r="V47" s="19">
        <v>65.16</v>
      </c>
      <c r="W47" s="19">
        <v>85.522500000000008</v>
      </c>
      <c r="X47" s="19">
        <v>38.462499999999999</v>
      </c>
      <c r="Y47" s="19">
        <v>150.6825</v>
      </c>
      <c r="Z47" s="19">
        <v>28.5075</v>
      </c>
      <c r="AA47" s="19">
        <v>4.5250000000000004</v>
      </c>
      <c r="AB47" s="19">
        <v>65.16</v>
      </c>
      <c r="AC47" s="19">
        <v>85.522500000000008</v>
      </c>
      <c r="AD47" s="19">
        <v>38.462499999999999</v>
      </c>
      <c r="AE47" s="19">
        <v>150.6825</v>
      </c>
      <c r="AF47" s="19">
        <v>110.8625</v>
      </c>
      <c r="AG47" s="19">
        <v>52.037500000000001</v>
      </c>
      <c r="AH47" s="19">
        <v>191.4075</v>
      </c>
      <c r="AI47" s="19">
        <v>3.1675</v>
      </c>
      <c r="AJ47" s="19">
        <v>0</v>
      </c>
      <c r="AK47" s="19">
        <v>65.16</v>
      </c>
      <c r="AL47" s="19">
        <v>28.5075</v>
      </c>
      <c r="AM47" s="19">
        <v>4.5250000000000004</v>
      </c>
      <c r="AN47" s="19">
        <v>65.16</v>
      </c>
      <c r="AO47" s="19">
        <v>85.522500000000008</v>
      </c>
      <c r="AP47" s="19">
        <v>38.462499999999999</v>
      </c>
      <c r="AQ47" s="19">
        <v>150.6825</v>
      </c>
      <c r="AR47" s="19">
        <v>28.5075</v>
      </c>
      <c r="AS47" s="19">
        <v>4.5250000000000004</v>
      </c>
      <c r="AT47" s="19">
        <v>65.16</v>
      </c>
      <c r="AU47" s="19">
        <v>85.522500000000008</v>
      </c>
      <c r="AV47" s="19">
        <v>38.462499999999999</v>
      </c>
      <c r="AW47" s="19">
        <v>150.6825</v>
      </c>
      <c r="AX47" s="19">
        <v>110.8625</v>
      </c>
      <c r="AY47" s="19">
        <v>52.037500000000001</v>
      </c>
      <c r="AZ47" s="19">
        <v>191.4075</v>
      </c>
      <c r="BA47" s="19">
        <v>3.1675</v>
      </c>
      <c r="BB47" s="19">
        <v>0</v>
      </c>
      <c r="BC47" s="19">
        <v>65.16</v>
      </c>
      <c r="BD47" s="19">
        <v>28.5075</v>
      </c>
      <c r="BE47" s="19">
        <v>4.5250000000000004</v>
      </c>
      <c r="BF47" s="19">
        <v>65.16</v>
      </c>
      <c r="BG47" s="19">
        <v>85.522500000000008</v>
      </c>
      <c r="BH47" s="19">
        <v>38.462499999999999</v>
      </c>
      <c r="BI47" s="19">
        <v>150.6825</v>
      </c>
      <c r="BJ47" s="19">
        <v>28.5075</v>
      </c>
      <c r="BK47" s="19">
        <v>4.5250000000000004</v>
      </c>
      <c r="BL47" s="19">
        <v>65.16</v>
      </c>
      <c r="BM47" s="19">
        <v>85.522500000000008</v>
      </c>
      <c r="BN47" s="19">
        <v>38.462499999999999</v>
      </c>
      <c r="BO47" s="19">
        <v>150.6825</v>
      </c>
      <c r="BP47" s="19"/>
      <c r="BQ4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58.070833333333354</v>
      </c>
      <c r="BS4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150.6825</v>
      </c>
      <c r="BT47" s="11">
        <f>Tabelle5897112140[[#This Row],[Mindestauslastung min]]*Tabelle5897112140[[#This Row],[installierte Leistung MW min]]</f>
        <v>29.412500000000001</v>
      </c>
      <c r="BU47" s="11">
        <f>Tabelle5897112140[[#This Row],[Mindestauslastung durch]]*Tabelle5897112140[[#This Row],[installierte Leistung MW durch]]</f>
        <v>47.512499999999996</v>
      </c>
      <c r="BV47" s="11">
        <f>Tabelle5897112140[[#This Row],[Mindestauslastung max]]*Tabelle5897112140[[#This Row],[installierte Leistung MW max]]</f>
        <v>69.232500000000002</v>
      </c>
      <c r="BW47" s="9">
        <v>0.13</v>
      </c>
      <c r="BX47" s="9">
        <v>0.15</v>
      </c>
      <c r="BY47" s="9">
        <v>0.17</v>
      </c>
      <c r="BZ47" s="9"/>
      <c r="CA47" s="9">
        <v>0.5</v>
      </c>
      <c r="CB47" s="9">
        <v>0.4</v>
      </c>
      <c r="CC47" s="9">
        <v>0.6</v>
      </c>
      <c r="CD47" s="9">
        <v>0.24</v>
      </c>
      <c r="CE47" s="9">
        <v>0.19</v>
      </c>
      <c r="CF47" s="9">
        <v>0.28999999999999998</v>
      </c>
      <c r="CG47" s="9">
        <v>0.24</v>
      </c>
      <c r="CH47" s="9">
        <v>0.19</v>
      </c>
      <c r="CI47" s="9">
        <v>0.28999999999999998</v>
      </c>
      <c r="CJ47" s="9">
        <v>0.5</v>
      </c>
      <c r="CK47" s="9">
        <v>0.4</v>
      </c>
      <c r="CL47" s="9">
        <v>0.6</v>
      </c>
      <c r="CM47" s="9">
        <v>0.24</v>
      </c>
      <c r="CN47" s="9">
        <v>0.19</v>
      </c>
      <c r="CO47" s="9">
        <v>0.28999999999999998</v>
      </c>
      <c r="CP47" s="9">
        <v>0.24</v>
      </c>
      <c r="CQ47" s="9">
        <v>0.19</v>
      </c>
      <c r="CR47" s="9">
        <v>0.28999999999999998</v>
      </c>
      <c r="CS47" s="9">
        <v>0.5</v>
      </c>
      <c r="CT47" s="9">
        <v>0.4</v>
      </c>
      <c r="CU47" s="9">
        <v>0.6</v>
      </c>
      <c r="CV47" s="9">
        <v>0.24</v>
      </c>
      <c r="CW47" s="9">
        <v>0.19</v>
      </c>
      <c r="CX47" s="9">
        <v>0.28999999999999998</v>
      </c>
      <c r="CY47" s="9">
        <v>0.24</v>
      </c>
      <c r="CZ47" s="9">
        <v>0.19</v>
      </c>
      <c r="DA47" s="9">
        <v>0.28999999999999998</v>
      </c>
      <c r="DB47" s="9">
        <f>MIN(Tabelle5897112140[[#This Row],[Durchschnittsauslastung durch Sommer WTT]:[Durchschnittsauslastung max Winter SFN]])</f>
        <v>0.19</v>
      </c>
      <c r="DC4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7" s="9">
        <f>MAX(Tabelle5897112140[[#This Row],[Durchschnittsauslastung durch Sommer WTT]:[Durchschnittsauslastung max Winter SFN]])</f>
        <v>0.6</v>
      </c>
      <c r="DE47" s="40">
        <f>Tabelle5897112140[[#This Row],[Durchschnittsauslastung min]]*Tabelle5897112140[[#This Row],[installierte Leistung MW min]]</f>
        <v>42.987499999999997</v>
      </c>
      <c r="DF47" s="40">
        <f>Tabelle5897112140[[#This Row],[Durchschnittsauslastung durch]]*Tabelle5897112140[[#This Row],[installierte Leistung MW durch]]</f>
        <v>103.47166666666668</v>
      </c>
      <c r="DG47" s="40">
        <f>Tabelle5897112140[[#This Row],[Durchschnittsauslastung max]]*Tabelle5897112140[[#This Row],[installierte Leistung MW max]]</f>
        <v>244.35</v>
      </c>
      <c r="DH47" s="46">
        <f>Tabelle5897112140[[#This Row],[Maximalauslastung min]]*Tabelle5897112140[[#This Row],[installierte Leistung MW min]]</f>
        <v>104.075</v>
      </c>
      <c r="DI47" s="46">
        <f>Tabelle5897112140[[#This Row],[Maximalauslastung durch]]*Tabelle5897112140[[#This Row],[installierte Leistung MW durch]]</f>
        <v>161.54249999999999</v>
      </c>
      <c r="DJ47" s="19">
        <f>Tabelle5897112140[[#This Row],[Maximalauslastung max]]*Tabelle5897112140[[#This Row],[installierte Leistung MW durch]]</f>
        <v>177.38000000000002</v>
      </c>
      <c r="DK47" s="9">
        <v>0.46</v>
      </c>
      <c r="DL47" s="9">
        <v>0.51</v>
      </c>
      <c r="DM47" s="9">
        <v>0.56000000000000005</v>
      </c>
      <c r="DN47" s="1">
        <v>316.75</v>
      </c>
      <c r="DO47" s="1">
        <v>226.25</v>
      </c>
      <c r="DP47" s="1">
        <v>407.25</v>
      </c>
      <c r="DQ47" s="19"/>
      <c r="DR47" s="19"/>
      <c r="DW47" s="1">
        <v>1.1000000000000001</v>
      </c>
      <c r="DX47" s="1">
        <v>0.8</v>
      </c>
      <c r="DY47" s="1">
        <v>1.4</v>
      </c>
      <c r="EL47" s="1">
        <v>365</v>
      </c>
      <c r="EM47" s="1">
        <v>292</v>
      </c>
      <c r="EN47" s="1">
        <v>438</v>
      </c>
      <c r="EO47" s="11"/>
      <c r="EP47" s="11"/>
      <c r="EQ47" s="11"/>
      <c r="ER47" s="1">
        <v>365</v>
      </c>
      <c r="ES47" s="1">
        <v>292</v>
      </c>
      <c r="ET47" s="1">
        <v>438</v>
      </c>
      <c r="EV47" s="19"/>
      <c r="EW47" s="19"/>
      <c r="EX47" s="19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O47" s="1">
        <v>67</v>
      </c>
      <c r="FP47" s="1">
        <v>67</v>
      </c>
      <c r="FQ47" s="1">
        <v>67</v>
      </c>
      <c r="FR47" s="13" t="s">
        <v>806</v>
      </c>
      <c r="FS47" s="13" t="s">
        <v>806</v>
      </c>
      <c r="FT47" s="13" t="s">
        <v>806</v>
      </c>
      <c r="FU47" s="13"/>
      <c r="FV47" s="13" t="s">
        <v>806</v>
      </c>
      <c r="FW47" s="13" t="s">
        <v>806</v>
      </c>
      <c r="FX47" s="13" t="s">
        <v>806</v>
      </c>
      <c r="FY47" s="13" t="s">
        <v>806</v>
      </c>
      <c r="FZ47" s="13" t="s">
        <v>806</v>
      </c>
      <c r="GA47" s="13" t="s">
        <v>806</v>
      </c>
      <c r="GB47" s="13" t="s">
        <v>806</v>
      </c>
      <c r="GE47" s="13" t="s">
        <v>806</v>
      </c>
      <c r="GF47" s="13" t="s">
        <v>806</v>
      </c>
      <c r="GH47" s="13" t="s">
        <v>806</v>
      </c>
    </row>
    <row r="48" spans="1:190" ht="15" customHeight="1" x14ac:dyDescent="0.25">
      <c r="A48" s="1" t="s">
        <v>208</v>
      </c>
      <c r="B48" s="1" t="s">
        <v>651</v>
      </c>
      <c r="C48" s="1" t="s">
        <v>656</v>
      </c>
      <c r="D48" s="1" t="s">
        <v>674</v>
      </c>
      <c r="E48" s="1" t="s">
        <v>127</v>
      </c>
      <c r="F48" s="1">
        <v>0</v>
      </c>
      <c r="G48" s="1">
        <v>2045</v>
      </c>
      <c r="H48" s="1">
        <v>1</v>
      </c>
      <c r="I48" s="1">
        <v>0</v>
      </c>
      <c r="J48" s="1">
        <v>0</v>
      </c>
      <c r="K4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5.0999999999999996</v>
      </c>
      <c r="L4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63.07</v>
      </c>
      <c r="M4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215.73</v>
      </c>
      <c r="N48" s="19">
        <v>124.95</v>
      </c>
      <c r="O48" s="19">
        <v>58.65</v>
      </c>
      <c r="P48" s="19">
        <v>215.73</v>
      </c>
      <c r="Q48" s="19">
        <v>3.5700000000000003</v>
      </c>
      <c r="R48" s="19">
        <v>0</v>
      </c>
      <c r="S48" s="19">
        <v>73.44</v>
      </c>
      <c r="T48" s="19">
        <v>32.130000000000003</v>
      </c>
      <c r="U48" s="19">
        <v>5.0999999999999996</v>
      </c>
      <c r="V48" s="19">
        <v>73.44</v>
      </c>
      <c r="W48" s="19">
        <v>96.39</v>
      </c>
      <c r="X48" s="19">
        <v>43.35</v>
      </c>
      <c r="Y48" s="19">
        <v>169.83</v>
      </c>
      <c r="Z48" s="19">
        <v>32.130000000000003</v>
      </c>
      <c r="AA48" s="19">
        <v>5.0999999999999996</v>
      </c>
      <c r="AB48" s="19">
        <v>73.44</v>
      </c>
      <c r="AC48" s="19">
        <v>96.39</v>
      </c>
      <c r="AD48" s="19">
        <v>43.35</v>
      </c>
      <c r="AE48" s="19">
        <v>169.83</v>
      </c>
      <c r="AF48" s="19">
        <v>124.95</v>
      </c>
      <c r="AG48" s="19">
        <v>58.65</v>
      </c>
      <c r="AH48" s="19">
        <v>215.73</v>
      </c>
      <c r="AI48" s="19">
        <v>3.5700000000000003</v>
      </c>
      <c r="AJ48" s="19">
        <v>0</v>
      </c>
      <c r="AK48" s="19">
        <v>73.44</v>
      </c>
      <c r="AL48" s="19">
        <v>32.130000000000003</v>
      </c>
      <c r="AM48" s="19">
        <v>5.0999999999999996</v>
      </c>
      <c r="AN48" s="19">
        <v>73.44</v>
      </c>
      <c r="AO48" s="19">
        <v>96.39</v>
      </c>
      <c r="AP48" s="19">
        <v>43.35</v>
      </c>
      <c r="AQ48" s="19">
        <v>169.83</v>
      </c>
      <c r="AR48" s="19">
        <v>32.130000000000003</v>
      </c>
      <c r="AS48" s="19">
        <v>5.0999999999999996</v>
      </c>
      <c r="AT48" s="19">
        <v>73.44</v>
      </c>
      <c r="AU48" s="19">
        <v>96.39</v>
      </c>
      <c r="AV48" s="19">
        <v>43.35</v>
      </c>
      <c r="AW48" s="19">
        <v>169.83</v>
      </c>
      <c r="AX48" s="19">
        <v>124.95</v>
      </c>
      <c r="AY48" s="19">
        <v>58.65</v>
      </c>
      <c r="AZ48" s="19">
        <v>215.73</v>
      </c>
      <c r="BA48" s="19">
        <v>3.5700000000000003</v>
      </c>
      <c r="BB48" s="19">
        <v>0</v>
      </c>
      <c r="BC48" s="19">
        <v>73.44</v>
      </c>
      <c r="BD48" s="19">
        <v>32.130000000000003</v>
      </c>
      <c r="BE48" s="19">
        <v>5.0999999999999996</v>
      </c>
      <c r="BF48" s="19">
        <v>73.44</v>
      </c>
      <c r="BG48" s="19">
        <v>96.39</v>
      </c>
      <c r="BH48" s="19">
        <v>43.35</v>
      </c>
      <c r="BI48" s="19">
        <v>169.83</v>
      </c>
      <c r="BJ48" s="19">
        <v>32.130000000000003</v>
      </c>
      <c r="BK48" s="19">
        <v>5.0999999999999996</v>
      </c>
      <c r="BL48" s="19">
        <v>73.44</v>
      </c>
      <c r="BM48" s="19">
        <v>96.39</v>
      </c>
      <c r="BN48" s="19">
        <v>43.35</v>
      </c>
      <c r="BO48" s="19">
        <v>169.83</v>
      </c>
      <c r="BP48" s="19"/>
      <c r="BQ4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65.449999999999989</v>
      </c>
      <c r="BS4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169.83</v>
      </c>
      <c r="BT48" s="11">
        <f>Tabelle5897112140[[#This Row],[Mindestauslastung min]]*Tabelle5897112140[[#This Row],[installierte Leistung MW min]]</f>
        <v>33.15</v>
      </c>
      <c r="BU48" s="11">
        <f>Tabelle5897112140[[#This Row],[Mindestauslastung durch]]*Tabelle5897112140[[#This Row],[installierte Leistung MW durch]]</f>
        <v>53.55</v>
      </c>
      <c r="BV48" s="11">
        <f>Tabelle5897112140[[#This Row],[Mindestauslastung max]]*Tabelle5897112140[[#This Row],[installierte Leistung MW max]]</f>
        <v>78.03</v>
      </c>
      <c r="BW48" s="9">
        <v>0.13</v>
      </c>
      <c r="BX48" s="9">
        <v>0.15</v>
      </c>
      <c r="BY48" s="9">
        <v>0.17</v>
      </c>
      <c r="BZ48" s="9"/>
      <c r="CA48" s="9">
        <v>0.5</v>
      </c>
      <c r="CB48" s="9">
        <v>0.4</v>
      </c>
      <c r="CC48" s="9">
        <v>0.6</v>
      </c>
      <c r="CD48" s="9">
        <v>0.24</v>
      </c>
      <c r="CE48" s="9">
        <v>0.19</v>
      </c>
      <c r="CF48" s="9">
        <v>0.28999999999999998</v>
      </c>
      <c r="CG48" s="9">
        <v>0.24</v>
      </c>
      <c r="CH48" s="9">
        <v>0.19</v>
      </c>
      <c r="CI48" s="9">
        <v>0.28999999999999998</v>
      </c>
      <c r="CJ48" s="9">
        <v>0.5</v>
      </c>
      <c r="CK48" s="9">
        <v>0.4</v>
      </c>
      <c r="CL48" s="9">
        <v>0.6</v>
      </c>
      <c r="CM48" s="9">
        <v>0.24</v>
      </c>
      <c r="CN48" s="9">
        <v>0.19</v>
      </c>
      <c r="CO48" s="9">
        <v>0.28999999999999998</v>
      </c>
      <c r="CP48" s="9">
        <v>0.24</v>
      </c>
      <c r="CQ48" s="9">
        <v>0.19</v>
      </c>
      <c r="CR48" s="9">
        <v>0.28999999999999998</v>
      </c>
      <c r="CS48" s="9">
        <v>0.5</v>
      </c>
      <c r="CT48" s="9">
        <v>0.4</v>
      </c>
      <c r="CU48" s="9">
        <v>0.6</v>
      </c>
      <c r="CV48" s="9">
        <v>0.24</v>
      </c>
      <c r="CW48" s="9">
        <v>0.19</v>
      </c>
      <c r="CX48" s="9">
        <v>0.28999999999999998</v>
      </c>
      <c r="CY48" s="9">
        <v>0.24</v>
      </c>
      <c r="CZ48" s="9">
        <v>0.19</v>
      </c>
      <c r="DA48" s="9">
        <v>0.28999999999999998</v>
      </c>
      <c r="DB48" s="9">
        <f>MIN(Tabelle5897112140[[#This Row],[Durchschnittsauslastung durch Sommer WTT]:[Durchschnittsauslastung max Winter SFN]])</f>
        <v>0.19</v>
      </c>
      <c r="DC4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8" s="9">
        <f>MAX(Tabelle5897112140[[#This Row],[Durchschnittsauslastung durch Sommer WTT]:[Durchschnittsauslastung max Winter SFN]])</f>
        <v>0.6</v>
      </c>
      <c r="DE48" s="40">
        <f>Tabelle5897112140[[#This Row],[Durchschnittsauslastung min]]*Tabelle5897112140[[#This Row],[installierte Leistung MW min]]</f>
        <v>48.45</v>
      </c>
      <c r="DF48" s="40">
        <f>Tabelle5897112140[[#This Row],[Durchschnittsauslastung durch]]*Tabelle5897112140[[#This Row],[installierte Leistung MW durch]]</f>
        <v>116.62000000000002</v>
      </c>
      <c r="DG48" s="40">
        <f>Tabelle5897112140[[#This Row],[Durchschnittsauslastung max]]*Tabelle5897112140[[#This Row],[installierte Leistung MW max]]</f>
        <v>275.39999999999998</v>
      </c>
      <c r="DH48" s="46">
        <f>Tabelle5897112140[[#This Row],[Maximalauslastung min]]*Tabelle5897112140[[#This Row],[installierte Leistung MW min]]</f>
        <v>117.30000000000001</v>
      </c>
      <c r="DI48" s="46">
        <f>Tabelle5897112140[[#This Row],[Maximalauslastung durch]]*Tabelle5897112140[[#This Row],[installierte Leistung MW durch]]</f>
        <v>182.07</v>
      </c>
      <c r="DJ48" s="19">
        <f>Tabelle5897112140[[#This Row],[Maximalauslastung max]]*Tabelle5897112140[[#This Row],[installierte Leistung MW durch]]</f>
        <v>199.92000000000002</v>
      </c>
      <c r="DK48" s="9">
        <v>0.46</v>
      </c>
      <c r="DL48" s="9">
        <v>0.51</v>
      </c>
      <c r="DM48" s="9">
        <v>0.56000000000000005</v>
      </c>
      <c r="DN48" s="1">
        <v>357</v>
      </c>
      <c r="DO48" s="1">
        <v>255</v>
      </c>
      <c r="DP48" s="1">
        <v>459</v>
      </c>
      <c r="DQ48" s="19"/>
      <c r="DR48" s="19"/>
      <c r="DW48" s="1">
        <v>1.1000000000000001</v>
      </c>
      <c r="DX48" s="1">
        <v>0.8</v>
      </c>
      <c r="DY48" s="1">
        <v>1.4</v>
      </c>
      <c r="EL48" s="1">
        <v>365</v>
      </c>
      <c r="EM48" s="1">
        <v>292</v>
      </c>
      <c r="EN48" s="1">
        <v>438</v>
      </c>
      <c r="EO48" s="11"/>
      <c r="EP48" s="11"/>
      <c r="EQ48" s="11"/>
      <c r="ER48" s="1">
        <v>365</v>
      </c>
      <c r="ES48" s="1">
        <v>292</v>
      </c>
      <c r="ET48" s="1">
        <v>438</v>
      </c>
      <c r="EV48" s="19"/>
      <c r="EW48" s="19"/>
      <c r="EX48" s="19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O48" s="1">
        <v>67</v>
      </c>
      <c r="FP48" s="1">
        <v>67</v>
      </c>
      <c r="FQ48" s="1">
        <v>67</v>
      </c>
      <c r="FR48" s="13" t="s">
        <v>806</v>
      </c>
      <c r="FS48" s="13" t="s">
        <v>806</v>
      </c>
      <c r="FT48" s="13" t="s">
        <v>806</v>
      </c>
      <c r="FU48" s="13"/>
      <c r="FV48" s="13" t="s">
        <v>806</v>
      </c>
      <c r="FW48" s="13" t="s">
        <v>806</v>
      </c>
      <c r="FX48" s="13" t="s">
        <v>806</v>
      </c>
      <c r="FY48" s="13" t="s">
        <v>806</v>
      </c>
      <c r="FZ48" s="13" t="s">
        <v>806</v>
      </c>
      <c r="GA48" s="13" t="s">
        <v>806</v>
      </c>
      <c r="GB48" s="13" t="s">
        <v>806</v>
      </c>
      <c r="GE48" s="13" t="s">
        <v>806</v>
      </c>
      <c r="GF48" s="13" t="s">
        <v>806</v>
      </c>
      <c r="GH48" s="13" t="s">
        <v>806</v>
      </c>
    </row>
    <row r="49" spans="1:193" ht="15" customHeight="1" x14ac:dyDescent="0.25">
      <c r="A49" s="1" t="s">
        <v>208</v>
      </c>
      <c r="B49" s="1" t="s">
        <v>651</v>
      </c>
      <c r="C49" s="1" t="s">
        <v>656</v>
      </c>
      <c r="D49" s="1" t="s">
        <v>674</v>
      </c>
      <c r="E49" s="1" t="s">
        <v>127</v>
      </c>
      <c r="F49" s="1">
        <v>0</v>
      </c>
      <c r="G49" s="1">
        <v>2050</v>
      </c>
      <c r="H49" s="1">
        <v>1</v>
      </c>
      <c r="I49" s="1">
        <v>0</v>
      </c>
      <c r="J49" s="1">
        <v>0</v>
      </c>
      <c r="K4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5.75</v>
      </c>
      <c r="L4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71.108333333333334</v>
      </c>
      <c r="M4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243.22499999999999</v>
      </c>
      <c r="N49" s="19">
        <v>140.875</v>
      </c>
      <c r="O49" s="19">
        <v>66.125</v>
      </c>
      <c r="P49" s="19">
        <v>243.22499999999999</v>
      </c>
      <c r="Q49" s="19">
        <v>4.0249999999999995</v>
      </c>
      <c r="R49" s="19">
        <v>0</v>
      </c>
      <c r="S49" s="19">
        <v>82.8</v>
      </c>
      <c r="T49" s="19">
        <v>36.224999999999994</v>
      </c>
      <c r="U49" s="19">
        <v>5.75</v>
      </c>
      <c r="V49" s="19">
        <v>82.8</v>
      </c>
      <c r="W49" s="19">
        <v>108.675</v>
      </c>
      <c r="X49" s="19">
        <v>48.874999999999993</v>
      </c>
      <c r="Y49" s="19">
        <v>191.47499999999999</v>
      </c>
      <c r="Z49" s="19">
        <v>36.224999999999994</v>
      </c>
      <c r="AA49" s="19">
        <v>5.75</v>
      </c>
      <c r="AB49" s="19">
        <v>82.8</v>
      </c>
      <c r="AC49" s="19">
        <v>108.675</v>
      </c>
      <c r="AD49" s="19">
        <v>48.874999999999993</v>
      </c>
      <c r="AE49" s="19">
        <v>191.47499999999999</v>
      </c>
      <c r="AF49" s="19">
        <v>140.875</v>
      </c>
      <c r="AG49" s="19">
        <v>66.125</v>
      </c>
      <c r="AH49" s="19">
        <v>243.22499999999999</v>
      </c>
      <c r="AI49" s="19">
        <v>4.0249999999999995</v>
      </c>
      <c r="AJ49" s="19">
        <v>0</v>
      </c>
      <c r="AK49" s="19">
        <v>82.8</v>
      </c>
      <c r="AL49" s="19">
        <v>36.224999999999994</v>
      </c>
      <c r="AM49" s="19">
        <v>5.75</v>
      </c>
      <c r="AN49" s="19">
        <v>82.8</v>
      </c>
      <c r="AO49" s="19">
        <v>108.675</v>
      </c>
      <c r="AP49" s="19">
        <v>48.874999999999993</v>
      </c>
      <c r="AQ49" s="19">
        <v>191.47499999999999</v>
      </c>
      <c r="AR49" s="19">
        <v>36.224999999999994</v>
      </c>
      <c r="AS49" s="19">
        <v>5.75</v>
      </c>
      <c r="AT49" s="19">
        <v>82.8</v>
      </c>
      <c r="AU49" s="19">
        <v>108.675</v>
      </c>
      <c r="AV49" s="19">
        <v>48.874999999999993</v>
      </c>
      <c r="AW49" s="19">
        <v>191.47499999999999</v>
      </c>
      <c r="AX49" s="19">
        <v>140.875</v>
      </c>
      <c r="AY49" s="19">
        <v>66.125</v>
      </c>
      <c r="AZ49" s="19">
        <v>243.22499999999999</v>
      </c>
      <c r="BA49" s="19">
        <v>4.0249999999999995</v>
      </c>
      <c r="BB49" s="19">
        <v>0</v>
      </c>
      <c r="BC49" s="19">
        <v>82.8</v>
      </c>
      <c r="BD49" s="19">
        <v>36.224999999999994</v>
      </c>
      <c r="BE49" s="19">
        <v>5.75</v>
      </c>
      <c r="BF49" s="19">
        <v>82.8</v>
      </c>
      <c r="BG49" s="19">
        <v>108.675</v>
      </c>
      <c r="BH49" s="19">
        <v>48.874999999999993</v>
      </c>
      <c r="BI49" s="19">
        <v>191.47499999999999</v>
      </c>
      <c r="BJ49" s="19">
        <v>36.224999999999994</v>
      </c>
      <c r="BK49" s="19">
        <v>5.75</v>
      </c>
      <c r="BL49" s="19">
        <v>82.8</v>
      </c>
      <c r="BM49" s="19">
        <v>108.675</v>
      </c>
      <c r="BN49" s="19">
        <v>48.874999999999993</v>
      </c>
      <c r="BO49" s="19">
        <v>191.47499999999999</v>
      </c>
      <c r="BP49" s="19"/>
      <c r="BQ4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73.791666666666657</v>
      </c>
      <c r="BS4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191.47499999999999</v>
      </c>
      <c r="BT49" s="11">
        <f>Tabelle5897112140[[#This Row],[Mindestauslastung min]]*Tabelle5897112140[[#This Row],[installierte Leistung MW min]]</f>
        <v>37.375</v>
      </c>
      <c r="BU49" s="11">
        <f>Tabelle5897112140[[#This Row],[Mindestauslastung durch]]*Tabelle5897112140[[#This Row],[installierte Leistung MW durch]]</f>
        <v>60.375</v>
      </c>
      <c r="BV49" s="11">
        <f>Tabelle5897112140[[#This Row],[Mindestauslastung max]]*Tabelle5897112140[[#This Row],[installierte Leistung MW max]]</f>
        <v>87.975000000000009</v>
      </c>
      <c r="BW49" s="9">
        <v>0.13</v>
      </c>
      <c r="BX49" s="9">
        <v>0.15</v>
      </c>
      <c r="BY49" s="9">
        <v>0.17</v>
      </c>
      <c r="BZ49" s="9"/>
      <c r="CA49" s="9">
        <v>0.5</v>
      </c>
      <c r="CB49" s="9">
        <v>0.4</v>
      </c>
      <c r="CC49" s="9">
        <v>0.6</v>
      </c>
      <c r="CD49" s="9">
        <v>0.24</v>
      </c>
      <c r="CE49" s="9">
        <v>0.19</v>
      </c>
      <c r="CF49" s="9">
        <v>0.28999999999999998</v>
      </c>
      <c r="CG49" s="9">
        <v>0.24</v>
      </c>
      <c r="CH49" s="9">
        <v>0.19</v>
      </c>
      <c r="CI49" s="9">
        <v>0.28999999999999998</v>
      </c>
      <c r="CJ49" s="9">
        <v>0.5</v>
      </c>
      <c r="CK49" s="9">
        <v>0.4</v>
      </c>
      <c r="CL49" s="9">
        <v>0.6</v>
      </c>
      <c r="CM49" s="9">
        <v>0.24</v>
      </c>
      <c r="CN49" s="9">
        <v>0.19</v>
      </c>
      <c r="CO49" s="9">
        <v>0.28999999999999998</v>
      </c>
      <c r="CP49" s="9">
        <v>0.24</v>
      </c>
      <c r="CQ49" s="9">
        <v>0.19</v>
      </c>
      <c r="CR49" s="9">
        <v>0.28999999999999998</v>
      </c>
      <c r="CS49" s="9">
        <v>0.5</v>
      </c>
      <c r="CT49" s="9">
        <v>0.4</v>
      </c>
      <c r="CU49" s="9">
        <v>0.6</v>
      </c>
      <c r="CV49" s="9">
        <v>0.24</v>
      </c>
      <c r="CW49" s="9">
        <v>0.19</v>
      </c>
      <c r="CX49" s="9">
        <v>0.28999999999999998</v>
      </c>
      <c r="CY49" s="9">
        <v>0.24</v>
      </c>
      <c r="CZ49" s="9">
        <v>0.19</v>
      </c>
      <c r="DA49" s="9">
        <v>0.28999999999999998</v>
      </c>
      <c r="DB49" s="9">
        <f>MIN(Tabelle5897112140[[#This Row],[Durchschnittsauslastung durch Sommer WTT]:[Durchschnittsauslastung max Winter SFN]])</f>
        <v>0.19</v>
      </c>
      <c r="DC4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9" s="9">
        <f>MAX(Tabelle5897112140[[#This Row],[Durchschnittsauslastung durch Sommer WTT]:[Durchschnittsauslastung max Winter SFN]])</f>
        <v>0.6</v>
      </c>
      <c r="DE49" s="40">
        <f>Tabelle5897112140[[#This Row],[Durchschnittsauslastung min]]*Tabelle5897112140[[#This Row],[installierte Leistung MW min]]</f>
        <v>54.625</v>
      </c>
      <c r="DF49" s="40">
        <f>Tabelle5897112140[[#This Row],[Durchschnittsauslastung durch]]*Tabelle5897112140[[#This Row],[installierte Leistung MW durch]]</f>
        <v>131.48333333333335</v>
      </c>
      <c r="DG49" s="40">
        <f>Tabelle5897112140[[#This Row],[Durchschnittsauslastung max]]*Tabelle5897112140[[#This Row],[installierte Leistung MW max]]</f>
        <v>310.5</v>
      </c>
      <c r="DH49" s="46">
        <f>Tabelle5897112140[[#This Row],[Maximalauslastung min]]*Tabelle5897112140[[#This Row],[installierte Leistung MW min]]</f>
        <v>132.25</v>
      </c>
      <c r="DI49" s="46">
        <f>Tabelle5897112140[[#This Row],[Maximalauslastung durch]]*Tabelle5897112140[[#This Row],[installierte Leistung MW durch]]</f>
        <v>205.27500000000001</v>
      </c>
      <c r="DJ49" s="19">
        <f>Tabelle5897112140[[#This Row],[Maximalauslastung max]]*Tabelle5897112140[[#This Row],[installierte Leistung MW durch]]</f>
        <v>225.40000000000003</v>
      </c>
      <c r="DK49" s="9">
        <v>0.46</v>
      </c>
      <c r="DL49" s="9">
        <v>0.51</v>
      </c>
      <c r="DM49" s="9">
        <v>0.56000000000000005</v>
      </c>
      <c r="DN49" s="1">
        <v>402.5</v>
      </c>
      <c r="DO49" s="1">
        <v>287.5</v>
      </c>
      <c r="DP49" s="1">
        <v>517.5</v>
      </c>
      <c r="DQ49" s="19"/>
      <c r="DR49" s="19"/>
      <c r="DW49" s="1">
        <v>1.1000000000000001</v>
      </c>
      <c r="DX49" s="1">
        <v>0.8</v>
      </c>
      <c r="DY49" s="1">
        <v>1.4</v>
      </c>
      <c r="EL49" s="1">
        <v>365</v>
      </c>
      <c r="EM49" s="1">
        <v>292</v>
      </c>
      <c r="EN49" s="1">
        <v>438</v>
      </c>
      <c r="EO49" s="11"/>
      <c r="EP49" s="11"/>
      <c r="EQ49" s="11"/>
      <c r="ER49" s="1">
        <v>365</v>
      </c>
      <c r="ES49" s="1">
        <v>292</v>
      </c>
      <c r="ET49" s="1">
        <v>438</v>
      </c>
      <c r="EV49" s="19"/>
      <c r="EW49" s="19"/>
      <c r="EX49" s="19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O49" s="1">
        <v>67</v>
      </c>
      <c r="FP49" s="1">
        <v>67</v>
      </c>
      <c r="FQ49" s="1">
        <v>67</v>
      </c>
      <c r="FR49" s="13" t="s">
        <v>806</v>
      </c>
      <c r="FS49" s="13" t="s">
        <v>806</v>
      </c>
      <c r="FT49" s="13" t="s">
        <v>806</v>
      </c>
      <c r="FU49" s="13"/>
      <c r="FV49" s="13" t="s">
        <v>806</v>
      </c>
      <c r="FW49" s="13" t="s">
        <v>806</v>
      </c>
      <c r="FX49" s="13" t="s">
        <v>806</v>
      </c>
      <c r="FY49" s="13" t="s">
        <v>806</v>
      </c>
      <c r="FZ49" s="13" t="s">
        <v>806</v>
      </c>
      <c r="GA49" s="13" t="s">
        <v>806</v>
      </c>
      <c r="GB49" s="13" t="s">
        <v>806</v>
      </c>
      <c r="GE49" s="13" t="s">
        <v>806</v>
      </c>
      <c r="GF49" s="13" t="s">
        <v>806</v>
      </c>
      <c r="GH49" s="13" t="s">
        <v>806</v>
      </c>
    </row>
    <row r="50" spans="1:193" ht="15" customHeight="1" x14ac:dyDescent="0.25">
      <c r="A50" s="1" t="s">
        <v>362</v>
      </c>
      <c r="B50" s="1" t="s">
        <v>650</v>
      </c>
      <c r="C50" s="1" t="s">
        <v>657</v>
      </c>
      <c r="D50" s="1" t="s">
        <v>675</v>
      </c>
      <c r="E50" s="1" t="s">
        <v>126</v>
      </c>
      <c r="F50" s="1">
        <v>0</v>
      </c>
      <c r="G50" s="1">
        <v>2015</v>
      </c>
      <c r="H50" s="1">
        <v>1</v>
      </c>
      <c r="I50" s="1">
        <v>0</v>
      </c>
      <c r="J50" s="1">
        <v>0</v>
      </c>
      <c r="K5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10.766666666666667</v>
      </c>
      <c r="M5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123.12</v>
      </c>
      <c r="N50" s="19">
        <v>79.900000000000006</v>
      </c>
      <c r="O50" s="19">
        <v>45.88</v>
      </c>
      <c r="P50" s="19">
        <v>123.12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40.799999999999997</v>
      </c>
      <c r="X50" s="19">
        <v>27.28</v>
      </c>
      <c r="Y50" s="19">
        <v>56.16</v>
      </c>
      <c r="Z50" s="19">
        <v>0</v>
      </c>
      <c r="AA50" s="19">
        <v>0</v>
      </c>
      <c r="AB50" s="19">
        <v>0</v>
      </c>
      <c r="AC50" s="19">
        <v>40.799999999999997</v>
      </c>
      <c r="AD50" s="19">
        <v>27.28</v>
      </c>
      <c r="AE50" s="19">
        <v>56.16</v>
      </c>
      <c r="AF50" s="19">
        <v>17</v>
      </c>
      <c r="AG50" s="19">
        <v>0</v>
      </c>
      <c r="AH50" s="19">
        <v>43.2</v>
      </c>
      <c r="AI50" s="19">
        <v>23.8</v>
      </c>
      <c r="AJ50" s="19">
        <v>2.48</v>
      </c>
      <c r="AK50" s="19">
        <v>56.16</v>
      </c>
      <c r="AL50" s="19">
        <v>0</v>
      </c>
      <c r="AM50" s="19">
        <v>0</v>
      </c>
      <c r="AN50" s="19">
        <v>0</v>
      </c>
      <c r="AO50" s="19">
        <v>40.799999999999997</v>
      </c>
      <c r="AP50" s="19">
        <v>27.28</v>
      </c>
      <c r="AQ50" s="19">
        <v>56.16</v>
      </c>
      <c r="AR50" s="19">
        <v>0</v>
      </c>
      <c r="AS50" s="19">
        <v>0</v>
      </c>
      <c r="AT50" s="19">
        <v>0</v>
      </c>
      <c r="AU50" s="19">
        <v>40.799999999999997</v>
      </c>
      <c r="AV50" s="19">
        <v>27.28</v>
      </c>
      <c r="AW50" s="19">
        <v>56.16</v>
      </c>
      <c r="AX50" s="19">
        <v>0</v>
      </c>
      <c r="AY50" s="19">
        <v>0</v>
      </c>
      <c r="AZ50" s="19">
        <v>0</v>
      </c>
      <c r="BA50" s="19">
        <v>40.799999999999997</v>
      </c>
      <c r="BB50" s="19">
        <v>27.28</v>
      </c>
      <c r="BC50" s="19">
        <v>56.16</v>
      </c>
      <c r="BD50" s="19">
        <v>0</v>
      </c>
      <c r="BE50" s="19">
        <v>0</v>
      </c>
      <c r="BF50" s="19">
        <v>0</v>
      </c>
      <c r="BG50" s="19">
        <v>40.799999999999997</v>
      </c>
      <c r="BH50" s="19">
        <v>27.28</v>
      </c>
      <c r="BI50" s="19">
        <v>56.16</v>
      </c>
      <c r="BJ50" s="19">
        <v>0</v>
      </c>
      <c r="BK50" s="19">
        <v>0</v>
      </c>
      <c r="BL50" s="19">
        <v>0</v>
      </c>
      <c r="BM50" s="19">
        <v>40.799999999999997</v>
      </c>
      <c r="BN50" s="19">
        <v>27.28</v>
      </c>
      <c r="BO50" s="19">
        <v>56.16</v>
      </c>
      <c r="BP50" s="19"/>
      <c r="BQ5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34.37777777777778</v>
      </c>
      <c r="BS5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56.16</v>
      </c>
      <c r="BT50" s="11">
        <f>Tabelle5897112140[[#This Row],[Mindestauslastung min]]*Tabelle5897112140[[#This Row],[installierte Leistung MW min]]</f>
        <v>0</v>
      </c>
      <c r="BU50" s="11">
        <f>Tabelle5897112140[[#This Row],[Mindestauslastung durch]]*Tabelle5897112140[[#This Row],[installierte Leistung MW durch]]</f>
        <v>0</v>
      </c>
      <c r="BV50" s="11">
        <f>Tabelle5897112140[[#This Row],[Mindestauslastung max]]*Tabelle5897112140[[#This Row],[installierte Leistung MW max]]</f>
        <v>0</v>
      </c>
      <c r="BW50" s="9">
        <v>0</v>
      </c>
      <c r="BX50" s="9">
        <v>0</v>
      </c>
      <c r="BY50" s="9">
        <v>0</v>
      </c>
      <c r="BZ50" s="9"/>
      <c r="CA50" s="9">
        <v>0.47</v>
      </c>
      <c r="CB50" s="9">
        <v>0.37</v>
      </c>
      <c r="CC50" s="9">
        <v>0.56999999999999995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0.1</v>
      </c>
      <c r="CK50" s="9">
        <v>0</v>
      </c>
      <c r="CL50" s="9">
        <v>0.2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f>MIN(Tabelle5897112140[[#This Row],[Durchschnittsauslastung durch Sommer WTT]:[Durchschnittsauslastung max Winter SFN]])</f>
        <v>0</v>
      </c>
      <c r="DC5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0" s="9">
        <f>MAX(Tabelle5897112140[[#This Row],[Durchschnittsauslastung durch Sommer WTT]:[Durchschnittsauslastung max Winter SFN]])</f>
        <v>0.56999999999999995</v>
      </c>
      <c r="DE50" s="40">
        <f>Tabelle5897112140[[#This Row],[Durchschnittsauslastung min]]*Tabelle5897112140[[#This Row],[installierte Leistung MW min]]</f>
        <v>0</v>
      </c>
      <c r="DF50" s="40">
        <f>Tabelle5897112140[[#This Row],[Durchschnittsauslastung durch]]*Tabelle5897112140[[#This Row],[installierte Leistung MW durch]]</f>
        <v>10.766666666666666</v>
      </c>
      <c r="DG50" s="40">
        <f>Tabelle5897112140[[#This Row],[Durchschnittsauslastung max]]*Tabelle5897112140[[#This Row],[installierte Leistung MW max]]</f>
        <v>123.11999999999999</v>
      </c>
      <c r="DH50" s="46">
        <f>Tabelle5897112140[[#This Row],[Maximalauslastung min]]*Tabelle5897112140[[#This Row],[installierte Leistung MW min]]</f>
        <v>0</v>
      </c>
      <c r="DI50" s="46">
        <f>Tabelle5897112140[[#This Row],[Maximalauslastung durch]]*Tabelle5897112140[[#This Row],[installierte Leistung MW durch]]</f>
        <v>0</v>
      </c>
      <c r="DJ50" s="19">
        <f>Tabelle5897112140[[#This Row],[Maximalauslastung max]]*Tabelle5897112140[[#This Row],[installierte Leistung MW durch]]</f>
        <v>0</v>
      </c>
      <c r="DK50" s="9">
        <v>0</v>
      </c>
      <c r="DL50" s="9">
        <v>0</v>
      </c>
      <c r="DM50" s="9">
        <v>0</v>
      </c>
      <c r="DN50" s="1">
        <v>170</v>
      </c>
      <c r="DO50" s="1">
        <v>124</v>
      </c>
      <c r="DP50" s="1">
        <v>216</v>
      </c>
      <c r="DQ50" s="19"/>
      <c r="DR50" s="19"/>
      <c r="EL50" s="1">
        <v>365</v>
      </c>
      <c r="EM50" s="1">
        <v>292</v>
      </c>
      <c r="EN50" s="1">
        <v>438</v>
      </c>
      <c r="EO50" s="11"/>
      <c r="EP50" s="11"/>
      <c r="EQ50" s="11"/>
      <c r="ER50" s="1">
        <v>365</v>
      </c>
      <c r="ES50" s="1">
        <v>292</v>
      </c>
      <c r="ET50" s="1">
        <v>438</v>
      </c>
      <c r="EV50" s="19"/>
      <c r="EW50" s="19"/>
      <c r="EX50" s="19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O50" s="1">
        <v>67</v>
      </c>
      <c r="FP50" s="1">
        <v>67</v>
      </c>
      <c r="FQ50" s="1">
        <v>67</v>
      </c>
      <c r="FR50" s="13" t="s">
        <v>806</v>
      </c>
      <c r="FS50" s="13" t="s">
        <v>806</v>
      </c>
      <c r="FT50" s="13" t="s">
        <v>806</v>
      </c>
      <c r="FU50" s="13"/>
      <c r="FV50" s="13" t="s">
        <v>806</v>
      </c>
      <c r="FW50" s="13" t="s">
        <v>806</v>
      </c>
      <c r="FX50" s="13" t="s">
        <v>806</v>
      </c>
      <c r="FY50" s="13" t="s">
        <v>806</v>
      </c>
      <c r="FZ50" s="13" t="s">
        <v>806</v>
      </c>
      <c r="GA50" s="13" t="s">
        <v>806</v>
      </c>
      <c r="GB50" s="13" t="s">
        <v>806</v>
      </c>
      <c r="GE50" s="13" t="s">
        <v>806</v>
      </c>
      <c r="GF50" s="13" t="s">
        <v>806</v>
      </c>
      <c r="GH50" s="13" t="s">
        <v>806</v>
      </c>
    </row>
    <row r="51" spans="1:193" ht="15" customHeight="1" x14ac:dyDescent="0.25">
      <c r="A51" s="1" t="s">
        <v>362</v>
      </c>
      <c r="B51" s="1" t="s">
        <v>650</v>
      </c>
      <c r="C51" s="1" t="s">
        <v>657</v>
      </c>
      <c r="D51" s="1" t="s">
        <v>675</v>
      </c>
      <c r="E51" s="1" t="s">
        <v>126</v>
      </c>
      <c r="F51" s="1">
        <v>0</v>
      </c>
      <c r="G51" s="1">
        <v>2020</v>
      </c>
      <c r="H51" s="1">
        <v>1</v>
      </c>
      <c r="I51" s="1">
        <v>0</v>
      </c>
      <c r="J51" s="1">
        <v>0</v>
      </c>
      <c r="K5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10.658999999999999</v>
      </c>
      <c r="M5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121.8888</v>
      </c>
      <c r="N51" s="19">
        <v>79.100999999999999</v>
      </c>
      <c r="O51" s="19">
        <v>45.421199999999999</v>
      </c>
      <c r="P51" s="19">
        <v>121.8888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40.391999999999996</v>
      </c>
      <c r="X51" s="19">
        <v>27.007200000000001</v>
      </c>
      <c r="Y51" s="19">
        <v>55.598399999999998</v>
      </c>
      <c r="Z51" s="19">
        <v>0</v>
      </c>
      <c r="AA51" s="19">
        <v>0</v>
      </c>
      <c r="AB51" s="19">
        <v>0</v>
      </c>
      <c r="AC51" s="19">
        <v>40.391999999999996</v>
      </c>
      <c r="AD51" s="19">
        <v>27.007200000000001</v>
      </c>
      <c r="AE51" s="19">
        <v>55.598399999999998</v>
      </c>
      <c r="AF51" s="19">
        <v>16.829999999999998</v>
      </c>
      <c r="AG51" s="19">
        <v>0</v>
      </c>
      <c r="AH51" s="19">
        <v>42.768000000000001</v>
      </c>
      <c r="AI51" s="19">
        <v>23.562000000000001</v>
      </c>
      <c r="AJ51" s="19">
        <v>2.4552</v>
      </c>
      <c r="AK51" s="19">
        <v>55.598399999999998</v>
      </c>
      <c r="AL51" s="19">
        <v>0</v>
      </c>
      <c r="AM51" s="19">
        <v>0</v>
      </c>
      <c r="AN51" s="19">
        <v>0</v>
      </c>
      <c r="AO51" s="19">
        <v>40.391999999999996</v>
      </c>
      <c r="AP51" s="19">
        <v>27.007200000000001</v>
      </c>
      <c r="AQ51" s="19">
        <v>55.598399999999998</v>
      </c>
      <c r="AR51" s="19">
        <v>0</v>
      </c>
      <c r="AS51" s="19">
        <v>0</v>
      </c>
      <c r="AT51" s="19">
        <v>0</v>
      </c>
      <c r="AU51" s="19">
        <v>40.391999999999996</v>
      </c>
      <c r="AV51" s="19">
        <v>27.007200000000001</v>
      </c>
      <c r="AW51" s="19">
        <v>55.598399999999998</v>
      </c>
      <c r="AX51" s="19">
        <v>0</v>
      </c>
      <c r="AY51" s="19">
        <v>0</v>
      </c>
      <c r="AZ51" s="19">
        <v>0</v>
      </c>
      <c r="BA51" s="19">
        <v>40.391999999999996</v>
      </c>
      <c r="BB51" s="19">
        <v>27.007200000000001</v>
      </c>
      <c r="BC51" s="19">
        <v>55.598399999999998</v>
      </c>
      <c r="BD51" s="19">
        <v>0</v>
      </c>
      <c r="BE51" s="19">
        <v>0</v>
      </c>
      <c r="BF51" s="19">
        <v>0</v>
      </c>
      <c r="BG51" s="19">
        <v>40.391999999999996</v>
      </c>
      <c r="BH51" s="19">
        <v>27.007200000000001</v>
      </c>
      <c r="BI51" s="19">
        <v>55.598399999999998</v>
      </c>
      <c r="BJ51" s="19">
        <v>0</v>
      </c>
      <c r="BK51" s="19">
        <v>0</v>
      </c>
      <c r="BL51" s="19">
        <v>0</v>
      </c>
      <c r="BM51" s="19">
        <v>40.391999999999996</v>
      </c>
      <c r="BN51" s="19">
        <v>27.007200000000001</v>
      </c>
      <c r="BO51" s="19">
        <v>55.598399999999998</v>
      </c>
      <c r="BP51" s="19"/>
      <c r="BQ5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34.033999999999999</v>
      </c>
      <c r="BS5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55.598399999999998</v>
      </c>
      <c r="BT51" s="11">
        <f>Tabelle5897112140[[#This Row],[Mindestauslastung min]]*Tabelle5897112140[[#This Row],[installierte Leistung MW min]]</f>
        <v>0</v>
      </c>
      <c r="BU51" s="11">
        <f>Tabelle5897112140[[#This Row],[Mindestauslastung durch]]*Tabelle5897112140[[#This Row],[installierte Leistung MW durch]]</f>
        <v>0</v>
      </c>
      <c r="BV51" s="11">
        <f>Tabelle5897112140[[#This Row],[Mindestauslastung max]]*Tabelle5897112140[[#This Row],[installierte Leistung MW max]]</f>
        <v>0</v>
      </c>
      <c r="BW51" s="9">
        <v>0</v>
      </c>
      <c r="BX51" s="9">
        <v>0</v>
      </c>
      <c r="BY51" s="9">
        <v>0</v>
      </c>
      <c r="BZ51" s="9"/>
      <c r="CA51" s="9">
        <v>0.47</v>
      </c>
      <c r="CB51" s="9">
        <v>0.37</v>
      </c>
      <c r="CC51" s="9">
        <v>0.56999999999999995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0.1</v>
      </c>
      <c r="CK51" s="9">
        <v>0</v>
      </c>
      <c r="CL51" s="9">
        <v>0.2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f>MIN(Tabelle5897112140[[#This Row],[Durchschnittsauslastung durch Sommer WTT]:[Durchschnittsauslastung max Winter SFN]])</f>
        <v>0</v>
      </c>
      <c r="DC5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1" s="9">
        <f>MAX(Tabelle5897112140[[#This Row],[Durchschnittsauslastung durch Sommer WTT]:[Durchschnittsauslastung max Winter SFN]])</f>
        <v>0.56999999999999995</v>
      </c>
      <c r="DE51" s="40">
        <f>Tabelle5897112140[[#This Row],[Durchschnittsauslastung min]]*Tabelle5897112140[[#This Row],[installierte Leistung MW min]]</f>
        <v>0</v>
      </c>
      <c r="DF51" s="40">
        <f>Tabelle5897112140[[#This Row],[Durchschnittsauslastung durch]]*Tabelle5897112140[[#This Row],[installierte Leistung MW durch]]</f>
        <v>10.658999999999999</v>
      </c>
      <c r="DG51" s="40">
        <f>Tabelle5897112140[[#This Row],[Durchschnittsauslastung max]]*Tabelle5897112140[[#This Row],[installierte Leistung MW max]]</f>
        <v>121.88879999999999</v>
      </c>
      <c r="DH51" s="46">
        <f>Tabelle5897112140[[#This Row],[Maximalauslastung min]]*Tabelle5897112140[[#This Row],[installierte Leistung MW min]]</f>
        <v>0</v>
      </c>
      <c r="DI51" s="46">
        <f>Tabelle5897112140[[#This Row],[Maximalauslastung durch]]*Tabelle5897112140[[#This Row],[installierte Leistung MW durch]]</f>
        <v>0</v>
      </c>
      <c r="DJ51" s="19">
        <f>Tabelle5897112140[[#This Row],[Maximalauslastung max]]*Tabelle5897112140[[#This Row],[installierte Leistung MW durch]]</f>
        <v>0</v>
      </c>
      <c r="DK51" s="9">
        <v>0</v>
      </c>
      <c r="DL51" s="9">
        <v>0</v>
      </c>
      <c r="DM51" s="9">
        <v>0</v>
      </c>
      <c r="DN51" s="1">
        <v>168.3</v>
      </c>
      <c r="DO51" s="1">
        <v>122.76</v>
      </c>
      <c r="DP51" s="1">
        <v>213.84</v>
      </c>
      <c r="DQ51" s="19"/>
      <c r="DR51" s="19"/>
      <c r="EL51" s="1">
        <v>365</v>
      </c>
      <c r="EM51" s="1">
        <v>292</v>
      </c>
      <c r="EN51" s="1">
        <v>438</v>
      </c>
      <c r="EO51" s="11"/>
      <c r="EP51" s="11"/>
      <c r="EQ51" s="11"/>
      <c r="ER51" s="1">
        <v>365</v>
      </c>
      <c r="ES51" s="1">
        <v>292</v>
      </c>
      <c r="ET51" s="1">
        <v>438</v>
      </c>
      <c r="EV51" s="19"/>
      <c r="EW51" s="19"/>
      <c r="EX51" s="19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O51" s="1">
        <v>67</v>
      </c>
      <c r="FP51" s="1">
        <v>67</v>
      </c>
      <c r="FQ51" s="1">
        <v>67</v>
      </c>
      <c r="FR51" s="13" t="s">
        <v>806</v>
      </c>
      <c r="FS51" s="13" t="s">
        <v>806</v>
      </c>
      <c r="FT51" s="13" t="s">
        <v>806</v>
      </c>
      <c r="FU51" s="13"/>
      <c r="FV51" s="13" t="s">
        <v>806</v>
      </c>
      <c r="FW51" s="13" t="s">
        <v>806</v>
      </c>
      <c r="FX51" s="13" t="s">
        <v>806</v>
      </c>
      <c r="FY51" s="13" t="s">
        <v>806</v>
      </c>
      <c r="FZ51" s="13" t="s">
        <v>806</v>
      </c>
      <c r="GA51" s="13" t="s">
        <v>806</v>
      </c>
      <c r="GB51" s="13" t="s">
        <v>806</v>
      </c>
      <c r="GE51" s="13" t="s">
        <v>806</v>
      </c>
      <c r="GF51" s="13" t="s">
        <v>806</v>
      </c>
      <c r="GH51" s="13" t="s">
        <v>806</v>
      </c>
    </row>
    <row r="52" spans="1:193" ht="15" customHeight="1" x14ac:dyDescent="0.25">
      <c r="A52" s="1" t="s">
        <v>362</v>
      </c>
      <c r="B52" s="1" t="s">
        <v>650</v>
      </c>
      <c r="C52" s="1" t="s">
        <v>657</v>
      </c>
      <c r="D52" s="1" t="s">
        <v>675</v>
      </c>
      <c r="E52" s="1" t="s">
        <v>126</v>
      </c>
      <c r="F52" s="1">
        <v>0</v>
      </c>
      <c r="G52" s="1">
        <v>2025</v>
      </c>
      <c r="H52" s="1">
        <v>1</v>
      </c>
      <c r="I52" s="1">
        <v>0</v>
      </c>
      <c r="J52" s="1">
        <v>0</v>
      </c>
      <c r="K5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10.551333333333334</v>
      </c>
      <c r="M5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120.6576</v>
      </c>
      <c r="N52" s="19">
        <v>78.302000000000007</v>
      </c>
      <c r="O52" s="19">
        <v>44.962400000000002</v>
      </c>
      <c r="P52" s="19">
        <v>120.6576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39.983999999999995</v>
      </c>
      <c r="X52" s="19">
        <v>26.734400000000001</v>
      </c>
      <c r="Y52" s="19">
        <v>55.036799999999992</v>
      </c>
      <c r="Z52" s="19">
        <v>0</v>
      </c>
      <c r="AA52" s="19">
        <v>0</v>
      </c>
      <c r="AB52" s="19">
        <v>0</v>
      </c>
      <c r="AC52" s="19">
        <v>39.983999999999995</v>
      </c>
      <c r="AD52" s="19">
        <v>26.734400000000001</v>
      </c>
      <c r="AE52" s="19">
        <v>55.036799999999992</v>
      </c>
      <c r="AF52" s="19">
        <v>16.66</v>
      </c>
      <c r="AG52" s="19">
        <v>0</v>
      </c>
      <c r="AH52" s="19">
        <v>42.335999999999999</v>
      </c>
      <c r="AI52" s="19">
        <v>23.324000000000002</v>
      </c>
      <c r="AJ52" s="19">
        <v>2.4304000000000001</v>
      </c>
      <c r="AK52" s="19">
        <v>55.036799999999992</v>
      </c>
      <c r="AL52" s="19">
        <v>0</v>
      </c>
      <c r="AM52" s="19">
        <v>0</v>
      </c>
      <c r="AN52" s="19">
        <v>0</v>
      </c>
      <c r="AO52" s="19">
        <v>39.983999999999995</v>
      </c>
      <c r="AP52" s="19">
        <v>26.734400000000001</v>
      </c>
      <c r="AQ52" s="19">
        <v>55.036799999999992</v>
      </c>
      <c r="AR52" s="19">
        <v>0</v>
      </c>
      <c r="AS52" s="19">
        <v>0</v>
      </c>
      <c r="AT52" s="19">
        <v>0</v>
      </c>
      <c r="AU52" s="19">
        <v>39.983999999999995</v>
      </c>
      <c r="AV52" s="19">
        <v>26.734400000000001</v>
      </c>
      <c r="AW52" s="19">
        <v>55.036799999999992</v>
      </c>
      <c r="AX52" s="19">
        <v>0</v>
      </c>
      <c r="AY52" s="19">
        <v>0</v>
      </c>
      <c r="AZ52" s="19">
        <v>0</v>
      </c>
      <c r="BA52" s="19">
        <v>39.983999999999995</v>
      </c>
      <c r="BB52" s="19">
        <v>26.734400000000001</v>
      </c>
      <c r="BC52" s="19">
        <v>55.036799999999992</v>
      </c>
      <c r="BD52" s="19">
        <v>0</v>
      </c>
      <c r="BE52" s="19">
        <v>0</v>
      </c>
      <c r="BF52" s="19">
        <v>0</v>
      </c>
      <c r="BG52" s="19">
        <v>39.983999999999995</v>
      </c>
      <c r="BH52" s="19">
        <v>26.734400000000001</v>
      </c>
      <c r="BI52" s="19">
        <v>55.036799999999992</v>
      </c>
      <c r="BJ52" s="19">
        <v>0</v>
      </c>
      <c r="BK52" s="19">
        <v>0</v>
      </c>
      <c r="BL52" s="19">
        <v>0</v>
      </c>
      <c r="BM52" s="19">
        <v>39.983999999999995</v>
      </c>
      <c r="BN52" s="19">
        <v>26.734400000000001</v>
      </c>
      <c r="BO52" s="19">
        <v>55.036799999999992</v>
      </c>
      <c r="BP52" s="19"/>
      <c r="BQ5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33.690222222222218</v>
      </c>
      <c r="BS5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55.036799999999992</v>
      </c>
      <c r="BT52" s="11">
        <f>Tabelle5897112140[[#This Row],[Mindestauslastung min]]*Tabelle5897112140[[#This Row],[installierte Leistung MW min]]</f>
        <v>0</v>
      </c>
      <c r="BU52" s="11">
        <f>Tabelle5897112140[[#This Row],[Mindestauslastung durch]]*Tabelle5897112140[[#This Row],[installierte Leistung MW durch]]</f>
        <v>0</v>
      </c>
      <c r="BV52" s="11">
        <f>Tabelle5897112140[[#This Row],[Mindestauslastung max]]*Tabelle5897112140[[#This Row],[installierte Leistung MW max]]</f>
        <v>0</v>
      </c>
      <c r="BW52" s="9">
        <v>0</v>
      </c>
      <c r="BX52" s="9">
        <v>0</v>
      </c>
      <c r="BY52" s="9">
        <v>0</v>
      </c>
      <c r="BZ52" s="9"/>
      <c r="CA52" s="9">
        <v>0.47</v>
      </c>
      <c r="CB52" s="9">
        <v>0.37</v>
      </c>
      <c r="CC52" s="9">
        <v>0.56999999999999995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0.1</v>
      </c>
      <c r="CK52" s="9">
        <v>0</v>
      </c>
      <c r="CL52" s="9">
        <v>0.2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f>MIN(Tabelle5897112140[[#This Row],[Durchschnittsauslastung durch Sommer WTT]:[Durchschnittsauslastung max Winter SFN]])</f>
        <v>0</v>
      </c>
      <c r="DC5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2" s="9">
        <f>MAX(Tabelle5897112140[[#This Row],[Durchschnittsauslastung durch Sommer WTT]:[Durchschnittsauslastung max Winter SFN]])</f>
        <v>0.56999999999999995</v>
      </c>
      <c r="DE52" s="40">
        <f>Tabelle5897112140[[#This Row],[Durchschnittsauslastung min]]*Tabelle5897112140[[#This Row],[installierte Leistung MW min]]</f>
        <v>0</v>
      </c>
      <c r="DF52" s="40">
        <f>Tabelle5897112140[[#This Row],[Durchschnittsauslastung durch]]*Tabelle5897112140[[#This Row],[installierte Leistung MW durch]]</f>
        <v>10.551333333333332</v>
      </c>
      <c r="DG52" s="40">
        <f>Tabelle5897112140[[#This Row],[Durchschnittsauslastung max]]*Tabelle5897112140[[#This Row],[installierte Leistung MW max]]</f>
        <v>120.65759999999999</v>
      </c>
      <c r="DH52" s="46">
        <f>Tabelle5897112140[[#This Row],[Maximalauslastung min]]*Tabelle5897112140[[#This Row],[installierte Leistung MW min]]</f>
        <v>0</v>
      </c>
      <c r="DI52" s="46">
        <f>Tabelle5897112140[[#This Row],[Maximalauslastung durch]]*Tabelle5897112140[[#This Row],[installierte Leistung MW durch]]</f>
        <v>0</v>
      </c>
      <c r="DJ52" s="19">
        <f>Tabelle5897112140[[#This Row],[Maximalauslastung max]]*Tabelle5897112140[[#This Row],[installierte Leistung MW durch]]</f>
        <v>0</v>
      </c>
      <c r="DK52" s="9">
        <v>0</v>
      </c>
      <c r="DL52" s="9">
        <v>0</v>
      </c>
      <c r="DM52" s="9">
        <v>0</v>
      </c>
      <c r="DN52" s="1">
        <v>166.6</v>
      </c>
      <c r="DO52" s="1">
        <v>121.52</v>
      </c>
      <c r="DP52" s="1">
        <v>211.68</v>
      </c>
      <c r="DQ52" s="19"/>
      <c r="DR52" s="19"/>
      <c r="EL52" s="1">
        <v>365</v>
      </c>
      <c r="EM52" s="1">
        <v>292</v>
      </c>
      <c r="EN52" s="1">
        <v>438</v>
      </c>
      <c r="EO52" s="11"/>
      <c r="EP52" s="11"/>
      <c r="EQ52" s="11"/>
      <c r="ER52" s="1">
        <v>365</v>
      </c>
      <c r="ES52" s="1">
        <v>292</v>
      </c>
      <c r="ET52" s="1">
        <v>438</v>
      </c>
      <c r="EV52" s="19"/>
      <c r="EW52" s="19"/>
      <c r="EX52" s="19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O52" s="1">
        <v>67</v>
      </c>
      <c r="FP52" s="1">
        <v>67</v>
      </c>
      <c r="FQ52" s="1">
        <v>67</v>
      </c>
      <c r="FR52" s="13" t="s">
        <v>806</v>
      </c>
      <c r="FS52" s="13" t="s">
        <v>806</v>
      </c>
      <c r="FT52" s="13" t="s">
        <v>806</v>
      </c>
      <c r="FU52" s="13"/>
      <c r="FV52" s="13" t="s">
        <v>806</v>
      </c>
      <c r="FW52" s="13" t="s">
        <v>806</v>
      </c>
      <c r="FX52" s="13" t="s">
        <v>806</v>
      </c>
      <c r="FY52" s="13" t="s">
        <v>806</v>
      </c>
      <c r="FZ52" s="13" t="s">
        <v>806</v>
      </c>
      <c r="GA52" s="13" t="s">
        <v>806</v>
      </c>
      <c r="GB52" s="13" t="s">
        <v>806</v>
      </c>
      <c r="GE52" s="13" t="s">
        <v>806</v>
      </c>
      <c r="GF52" s="13" t="s">
        <v>806</v>
      </c>
      <c r="GH52" s="13" t="s">
        <v>806</v>
      </c>
    </row>
    <row r="53" spans="1:193" ht="15" customHeight="1" x14ac:dyDescent="0.25">
      <c r="A53" s="1" t="s">
        <v>362</v>
      </c>
      <c r="B53" s="1" t="s">
        <v>650</v>
      </c>
      <c r="C53" s="1" t="s">
        <v>657</v>
      </c>
      <c r="D53" s="1" t="s">
        <v>675</v>
      </c>
      <c r="E53" s="1" t="s">
        <v>126</v>
      </c>
      <c r="F53" s="1">
        <v>0</v>
      </c>
      <c r="G53" s="1">
        <v>2030</v>
      </c>
      <c r="H53" s="1">
        <v>1</v>
      </c>
      <c r="I53" s="1">
        <v>0</v>
      </c>
      <c r="J53" s="1">
        <v>0</v>
      </c>
      <c r="K5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10.443666666666665</v>
      </c>
      <c r="M5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119.4264</v>
      </c>
      <c r="N53" s="19">
        <v>77.503</v>
      </c>
      <c r="O53" s="19">
        <v>44.503599999999999</v>
      </c>
      <c r="P53" s="19">
        <v>119.4264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39.575999999999993</v>
      </c>
      <c r="X53" s="19">
        <v>26.461600000000001</v>
      </c>
      <c r="Y53" s="19">
        <v>54.475199999999994</v>
      </c>
      <c r="Z53" s="19">
        <v>0</v>
      </c>
      <c r="AA53" s="19">
        <v>0</v>
      </c>
      <c r="AB53" s="19">
        <v>0</v>
      </c>
      <c r="AC53" s="19">
        <v>39.575999999999993</v>
      </c>
      <c r="AD53" s="19">
        <v>26.461600000000001</v>
      </c>
      <c r="AE53" s="19">
        <v>54.475199999999994</v>
      </c>
      <c r="AF53" s="19">
        <v>16.489999999999998</v>
      </c>
      <c r="AG53" s="19">
        <v>0</v>
      </c>
      <c r="AH53" s="19">
        <v>41.904000000000003</v>
      </c>
      <c r="AI53" s="19">
        <v>23.085999999999999</v>
      </c>
      <c r="AJ53" s="19">
        <v>2.4055999999999997</v>
      </c>
      <c r="AK53" s="19">
        <v>54.475199999999994</v>
      </c>
      <c r="AL53" s="19">
        <v>0</v>
      </c>
      <c r="AM53" s="19">
        <v>0</v>
      </c>
      <c r="AN53" s="19">
        <v>0</v>
      </c>
      <c r="AO53" s="19">
        <v>39.575999999999993</v>
      </c>
      <c r="AP53" s="19">
        <v>26.461600000000001</v>
      </c>
      <c r="AQ53" s="19">
        <v>54.475199999999994</v>
      </c>
      <c r="AR53" s="19">
        <v>0</v>
      </c>
      <c r="AS53" s="19">
        <v>0</v>
      </c>
      <c r="AT53" s="19">
        <v>0</v>
      </c>
      <c r="AU53" s="19">
        <v>39.575999999999993</v>
      </c>
      <c r="AV53" s="19">
        <v>26.461600000000001</v>
      </c>
      <c r="AW53" s="19">
        <v>54.475199999999994</v>
      </c>
      <c r="AX53" s="19">
        <v>0</v>
      </c>
      <c r="AY53" s="19">
        <v>0</v>
      </c>
      <c r="AZ53" s="19">
        <v>0</v>
      </c>
      <c r="BA53" s="19">
        <v>39.575999999999993</v>
      </c>
      <c r="BB53" s="19">
        <v>26.461600000000001</v>
      </c>
      <c r="BC53" s="19">
        <v>54.475199999999994</v>
      </c>
      <c r="BD53" s="19">
        <v>0</v>
      </c>
      <c r="BE53" s="19">
        <v>0</v>
      </c>
      <c r="BF53" s="19">
        <v>0</v>
      </c>
      <c r="BG53" s="19">
        <v>39.575999999999993</v>
      </c>
      <c r="BH53" s="19">
        <v>26.461600000000001</v>
      </c>
      <c r="BI53" s="19">
        <v>54.475199999999994</v>
      </c>
      <c r="BJ53" s="19">
        <v>0</v>
      </c>
      <c r="BK53" s="19">
        <v>0</v>
      </c>
      <c r="BL53" s="19">
        <v>0</v>
      </c>
      <c r="BM53" s="19">
        <v>39.575999999999993</v>
      </c>
      <c r="BN53" s="19">
        <v>26.461600000000001</v>
      </c>
      <c r="BO53" s="19">
        <v>54.475199999999994</v>
      </c>
      <c r="BP53" s="19"/>
      <c r="BQ5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33.346444444444437</v>
      </c>
      <c r="BS5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54.475199999999994</v>
      </c>
      <c r="BT53" s="11">
        <f>Tabelle5897112140[[#This Row],[Mindestauslastung min]]*Tabelle5897112140[[#This Row],[installierte Leistung MW min]]</f>
        <v>0</v>
      </c>
      <c r="BU53" s="11">
        <f>Tabelle5897112140[[#This Row],[Mindestauslastung durch]]*Tabelle5897112140[[#This Row],[installierte Leistung MW durch]]</f>
        <v>0</v>
      </c>
      <c r="BV53" s="11">
        <f>Tabelle5897112140[[#This Row],[Mindestauslastung max]]*Tabelle5897112140[[#This Row],[installierte Leistung MW max]]</f>
        <v>0</v>
      </c>
      <c r="BW53" s="9">
        <v>0</v>
      </c>
      <c r="BX53" s="9">
        <v>0</v>
      </c>
      <c r="BY53" s="9">
        <v>0</v>
      </c>
      <c r="BZ53" s="9"/>
      <c r="CA53" s="9">
        <v>0.47</v>
      </c>
      <c r="CB53" s="9">
        <v>0.37</v>
      </c>
      <c r="CC53" s="9">
        <v>0.56999999999999995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0.1</v>
      </c>
      <c r="CK53" s="9">
        <v>0</v>
      </c>
      <c r="CL53" s="9">
        <v>0.2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f>MIN(Tabelle5897112140[[#This Row],[Durchschnittsauslastung durch Sommer WTT]:[Durchschnittsauslastung max Winter SFN]])</f>
        <v>0</v>
      </c>
      <c r="DC5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3" s="9">
        <f>MAX(Tabelle5897112140[[#This Row],[Durchschnittsauslastung durch Sommer WTT]:[Durchschnittsauslastung max Winter SFN]])</f>
        <v>0.56999999999999995</v>
      </c>
      <c r="DE53" s="40">
        <f>Tabelle5897112140[[#This Row],[Durchschnittsauslastung min]]*Tabelle5897112140[[#This Row],[installierte Leistung MW min]]</f>
        <v>0</v>
      </c>
      <c r="DF53" s="40">
        <f>Tabelle5897112140[[#This Row],[Durchschnittsauslastung durch]]*Tabelle5897112140[[#This Row],[installierte Leistung MW durch]]</f>
        <v>10.443666666666665</v>
      </c>
      <c r="DG53" s="40">
        <f>Tabelle5897112140[[#This Row],[Durchschnittsauslastung max]]*Tabelle5897112140[[#This Row],[installierte Leistung MW max]]</f>
        <v>119.4264</v>
      </c>
      <c r="DH53" s="46">
        <f>Tabelle5897112140[[#This Row],[Maximalauslastung min]]*Tabelle5897112140[[#This Row],[installierte Leistung MW min]]</f>
        <v>0</v>
      </c>
      <c r="DI53" s="46">
        <f>Tabelle5897112140[[#This Row],[Maximalauslastung durch]]*Tabelle5897112140[[#This Row],[installierte Leistung MW durch]]</f>
        <v>0</v>
      </c>
      <c r="DJ53" s="19">
        <f>Tabelle5897112140[[#This Row],[Maximalauslastung max]]*Tabelle5897112140[[#This Row],[installierte Leistung MW durch]]</f>
        <v>0</v>
      </c>
      <c r="DK53" s="9">
        <v>0</v>
      </c>
      <c r="DL53" s="9">
        <v>0</v>
      </c>
      <c r="DM53" s="9">
        <v>0</v>
      </c>
      <c r="DN53" s="1">
        <v>164.9</v>
      </c>
      <c r="DO53" s="1">
        <v>120.28</v>
      </c>
      <c r="DP53" s="1">
        <v>209.52</v>
      </c>
      <c r="DQ53" s="19"/>
      <c r="DR53" s="19"/>
      <c r="EL53" s="1">
        <v>365</v>
      </c>
      <c r="EM53" s="1">
        <v>292</v>
      </c>
      <c r="EN53" s="1">
        <v>438</v>
      </c>
      <c r="EO53" s="11"/>
      <c r="EP53" s="11"/>
      <c r="EQ53" s="11"/>
      <c r="ER53" s="1">
        <v>365</v>
      </c>
      <c r="ES53" s="1">
        <v>292</v>
      </c>
      <c r="ET53" s="1">
        <v>438</v>
      </c>
      <c r="EV53" s="19"/>
      <c r="EW53" s="19"/>
      <c r="EX53" s="19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O53" s="1">
        <v>67</v>
      </c>
      <c r="FP53" s="1">
        <v>67</v>
      </c>
      <c r="FQ53" s="1">
        <v>67</v>
      </c>
      <c r="FR53" s="13" t="s">
        <v>806</v>
      </c>
      <c r="FS53" s="13" t="s">
        <v>806</v>
      </c>
      <c r="FT53" s="13" t="s">
        <v>806</v>
      </c>
      <c r="FU53" s="13"/>
      <c r="FV53" s="13" t="s">
        <v>806</v>
      </c>
      <c r="FW53" s="13" t="s">
        <v>806</v>
      </c>
      <c r="FX53" s="13" t="s">
        <v>806</v>
      </c>
      <c r="FY53" s="13" t="s">
        <v>806</v>
      </c>
      <c r="FZ53" s="13" t="s">
        <v>806</v>
      </c>
      <c r="GA53" s="13" t="s">
        <v>806</v>
      </c>
      <c r="GB53" s="13" t="s">
        <v>806</v>
      </c>
      <c r="GE53" s="13" t="s">
        <v>806</v>
      </c>
      <c r="GF53" s="13" t="s">
        <v>806</v>
      </c>
      <c r="GH53" s="13" t="s">
        <v>806</v>
      </c>
    </row>
    <row r="54" spans="1:193" ht="15" customHeight="1" x14ac:dyDescent="0.25">
      <c r="A54" s="1" t="s">
        <v>362</v>
      </c>
      <c r="B54" s="1" t="s">
        <v>650</v>
      </c>
      <c r="C54" s="1" t="s">
        <v>657</v>
      </c>
      <c r="D54" s="1" t="s">
        <v>675</v>
      </c>
      <c r="E54" s="1" t="s">
        <v>126</v>
      </c>
      <c r="F54" s="1">
        <v>0</v>
      </c>
      <c r="G54" s="1">
        <v>2035</v>
      </c>
      <c r="H54" s="1">
        <v>1</v>
      </c>
      <c r="I54" s="1">
        <v>0</v>
      </c>
      <c r="J54" s="1">
        <v>0</v>
      </c>
      <c r="K5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10.336</v>
      </c>
      <c r="M5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118.1952</v>
      </c>
      <c r="N54" s="19">
        <v>76.704000000000008</v>
      </c>
      <c r="O54" s="19">
        <v>44.044800000000002</v>
      </c>
      <c r="P54" s="19">
        <v>118.1952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39.167999999999999</v>
      </c>
      <c r="X54" s="19">
        <v>26.188800000000001</v>
      </c>
      <c r="Y54" s="19">
        <v>53.913599999999995</v>
      </c>
      <c r="Z54" s="19">
        <v>0</v>
      </c>
      <c r="AA54" s="19">
        <v>0</v>
      </c>
      <c r="AB54" s="19">
        <v>0</v>
      </c>
      <c r="AC54" s="19">
        <v>39.167999999999999</v>
      </c>
      <c r="AD54" s="19">
        <v>26.188800000000001</v>
      </c>
      <c r="AE54" s="19">
        <v>53.913599999999995</v>
      </c>
      <c r="AF54" s="19">
        <v>16.32</v>
      </c>
      <c r="AG54" s="19">
        <v>0</v>
      </c>
      <c r="AH54" s="19">
        <v>41.472000000000001</v>
      </c>
      <c r="AI54" s="19">
        <v>22.847999999999999</v>
      </c>
      <c r="AJ54" s="19">
        <v>2.3807999999999998</v>
      </c>
      <c r="AK54" s="19">
        <v>53.913599999999995</v>
      </c>
      <c r="AL54" s="19">
        <v>0</v>
      </c>
      <c r="AM54" s="19">
        <v>0</v>
      </c>
      <c r="AN54" s="19">
        <v>0</v>
      </c>
      <c r="AO54" s="19">
        <v>39.167999999999999</v>
      </c>
      <c r="AP54" s="19">
        <v>26.188800000000001</v>
      </c>
      <c r="AQ54" s="19">
        <v>53.913599999999995</v>
      </c>
      <c r="AR54" s="19">
        <v>0</v>
      </c>
      <c r="AS54" s="19">
        <v>0</v>
      </c>
      <c r="AT54" s="19">
        <v>0</v>
      </c>
      <c r="AU54" s="19">
        <v>39.167999999999999</v>
      </c>
      <c r="AV54" s="19">
        <v>26.188800000000001</v>
      </c>
      <c r="AW54" s="19">
        <v>53.913599999999995</v>
      </c>
      <c r="AX54" s="19">
        <v>0</v>
      </c>
      <c r="AY54" s="19">
        <v>0</v>
      </c>
      <c r="AZ54" s="19">
        <v>0</v>
      </c>
      <c r="BA54" s="19">
        <v>39.167999999999999</v>
      </c>
      <c r="BB54" s="19">
        <v>26.188800000000001</v>
      </c>
      <c r="BC54" s="19">
        <v>53.913599999999995</v>
      </c>
      <c r="BD54" s="19">
        <v>0</v>
      </c>
      <c r="BE54" s="19">
        <v>0</v>
      </c>
      <c r="BF54" s="19">
        <v>0</v>
      </c>
      <c r="BG54" s="19">
        <v>39.167999999999999</v>
      </c>
      <c r="BH54" s="19">
        <v>26.188800000000001</v>
      </c>
      <c r="BI54" s="19">
        <v>53.913599999999995</v>
      </c>
      <c r="BJ54" s="19">
        <v>0</v>
      </c>
      <c r="BK54" s="19">
        <v>0</v>
      </c>
      <c r="BL54" s="19">
        <v>0</v>
      </c>
      <c r="BM54" s="19">
        <v>39.167999999999999</v>
      </c>
      <c r="BN54" s="19">
        <v>26.188800000000001</v>
      </c>
      <c r="BO54" s="19">
        <v>53.913599999999995</v>
      </c>
      <c r="BP54" s="19"/>
      <c r="BQ5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33.00266666666667</v>
      </c>
      <c r="BS5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53.913599999999995</v>
      </c>
      <c r="BT54" s="11">
        <f>Tabelle5897112140[[#This Row],[Mindestauslastung min]]*Tabelle5897112140[[#This Row],[installierte Leistung MW min]]</f>
        <v>0</v>
      </c>
      <c r="BU54" s="11">
        <f>Tabelle5897112140[[#This Row],[Mindestauslastung durch]]*Tabelle5897112140[[#This Row],[installierte Leistung MW durch]]</f>
        <v>0</v>
      </c>
      <c r="BV54" s="11">
        <f>Tabelle5897112140[[#This Row],[Mindestauslastung max]]*Tabelle5897112140[[#This Row],[installierte Leistung MW max]]</f>
        <v>0</v>
      </c>
      <c r="BW54" s="9">
        <v>0</v>
      </c>
      <c r="BX54" s="9">
        <v>0</v>
      </c>
      <c r="BY54" s="9">
        <v>0</v>
      </c>
      <c r="BZ54" s="9"/>
      <c r="CA54" s="9">
        <v>0.47</v>
      </c>
      <c r="CB54" s="9">
        <v>0.37</v>
      </c>
      <c r="CC54" s="9">
        <v>0.56999999999999995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0.1</v>
      </c>
      <c r="CK54" s="9">
        <v>0</v>
      </c>
      <c r="CL54" s="9">
        <v>0.2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f>MIN(Tabelle5897112140[[#This Row],[Durchschnittsauslastung durch Sommer WTT]:[Durchschnittsauslastung max Winter SFN]])</f>
        <v>0</v>
      </c>
      <c r="DC5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4" s="9">
        <f>MAX(Tabelle5897112140[[#This Row],[Durchschnittsauslastung durch Sommer WTT]:[Durchschnittsauslastung max Winter SFN]])</f>
        <v>0.56999999999999995</v>
      </c>
      <c r="DE54" s="40">
        <f>Tabelle5897112140[[#This Row],[Durchschnittsauslastung min]]*Tabelle5897112140[[#This Row],[installierte Leistung MW min]]</f>
        <v>0</v>
      </c>
      <c r="DF54" s="40">
        <f>Tabelle5897112140[[#This Row],[Durchschnittsauslastung durch]]*Tabelle5897112140[[#This Row],[installierte Leistung MW durch]]</f>
        <v>10.335999999999999</v>
      </c>
      <c r="DG54" s="40">
        <f>Tabelle5897112140[[#This Row],[Durchschnittsauslastung max]]*Tabelle5897112140[[#This Row],[installierte Leistung MW max]]</f>
        <v>118.1952</v>
      </c>
      <c r="DH54" s="46">
        <f>Tabelle5897112140[[#This Row],[Maximalauslastung min]]*Tabelle5897112140[[#This Row],[installierte Leistung MW min]]</f>
        <v>0</v>
      </c>
      <c r="DI54" s="46">
        <f>Tabelle5897112140[[#This Row],[Maximalauslastung durch]]*Tabelle5897112140[[#This Row],[installierte Leistung MW durch]]</f>
        <v>0</v>
      </c>
      <c r="DJ54" s="19">
        <f>Tabelle5897112140[[#This Row],[Maximalauslastung max]]*Tabelle5897112140[[#This Row],[installierte Leistung MW durch]]</f>
        <v>0</v>
      </c>
      <c r="DK54" s="9">
        <v>0</v>
      </c>
      <c r="DL54" s="9">
        <v>0</v>
      </c>
      <c r="DM54" s="9">
        <v>0</v>
      </c>
      <c r="DN54" s="1">
        <v>163.19999999999999</v>
      </c>
      <c r="DO54" s="1">
        <v>119.04</v>
      </c>
      <c r="DP54" s="1">
        <v>207.36</v>
      </c>
      <c r="DQ54" s="19"/>
      <c r="DR54" s="19"/>
      <c r="EL54" s="1">
        <v>365</v>
      </c>
      <c r="EM54" s="1">
        <v>292</v>
      </c>
      <c r="EN54" s="1">
        <v>438</v>
      </c>
      <c r="EO54" s="11"/>
      <c r="EP54" s="11"/>
      <c r="EQ54" s="11"/>
      <c r="ER54" s="1">
        <v>365</v>
      </c>
      <c r="ES54" s="1">
        <v>292</v>
      </c>
      <c r="ET54" s="1">
        <v>438</v>
      </c>
      <c r="EV54" s="19"/>
      <c r="EW54" s="19"/>
      <c r="EX54" s="19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O54" s="1">
        <v>67</v>
      </c>
      <c r="FP54" s="1">
        <v>67</v>
      </c>
      <c r="FQ54" s="1">
        <v>67</v>
      </c>
      <c r="FR54" s="13" t="s">
        <v>806</v>
      </c>
      <c r="FS54" s="13" t="s">
        <v>806</v>
      </c>
      <c r="FT54" s="13" t="s">
        <v>806</v>
      </c>
      <c r="FU54" s="13"/>
      <c r="FV54" s="13" t="s">
        <v>806</v>
      </c>
      <c r="FW54" s="13" t="s">
        <v>806</v>
      </c>
      <c r="FX54" s="13" t="s">
        <v>806</v>
      </c>
      <c r="FY54" s="13" t="s">
        <v>806</v>
      </c>
      <c r="FZ54" s="13" t="s">
        <v>806</v>
      </c>
      <c r="GA54" s="13" t="s">
        <v>806</v>
      </c>
      <c r="GB54" s="13" t="s">
        <v>806</v>
      </c>
      <c r="GE54" s="13" t="s">
        <v>806</v>
      </c>
      <c r="GF54" s="13" t="s">
        <v>806</v>
      </c>
      <c r="GH54" s="13" t="s">
        <v>806</v>
      </c>
    </row>
    <row r="55" spans="1:193" ht="15" customHeight="1" x14ac:dyDescent="0.25">
      <c r="A55" s="1" t="s">
        <v>362</v>
      </c>
      <c r="B55" s="1" t="s">
        <v>650</v>
      </c>
      <c r="C55" s="1" t="s">
        <v>657</v>
      </c>
      <c r="D55" s="1" t="s">
        <v>675</v>
      </c>
      <c r="E55" s="1" t="s">
        <v>126</v>
      </c>
      <c r="F55" s="1">
        <v>0</v>
      </c>
      <c r="G55" s="1">
        <v>2040</v>
      </c>
      <c r="H55" s="1">
        <v>1</v>
      </c>
      <c r="I55" s="1">
        <v>0</v>
      </c>
      <c r="J55" s="1">
        <v>0</v>
      </c>
      <c r="K5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10.228333333333333</v>
      </c>
      <c r="M5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116.964</v>
      </c>
      <c r="N55" s="19">
        <v>75.905000000000001</v>
      </c>
      <c r="O55" s="19">
        <v>43.585999999999999</v>
      </c>
      <c r="P55" s="19">
        <v>116.964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38.76</v>
      </c>
      <c r="X55" s="19">
        <v>25.916</v>
      </c>
      <c r="Y55" s="19">
        <v>53.351999999999997</v>
      </c>
      <c r="Z55" s="19">
        <v>0</v>
      </c>
      <c r="AA55" s="19">
        <v>0</v>
      </c>
      <c r="AB55" s="19">
        <v>0</v>
      </c>
      <c r="AC55" s="19">
        <v>38.76</v>
      </c>
      <c r="AD55" s="19">
        <v>25.916</v>
      </c>
      <c r="AE55" s="19">
        <v>53.351999999999997</v>
      </c>
      <c r="AF55" s="19">
        <v>16.149999999999999</v>
      </c>
      <c r="AG55" s="19">
        <v>0</v>
      </c>
      <c r="AH55" s="19">
        <v>41.04</v>
      </c>
      <c r="AI55" s="19">
        <v>22.61</v>
      </c>
      <c r="AJ55" s="19">
        <v>2.3559999999999999</v>
      </c>
      <c r="AK55" s="19">
        <v>53.351999999999997</v>
      </c>
      <c r="AL55" s="19">
        <v>0</v>
      </c>
      <c r="AM55" s="19">
        <v>0</v>
      </c>
      <c r="AN55" s="19">
        <v>0</v>
      </c>
      <c r="AO55" s="19">
        <v>38.76</v>
      </c>
      <c r="AP55" s="19">
        <v>25.916</v>
      </c>
      <c r="AQ55" s="19">
        <v>53.351999999999997</v>
      </c>
      <c r="AR55" s="19">
        <v>0</v>
      </c>
      <c r="AS55" s="19">
        <v>0</v>
      </c>
      <c r="AT55" s="19">
        <v>0</v>
      </c>
      <c r="AU55" s="19">
        <v>38.76</v>
      </c>
      <c r="AV55" s="19">
        <v>25.916</v>
      </c>
      <c r="AW55" s="19">
        <v>53.351999999999997</v>
      </c>
      <c r="AX55" s="19">
        <v>0</v>
      </c>
      <c r="AY55" s="19">
        <v>0</v>
      </c>
      <c r="AZ55" s="19">
        <v>0</v>
      </c>
      <c r="BA55" s="19">
        <v>38.76</v>
      </c>
      <c r="BB55" s="19">
        <v>25.916</v>
      </c>
      <c r="BC55" s="19">
        <v>53.351999999999997</v>
      </c>
      <c r="BD55" s="19">
        <v>0</v>
      </c>
      <c r="BE55" s="19">
        <v>0</v>
      </c>
      <c r="BF55" s="19">
        <v>0</v>
      </c>
      <c r="BG55" s="19">
        <v>38.76</v>
      </c>
      <c r="BH55" s="19">
        <v>25.916</v>
      </c>
      <c r="BI55" s="19">
        <v>53.351999999999997</v>
      </c>
      <c r="BJ55" s="19">
        <v>0</v>
      </c>
      <c r="BK55" s="19">
        <v>0</v>
      </c>
      <c r="BL55" s="19">
        <v>0</v>
      </c>
      <c r="BM55" s="19">
        <v>38.76</v>
      </c>
      <c r="BN55" s="19">
        <v>25.916</v>
      </c>
      <c r="BO55" s="19">
        <v>53.351999999999997</v>
      </c>
      <c r="BP55" s="19"/>
      <c r="BQ5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32.658888888888882</v>
      </c>
      <c r="BS5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53.351999999999997</v>
      </c>
      <c r="BT55" s="11">
        <f>Tabelle5897112140[[#This Row],[Mindestauslastung min]]*Tabelle5897112140[[#This Row],[installierte Leistung MW min]]</f>
        <v>0</v>
      </c>
      <c r="BU55" s="11">
        <f>Tabelle5897112140[[#This Row],[Mindestauslastung durch]]*Tabelle5897112140[[#This Row],[installierte Leistung MW durch]]</f>
        <v>0</v>
      </c>
      <c r="BV55" s="11">
        <f>Tabelle5897112140[[#This Row],[Mindestauslastung max]]*Tabelle5897112140[[#This Row],[installierte Leistung MW max]]</f>
        <v>0</v>
      </c>
      <c r="BW55" s="9">
        <v>0</v>
      </c>
      <c r="BX55" s="9">
        <v>0</v>
      </c>
      <c r="BY55" s="9">
        <v>0</v>
      </c>
      <c r="BZ55" s="9"/>
      <c r="CA55" s="9">
        <v>0.47</v>
      </c>
      <c r="CB55" s="9">
        <v>0.37</v>
      </c>
      <c r="CC55" s="9">
        <v>0.56999999999999995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0.1</v>
      </c>
      <c r="CK55" s="9">
        <v>0</v>
      </c>
      <c r="CL55" s="9">
        <v>0.2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f>MIN(Tabelle5897112140[[#This Row],[Durchschnittsauslastung durch Sommer WTT]:[Durchschnittsauslastung max Winter SFN]])</f>
        <v>0</v>
      </c>
      <c r="DC5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5" s="9">
        <f>MAX(Tabelle5897112140[[#This Row],[Durchschnittsauslastung durch Sommer WTT]:[Durchschnittsauslastung max Winter SFN]])</f>
        <v>0.56999999999999995</v>
      </c>
      <c r="DE55" s="40">
        <f>Tabelle5897112140[[#This Row],[Durchschnittsauslastung min]]*Tabelle5897112140[[#This Row],[installierte Leistung MW min]]</f>
        <v>0</v>
      </c>
      <c r="DF55" s="40">
        <f>Tabelle5897112140[[#This Row],[Durchschnittsauslastung durch]]*Tabelle5897112140[[#This Row],[installierte Leistung MW durch]]</f>
        <v>10.228333333333332</v>
      </c>
      <c r="DG55" s="40">
        <f>Tabelle5897112140[[#This Row],[Durchschnittsauslastung max]]*Tabelle5897112140[[#This Row],[installierte Leistung MW max]]</f>
        <v>116.96399999999998</v>
      </c>
      <c r="DH55" s="46">
        <f>Tabelle5897112140[[#This Row],[Maximalauslastung min]]*Tabelle5897112140[[#This Row],[installierte Leistung MW min]]</f>
        <v>0</v>
      </c>
      <c r="DI55" s="46">
        <f>Tabelle5897112140[[#This Row],[Maximalauslastung durch]]*Tabelle5897112140[[#This Row],[installierte Leistung MW durch]]</f>
        <v>0</v>
      </c>
      <c r="DJ55" s="19">
        <f>Tabelle5897112140[[#This Row],[Maximalauslastung max]]*Tabelle5897112140[[#This Row],[installierte Leistung MW durch]]</f>
        <v>0</v>
      </c>
      <c r="DK55" s="9">
        <v>0</v>
      </c>
      <c r="DL55" s="9">
        <v>0</v>
      </c>
      <c r="DM55" s="9">
        <v>0</v>
      </c>
      <c r="DN55" s="1">
        <v>161.5</v>
      </c>
      <c r="DO55" s="1">
        <v>117.8</v>
      </c>
      <c r="DP55" s="1">
        <v>205.2</v>
      </c>
      <c r="DQ55" s="19"/>
      <c r="DR55" s="19"/>
      <c r="EL55" s="1">
        <v>365</v>
      </c>
      <c r="EM55" s="1">
        <v>292</v>
      </c>
      <c r="EN55" s="1">
        <v>438</v>
      </c>
      <c r="EO55" s="11"/>
      <c r="EP55" s="11"/>
      <c r="EQ55" s="11"/>
      <c r="ER55" s="1">
        <v>365</v>
      </c>
      <c r="ES55" s="1">
        <v>292</v>
      </c>
      <c r="ET55" s="1">
        <v>438</v>
      </c>
      <c r="EV55" s="19"/>
      <c r="EW55" s="19"/>
      <c r="EX55" s="19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O55" s="1">
        <v>67</v>
      </c>
      <c r="FP55" s="1">
        <v>67</v>
      </c>
      <c r="FQ55" s="1">
        <v>67</v>
      </c>
      <c r="FR55" s="13" t="s">
        <v>806</v>
      </c>
      <c r="FS55" s="13" t="s">
        <v>806</v>
      </c>
      <c r="FT55" s="13" t="s">
        <v>806</v>
      </c>
      <c r="FU55" s="13"/>
      <c r="FV55" s="13" t="s">
        <v>806</v>
      </c>
      <c r="FW55" s="13" t="s">
        <v>806</v>
      </c>
      <c r="FX55" s="13" t="s">
        <v>806</v>
      </c>
      <c r="FY55" s="13" t="s">
        <v>806</v>
      </c>
      <c r="FZ55" s="13" t="s">
        <v>806</v>
      </c>
      <c r="GA55" s="13" t="s">
        <v>806</v>
      </c>
      <c r="GB55" s="13" t="s">
        <v>806</v>
      </c>
      <c r="GE55" s="13" t="s">
        <v>806</v>
      </c>
      <c r="GF55" s="13" t="s">
        <v>806</v>
      </c>
      <c r="GH55" s="13" t="s">
        <v>806</v>
      </c>
    </row>
    <row r="56" spans="1:193" s="52" customFormat="1" ht="15" customHeight="1" x14ac:dyDescent="0.25">
      <c r="A56" s="1" t="s">
        <v>362</v>
      </c>
      <c r="B56" s="1" t="s">
        <v>650</v>
      </c>
      <c r="C56" s="1" t="s">
        <v>657</v>
      </c>
      <c r="D56" s="1" t="s">
        <v>675</v>
      </c>
      <c r="E56" s="1" t="s">
        <v>126</v>
      </c>
      <c r="F56" s="1">
        <v>0</v>
      </c>
      <c r="G56" s="1">
        <v>2045</v>
      </c>
      <c r="H56" s="1">
        <v>1</v>
      </c>
      <c r="I56" s="1">
        <v>0</v>
      </c>
      <c r="J56" s="1">
        <v>0</v>
      </c>
      <c r="K5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10.228333333333333</v>
      </c>
      <c r="M5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116.964</v>
      </c>
      <c r="N56" s="19">
        <v>75.905000000000001</v>
      </c>
      <c r="O56" s="19">
        <v>43.585999999999999</v>
      </c>
      <c r="P56" s="19">
        <v>116.964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38.76</v>
      </c>
      <c r="X56" s="19">
        <v>25.916</v>
      </c>
      <c r="Y56" s="19">
        <v>53.351999999999997</v>
      </c>
      <c r="Z56" s="19">
        <v>0</v>
      </c>
      <c r="AA56" s="19">
        <v>0</v>
      </c>
      <c r="AB56" s="19">
        <v>0</v>
      </c>
      <c r="AC56" s="19">
        <v>38.76</v>
      </c>
      <c r="AD56" s="19">
        <v>25.916</v>
      </c>
      <c r="AE56" s="19">
        <v>53.351999999999997</v>
      </c>
      <c r="AF56" s="19">
        <v>16.149999999999999</v>
      </c>
      <c r="AG56" s="19">
        <v>0</v>
      </c>
      <c r="AH56" s="19">
        <v>41.04</v>
      </c>
      <c r="AI56" s="19">
        <v>22.61</v>
      </c>
      <c r="AJ56" s="19">
        <v>2.3559999999999999</v>
      </c>
      <c r="AK56" s="19">
        <v>53.351999999999997</v>
      </c>
      <c r="AL56" s="19">
        <v>0</v>
      </c>
      <c r="AM56" s="19">
        <v>0</v>
      </c>
      <c r="AN56" s="19">
        <v>0</v>
      </c>
      <c r="AO56" s="19">
        <v>38.76</v>
      </c>
      <c r="AP56" s="19">
        <v>25.916</v>
      </c>
      <c r="AQ56" s="19">
        <v>53.351999999999997</v>
      </c>
      <c r="AR56" s="19">
        <v>0</v>
      </c>
      <c r="AS56" s="19">
        <v>0</v>
      </c>
      <c r="AT56" s="19">
        <v>0</v>
      </c>
      <c r="AU56" s="19">
        <v>38.76</v>
      </c>
      <c r="AV56" s="19">
        <v>25.916</v>
      </c>
      <c r="AW56" s="19">
        <v>53.351999999999997</v>
      </c>
      <c r="AX56" s="19">
        <v>0</v>
      </c>
      <c r="AY56" s="19">
        <v>0</v>
      </c>
      <c r="AZ56" s="19">
        <v>0</v>
      </c>
      <c r="BA56" s="19">
        <v>38.76</v>
      </c>
      <c r="BB56" s="19">
        <v>25.916</v>
      </c>
      <c r="BC56" s="19">
        <v>53.351999999999997</v>
      </c>
      <c r="BD56" s="19">
        <v>0</v>
      </c>
      <c r="BE56" s="19">
        <v>0</v>
      </c>
      <c r="BF56" s="19">
        <v>0</v>
      </c>
      <c r="BG56" s="19">
        <v>38.76</v>
      </c>
      <c r="BH56" s="19">
        <v>25.916</v>
      </c>
      <c r="BI56" s="19">
        <v>53.351999999999997</v>
      </c>
      <c r="BJ56" s="19">
        <v>0</v>
      </c>
      <c r="BK56" s="19">
        <v>0</v>
      </c>
      <c r="BL56" s="19">
        <v>0</v>
      </c>
      <c r="BM56" s="19">
        <v>38.76</v>
      </c>
      <c r="BN56" s="19">
        <v>25.916</v>
      </c>
      <c r="BO56" s="19">
        <v>53.351999999999997</v>
      </c>
      <c r="BP56" s="19"/>
      <c r="BQ5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32.658888888888882</v>
      </c>
      <c r="BS5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53.351999999999997</v>
      </c>
      <c r="BT56" s="11">
        <f>Tabelle5897112140[[#This Row],[Mindestauslastung min]]*Tabelle5897112140[[#This Row],[installierte Leistung MW min]]</f>
        <v>0</v>
      </c>
      <c r="BU56" s="11">
        <f>Tabelle5897112140[[#This Row],[Mindestauslastung durch]]*Tabelle5897112140[[#This Row],[installierte Leistung MW durch]]</f>
        <v>0</v>
      </c>
      <c r="BV56" s="11">
        <f>Tabelle5897112140[[#This Row],[Mindestauslastung max]]*Tabelle5897112140[[#This Row],[installierte Leistung MW max]]</f>
        <v>0</v>
      </c>
      <c r="BW56" s="9">
        <v>0</v>
      </c>
      <c r="BX56" s="9">
        <v>0</v>
      </c>
      <c r="BY56" s="9">
        <v>0</v>
      </c>
      <c r="BZ56" s="9"/>
      <c r="CA56" s="9">
        <v>0.47</v>
      </c>
      <c r="CB56" s="9">
        <v>0.37</v>
      </c>
      <c r="CC56" s="9">
        <v>0.56999999999999995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0.1</v>
      </c>
      <c r="CK56" s="9">
        <v>0</v>
      </c>
      <c r="CL56" s="9">
        <v>0.2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f>MIN(Tabelle5897112140[[#This Row],[Durchschnittsauslastung durch Sommer WTT]:[Durchschnittsauslastung max Winter SFN]])</f>
        <v>0</v>
      </c>
      <c r="DC5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6" s="9">
        <f>MAX(Tabelle5897112140[[#This Row],[Durchschnittsauslastung durch Sommer WTT]:[Durchschnittsauslastung max Winter SFN]])</f>
        <v>0.56999999999999995</v>
      </c>
      <c r="DE56" s="40">
        <f>Tabelle5897112140[[#This Row],[Durchschnittsauslastung min]]*Tabelle5897112140[[#This Row],[installierte Leistung MW min]]</f>
        <v>0</v>
      </c>
      <c r="DF56" s="40">
        <f>Tabelle5897112140[[#This Row],[Durchschnittsauslastung durch]]*Tabelle5897112140[[#This Row],[installierte Leistung MW durch]]</f>
        <v>10.228333333333332</v>
      </c>
      <c r="DG56" s="40">
        <f>Tabelle5897112140[[#This Row],[Durchschnittsauslastung max]]*Tabelle5897112140[[#This Row],[installierte Leistung MW max]]</f>
        <v>116.96399999999998</v>
      </c>
      <c r="DH56" s="46">
        <f>Tabelle5897112140[[#This Row],[Maximalauslastung min]]*Tabelle5897112140[[#This Row],[installierte Leistung MW min]]</f>
        <v>0</v>
      </c>
      <c r="DI56" s="46">
        <f>Tabelle5897112140[[#This Row],[Maximalauslastung durch]]*Tabelle5897112140[[#This Row],[installierte Leistung MW durch]]</f>
        <v>0</v>
      </c>
      <c r="DJ56" s="19">
        <f>Tabelle5897112140[[#This Row],[Maximalauslastung max]]*Tabelle5897112140[[#This Row],[installierte Leistung MW durch]]</f>
        <v>0</v>
      </c>
      <c r="DK56" s="9">
        <v>0</v>
      </c>
      <c r="DL56" s="9">
        <v>0</v>
      </c>
      <c r="DM56" s="9">
        <v>0</v>
      </c>
      <c r="DN56" s="1">
        <v>161.5</v>
      </c>
      <c r="DO56" s="1">
        <v>117.8</v>
      </c>
      <c r="DP56" s="1">
        <v>205.2</v>
      </c>
      <c r="DQ56" s="19"/>
      <c r="DR56" s="19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>
        <v>365</v>
      </c>
      <c r="EM56" s="1">
        <v>292</v>
      </c>
      <c r="EN56" s="1">
        <v>438</v>
      </c>
      <c r="EO56" s="11"/>
      <c r="EP56" s="11"/>
      <c r="EQ56" s="11"/>
      <c r="ER56" s="1">
        <v>365</v>
      </c>
      <c r="ES56" s="1">
        <v>292</v>
      </c>
      <c r="ET56" s="1">
        <v>438</v>
      </c>
      <c r="EU56" s="1"/>
      <c r="EV56" s="19"/>
      <c r="EW56" s="19"/>
      <c r="EX56" s="19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1"/>
      <c r="FN56" s="1"/>
      <c r="FO56" s="1">
        <v>67</v>
      </c>
      <c r="FP56" s="1">
        <v>67</v>
      </c>
      <c r="FQ56" s="1">
        <v>67</v>
      </c>
      <c r="FR56" s="13" t="s">
        <v>806</v>
      </c>
      <c r="FS56" s="13" t="s">
        <v>806</v>
      </c>
      <c r="FT56" s="13" t="s">
        <v>806</v>
      </c>
      <c r="FU56" s="13"/>
      <c r="FV56" s="13" t="s">
        <v>806</v>
      </c>
      <c r="FW56" s="13" t="s">
        <v>806</v>
      </c>
      <c r="FX56" s="13" t="s">
        <v>806</v>
      </c>
      <c r="FY56" s="13" t="s">
        <v>806</v>
      </c>
      <c r="FZ56" s="13" t="s">
        <v>806</v>
      </c>
      <c r="GA56" s="13" t="s">
        <v>806</v>
      </c>
      <c r="GB56" s="13" t="s">
        <v>806</v>
      </c>
      <c r="GC56" s="1"/>
      <c r="GD56" s="1"/>
      <c r="GE56" s="13" t="s">
        <v>806</v>
      </c>
      <c r="GF56" s="13" t="s">
        <v>806</v>
      </c>
      <c r="GG56" s="1"/>
      <c r="GH56" s="13" t="s">
        <v>806</v>
      </c>
      <c r="GI56" s="1"/>
      <c r="GJ56" s="1"/>
      <c r="GK56" s="1"/>
    </row>
    <row r="57" spans="1:193" ht="15" customHeight="1" x14ac:dyDescent="0.25">
      <c r="A57" s="1" t="s">
        <v>362</v>
      </c>
      <c r="B57" s="1" t="s">
        <v>650</v>
      </c>
      <c r="C57" s="1" t="s">
        <v>657</v>
      </c>
      <c r="D57" s="1" t="s">
        <v>675</v>
      </c>
      <c r="E57" s="1" t="s">
        <v>126</v>
      </c>
      <c r="F57" s="1">
        <v>0</v>
      </c>
      <c r="G57" s="1">
        <v>2050</v>
      </c>
      <c r="H57" s="1">
        <v>1</v>
      </c>
      <c r="I57" s="1">
        <v>0</v>
      </c>
      <c r="J57" s="1">
        <v>0</v>
      </c>
      <c r="K5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10.120666666666667</v>
      </c>
      <c r="M5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115.7328</v>
      </c>
      <c r="N57" s="19">
        <v>75.105999999999995</v>
      </c>
      <c r="O57" s="19">
        <v>43.127200000000002</v>
      </c>
      <c r="P57" s="19">
        <v>115.7328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38.351999999999997</v>
      </c>
      <c r="X57" s="19">
        <v>25.6432</v>
      </c>
      <c r="Y57" s="19">
        <v>52.790399999999991</v>
      </c>
      <c r="Z57" s="19">
        <v>0</v>
      </c>
      <c r="AA57" s="19">
        <v>0</v>
      </c>
      <c r="AB57" s="19">
        <v>0</v>
      </c>
      <c r="AC57" s="19">
        <v>38.351999999999997</v>
      </c>
      <c r="AD57" s="19">
        <v>25.6432</v>
      </c>
      <c r="AE57" s="19">
        <v>52.790399999999991</v>
      </c>
      <c r="AF57" s="19">
        <v>15.979999999999999</v>
      </c>
      <c r="AG57" s="19">
        <v>0</v>
      </c>
      <c r="AH57" s="19">
        <v>40.607999999999997</v>
      </c>
      <c r="AI57" s="19">
        <v>22.372</v>
      </c>
      <c r="AJ57" s="19">
        <v>2.3311999999999999</v>
      </c>
      <c r="AK57" s="19">
        <v>52.790399999999991</v>
      </c>
      <c r="AL57" s="19">
        <v>0</v>
      </c>
      <c r="AM57" s="19">
        <v>0</v>
      </c>
      <c r="AN57" s="19">
        <v>0</v>
      </c>
      <c r="AO57" s="19">
        <v>38.351999999999997</v>
      </c>
      <c r="AP57" s="19">
        <v>25.6432</v>
      </c>
      <c r="AQ57" s="19">
        <v>52.790399999999991</v>
      </c>
      <c r="AR57" s="19">
        <v>0</v>
      </c>
      <c r="AS57" s="19">
        <v>0</v>
      </c>
      <c r="AT57" s="19">
        <v>0</v>
      </c>
      <c r="AU57" s="19">
        <v>38.351999999999997</v>
      </c>
      <c r="AV57" s="19">
        <v>25.6432</v>
      </c>
      <c r="AW57" s="19">
        <v>52.790399999999991</v>
      </c>
      <c r="AX57" s="19">
        <v>0</v>
      </c>
      <c r="AY57" s="19">
        <v>0</v>
      </c>
      <c r="AZ57" s="19">
        <v>0</v>
      </c>
      <c r="BA57" s="19">
        <v>38.351999999999997</v>
      </c>
      <c r="BB57" s="19">
        <v>25.6432</v>
      </c>
      <c r="BC57" s="19">
        <v>52.790399999999991</v>
      </c>
      <c r="BD57" s="19">
        <v>0</v>
      </c>
      <c r="BE57" s="19">
        <v>0</v>
      </c>
      <c r="BF57" s="19">
        <v>0</v>
      </c>
      <c r="BG57" s="19">
        <v>38.351999999999997</v>
      </c>
      <c r="BH57" s="19">
        <v>25.6432</v>
      </c>
      <c r="BI57" s="19">
        <v>52.790399999999991</v>
      </c>
      <c r="BJ57" s="19">
        <v>0</v>
      </c>
      <c r="BK57" s="19">
        <v>0</v>
      </c>
      <c r="BL57" s="19">
        <v>0</v>
      </c>
      <c r="BM57" s="19">
        <v>38.351999999999997</v>
      </c>
      <c r="BN57" s="19">
        <v>25.6432</v>
      </c>
      <c r="BO57" s="19">
        <v>52.790399999999991</v>
      </c>
      <c r="BP57" s="19"/>
      <c r="BQ5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32.315111111111115</v>
      </c>
      <c r="BS5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52.790399999999991</v>
      </c>
      <c r="BT57" s="11">
        <f>Tabelle5897112140[[#This Row],[Mindestauslastung min]]*Tabelle5897112140[[#This Row],[installierte Leistung MW min]]</f>
        <v>0</v>
      </c>
      <c r="BU57" s="11">
        <f>Tabelle5897112140[[#This Row],[Mindestauslastung durch]]*Tabelle5897112140[[#This Row],[installierte Leistung MW durch]]</f>
        <v>0</v>
      </c>
      <c r="BV57" s="11">
        <f>Tabelle5897112140[[#This Row],[Mindestauslastung max]]*Tabelle5897112140[[#This Row],[installierte Leistung MW max]]</f>
        <v>0</v>
      </c>
      <c r="BW57" s="9">
        <v>0</v>
      </c>
      <c r="BX57" s="9">
        <v>0</v>
      </c>
      <c r="BY57" s="9">
        <v>0</v>
      </c>
      <c r="BZ57" s="9"/>
      <c r="CA57" s="9">
        <v>0.47</v>
      </c>
      <c r="CB57" s="9">
        <v>0.37</v>
      </c>
      <c r="CC57" s="9">
        <v>0.56999999999999995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0.1</v>
      </c>
      <c r="CK57" s="9">
        <v>0</v>
      </c>
      <c r="CL57" s="9">
        <v>0.2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f>MIN(Tabelle5897112140[[#This Row],[Durchschnittsauslastung durch Sommer WTT]:[Durchschnittsauslastung max Winter SFN]])</f>
        <v>0</v>
      </c>
      <c r="DC5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7" s="9">
        <f>MAX(Tabelle5897112140[[#This Row],[Durchschnittsauslastung durch Sommer WTT]:[Durchschnittsauslastung max Winter SFN]])</f>
        <v>0.56999999999999995</v>
      </c>
      <c r="DE57" s="40">
        <f>Tabelle5897112140[[#This Row],[Durchschnittsauslastung min]]*Tabelle5897112140[[#This Row],[installierte Leistung MW min]]</f>
        <v>0</v>
      </c>
      <c r="DF57" s="40">
        <f>Tabelle5897112140[[#This Row],[Durchschnittsauslastung durch]]*Tabelle5897112140[[#This Row],[installierte Leistung MW durch]]</f>
        <v>10.120666666666667</v>
      </c>
      <c r="DG57" s="40">
        <f>Tabelle5897112140[[#This Row],[Durchschnittsauslastung max]]*Tabelle5897112140[[#This Row],[installierte Leistung MW max]]</f>
        <v>115.73279999999998</v>
      </c>
      <c r="DH57" s="46">
        <f>Tabelle5897112140[[#This Row],[Maximalauslastung min]]*Tabelle5897112140[[#This Row],[installierte Leistung MW min]]</f>
        <v>0</v>
      </c>
      <c r="DI57" s="46">
        <f>Tabelle5897112140[[#This Row],[Maximalauslastung durch]]*Tabelle5897112140[[#This Row],[installierte Leistung MW durch]]</f>
        <v>0</v>
      </c>
      <c r="DJ57" s="19">
        <f>Tabelle5897112140[[#This Row],[Maximalauslastung max]]*Tabelle5897112140[[#This Row],[installierte Leistung MW durch]]</f>
        <v>0</v>
      </c>
      <c r="DK57" s="9">
        <v>0</v>
      </c>
      <c r="DL57" s="9">
        <v>0</v>
      </c>
      <c r="DM57" s="9">
        <v>0</v>
      </c>
      <c r="DN57" s="1">
        <v>159.80000000000001</v>
      </c>
      <c r="DO57" s="1">
        <v>116.56</v>
      </c>
      <c r="DP57" s="1">
        <v>203.04</v>
      </c>
      <c r="DQ57" s="19"/>
      <c r="DR57" s="19"/>
      <c r="EL57" s="1">
        <v>365</v>
      </c>
      <c r="EM57" s="1">
        <v>292</v>
      </c>
      <c r="EN57" s="1">
        <v>438</v>
      </c>
      <c r="EO57" s="11"/>
      <c r="EP57" s="11"/>
      <c r="EQ57" s="11"/>
      <c r="ER57" s="1">
        <v>365</v>
      </c>
      <c r="ES57" s="1">
        <v>292</v>
      </c>
      <c r="ET57" s="1">
        <v>438</v>
      </c>
      <c r="EV57" s="19"/>
      <c r="EW57" s="19"/>
      <c r="EX57" s="19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O57" s="1">
        <v>67</v>
      </c>
      <c r="FP57" s="1">
        <v>67</v>
      </c>
      <c r="FQ57" s="1">
        <v>67</v>
      </c>
      <c r="FR57" s="13" t="s">
        <v>806</v>
      </c>
      <c r="FS57" s="13" t="s">
        <v>806</v>
      </c>
      <c r="FT57" s="13" t="s">
        <v>806</v>
      </c>
      <c r="FU57" s="13"/>
      <c r="FV57" s="13" t="s">
        <v>806</v>
      </c>
      <c r="FW57" s="13" t="s">
        <v>806</v>
      </c>
      <c r="FX57" s="13" t="s">
        <v>806</v>
      </c>
      <c r="FY57" s="13" t="s">
        <v>806</v>
      </c>
      <c r="FZ57" s="13" t="s">
        <v>806</v>
      </c>
      <c r="GA57" s="13" t="s">
        <v>806</v>
      </c>
      <c r="GB57" s="13" t="s">
        <v>806</v>
      </c>
      <c r="GE57" s="13" t="s">
        <v>806</v>
      </c>
      <c r="GF57" s="13" t="s">
        <v>806</v>
      </c>
      <c r="GH57" s="13" t="s">
        <v>806</v>
      </c>
    </row>
    <row r="58" spans="1:193" ht="15" customHeight="1" x14ac:dyDescent="0.25">
      <c r="A58" s="1" t="s">
        <v>97</v>
      </c>
      <c r="B58" s="1" t="s">
        <v>747</v>
      </c>
      <c r="C58" s="1" t="s">
        <v>657</v>
      </c>
      <c r="D58" s="1" t="s">
        <v>676</v>
      </c>
      <c r="E58" s="1" t="s">
        <v>126</v>
      </c>
      <c r="F58" s="1">
        <v>0</v>
      </c>
      <c r="G58" s="1">
        <v>2015</v>
      </c>
      <c r="H58" s="1">
        <v>1</v>
      </c>
      <c r="I58" s="1">
        <v>0</v>
      </c>
      <c r="J58" s="1">
        <v>0</v>
      </c>
      <c r="K5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174.8</v>
      </c>
      <c r="L5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311.59777777777776</v>
      </c>
      <c r="M5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511.28</v>
      </c>
      <c r="N58" s="19">
        <v>325.95999999999998</v>
      </c>
      <c r="O58" s="19">
        <v>266.8</v>
      </c>
      <c r="P58" s="19">
        <v>385.12</v>
      </c>
      <c r="Q58" s="19">
        <v>236.04</v>
      </c>
      <c r="R58" s="19">
        <v>193.2</v>
      </c>
      <c r="S58" s="19">
        <v>278.88</v>
      </c>
      <c r="T58" s="19">
        <v>325.95999999999998</v>
      </c>
      <c r="U58" s="19">
        <v>266.8</v>
      </c>
      <c r="V58" s="19">
        <v>385.12</v>
      </c>
      <c r="W58" s="19">
        <v>236.04</v>
      </c>
      <c r="X58" s="19">
        <v>193.2</v>
      </c>
      <c r="Y58" s="19">
        <v>278.88</v>
      </c>
      <c r="Z58" s="19">
        <v>432.74</v>
      </c>
      <c r="AA58" s="19">
        <v>354.2</v>
      </c>
      <c r="AB58" s="19">
        <v>511.28</v>
      </c>
      <c r="AC58" s="19">
        <v>129.26</v>
      </c>
      <c r="AD58" s="19">
        <v>105.8</v>
      </c>
      <c r="AE58" s="19">
        <v>152.72</v>
      </c>
      <c r="AF58" s="19">
        <v>269.76</v>
      </c>
      <c r="AG58" s="19">
        <v>220.8</v>
      </c>
      <c r="AH58" s="19">
        <v>318.72000000000003</v>
      </c>
      <c r="AI58" s="19">
        <v>292.24</v>
      </c>
      <c r="AJ58" s="19">
        <v>239.2</v>
      </c>
      <c r="AK58" s="19">
        <v>345.28</v>
      </c>
      <c r="AL58" s="19">
        <v>269.76</v>
      </c>
      <c r="AM58" s="19">
        <v>220.8</v>
      </c>
      <c r="AN58" s="19">
        <v>318.72000000000003</v>
      </c>
      <c r="AO58" s="19">
        <v>292.24</v>
      </c>
      <c r="AP58" s="19">
        <v>239.2</v>
      </c>
      <c r="AQ58" s="19">
        <v>345.28</v>
      </c>
      <c r="AR58" s="19">
        <v>359.68</v>
      </c>
      <c r="AS58" s="19">
        <v>294.39999999999998</v>
      </c>
      <c r="AT58" s="19">
        <v>424.96</v>
      </c>
      <c r="AU58" s="19">
        <v>202.32</v>
      </c>
      <c r="AV58" s="19">
        <v>165.6</v>
      </c>
      <c r="AW58" s="19">
        <v>239.04</v>
      </c>
      <c r="AX58" s="19">
        <v>325.95999999999998</v>
      </c>
      <c r="AY58" s="19">
        <v>266.8</v>
      </c>
      <c r="AZ58" s="19">
        <v>385.12</v>
      </c>
      <c r="BA58" s="19">
        <v>236.04</v>
      </c>
      <c r="BB58" s="19">
        <v>193.2</v>
      </c>
      <c r="BC58" s="19">
        <v>278.88</v>
      </c>
      <c r="BD58" s="19">
        <v>213.56</v>
      </c>
      <c r="BE58" s="19">
        <v>174.8</v>
      </c>
      <c r="BF58" s="19">
        <v>252.32</v>
      </c>
      <c r="BG58" s="19">
        <v>348.44</v>
      </c>
      <c r="BH58" s="19">
        <v>285.2</v>
      </c>
      <c r="BI58" s="19">
        <v>411.68</v>
      </c>
      <c r="BJ58" s="19">
        <v>281</v>
      </c>
      <c r="BK58" s="19">
        <v>230</v>
      </c>
      <c r="BL58" s="19">
        <v>332</v>
      </c>
      <c r="BM58" s="19">
        <v>281</v>
      </c>
      <c r="BN58" s="19">
        <v>230</v>
      </c>
      <c r="BO58" s="19">
        <v>332</v>
      </c>
      <c r="BP58" s="19"/>
      <c r="BQ5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105.8</v>
      </c>
      <c r="BR5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250.40222222222221</v>
      </c>
      <c r="BS5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411.68</v>
      </c>
      <c r="BT58" s="11">
        <f>Tabelle5897112140[[#This Row],[Mindestauslastung min]]*Tabelle5897112140[[#This Row],[installierte Leistung MW min]]</f>
        <v>0</v>
      </c>
      <c r="BU58" s="11">
        <f>Tabelle5897112140[[#This Row],[Mindestauslastung durch]]*Tabelle5897112140[[#This Row],[installierte Leistung MW durch]]</f>
        <v>0</v>
      </c>
      <c r="BV58" s="11">
        <f>Tabelle5897112140[[#This Row],[Mindestauslastung max]]*Tabelle5897112140[[#This Row],[installierte Leistung MW max]]</f>
        <v>0</v>
      </c>
      <c r="BW58" s="9">
        <v>0</v>
      </c>
      <c r="BX58" s="9">
        <v>0</v>
      </c>
      <c r="BY58" s="9">
        <v>0</v>
      </c>
      <c r="BZ58" s="9"/>
      <c r="CA58" s="9">
        <v>0.57999999999999996</v>
      </c>
      <c r="CB58" s="9">
        <v>0.57999999999999996</v>
      </c>
      <c r="CC58" s="9">
        <v>0.57999999999999996</v>
      </c>
      <c r="CD58" s="9">
        <v>0.57999999999999996</v>
      </c>
      <c r="CE58" s="9">
        <v>0.57999999999999996</v>
      </c>
      <c r="CF58" s="9">
        <v>0.57999999999999996</v>
      </c>
      <c r="CG58" s="9">
        <v>0.77</v>
      </c>
      <c r="CH58" s="9">
        <v>0.77</v>
      </c>
      <c r="CI58" s="9">
        <v>0.77</v>
      </c>
      <c r="CJ58" s="9">
        <v>0.48</v>
      </c>
      <c r="CK58" s="9">
        <v>0.48</v>
      </c>
      <c r="CL58" s="9">
        <v>0.48</v>
      </c>
      <c r="CM58" s="9">
        <v>0.48</v>
      </c>
      <c r="CN58" s="9">
        <v>0.48</v>
      </c>
      <c r="CO58" s="9">
        <v>0.48</v>
      </c>
      <c r="CP58" s="9">
        <v>0.64</v>
      </c>
      <c r="CQ58" s="9">
        <v>0.64</v>
      </c>
      <c r="CR58" s="9">
        <v>0.64</v>
      </c>
      <c r="CS58" s="9">
        <v>0.57999999999999996</v>
      </c>
      <c r="CT58" s="9">
        <v>0.57999999999999996</v>
      </c>
      <c r="CU58" s="9">
        <v>0.57999999999999996</v>
      </c>
      <c r="CV58" s="9">
        <v>0.38</v>
      </c>
      <c r="CW58" s="9">
        <v>0.38</v>
      </c>
      <c r="CX58" s="9">
        <v>0.38</v>
      </c>
      <c r="CY58" s="9">
        <v>0.5</v>
      </c>
      <c r="CZ58" s="9">
        <v>0.5</v>
      </c>
      <c r="DA58" s="9">
        <v>0.5</v>
      </c>
      <c r="DB58" s="9">
        <f>MIN(Tabelle5897112140[[#This Row],[Durchschnittsauslastung durch Sommer WTT]:[Durchschnittsauslastung max Winter SFN]])</f>
        <v>0.38</v>
      </c>
      <c r="DC5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58" s="9">
        <f>MAX(Tabelle5897112140[[#This Row],[Durchschnittsauslastung durch Sommer WTT]:[Durchschnittsauslastung max Winter SFN]])</f>
        <v>0.77</v>
      </c>
      <c r="DE58" s="40">
        <f>Tabelle5897112140[[#This Row],[Durchschnittsauslastung min]]*Tabelle5897112140[[#This Row],[installierte Leistung MW min]]</f>
        <v>174.8</v>
      </c>
      <c r="DF58" s="40">
        <f>Tabelle5897112140[[#This Row],[Durchschnittsauslastung durch]]*Tabelle5897112140[[#This Row],[installierte Leistung MW durch]]</f>
        <v>311.59777777777782</v>
      </c>
      <c r="DG58" s="40">
        <f>Tabelle5897112140[[#This Row],[Durchschnittsauslastung max]]*Tabelle5897112140[[#This Row],[installierte Leistung MW max]]</f>
        <v>511.28000000000003</v>
      </c>
      <c r="DH58" s="46">
        <f>Tabelle5897112140[[#This Row],[Maximalauslastung min]]*Tabelle5897112140[[#This Row],[installierte Leistung MW min]]</f>
        <v>101.2</v>
      </c>
      <c r="DI58" s="46">
        <f>Tabelle5897112140[[#This Row],[Maximalauslastung durch]]*Tabelle5897112140[[#This Row],[installierte Leistung MW durch]]</f>
        <v>134.88</v>
      </c>
      <c r="DJ58" s="19">
        <f>Tabelle5897112140[[#This Row],[Maximalauslastung max]]*Tabelle5897112140[[#This Row],[installierte Leistung MW durch]]</f>
        <v>146.12</v>
      </c>
      <c r="DK58" s="9">
        <v>0.22</v>
      </c>
      <c r="DL58" s="9">
        <v>0.24</v>
      </c>
      <c r="DM58" s="9">
        <v>0.26</v>
      </c>
      <c r="DN58" s="1">
        <v>562</v>
      </c>
      <c r="DO58" s="1">
        <v>460</v>
      </c>
      <c r="DP58" s="1">
        <v>664</v>
      </c>
      <c r="DQ58" s="19"/>
      <c r="DR58" s="19"/>
      <c r="DW58" s="1">
        <v>2.9874999999999998</v>
      </c>
      <c r="DX58" s="1">
        <v>1.2</v>
      </c>
      <c r="DY58" s="1">
        <v>5.8</v>
      </c>
      <c r="EL58" s="1">
        <v>365</v>
      </c>
      <c r="EM58" s="1">
        <v>292</v>
      </c>
      <c r="EN58" s="1">
        <v>438</v>
      </c>
      <c r="EO58" s="11"/>
      <c r="EP58" s="11"/>
      <c r="EQ58" s="11"/>
      <c r="ER58" s="1">
        <v>365</v>
      </c>
      <c r="ES58" s="1">
        <v>292</v>
      </c>
      <c r="ET58" s="1">
        <v>438</v>
      </c>
      <c r="EV58" s="19"/>
      <c r="EW58" s="19"/>
      <c r="EX58" s="19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O58" s="1">
        <v>67</v>
      </c>
      <c r="FP58" s="1">
        <v>67</v>
      </c>
      <c r="FQ58" s="1">
        <v>67</v>
      </c>
      <c r="FR58" s="13" t="s">
        <v>806</v>
      </c>
      <c r="FS58" s="13" t="s">
        <v>806</v>
      </c>
      <c r="FT58" s="13" t="s">
        <v>806</v>
      </c>
      <c r="FU58" s="13"/>
      <c r="FV58" s="13" t="s">
        <v>806</v>
      </c>
      <c r="FW58" s="13" t="s">
        <v>806</v>
      </c>
      <c r="FX58" s="13" t="s">
        <v>806</v>
      </c>
      <c r="FY58" s="13" t="s">
        <v>806</v>
      </c>
      <c r="FZ58" s="13" t="s">
        <v>806</v>
      </c>
      <c r="GA58" s="13" t="s">
        <v>806</v>
      </c>
      <c r="GB58" s="13" t="s">
        <v>806</v>
      </c>
      <c r="GE58" s="13" t="s">
        <v>806</v>
      </c>
      <c r="GF58" s="13" t="s">
        <v>806</v>
      </c>
      <c r="GH58" s="13" t="s">
        <v>806</v>
      </c>
    </row>
    <row r="59" spans="1:193" ht="15" customHeight="1" x14ac:dyDescent="0.25">
      <c r="A59" s="1" t="s">
        <v>97</v>
      </c>
      <c r="B59" s="1" t="s">
        <v>747</v>
      </c>
      <c r="C59" s="1" t="s">
        <v>657</v>
      </c>
      <c r="D59" s="1" t="s">
        <v>676</v>
      </c>
      <c r="E59" s="1" t="s">
        <v>126</v>
      </c>
      <c r="F59" s="1">
        <v>0</v>
      </c>
      <c r="G59" s="1">
        <v>2020</v>
      </c>
      <c r="H59" s="1">
        <v>1</v>
      </c>
      <c r="I59" s="1">
        <v>0</v>
      </c>
      <c r="J59" s="1">
        <v>0</v>
      </c>
      <c r="K5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173.05200000000002</v>
      </c>
      <c r="L5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308.48180000000002</v>
      </c>
      <c r="M5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506.16719999999998</v>
      </c>
      <c r="N59" s="19">
        <v>322.7004</v>
      </c>
      <c r="O59" s="19">
        <v>264.13200000000001</v>
      </c>
      <c r="P59" s="19">
        <v>381.2688</v>
      </c>
      <c r="Q59" s="19">
        <v>233.67959999999999</v>
      </c>
      <c r="R59" s="19">
        <v>191.268</v>
      </c>
      <c r="S59" s="19">
        <v>276.09120000000001</v>
      </c>
      <c r="T59" s="19">
        <v>322.7004</v>
      </c>
      <c r="U59" s="19">
        <v>264.13200000000001</v>
      </c>
      <c r="V59" s="19">
        <v>381.2688</v>
      </c>
      <c r="W59" s="19">
        <v>233.67959999999999</v>
      </c>
      <c r="X59" s="19">
        <v>191.268</v>
      </c>
      <c r="Y59" s="19">
        <v>276.09120000000001</v>
      </c>
      <c r="Z59" s="19">
        <v>428.4126</v>
      </c>
      <c r="AA59" s="19">
        <v>350.65799999999996</v>
      </c>
      <c r="AB59" s="19">
        <v>506.16719999999998</v>
      </c>
      <c r="AC59" s="19">
        <v>127.96739999999998</v>
      </c>
      <c r="AD59" s="19">
        <v>104.74199999999999</v>
      </c>
      <c r="AE59" s="19">
        <v>151.19280000000001</v>
      </c>
      <c r="AF59" s="19">
        <v>267.06239999999997</v>
      </c>
      <c r="AG59" s="19">
        <v>218.59200000000001</v>
      </c>
      <c r="AH59" s="19">
        <v>315.53280000000001</v>
      </c>
      <c r="AI59" s="19">
        <v>289.31760000000003</v>
      </c>
      <c r="AJ59" s="19">
        <v>236.80799999999999</v>
      </c>
      <c r="AK59" s="19">
        <v>341.82719999999995</v>
      </c>
      <c r="AL59" s="19">
        <v>267.06239999999997</v>
      </c>
      <c r="AM59" s="19">
        <v>218.59200000000001</v>
      </c>
      <c r="AN59" s="19">
        <v>315.53280000000001</v>
      </c>
      <c r="AO59" s="19">
        <v>289.31760000000003</v>
      </c>
      <c r="AP59" s="19">
        <v>236.80799999999999</v>
      </c>
      <c r="AQ59" s="19">
        <v>341.82719999999995</v>
      </c>
      <c r="AR59" s="19">
        <v>356.08319999999998</v>
      </c>
      <c r="AS59" s="19">
        <v>291.45599999999996</v>
      </c>
      <c r="AT59" s="19">
        <v>420.71039999999999</v>
      </c>
      <c r="AU59" s="19">
        <v>200.29679999999999</v>
      </c>
      <c r="AV59" s="19">
        <v>163.94399999999999</v>
      </c>
      <c r="AW59" s="19">
        <v>236.64959999999999</v>
      </c>
      <c r="AX59" s="19">
        <v>322.7004</v>
      </c>
      <c r="AY59" s="19">
        <v>264.13200000000001</v>
      </c>
      <c r="AZ59" s="19">
        <v>381.2688</v>
      </c>
      <c r="BA59" s="19">
        <v>233.67959999999999</v>
      </c>
      <c r="BB59" s="19">
        <v>191.268</v>
      </c>
      <c r="BC59" s="19">
        <v>276.09120000000001</v>
      </c>
      <c r="BD59" s="19">
        <v>211.42439999999999</v>
      </c>
      <c r="BE59" s="19">
        <v>173.05200000000002</v>
      </c>
      <c r="BF59" s="19">
        <v>249.79679999999999</v>
      </c>
      <c r="BG59" s="19">
        <v>344.9556</v>
      </c>
      <c r="BH59" s="19">
        <v>282.34800000000001</v>
      </c>
      <c r="BI59" s="19">
        <v>407.56319999999999</v>
      </c>
      <c r="BJ59" s="19">
        <v>278.19</v>
      </c>
      <c r="BK59" s="19">
        <v>227.7</v>
      </c>
      <c r="BL59" s="19">
        <v>328.68</v>
      </c>
      <c r="BM59" s="19">
        <v>278.19</v>
      </c>
      <c r="BN59" s="19">
        <v>227.7</v>
      </c>
      <c r="BO59" s="19">
        <v>328.68</v>
      </c>
      <c r="BP59" s="19"/>
      <c r="BQ5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104.74199999999999</v>
      </c>
      <c r="BR5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247.89819999999997</v>
      </c>
      <c r="BS5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407.56319999999999</v>
      </c>
      <c r="BT59" s="11">
        <f>Tabelle5897112140[[#This Row],[Mindestauslastung min]]*Tabelle5897112140[[#This Row],[installierte Leistung MW min]]</f>
        <v>0</v>
      </c>
      <c r="BU59" s="11">
        <f>Tabelle5897112140[[#This Row],[Mindestauslastung durch]]*Tabelle5897112140[[#This Row],[installierte Leistung MW durch]]</f>
        <v>0</v>
      </c>
      <c r="BV59" s="11">
        <f>Tabelle5897112140[[#This Row],[Mindestauslastung max]]*Tabelle5897112140[[#This Row],[installierte Leistung MW max]]</f>
        <v>0</v>
      </c>
      <c r="BW59" s="9">
        <v>0</v>
      </c>
      <c r="BX59" s="9">
        <v>0</v>
      </c>
      <c r="BY59" s="9">
        <v>0</v>
      </c>
      <c r="BZ59" s="9"/>
      <c r="CA59" s="9">
        <v>0.57999999999999996</v>
      </c>
      <c r="CB59" s="9">
        <v>0.57999999999999996</v>
      </c>
      <c r="CC59" s="9">
        <v>0.57999999999999996</v>
      </c>
      <c r="CD59" s="9">
        <v>0.57999999999999996</v>
      </c>
      <c r="CE59" s="9">
        <v>0.57999999999999996</v>
      </c>
      <c r="CF59" s="9">
        <v>0.57999999999999996</v>
      </c>
      <c r="CG59" s="9">
        <v>0.77</v>
      </c>
      <c r="CH59" s="9">
        <v>0.77</v>
      </c>
      <c r="CI59" s="9">
        <v>0.77</v>
      </c>
      <c r="CJ59" s="9">
        <v>0.48</v>
      </c>
      <c r="CK59" s="9">
        <v>0.48</v>
      </c>
      <c r="CL59" s="9">
        <v>0.48</v>
      </c>
      <c r="CM59" s="9">
        <v>0.48</v>
      </c>
      <c r="CN59" s="9">
        <v>0.48</v>
      </c>
      <c r="CO59" s="9">
        <v>0.48</v>
      </c>
      <c r="CP59" s="9">
        <v>0.64</v>
      </c>
      <c r="CQ59" s="9">
        <v>0.64</v>
      </c>
      <c r="CR59" s="9">
        <v>0.64</v>
      </c>
      <c r="CS59" s="9">
        <v>0.57999999999999996</v>
      </c>
      <c r="CT59" s="9">
        <v>0.57999999999999996</v>
      </c>
      <c r="CU59" s="9">
        <v>0.57999999999999996</v>
      </c>
      <c r="CV59" s="9">
        <v>0.38</v>
      </c>
      <c r="CW59" s="9">
        <v>0.38</v>
      </c>
      <c r="CX59" s="9">
        <v>0.38</v>
      </c>
      <c r="CY59" s="9">
        <v>0.5</v>
      </c>
      <c r="CZ59" s="9">
        <v>0.5</v>
      </c>
      <c r="DA59" s="9">
        <v>0.5</v>
      </c>
      <c r="DB59" s="9">
        <f>MIN(Tabelle5897112140[[#This Row],[Durchschnittsauslastung durch Sommer WTT]:[Durchschnittsauslastung max Winter SFN]])</f>
        <v>0.38</v>
      </c>
      <c r="DC5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59" s="9">
        <f>MAX(Tabelle5897112140[[#This Row],[Durchschnittsauslastung durch Sommer WTT]:[Durchschnittsauslastung max Winter SFN]])</f>
        <v>0.77</v>
      </c>
      <c r="DE59" s="40">
        <f>Tabelle5897112140[[#This Row],[Durchschnittsauslastung min]]*Tabelle5897112140[[#This Row],[installierte Leistung MW min]]</f>
        <v>173.05199999999999</v>
      </c>
      <c r="DF59" s="40">
        <f>Tabelle5897112140[[#This Row],[Durchschnittsauslastung durch]]*Tabelle5897112140[[#This Row],[installierte Leistung MW durch]]</f>
        <v>308.48180000000002</v>
      </c>
      <c r="DG59" s="40">
        <f>Tabelle5897112140[[#This Row],[Durchschnittsauslastung max]]*Tabelle5897112140[[#This Row],[installierte Leistung MW max]]</f>
        <v>506.16720000000004</v>
      </c>
      <c r="DH59" s="46">
        <f>Tabelle5897112140[[#This Row],[Maximalauslastung min]]*Tabelle5897112140[[#This Row],[installierte Leistung MW min]]</f>
        <v>100.188</v>
      </c>
      <c r="DI59" s="46">
        <f>Tabelle5897112140[[#This Row],[Maximalauslastung durch]]*Tabelle5897112140[[#This Row],[installierte Leistung MW durch]]</f>
        <v>133.53119999999998</v>
      </c>
      <c r="DJ59" s="19">
        <f>Tabelle5897112140[[#This Row],[Maximalauslastung max]]*Tabelle5897112140[[#This Row],[installierte Leistung MW durch]]</f>
        <v>144.65880000000001</v>
      </c>
      <c r="DK59" s="9">
        <v>0.22</v>
      </c>
      <c r="DL59" s="9">
        <v>0.24</v>
      </c>
      <c r="DM59" s="9">
        <v>0.26</v>
      </c>
      <c r="DN59" s="1">
        <v>556.38</v>
      </c>
      <c r="DO59" s="1">
        <v>455.4</v>
      </c>
      <c r="DP59" s="1">
        <v>657.36</v>
      </c>
      <c r="DQ59" s="19"/>
      <c r="DR59" s="19"/>
      <c r="DW59" s="1">
        <v>2.9874999999999998</v>
      </c>
      <c r="DX59" s="1">
        <v>1.2</v>
      </c>
      <c r="DY59" s="1">
        <v>5.8</v>
      </c>
      <c r="EL59" s="1">
        <v>365</v>
      </c>
      <c r="EM59" s="1">
        <v>292</v>
      </c>
      <c r="EN59" s="1">
        <v>438</v>
      </c>
      <c r="EO59" s="11"/>
      <c r="EP59" s="11"/>
      <c r="EQ59" s="11"/>
      <c r="ER59" s="1">
        <v>365</v>
      </c>
      <c r="ES59" s="1">
        <v>292</v>
      </c>
      <c r="ET59" s="1">
        <v>438</v>
      </c>
      <c r="EV59" s="19"/>
      <c r="EW59" s="19"/>
      <c r="EX59" s="19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O59" s="1">
        <v>67</v>
      </c>
      <c r="FP59" s="1">
        <v>67</v>
      </c>
      <c r="FQ59" s="1">
        <v>67</v>
      </c>
      <c r="FR59" s="13" t="s">
        <v>806</v>
      </c>
      <c r="FS59" s="13" t="s">
        <v>806</v>
      </c>
      <c r="FT59" s="13" t="s">
        <v>806</v>
      </c>
      <c r="FU59" s="13"/>
      <c r="FV59" s="13" t="s">
        <v>806</v>
      </c>
      <c r="FW59" s="13" t="s">
        <v>806</v>
      </c>
      <c r="FX59" s="13" t="s">
        <v>806</v>
      </c>
      <c r="FY59" s="13" t="s">
        <v>806</v>
      </c>
      <c r="FZ59" s="13" t="s">
        <v>806</v>
      </c>
      <c r="GA59" s="13" t="s">
        <v>806</v>
      </c>
      <c r="GB59" s="13" t="s">
        <v>806</v>
      </c>
      <c r="GE59" s="13" t="s">
        <v>806</v>
      </c>
      <c r="GF59" s="13" t="s">
        <v>806</v>
      </c>
      <c r="GH59" s="13" t="s">
        <v>806</v>
      </c>
    </row>
    <row r="60" spans="1:193" ht="15" customHeight="1" x14ac:dyDescent="0.25">
      <c r="A60" s="1" t="s">
        <v>97</v>
      </c>
      <c r="B60" s="1" t="s">
        <v>747</v>
      </c>
      <c r="C60" s="1" t="s">
        <v>657</v>
      </c>
      <c r="D60" s="1" t="s">
        <v>676</v>
      </c>
      <c r="E60" s="1" t="s">
        <v>126</v>
      </c>
      <c r="F60" s="1">
        <v>0</v>
      </c>
      <c r="G60" s="1">
        <v>2025</v>
      </c>
      <c r="H60" s="1">
        <v>1</v>
      </c>
      <c r="I60" s="1">
        <v>0</v>
      </c>
      <c r="J60" s="1">
        <v>0</v>
      </c>
      <c r="K6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171.304</v>
      </c>
      <c r="L6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305.36582222222222</v>
      </c>
      <c r="M6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501.05439999999999</v>
      </c>
      <c r="N60" s="19">
        <v>319.44079999999997</v>
      </c>
      <c r="O60" s="19">
        <v>261.464</v>
      </c>
      <c r="P60" s="19">
        <v>377.41759999999999</v>
      </c>
      <c r="Q60" s="19">
        <v>231.3192</v>
      </c>
      <c r="R60" s="19">
        <v>189.33599999999998</v>
      </c>
      <c r="S60" s="19">
        <v>273.30239999999998</v>
      </c>
      <c r="T60" s="19">
        <v>319.44079999999997</v>
      </c>
      <c r="U60" s="19">
        <v>261.464</v>
      </c>
      <c r="V60" s="19">
        <v>377.41759999999999</v>
      </c>
      <c r="W60" s="19">
        <v>231.3192</v>
      </c>
      <c r="X60" s="19">
        <v>189.33599999999998</v>
      </c>
      <c r="Y60" s="19">
        <v>273.30239999999998</v>
      </c>
      <c r="Z60" s="19">
        <v>424.08519999999999</v>
      </c>
      <c r="AA60" s="19">
        <v>347.11599999999999</v>
      </c>
      <c r="AB60" s="19">
        <v>501.05439999999999</v>
      </c>
      <c r="AC60" s="19">
        <v>126.67479999999999</v>
      </c>
      <c r="AD60" s="19">
        <v>103.684</v>
      </c>
      <c r="AE60" s="19">
        <v>149.66559999999998</v>
      </c>
      <c r="AF60" s="19">
        <v>264.3648</v>
      </c>
      <c r="AG60" s="19">
        <v>216.38400000000001</v>
      </c>
      <c r="AH60" s="19">
        <v>312.34560000000005</v>
      </c>
      <c r="AI60" s="19">
        <v>286.39519999999999</v>
      </c>
      <c r="AJ60" s="19">
        <v>234.416</v>
      </c>
      <c r="AK60" s="19">
        <v>338.37439999999998</v>
      </c>
      <c r="AL60" s="19">
        <v>264.3648</v>
      </c>
      <c r="AM60" s="19">
        <v>216.38400000000001</v>
      </c>
      <c r="AN60" s="19">
        <v>312.34560000000005</v>
      </c>
      <c r="AO60" s="19">
        <v>286.39519999999999</v>
      </c>
      <c r="AP60" s="19">
        <v>234.416</v>
      </c>
      <c r="AQ60" s="19">
        <v>338.37439999999998</v>
      </c>
      <c r="AR60" s="19">
        <v>352.4864</v>
      </c>
      <c r="AS60" s="19">
        <v>288.512</v>
      </c>
      <c r="AT60" s="19">
        <v>416.46079999999995</v>
      </c>
      <c r="AU60" s="19">
        <v>198.27359999999999</v>
      </c>
      <c r="AV60" s="19">
        <v>162.28799999999998</v>
      </c>
      <c r="AW60" s="19">
        <v>234.25919999999999</v>
      </c>
      <c r="AX60" s="19">
        <v>319.44079999999997</v>
      </c>
      <c r="AY60" s="19">
        <v>261.464</v>
      </c>
      <c r="AZ60" s="19">
        <v>377.41759999999999</v>
      </c>
      <c r="BA60" s="19">
        <v>231.3192</v>
      </c>
      <c r="BB60" s="19">
        <v>189.33599999999998</v>
      </c>
      <c r="BC60" s="19">
        <v>273.30239999999998</v>
      </c>
      <c r="BD60" s="19">
        <v>209.28880000000001</v>
      </c>
      <c r="BE60" s="19">
        <v>171.304</v>
      </c>
      <c r="BF60" s="19">
        <v>247.27359999999999</v>
      </c>
      <c r="BG60" s="19">
        <v>341.47120000000001</v>
      </c>
      <c r="BH60" s="19">
        <v>279.49599999999998</v>
      </c>
      <c r="BI60" s="19">
        <v>403.44639999999998</v>
      </c>
      <c r="BJ60" s="19">
        <v>275.38</v>
      </c>
      <c r="BK60" s="19">
        <v>225.4</v>
      </c>
      <c r="BL60" s="19">
        <v>325.36</v>
      </c>
      <c r="BM60" s="19">
        <v>275.38</v>
      </c>
      <c r="BN60" s="19">
        <v>225.4</v>
      </c>
      <c r="BO60" s="19">
        <v>325.36</v>
      </c>
      <c r="BP60" s="19"/>
      <c r="BQ6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103.684</v>
      </c>
      <c r="BR6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245.39417777777777</v>
      </c>
      <c r="BS6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403.44639999999998</v>
      </c>
      <c r="BT60" s="11">
        <f>Tabelle5897112140[[#This Row],[Mindestauslastung min]]*Tabelle5897112140[[#This Row],[installierte Leistung MW min]]</f>
        <v>0</v>
      </c>
      <c r="BU60" s="11">
        <f>Tabelle5897112140[[#This Row],[Mindestauslastung durch]]*Tabelle5897112140[[#This Row],[installierte Leistung MW durch]]</f>
        <v>0</v>
      </c>
      <c r="BV60" s="11">
        <f>Tabelle5897112140[[#This Row],[Mindestauslastung max]]*Tabelle5897112140[[#This Row],[installierte Leistung MW max]]</f>
        <v>0</v>
      </c>
      <c r="BW60" s="9">
        <v>0</v>
      </c>
      <c r="BX60" s="9">
        <v>0</v>
      </c>
      <c r="BY60" s="9">
        <v>0</v>
      </c>
      <c r="BZ60" s="9"/>
      <c r="CA60" s="9">
        <v>0.57999999999999996</v>
      </c>
      <c r="CB60" s="9">
        <v>0.57999999999999996</v>
      </c>
      <c r="CC60" s="9">
        <v>0.57999999999999996</v>
      </c>
      <c r="CD60" s="9">
        <v>0.57999999999999996</v>
      </c>
      <c r="CE60" s="9">
        <v>0.57999999999999996</v>
      </c>
      <c r="CF60" s="9">
        <v>0.57999999999999996</v>
      </c>
      <c r="CG60" s="9">
        <v>0.77</v>
      </c>
      <c r="CH60" s="9">
        <v>0.77</v>
      </c>
      <c r="CI60" s="9">
        <v>0.77</v>
      </c>
      <c r="CJ60" s="9">
        <v>0.48</v>
      </c>
      <c r="CK60" s="9">
        <v>0.48</v>
      </c>
      <c r="CL60" s="9">
        <v>0.48</v>
      </c>
      <c r="CM60" s="9">
        <v>0.48</v>
      </c>
      <c r="CN60" s="9">
        <v>0.48</v>
      </c>
      <c r="CO60" s="9">
        <v>0.48</v>
      </c>
      <c r="CP60" s="9">
        <v>0.64</v>
      </c>
      <c r="CQ60" s="9">
        <v>0.64</v>
      </c>
      <c r="CR60" s="9">
        <v>0.64</v>
      </c>
      <c r="CS60" s="9">
        <v>0.57999999999999996</v>
      </c>
      <c r="CT60" s="9">
        <v>0.57999999999999996</v>
      </c>
      <c r="CU60" s="9">
        <v>0.57999999999999996</v>
      </c>
      <c r="CV60" s="9">
        <v>0.38</v>
      </c>
      <c r="CW60" s="9">
        <v>0.38</v>
      </c>
      <c r="CX60" s="9">
        <v>0.38</v>
      </c>
      <c r="CY60" s="9">
        <v>0.5</v>
      </c>
      <c r="CZ60" s="9">
        <v>0.5</v>
      </c>
      <c r="DA60" s="9">
        <v>0.5</v>
      </c>
      <c r="DB60" s="9">
        <f>MIN(Tabelle5897112140[[#This Row],[Durchschnittsauslastung durch Sommer WTT]:[Durchschnittsauslastung max Winter SFN]])</f>
        <v>0.38</v>
      </c>
      <c r="DC6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0" s="9">
        <f>MAX(Tabelle5897112140[[#This Row],[Durchschnittsauslastung durch Sommer WTT]:[Durchschnittsauslastung max Winter SFN]])</f>
        <v>0.77</v>
      </c>
      <c r="DE60" s="40">
        <f>Tabelle5897112140[[#This Row],[Durchschnittsauslastung min]]*Tabelle5897112140[[#This Row],[installierte Leistung MW min]]</f>
        <v>171.304</v>
      </c>
      <c r="DF60" s="40">
        <f>Tabelle5897112140[[#This Row],[Durchschnittsauslastung durch]]*Tabelle5897112140[[#This Row],[installierte Leistung MW durch]]</f>
        <v>305.36582222222228</v>
      </c>
      <c r="DG60" s="40">
        <f>Tabelle5897112140[[#This Row],[Durchschnittsauslastung max]]*Tabelle5897112140[[#This Row],[installierte Leistung MW max]]</f>
        <v>501.05440000000004</v>
      </c>
      <c r="DH60" s="46">
        <f>Tabelle5897112140[[#This Row],[Maximalauslastung min]]*Tabelle5897112140[[#This Row],[installierte Leistung MW min]]</f>
        <v>99.176000000000002</v>
      </c>
      <c r="DI60" s="46">
        <f>Tabelle5897112140[[#This Row],[Maximalauslastung durch]]*Tabelle5897112140[[#This Row],[installierte Leistung MW durch]]</f>
        <v>132.1824</v>
      </c>
      <c r="DJ60" s="19">
        <f>Tabelle5897112140[[#This Row],[Maximalauslastung max]]*Tabelle5897112140[[#This Row],[installierte Leistung MW durch]]</f>
        <v>143.19759999999999</v>
      </c>
      <c r="DK60" s="9">
        <v>0.22</v>
      </c>
      <c r="DL60" s="9">
        <v>0.24</v>
      </c>
      <c r="DM60" s="9">
        <v>0.26</v>
      </c>
      <c r="DN60" s="1">
        <v>550.76</v>
      </c>
      <c r="DO60" s="1">
        <v>450.8</v>
      </c>
      <c r="DP60" s="1">
        <v>650.72</v>
      </c>
      <c r="DQ60" s="19"/>
      <c r="DR60" s="19"/>
      <c r="DW60" s="1">
        <v>2.9874999999999998</v>
      </c>
      <c r="DX60" s="1">
        <v>1.2</v>
      </c>
      <c r="DY60" s="1">
        <v>5.8</v>
      </c>
      <c r="EL60" s="1">
        <v>365</v>
      </c>
      <c r="EM60" s="1">
        <v>292</v>
      </c>
      <c r="EN60" s="1">
        <v>438</v>
      </c>
      <c r="EO60" s="11"/>
      <c r="EP60" s="11"/>
      <c r="EQ60" s="11"/>
      <c r="ER60" s="1">
        <v>365</v>
      </c>
      <c r="ES60" s="1">
        <v>292</v>
      </c>
      <c r="ET60" s="1">
        <v>438</v>
      </c>
      <c r="EV60" s="19"/>
      <c r="EW60" s="19"/>
      <c r="EX60" s="19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O60" s="1">
        <v>67</v>
      </c>
      <c r="FP60" s="1">
        <v>67</v>
      </c>
      <c r="FQ60" s="1">
        <v>67</v>
      </c>
      <c r="FR60" s="13" t="s">
        <v>806</v>
      </c>
      <c r="FS60" s="13" t="s">
        <v>806</v>
      </c>
      <c r="FT60" s="13" t="s">
        <v>806</v>
      </c>
      <c r="FU60" s="13"/>
      <c r="FV60" s="13" t="s">
        <v>806</v>
      </c>
      <c r="FW60" s="13" t="s">
        <v>806</v>
      </c>
      <c r="FX60" s="13" t="s">
        <v>806</v>
      </c>
      <c r="FY60" s="13" t="s">
        <v>806</v>
      </c>
      <c r="FZ60" s="13" t="s">
        <v>806</v>
      </c>
      <c r="GA60" s="13" t="s">
        <v>806</v>
      </c>
      <c r="GB60" s="13" t="s">
        <v>806</v>
      </c>
      <c r="GE60" s="13" t="s">
        <v>806</v>
      </c>
      <c r="GF60" s="13" t="s">
        <v>806</v>
      </c>
      <c r="GH60" s="13" t="s">
        <v>806</v>
      </c>
    </row>
    <row r="61" spans="1:193" ht="15" customHeight="1" x14ac:dyDescent="0.25">
      <c r="A61" s="1" t="s">
        <v>97</v>
      </c>
      <c r="B61" s="1" t="s">
        <v>747</v>
      </c>
      <c r="C61" s="1" t="s">
        <v>657</v>
      </c>
      <c r="D61" s="1" t="s">
        <v>676</v>
      </c>
      <c r="E61" s="1" t="s">
        <v>126</v>
      </c>
      <c r="F61" s="1">
        <v>0</v>
      </c>
      <c r="G61" s="1">
        <v>2030</v>
      </c>
      <c r="H61" s="1">
        <v>1</v>
      </c>
      <c r="I61" s="1">
        <v>0</v>
      </c>
      <c r="J61" s="1">
        <v>0</v>
      </c>
      <c r="K6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169.55600000000001</v>
      </c>
      <c r="L6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302.24984444444442</v>
      </c>
      <c r="M6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495.94159999999994</v>
      </c>
      <c r="N61" s="19">
        <v>316.18119999999999</v>
      </c>
      <c r="O61" s="19">
        <v>258.79599999999999</v>
      </c>
      <c r="P61" s="19">
        <v>373.56639999999999</v>
      </c>
      <c r="Q61" s="19">
        <v>228.9588</v>
      </c>
      <c r="R61" s="19">
        <v>187.404</v>
      </c>
      <c r="S61" s="19">
        <v>270.5136</v>
      </c>
      <c r="T61" s="19">
        <v>316.18119999999999</v>
      </c>
      <c r="U61" s="19">
        <v>258.79599999999999</v>
      </c>
      <c r="V61" s="19">
        <v>373.56639999999999</v>
      </c>
      <c r="W61" s="19">
        <v>228.9588</v>
      </c>
      <c r="X61" s="19">
        <v>187.404</v>
      </c>
      <c r="Y61" s="19">
        <v>270.5136</v>
      </c>
      <c r="Z61" s="19">
        <v>419.75779999999997</v>
      </c>
      <c r="AA61" s="19">
        <v>343.57399999999996</v>
      </c>
      <c r="AB61" s="19">
        <v>495.94159999999994</v>
      </c>
      <c r="AC61" s="19">
        <v>125.38219999999998</v>
      </c>
      <c r="AD61" s="19">
        <v>102.62599999999999</v>
      </c>
      <c r="AE61" s="19">
        <v>148.13839999999999</v>
      </c>
      <c r="AF61" s="19">
        <v>261.66719999999998</v>
      </c>
      <c r="AG61" s="19">
        <v>214.17600000000002</v>
      </c>
      <c r="AH61" s="19">
        <v>309.15840000000003</v>
      </c>
      <c r="AI61" s="19">
        <v>283.47280000000001</v>
      </c>
      <c r="AJ61" s="19">
        <v>232.02399999999997</v>
      </c>
      <c r="AK61" s="19">
        <v>334.92159999999996</v>
      </c>
      <c r="AL61" s="19">
        <v>261.66719999999998</v>
      </c>
      <c r="AM61" s="19">
        <v>214.17600000000002</v>
      </c>
      <c r="AN61" s="19">
        <v>309.15840000000003</v>
      </c>
      <c r="AO61" s="19">
        <v>283.47280000000001</v>
      </c>
      <c r="AP61" s="19">
        <v>232.02399999999997</v>
      </c>
      <c r="AQ61" s="19">
        <v>334.92159999999996</v>
      </c>
      <c r="AR61" s="19">
        <v>348.88959999999997</v>
      </c>
      <c r="AS61" s="19">
        <v>285.56799999999998</v>
      </c>
      <c r="AT61" s="19">
        <v>412.21119999999996</v>
      </c>
      <c r="AU61" s="19">
        <v>196.25039999999998</v>
      </c>
      <c r="AV61" s="19">
        <v>160.63199999999998</v>
      </c>
      <c r="AW61" s="19">
        <v>231.86879999999999</v>
      </c>
      <c r="AX61" s="19">
        <v>316.18119999999999</v>
      </c>
      <c r="AY61" s="19">
        <v>258.79599999999999</v>
      </c>
      <c r="AZ61" s="19">
        <v>373.56639999999999</v>
      </c>
      <c r="BA61" s="19">
        <v>228.9588</v>
      </c>
      <c r="BB61" s="19">
        <v>187.404</v>
      </c>
      <c r="BC61" s="19">
        <v>270.5136</v>
      </c>
      <c r="BD61" s="19">
        <v>207.1532</v>
      </c>
      <c r="BE61" s="19">
        <v>169.55600000000001</v>
      </c>
      <c r="BF61" s="19">
        <v>244.75039999999998</v>
      </c>
      <c r="BG61" s="19">
        <v>337.98680000000002</v>
      </c>
      <c r="BH61" s="19">
        <v>276.64400000000001</v>
      </c>
      <c r="BI61" s="19">
        <v>399.32959999999997</v>
      </c>
      <c r="BJ61" s="19">
        <v>272.57</v>
      </c>
      <c r="BK61" s="19">
        <v>223.1</v>
      </c>
      <c r="BL61" s="19">
        <v>322.03999999999996</v>
      </c>
      <c r="BM61" s="19">
        <v>272.57</v>
      </c>
      <c r="BN61" s="19">
        <v>223.1</v>
      </c>
      <c r="BO61" s="19">
        <v>322.03999999999996</v>
      </c>
      <c r="BP61" s="19"/>
      <c r="BQ6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102.62599999999999</v>
      </c>
      <c r="BR6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242.89015555555559</v>
      </c>
      <c r="BS6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399.32959999999997</v>
      </c>
      <c r="BT61" s="11">
        <f>Tabelle5897112140[[#This Row],[Mindestauslastung min]]*Tabelle5897112140[[#This Row],[installierte Leistung MW min]]</f>
        <v>0</v>
      </c>
      <c r="BU61" s="11">
        <f>Tabelle5897112140[[#This Row],[Mindestauslastung durch]]*Tabelle5897112140[[#This Row],[installierte Leistung MW durch]]</f>
        <v>0</v>
      </c>
      <c r="BV61" s="11">
        <f>Tabelle5897112140[[#This Row],[Mindestauslastung max]]*Tabelle5897112140[[#This Row],[installierte Leistung MW max]]</f>
        <v>0</v>
      </c>
      <c r="BW61" s="9">
        <v>0</v>
      </c>
      <c r="BX61" s="9">
        <v>0</v>
      </c>
      <c r="BY61" s="9">
        <v>0</v>
      </c>
      <c r="BZ61" s="9"/>
      <c r="CA61" s="9">
        <v>0.57999999999999996</v>
      </c>
      <c r="CB61" s="9">
        <v>0.57999999999999996</v>
      </c>
      <c r="CC61" s="9">
        <v>0.57999999999999996</v>
      </c>
      <c r="CD61" s="9">
        <v>0.57999999999999996</v>
      </c>
      <c r="CE61" s="9">
        <v>0.57999999999999996</v>
      </c>
      <c r="CF61" s="9">
        <v>0.57999999999999996</v>
      </c>
      <c r="CG61" s="9">
        <v>0.77</v>
      </c>
      <c r="CH61" s="9">
        <v>0.77</v>
      </c>
      <c r="CI61" s="9">
        <v>0.77</v>
      </c>
      <c r="CJ61" s="9">
        <v>0.48</v>
      </c>
      <c r="CK61" s="9">
        <v>0.48</v>
      </c>
      <c r="CL61" s="9">
        <v>0.48</v>
      </c>
      <c r="CM61" s="9">
        <v>0.48</v>
      </c>
      <c r="CN61" s="9">
        <v>0.48</v>
      </c>
      <c r="CO61" s="9">
        <v>0.48</v>
      </c>
      <c r="CP61" s="9">
        <v>0.64</v>
      </c>
      <c r="CQ61" s="9">
        <v>0.64</v>
      </c>
      <c r="CR61" s="9">
        <v>0.64</v>
      </c>
      <c r="CS61" s="9">
        <v>0.57999999999999996</v>
      </c>
      <c r="CT61" s="9">
        <v>0.57999999999999996</v>
      </c>
      <c r="CU61" s="9">
        <v>0.57999999999999996</v>
      </c>
      <c r="CV61" s="9">
        <v>0.38</v>
      </c>
      <c r="CW61" s="9">
        <v>0.38</v>
      </c>
      <c r="CX61" s="9">
        <v>0.38</v>
      </c>
      <c r="CY61" s="9">
        <v>0.5</v>
      </c>
      <c r="CZ61" s="9">
        <v>0.5</v>
      </c>
      <c r="DA61" s="9">
        <v>0.5</v>
      </c>
      <c r="DB61" s="9">
        <f>MIN(Tabelle5897112140[[#This Row],[Durchschnittsauslastung durch Sommer WTT]:[Durchschnittsauslastung max Winter SFN]])</f>
        <v>0.38</v>
      </c>
      <c r="DC6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1" s="9">
        <f>MAX(Tabelle5897112140[[#This Row],[Durchschnittsauslastung durch Sommer WTT]:[Durchschnittsauslastung max Winter SFN]])</f>
        <v>0.77</v>
      </c>
      <c r="DE61" s="40">
        <f>Tabelle5897112140[[#This Row],[Durchschnittsauslastung min]]*Tabelle5897112140[[#This Row],[installierte Leistung MW min]]</f>
        <v>169.55600000000001</v>
      </c>
      <c r="DF61" s="40">
        <f>Tabelle5897112140[[#This Row],[Durchschnittsauslastung durch]]*Tabelle5897112140[[#This Row],[installierte Leistung MW durch]]</f>
        <v>302.24984444444448</v>
      </c>
      <c r="DG61" s="40">
        <f>Tabelle5897112140[[#This Row],[Durchschnittsauslastung max]]*Tabelle5897112140[[#This Row],[installierte Leistung MW max]]</f>
        <v>495.94160000000005</v>
      </c>
      <c r="DH61" s="46">
        <f>Tabelle5897112140[[#This Row],[Maximalauslastung min]]*Tabelle5897112140[[#This Row],[installierte Leistung MW min]]</f>
        <v>98.164000000000001</v>
      </c>
      <c r="DI61" s="46">
        <f>Tabelle5897112140[[#This Row],[Maximalauslastung durch]]*Tabelle5897112140[[#This Row],[installierte Leistung MW durch]]</f>
        <v>130.83359999999999</v>
      </c>
      <c r="DJ61" s="19">
        <f>Tabelle5897112140[[#This Row],[Maximalauslastung max]]*Tabelle5897112140[[#This Row],[installierte Leistung MW durch]]</f>
        <v>141.7364</v>
      </c>
      <c r="DK61" s="9">
        <v>0.22</v>
      </c>
      <c r="DL61" s="9">
        <v>0.24</v>
      </c>
      <c r="DM61" s="9">
        <v>0.26</v>
      </c>
      <c r="DN61" s="1">
        <v>545.14</v>
      </c>
      <c r="DO61" s="1">
        <v>446.2</v>
      </c>
      <c r="DP61" s="1">
        <v>644.08000000000004</v>
      </c>
      <c r="DQ61" s="19"/>
      <c r="DR61" s="19"/>
      <c r="DW61" s="1">
        <v>2.9874999999999998</v>
      </c>
      <c r="DX61" s="1">
        <v>1.2</v>
      </c>
      <c r="DY61" s="1">
        <v>5.8</v>
      </c>
      <c r="EL61" s="1">
        <v>365</v>
      </c>
      <c r="EM61" s="1">
        <v>292</v>
      </c>
      <c r="EN61" s="1">
        <v>438</v>
      </c>
      <c r="EO61" s="11"/>
      <c r="EP61" s="11"/>
      <c r="EQ61" s="11"/>
      <c r="ER61" s="1">
        <v>365</v>
      </c>
      <c r="ES61" s="1">
        <v>292</v>
      </c>
      <c r="ET61" s="1">
        <v>438</v>
      </c>
      <c r="EV61" s="19"/>
      <c r="EW61" s="19"/>
      <c r="EX61" s="19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O61" s="1">
        <v>67</v>
      </c>
      <c r="FP61" s="1">
        <v>67</v>
      </c>
      <c r="FQ61" s="1">
        <v>67</v>
      </c>
      <c r="FR61" s="13" t="s">
        <v>806</v>
      </c>
      <c r="FS61" s="13" t="s">
        <v>806</v>
      </c>
      <c r="FT61" s="13" t="s">
        <v>806</v>
      </c>
      <c r="FU61" s="13"/>
      <c r="FV61" s="13" t="s">
        <v>806</v>
      </c>
      <c r="FW61" s="13" t="s">
        <v>806</v>
      </c>
      <c r="FX61" s="13" t="s">
        <v>806</v>
      </c>
      <c r="FY61" s="13" t="s">
        <v>806</v>
      </c>
      <c r="FZ61" s="13" t="s">
        <v>806</v>
      </c>
      <c r="GA61" s="13" t="s">
        <v>806</v>
      </c>
      <c r="GB61" s="13" t="s">
        <v>806</v>
      </c>
      <c r="GE61" s="13" t="s">
        <v>806</v>
      </c>
      <c r="GF61" s="13" t="s">
        <v>806</v>
      </c>
      <c r="GH61" s="13" t="s">
        <v>806</v>
      </c>
    </row>
    <row r="62" spans="1:193" ht="15" customHeight="1" x14ac:dyDescent="0.25">
      <c r="A62" s="1" t="s">
        <v>97</v>
      </c>
      <c r="B62" s="1" t="s">
        <v>747</v>
      </c>
      <c r="C62" s="1" t="s">
        <v>657</v>
      </c>
      <c r="D62" s="1" t="s">
        <v>676</v>
      </c>
      <c r="E62" s="1" t="s">
        <v>126</v>
      </c>
      <c r="F62" s="1">
        <v>0</v>
      </c>
      <c r="G62" s="1">
        <v>2035</v>
      </c>
      <c r="H62" s="1">
        <v>1</v>
      </c>
      <c r="I62" s="1">
        <v>0</v>
      </c>
      <c r="J62" s="1">
        <v>0</v>
      </c>
      <c r="K6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167.80799999999999</v>
      </c>
      <c r="L6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299.13386666666662</v>
      </c>
      <c r="M6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490.82879999999994</v>
      </c>
      <c r="N62" s="19">
        <v>312.92159999999996</v>
      </c>
      <c r="O62" s="19">
        <v>256.12799999999999</v>
      </c>
      <c r="P62" s="19">
        <v>369.71519999999998</v>
      </c>
      <c r="Q62" s="19">
        <v>226.5984</v>
      </c>
      <c r="R62" s="19">
        <v>185.47199999999998</v>
      </c>
      <c r="S62" s="19">
        <v>267.72479999999996</v>
      </c>
      <c r="T62" s="19">
        <v>312.92159999999996</v>
      </c>
      <c r="U62" s="19">
        <v>256.12799999999999</v>
      </c>
      <c r="V62" s="19">
        <v>369.71519999999998</v>
      </c>
      <c r="W62" s="19">
        <v>226.5984</v>
      </c>
      <c r="X62" s="19">
        <v>185.47199999999998</v>
      </c>
      <c r="Y62" s="19">
        <v>267.72479999999996</v>
      </c>
      <c r="Z62" s="19">
        <v>415.43040000000002</v>
      </c>
      <c r="AA62" s="19">
        <v>340.03199999999998</v>
      </c>
      <c r="AB62" s="19">
        <v>490.82879999999994</v>
      </c>
      <c r="AC62" s="19">
        <v>124.08959999999999</v>
      </c>
      <c r="AD62" s="19">
        <v>101.568</v>
      </c>
      <c r="AE62" s="19">
        <v>146.6112</v>
      </c>
      <c r="AF62" s="19">
        <v>258.96959999999996</v>
      </c>
      <c r="AG62" s="19">
        <v>211.96799999999999</v>
      </c>
      <c r="AH62" s="19">
        <v>305.97120000000001</v>
      </c>
      <c r="AI62" s="19">
        <v>280.55040000000002</v>
      </c>
      <c r="AJ62" s="19">
        <v>229.63199999999998</v>
      </c>
      <c r="AK62" s="19">
        <v>331.46879999999999</v>
      </c>
      <c r="AL62" s="19">
        <v>258.96959999999996</v>
      </c>
      <c r="AM62" s="19">
        <v>211.96799999999999</v>
      </c>
      <c r="AN62" s="19">
        <v>305.97120000000001</v>
      </c>
      <c r="AO62" s="19">
        <v>280.55040000000002</v>
      </c>
      <c r="AP62" s="19">
        <v>229.63199999999998</v>
      </c>
      <c r="AQ62" s="19">
        <v>331.46879999999999</v>
      </c>
      <c r="AR62" s="19">
        <v>345.2928</v>
      </c>
      <c r="AS62" s="19">
        <v>282.62399999999997</v>
      </c>
      <c r="AT62" s="19">
        <v>407.96159999999998</v>
      </c>
      <c r="AU62" s="19">
        <v>194.22719999999998</v>
      </c>
      <c r="AV62" s="19">
        <v>158.976</v>
      </c>
      <c r="AW62" s="19">
        <v>229.47839999999999</v>
      </c>
      <c r="AX62" s="19">
        <v>312.92159999999996</v>
      </c>
      <c r="AY62" s="19">
        <v>256.12799999999999</v>
      </c>
      <c r="AZ62" s="19">
        <v>369.71519999999998</v>
      </c>
      <c r="BA62" s="19">
        <v>226.5984</v>
      </c>
      <c r="BB62" s="19">
        <v>185.47199999999998</v>
      </c>
      <c r="BC62" s="19">
        <v>267.72479999999996</v>
      </c>
      <c r="BD62" s="19">
        <v>205.01759999999999</v>
      </c>
      <c r="BE62" s="19">
        <v>167.80799999999999</v>
      </c>
      <c r="BF62" s="19">
        <v>242.22719999999998</v>
      </c>
      <c r="BG62" s="19">
        <v>334.50239999999997</v>
      </c>
      <c r="BH62" s="19">
        <v>273.79199999999997</v>
      </c>
      <c r="BI62" s="19">
        <v>395.21280000000002</v>
      </c>
      <c r="BJ62" s="19">
        <v>269.76</v>
      </c>
      <c r="BK62" s="19">
        <v>220.79999999999998</v>
      </c>
      <c r="BL62" s="19">
        <v>318.71999999999997</v>
      </c>
      <c r="BM62" s="19">
        <v>269.76</v>
      </c>
      <c r="BN62" s="19">
        <v>220.79999999999998</v>
      </c>
      <c r="BO62" s="19">
        <v>318.71999999999997</v>
      </c>
      <c r="BP62" s="19"/>
      <c r="BQ6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101.568</v>
      </c>
      <c r="BR6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240.38613333333331</v>
      </c>
      <c r="BS6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395.21280000000002</v>
      </c>
      <c r="BT62" s="11">
        <f>Tabelle5897112140[[#This Row],[Mindestauslastung min]]*Tabelle5897112140[[#This Row],[installierte Leistung MW min]]</f>
        <v>0</v>
      </c>
      <c r="BU62" s="11">
        <f>Tabelle5897112140[[#This Row],[Mindestauslastung durch]]*Tabelle5897112140[[#This Row],[installierte Leistung MW durch]]</f>
        <v>0</v>
      </c>
      <c r="BV62" s="11">
        <f>Tabelle5897112140[[#This Row],[Mindestauslastung max]]*Tabelle5897112140[[#This Row],[installierte Leistung MW max]]</f>
        <v>0</v>
      </c>
      <c r="BW62" s="9">
        <v>0</v>
      </c>
      <c r="BX62" s="9">
        <v>0</v>
      </c>
      <c r="BY62" s="9">
        <v>0</v>
      </c>
      <c r="BZ62" s="9"/>
      <c r="CA62" s="9">
        <v>0.57999999999999996</v>
      </c>
      <c r="CB62" s="9">
        <v>0.57999999999999996</v>
      </c>
      <c r="CC62" s="9">
        <v>0.57999999999999996</v>
      </c>
      <c r="CD62" s="9">
        <v>0.57999999999999996</v>
      </c>
      <c r="CE62" s="9">
        <v>0.57999999999999996</v>
      </c>
      <c r="CF62" s="9">
        <v>0.57999999999999996</v>
      </c>
      <c r="CG62" s="9">
        <v>0.77</v>
      </c>
      <c r="CH62" s="9">
        <v>0.77</v>
      </c>
      <c r="CI62" s="9">
        <v>0.77</v>
      </c>
      <c r="CJ62" s="9">
        <v>0.48</v>
      </c>
      <c r="CK62" s="9">
        <v>0.48</v>
      </c>
      <c r="CL62" s="9">
        <v>0.48</v>
      </c>
      <c r="CM62" s="9">
        <v>0.48</v>
      </c>
      <c r="CN62" s="9">
        <v>0.48</v>
      </c>
      <c r="CO62" s="9">
        <v>0.48</v>
      </c>
      <c r="CP62" s="9">
        <v>0.64</v>
      </c>
      <c r="CQ62" s="9">
        <v>0.64</v>
      </c>
      <c r="CR62" s="9">
        <v>0.64</v>
      </c>
      <c r="CS62" s="9">
        <v>0.57999999999999996</v>
      </c>
      <c r="CT62" s="9">
        <v>0.57999999999999996</v>
      </c>
      <c r="CU62" s="9">
        <v>0.57999999999999996</v>
      </c>
      <c r="CV62" s="9">
        <v>0.38</v>
      </c>
      <c r="CW62" s="9">
        <v>0.38</v>
      </c>
      <c r="CX62" s="9">
        <v>0.38</v>
      </c>
      <c r="CY62" s="9">
        <v>0.5</v>
      </c>
      <c r="CZ62" s="9">
        <v>0.5</v>
      </c>
      <c r="DA62" s="9">
        <v>0.5</v>
      </c>
      <c r="DB62" s="9">
        <f>MIN(Tabelle5897112140[[#This Row],[Durchschnittsauslastung durch Sommer WTT]:[Durchschnittsauslastung max Winter SFN]])</f>
        <v>0.38</v>
      </c>
      <c r="DC6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2" s="9">
        <f>MAX(Tabelle5897112140[[#This Row],[Durchschnittsauslastung durch Sommer WTT]:[Durchschnittsauslastung max Winter SFN]])</f>
        <v>0.77</v>
      </c>
      <c r="DE62" s="40">
        <f>Tabelle5897112140[[#This Row],[Durchschnittsauslastung min]]*Tabelle5897112140[[#This Row],[installierte Leistung MW min]]</f>
        <v>167.80800000000002</v>
      </c>
      <c r="DF62" s="40">
        <f>Tabelle5897112140[[#This Row],[Durchschnittsauslastung durch]]*Tabelle5897112140[[#This Row],[installierte Leistung MW durch]]</f>
        <v>299.13386666666668</v>
      </c>
      <c r="DG62" s="40">
        <f>Tabelle5897112140[[#This Row],[Durchschnittsauslastung max]]*Tabelle5897112140[[#This Row],[installierte Leistung MW max]]</f>
        <v>490.82880000000006</v>
      </c>
      <c r="DH62" s="46">
        <f>Tabelle5897112140[[#This Row],[Maximalauslastung min]]*Tabelle5897112140[[#This Row],[installierte Leistung MW min]]</f>
        <v>97.152000000000001</v>
      </c>
      <c r="DI62" s="46">
        <f>Tabelle5897112140[[#This Row],[Maximalauslastung durch]]*Tabelle5897112140[[#This Row],[installierte Leistung MW durch]]</f>
        <v>129.48479999999998</v>
      </c>
      <c r="DJ62" s="19">
        <f>Tabelle5897112140[[#This Row],[Maximalauslastung max]]*Tabelle5897112140[[#This Row],[installierte Leistung MW durch]]</f>
        <v>140.27520000000001</v>
      </c>
      <c r="DK62" s="9">
        <v>0.22</v>
      </c>
      <c r="DL62" s="9">
        <v>0.24</v>
      </c>
      <c r="DM62" s="9">
        <v>0.26</v>
      </c>
      <c r="DN62" s="1">
        <v>539.52</v>
      </c>
      <c r="DO62" s="1">
        <v>441.6</v>
      </c>
      <c r="DP62" s="1">
        <v>637.44000000000005</v>
      </c>
      <c r="DQ62" s="19"/>
      <c r="DR62" s="19"/>
      <c r="DW62" s="1">
        <v>2.9874999999999998</v>
      </c>
      <c r="DX62" s="1">
        <v>1.2</v>
      </c>
      <c r="DY62" s="1">
        <v>5.8</v>
      </c>
      <c r="EL62" s="1">
        <v>365</v>
      </c>
      <c r="EM62" s="1">
        <v>292</v>
      </c>
      <c r="EN62" s="1">
        <v>438</v>
      </c>
      <c r="EO62" s="11"/>
      <c r="EP62" s="11"/>
      <c r="EQ62" s="11"/>
      <c r="ER62" s="1">
        <v>365</v>
      </c>
      <c r="ES62" s="1">
        <v>292</v>
      </c>
      <c r="ET62" s="1">
        <v>438</v>
      </c>
      <c r="EV62" s="19"/>
      <c r="EW62" s="19"/>
      <c r="EX62" s="19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O62" s="1">
        <v>67</v>
      </c>
      <c r="FP62" s="1">
        <v>67</v>
      </c>
      <c r="FQ62" s="1">
        <v>67</v>
      </c>
      <c r="FR62" s="13" t="s">
        <v>806</v>
      </c>
      <c r="FS62" s="13" t="s">
        <v>806</v>
      </c>
      <c r="FT62" s="13" t="s">
        <v>806</v>
      </c>
      <c r="FU62" s="13"/>
      <c r="FV62" s="13" t="s">
        <v>806</v>
      </c>
      <c r="FW62" s="13" t="s">
        <v>806</v>
      </c>
      <c r="FX62" s="13" t="s">
        <v>806</v>
      </c>
      <c r="FY62" s="13" t="s">
        <v>806</v>
      </c>
      <c r="FZ62" s="13" t="s">
        <v>806</v>
      </c>
      <c r="GA62" s="13" t="s">
        <v>806</v>
      </c>
      <c r="GB62" s="13" t="s">
        <v>806</v>
      </c>
      <c r="GE62" s="13" t="s">
        <v>806</v>
      </c>
      <c r="GF62" s="13" t="s">
        <v>806</v>
      </c>
      <c r="GH62" s="13" t="s">
        <v>806</v>
      </c>
    </row>
    <row r="63" spans="1:193" ht="15" customHeight="1" x14ac:dyDescent="0.25">
      <c r="A63" s="1" t="s">
        <v>97</v>
      </c>
      <c r="B63" s="1" t="s">
        <v>747</v>
      </c>
      <c r="C63" s="1" t="s">
        <v>657</v>
      </c>
      <c r="D63" s="1" t="s">
        <v>676</v>
      </c>
      <c r="E63" s="1" t="s">
        <v>126</v>
      </c>
      <c r="F63" s="1">
        <v>0</v>
      </c>
      <c r="G63" s="1">
        <v>2040</v>
      </c>
      <c r="H63" s="1">
        <v>1</v>
      </c>
      <c r="I63" s="1">
        <v>0</v>
      </c>
      <c r="J63" s="1">
        <v>0</v>
      </c>
      <c r="K6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166.06</v>
      </c>
      <c r="L6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296.01788888888882</v>
      </c>
      <c r="M6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485.71599999999995</v>
      </c>
      <c r="N63" s="19">
        <v>309.66199999999998</v>
      </c>
      <c r="O63" s="19">
        <v>253.46</v>
      </c>
      <c r="P63" s="19">
        <v>365.86399999999998</v>
      </c>
      <c r="Q63" s="19">
        <v>224.23799999999997</v>
      </c>
      <c r="R63" s="19">
        <v>183.54</v>
      </c>
      <c r="S63" s="19">
        <v>264.93599999999998</v>
      </c>
      <c r="T63" s="19">
        <v>309.66199999999998</v>
      </c>
      <c r="U63" s="19">
        <v>253.46</v>
      </c>
      <c r="V63" s="19">
        <v>365.86399999999998</v>
      </c>
      <c r="W63" s="19">
        <v>224.23799999999997</v>
      </c>
      <c r="X63" s="19">
        <v>183.54</v>
      </c>
      <c r="Y63" s="19">
        <v>264.93599999999998</v>
      </c>
      <c r="Z63" s="19">
        <v>411.10300000000001</v>
      </c>
      <c r="AA63" s="19">
        <v>336.48999999999995</v>
      </c>
      <c r="AB63" s="19">
        <v>485.71599999999995</v>
      </c>
      <c r="AC63" s="19">
        <v>122.79699999999998</v>
      </c>
      <c r="AD63" s="19">
        <v>100.50999999999999</v>
      </c>
      <c r="AE63" s="19">
        <v>145.084</v>
      </c>
      <c r="AF63" s="19">
        <v>256.27199999999999</v>
      </c>
      <c r="AG63" s="19">
        <v>209.76</v>
      </c>
      <c r="AH63" s="19">
        <v>302.78399999999999</v>
      </c>
      <c r="AI63" s="19">
        <v>277.62799999999999</v>
      </c>
      <c r="AJ63" s="19">
        <v>227.23999999999998</v>
      </c>
      <c r="AK63" s="19">
        <v>328.01599999999996</v>
      </c>
      <c r="AL63" s="19">
        <v>256.27199999999999</v>
      </c>
      <c r="AM63" s="19">
        <v>209.76</v>
      </c>
      <c r="AN63" s="19">
        <v>302.78399999999999</v>
      </c>
      <c r="AO63" s="19">
        <v>277.62799999999999</v>
      </c>
      <c r="AP63" s="19">
        <v>227.23999999999998</v>
      </c>
      <c r="AQ63" s="19">
        <v>328.01599999999996</v>
      </c>
      <c r="AR63" s="19">
        <v>341.69599999999997</v>
      </c>
      <c r="AS63" s="19">
        <v>279.67999999999995</v>
      </c>
      <c r="AT63" s="19">
        <v>403.71199999999999</v>
      </c>
      <c r="AU63" s="19">
        <v>192.20399999999998</v>
      </c>
      <c r="AV63" s="19">
        <v>157.32</v>
      </c>
      <c r="AW63" s="19">
        <v>227.08799999999999</v>
      </c>
      <c r="AX63" s="19">
        <v>309.66199999999998</v>
      </c>
      <c r="AY63" s="19">
        <v>253.46</v>
      </c>
      <c r="AZ63" s="19">
        <v>365.86399999999998</v>
      </c>
      <c r="BA63" s="19">
        <v>224.23799999999997</v>
      </c>
      <c r="BB63" s="19">
        <v>183.54</v>
      </c>
      <c r="BC63" s="19">
        <v>264.93599999999998</v>
      </c>
      <c r="BD63" s="19">
        <v>202.88200000000001</v>
      </c>
      <c r="BE63" s="19">
        <v>166.06</v>
      </c>
      <c r="BF63" s="19">
        <v>239.70399999999998</v>
      </c>
      <c r="BG63" s="19">
        <v>331.01799999999997</v>
      </c>
      <c r="BH63" s="19">
        <v>270.94</v>
      </c>
      <c r="BI63" s="19">
        <v>391.096</v>
      </c>
      <c r="BJ63" s="19">
        <v>266.95</v>
      </c>
      <c r="BK63" s="19">
        <v>218.5</v>
      </c>
      <c r="BL63" s="19">
        <v>315.39999999999998</v>
      </c>
      <c r="BM63" s="19">
        <v>266.95</v>
      </c>
      <c r="BN63" s="19">
        <v>218.5</v>
      </c>
      <c r="BO63" s="19">
        <v>315.39999999999998</v>
      </c>
      <c r="BP63" s="19"/>
      <c r="BQ6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100.50999999999999</v>
      </c>
      <c r="BR6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237.8821111111111</v>
      </c>
      <c r="BS6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391.096</v>
      </c>
      <c r="BT63" s="11">
        <f>Tabelle5897112140[[#This Row],[Mindestauslastung min]]*Tabelle5897112140[[#This Row],[installierte Leistung MW min]]</f>
        <v>0</v>
      </c>
      <c r="BU63" s="11">
        <f>Tabelle5897112140[[#This Row],[Mindestauslastung durch]]*Tabelle5897112140[[#This Row],[installierte Leistung MW durch]]</f>
        <v>0</v>
      </c>
      <c r="BV63" s="11">
        <f>Tabelle5897112140[[#This Row],[Mindestauslastung max]]*Tabelle5897112140[[#This Row],[installierte Leistung MW max]]</f>
        <v>0</v>
      </c>
      <c r="BW63" s="9">
        <v>0</v>
      </c>
      <c r="BX63" s="9">
        <v>0</v>
      </c>
      <c r="BY63" s="9">
        <v>0</v>
      </c>
      <c r="BZ63" s="9"/>
      <c r="CA63" s="9">
        <v>0.57999999999999996</v>
      </c>
      <c r="CB63" s="9">
        <v>0.57999999999999996</v>
      </c>
      <c r="CC63" s="9">
        <v>0.57999999999999996</v>
      </c>
      <c r="CD63" s="9">
        <v>0.57999999999999996</v>
      </c>
      <c r="CE63" s="9">
        <v>0.57999999999999996</v>
      </c>
      <c r="CF63" s="9">
        <v>0.57999999999999996</v>
      </c>
      <c r="CG63" s="9">
        <v>0.77</v>
      </c>
      <c r="CH63" s="9">
        <v>0.77</v>
      </c>
      <c r="CI63" s="9">
        <v>0.77</v>
      </c>
      <c r="CJ63" s="9">
        <v>0.48</v>
      </c>
      <c r="CK63" s="9">
        <v>0.48</v>
      </c>
      <c r="CL63" s="9">
        <v>0.48</v>
      </c>
      <c r="CM63" s="9">
        <v>0.48</v>
      </c>
      <c r="CN63" s="9">
        <v>0.48</v>
      </c>
      <c r="CO63" s="9">
        <v>0.48</v>
      </c>
      <c r="CP63" s="9">
        <v>0.64</v>
      </c>
      <c r="CQ63" s="9">
        <v>0.64</v>
      </c>
      <c r="CR63" s="9">
        <v>0.64</v>
      </c>
      <c r="CS63" s="9">
        <v>0.57999999999999996</v>
      </c>
      <c r="CT63" s="9">
        <v>0.57999999999999996</v>
      </c>
      <c r="CU63" s="9">
        <v>0.57999999999999996</v>
      </c>
      <c r="CV63" s="9">
        <v>0.38</v>
      </c>
      <c r="CW63" s="9">
        <v>0.38</v>
      </c>
      <c r="CX63" s="9">
        <v>0.38</v>
      </c>
      <c r="CY63" s="9">
        <v>0.5</v>
      </c>
      <c r="CZ63" s="9">
        <v>0.5</v>
      </c>
      <c r="DA63" s="9">
        <v>0.5</v>
      </c>
      <c r="DB63" s="9">
        <f>MIN(Tabelle5897112140[[#This Row],[Durchschnittsauslastung durch Sommer WTT]:[Durchschnittsauslastung max Winter SFN]])</f>
        <v>0.38</v>
      </c>
      <c r="DC6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3" s="9">
        <f>MAX(Tabelle5897112140[[#This Row],[Durchschnittsauslastung durch Sommer WTT]:[Durchschnittsauslastung max Winter SFN]])</f>
        <v>0.77</v>
      </c>
      <c r="DE63" s="40">
        <f>Tabelle5897112140[[#This Row],[Durchschnittsauslastung min]]*Tabelle5897112140[[#This Row],[installierte Leistung MW min]]</f>
        <v>166.06</v>
      </c>
      <c r="DF63" s="40">
        <f>Tabelle5897112140[[#This Row],[Durchschnittsauslastung durch]]*Tabelle5897112140[[#This Row],[installierte Leistung MW durch]]</f>
        <v>296.01788888888893</v>
      </c>
      <c r="DG63" s="40">
        <f>Tabelle5897112140[[#This Row],[Durchschnittsauslastung max]]*Tabelle5897112140[[#This Row],[installierte Leistung MW max]]</f>
        <v>485.71599999999995</v>
      </c>
      <c r="DH63" s="46">
        <f>Tabelle5897112140[[#This Row],[Maximalauslastung min]]*Tabelle5897112140[[#This Row],[installierte Leistung MW min]]</f>
        <v>96.14</v>
      </c>
      <c r="DI63" s="46">
        <f>Tabelle5897112140[[#This Row],[Maximalauslastung durch]]*Tabelle5897112140[[#This Row],[installierte Leistung MW durch]]</f>
        <v>128.136</v>
      </c>
      <c r="DJ63" s="19">
        <f>Tabelle5897112140[[#This Row],[Maximalauslastung max]]*Tabelle5897112140[[#This Row],[installierte Leistung MW durch]]</f>
        <v>138.81399999999999</v>
      </c>
      <c r="DK63" s="9">
        <v>0.22</v>
      </c>
      <c r="DL63" s="9">
        <v>0.24</v>
      </c>
      <c r="DM63" s="9">
        <v>0.26</v>
      </c>
      <c r="DN63" s="1">
        <v>533.9</v>
      </c>
      <c r="DO63" s="1">
        <v>437</v>
      </c>
      <c r="DP63" s="1">
        <v>630.79999999999995</v>
      </c>
      <c r="DQ63" s="19"/>
      <c r="DR63" s="19"/>
      <c r="DW63" s="1">
        <v>2.9874999999999998</v>
      </c>
      <c r="DX63" s="1">
        <v>1.2</v>
      </c>
      <c r="DY63" s="1">
        <v>5.8</v>
      </c>
      <c r="EL63" s="1">
        <v>365</v>
      </c>
      <c r="EM63" s="1">
        <v>292</v>
      </c>
      <c r="EN63" s="1">
        <v>438</v>
      </c>
      <c r="EO63" s="11"/>
      <c r="EP63" s="11"/>
      <c r="EQ63" s="11"/>
      <c r="ER63" s="1">
        <v>365</v>
      </c>
      <c r="ES63" s="1">
        <v>292</v>
      </c>
      <c r="ET63" s="1">
        <v>438</v>
      </c>
      <c r="EV63" s="19"/>
      <c r="EW63" s="19"/>
      <c r="EX63" s="19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O63" s="1">
        <v>67</v>
      </c>
      <c r="FP63" s="1">
        <v>67</v>
      </c>
      <c r="FQ63" s="1">
        <v>67</v>
      </c>
      <c r="FR63" s="13" t="s">
        <v>806</v>
      </c>
      <c r="FS63" s="13" t="s">
        <v>806</v>
      </c>
      <c r="FT63" s="13" t="s">
        <v>806</v>
      </c>
      <c r="FU63" s="13"/>
      <c r="FV63" s="13" t="s">
        <v>806</v>
      </c>
      <c r="FW63" s="13" t="s">
        <v>806</v>
      </c>
      <c r="FX63" s="13" t="s">
        <v>806</v>
      </c>
      <c r="FY63" s="13" t="s">
        <v>806</v>
      </c>
      <c r="FZ63" s="13" t="s">
        <v>806</v>
      </c>
      <c r="GA63" s="13" t="s">
        <v>806</v>
      </c>
      <c r="GB63" s="13" t="s">
        <v>806</v>
      </c>
      <c r="GE63" s="13" t="s">
        <v>806</v>
      </c>
      <c r="GF63" s="13" t="s">
        <v>806</v>
      </c>
      <c r="GH63" s="13" t="s">
        <v>806</v>
      </c>
    </row>
    <row r="64" spans="1:193" ht="15" customHeight="1" x14ac:dyDescent="0.25">
      <c r="A64" s="1" t="s">
        <v>97</v>
      </c>
      <c r="B64" s="1" t="s">
        <v>747</v>
      </c>
      <c r="C64" s="1" t="s">
        <v>657</v>
      </c>
      <c r="D64" s="1" t="s">
        <v>676</v>
      </c>
      <c r="E64" s="1" t="s">
        <v>126</v>
      </c>
      <c r="F64" s="1">
        <v>0</v>
      </c>
      <c r="G64" s="1">
        <v>2045</v>
      </c>
      <c r="H64" s="1">
        <v>1</v>
      </c>
      <c r="I64" s="1">
        <v>0</v>
      </c>
      <c r="J64" s="1">
        <v>0</v>
      </c>
      <c r="K6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166.06</v>
      </c>
      <c r="L6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296.01788888888882</v>
      </c>
      <c r="M6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485.71599999999995</v>
      </c>
      <c r="N64" s="19">
        <v>309.66199999999998</v>
      </c>
      <c r="O64" s="19">
        <v>253.46</v>
      </c>
      <c r="P64" s="19">
        <v>365.86399999999998</v>
      </c>
      <c r="Q64" s="19">
        <v>224.23799999999997</v>
      </c>
      <c r="R64" s="19">
        <v>183.54</v>
      </c>
      <c r="S64" s="19">
        <v>264.93599999999998</v>
      </c>
      <c r="T64" s="19">
        <v>309.66199999999998</v>
      </c>
      <c r="U64" s="19">
        <v>253.46</v>
      </c>
      <c r="V64" s="19">
        <v>365.86399999999998</v>
      </c>
      <c r="W64" s="19">
        <v>224.23799999999997</v>
      </c>
      <c r="X64" s="19">
        <v>183.54</v>
      </c>
      <c r="Y64" s="19">
        <v>264.93599999999998</v>
      </c>
      <c r="Z64" s="19">
        <v>411.10300000000001</v>
      </c>
      <c r="AA64" s="19">
        <v>336.48999999999995</v>
      </c>
      <c r="AB64" s="19">
        <v>485.71599999999995</v>
      </c>
      <c r="AC64" s="19">
        <v>122.79699999999998</v>
      </c>
      <c r="AD64" s="19">
        <v>100.50999999999999</v>
      </c>
      <c r="AE64" s="19">
        <v>145.084</v>
      </c>
      <c r="AF64" s="19">
        <v>256.27199999999999</v>
      </c>
      <c r="AG64" s="19">
        <v>209.76</v>
      </c>
      <c r="AH64" s="19">
        <v>302.78399999999999</v>
      </c>
      <c r="AI64" s="19">
        <v>277.62799999999999</v>
      </c>
      <c r="AJ64" s="19">
        <v>227.23999999999998</v>
      </c>
      <c r="AK64" s="19">
        <v>328.01599999999996</v>
      </c>
      <c r="AL64" s="19">
        <v>256.27199999999999</v>
      </c>
      <c r="AM64" s="19">
        <v>209.76</v>
      </c>
      <c r="AN64" s="19">
        <v>302.78399999999999</v>
      </c>
      <c r="AO64" s="19">
        <v>277.62799999999999</v>
      </c>
      <c r="AP64" s="19">
        <v>227.23999999999998</v>
      </c>
      <c r="AQ64" s="19">
        <v>328.01599999999996</v>
      </c>
      <c r="AR64" s="19">
        <v>341.69599999999997</v>
      </c>
      <c r="AS64" s="19">
        <v>279.67999999999995</v>
      </c>
      <c r="AT64" s="19">
        <v>403.71199999999999</v>
      </c>
      <c r="AU64" s="19">
        <v>192.20399999999998</v>
      </c>
      <c r="AV64" s="19">
        <v>157.32</v>
      </c>
      <c r="AW64" s="19">
        <v>227.08799999999999</v>
      </c>
      <c r="AX64" s="19">
        <v>309.66199999999998</v>
      </c>
      <c r="AY64" s="19">
        <v>253.46</v>
      </c>
      <c r="AZ64" s="19">
        <v>365.86399999999998</v>
      </c>
      <c r="BA64" s="19">
        <v>224.23799999999997</v>
      </c>
      <c r="BB64" s="19">
        <v>183.54</v>
      </c>
      <c r="BC64" s="19">
        <v>264.93599999999998</v>
      </c>
      <c r="BD64" s="19">
        <v>202.88200000000001</v>
      </c>
      <c r="BE64" s="19">
        <v>166.06</v>
      </c>
      <c r="BF64" s="19">
        <v>239.70399999999998</v>
      </c>
      <c r="BG64" s="19">
        <v>331.01799999999997</v>
      </c>
      <c r="BH64" s="19">
        <v>270.94</v>
      </c>
      <c r="BI64" s="19">
        <v>391.096</v>
      </c>
      <c r="BJ64" s="19">
        <v>266.95</v>
      </c>
      <c r="BK64" s="19">
        <v>218.5</v>
      </c>
      <c r="BL64" s="19">
        <v>315.39999999999998</v>
      </c>
      <c r="BM64" s="19">
        <v>266.95</v>
      </c>
      <c r="BN64" s="19">
        <v>218.5</v>
      </c>
      <c r="BO64" s="19">
        <v>315.39999999999998</v>
      </c>
      <c r="BP64" s="19"/>
      <c r="BQ6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100.50999999999999</v>
      </c>
      <c r="BR6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237.8821111111111</v>
      </c>
      <c r="BS6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391.096</v>
      </c>
      <c r="BT64" s="11">
        <f>Tabelle5897112140[[#This Row],[Mindestauslastung min]]*Tabelle5897112140[[#This Row],[installierte Leistung MW min]]</f>
        <v>0</v>
      </c>
      <c r="BU64" s="11">
        <f>Tabelle5897112140[[#This Row],[Mindestauslastung durch]]*Tabelle5897112140[[#This Row],[installierte Leistung MW durch]]</f>
        <v>0</v>
      </c>
      <c r="BV64" s="11">
        <f>Tabelle5897112140[[#This Row],[Mindestauslastung max]]*Tabelle5897112140[[#This Row],[installierte Leistung MW max]]</f>
        <v>0</v>
      </c>
      <c r="BW64" s="9">
        <v>0</v>
      </c>
      <c r="BX64" s="9">
        <v>0</v>
      </c>
      <c r="BY64" s="9">
        <v>0</v>
      </c>
      <c r="BZ64" s="9"/>
      <c r="CA64" s="9">
        <v>0.57999999999999996</v>
      </c>
      <c r="CB64" s="9">
        <v>0.57999999999999996</v>
      </c>
      <c r="CC64" s="9">
        <v>0.57999999999999996</v>
      </c>
      <c r="CD64" s="9">
        <v>0.57999999999999996</v>
      </c>
      <c r="CE64" s="9">
        <v>0.57999999999999996</v>
      </c>
      <c r="CF64" s="9">
        <v>0.57999999999999996</v>
      </c>
      <c r="CG64" s="9">
        <v>0.77</v>
      </c>
      <c r="CH64" s="9">
        <v>0.77</v>
      </c>
      <c r="CI64" s="9">
        <v>0.77</v>
      </c>
      <c r="CJ64" s="9">
        <v>0.48</v>
      </c>
      <c r="CK64" s="9">
        <v>0.48</v>
      </c>
      <c r="CL64" s="9">
        <v>0.48</v>
      </c>
      <c r="CM64" s="9">
        <v>0.48</v>
      </c>
      <c r="CN64" s="9">
        <v>0.48</v>
      </c>
      <c r="CO64" s="9">
        <v>0.48</v>
      </c>
      <c r="CP64" s="9">
        <v>0.64</v>
      </c>
      <c r="CQ64" s="9">
        <v>0.64</v>
      </c>
      <c r="CR64" s="9">
        <v>0.64</v>
      </c>
      <c r="CS64" s="9">
        <v>0.57999999999999996</v>
      </c>
      <c r="CT64" s="9">
        <v>0.57999999999999996</v>
      </c>
      <c r="CU64" s="9">
        <v>0.57999999999999996</v>
      </c>
      <c r="CV64" s="9">
        <v>0.38</v>
      </c>
      <c r="CW64" s="9">
        <v>0.38</v>
      </c>
      <c r="CX64" s="9">
        <v>0.38</v>
      </c>
      <c r="CY64" s="9">
        <v>0.5</v>
      </c>
      <c r="CZ64" s="9">
        <v>0.5</v>
      </c>
      <c r="DA64" s="9">
        <v>0.5</v>
      </c>
      <c r="DB64" s="9">
        <f>MIN(Tabelle5897112140[[#This Row],[Durchschnittsauslastung durch Sommer WTT]:[Durchschnittsauslastung max Winter SFN]])</f>
        <v>0.38</v>
      </c>
      <c r="DC6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4" s="9">
        <f>MAX(Tabelle5897112140[[#This Row],[Durchschnittsauslastung durch Sommer WTT]:[Durchschnittsauslastung max Winter SFN]])</f>
        <v>0.77</v>
      </c>
      <c r="DE64" s="40">
        <f>Tabelle5897112140[[#This Row],[Durchschnittsauslastung min]]*Tabelle5897112140[[#This Row],[installierte Leistung MW min]]</f>
        <v>166.06</v>
      </c>
      <c r="DF64" s="40">
        <f>Tabelle5897112140[[#This Row],[Durchschnittsauslastung durch]]*Tabelle5897112140[[#This Row],[installierte Leistung MW durch]]</f>
        <v>296.01788888888893</v>
      </c>
      <c r="DG64" s="40">
        <f>Tabelle5897112140[[#This Row],[Durchschnittsauslastung max]]*Tabelle5897112140[[#This Row],[installierte Leistung MW max]]</f>
        <v>485.71599999999995</v>
      </c>
      <c r="DH64" s="46">
        <f>Tabelle5897112140[[#This Row],[Maximalauslastung min]]*Tabelle5897112140[[#This Row],[installierte Leistung MW min]]</f>
        <v>96.14</v>
      </c>
      <c r="DI64" s="46">
        <f>Tabelle5897112140[[#This Row],[Maximalauslastung durch]]*Tabelle5897112140[[#This Row],[installierte Leistung MW durch]]</f>
        <v>128.136</v>
      </c>
      <c r="DJ64" s="19">
        <f>Tabelle5897112140[[#This Row],[Maximalauslastung max]]*Tabelle5897112140[[#This Row],[installierte Leistung MW durch]]</f>
        <v>138.81399999999999</v>
      </c>
      <c r="DK64" s="9">
        <v>0.22</v>
      </c>
      <c r="DL64" s="9">
        <v>0.24</v>
      </c>
      <c r="DM64" s="9">
        <v>0.26</v>
      </c>
      <c r="DN64" s="1">
        <v>533.9</v>
      </c>
      <c r="DO64" s="1">
        <v>437</v>
      </c>
      <c r="DP64" s="1">
        <v>630.79999999999995</v>
      </c>
      <c r="DQ64" s="19"/>
      <c r="DR64" s="19"/>
      <c r="DW64" s="1">
        <v>2.9874999999999998</v>
      </c>
      <c r="DX64" s="1">
        <v>1.2</v>
      </c>
      <c r="DY64" s="1">
        <v>5.8</v>
      </c>
      <c r="EL64" s="1">
        <v>365</v>
      </c>
      <c r="EM64" s="1">
        <v>292</v>
      </c>
      <c r="EN64" s="1">
        <v>438</v>
      </c>
      <c r="EO64" s="11"/>
      <c r="EP64" s="11"/>
      <c r="EQ64" s="11"/>
      <c r="ER64" s="1">
        <v>365</v>
      </c>
      <c r="ES64" s="1">
        <v>292</v>
      </c>
      <c r="ET64" s="1">
        <v>438</v>
      </c>
      <c r="EV64" s="19"/>
      <c r="EW64" s="19"/>
      <c r="EX64" s="19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O64" s="1">
        <v>67</v>
      </c>
      <c r="FP64" s="1">
        <v>67</v>
      </c>
      <c r="FQ64" s="1">
        <v>67</v>
      </c>
      <c r="FR64" s="13" t="s">
        <v>806</v>
      </c>
      <c r="FS64" s="13" t="s">
        <v>806</v>
      </c>
      <c r="FT64" s="13" t="s">
        <v>806</v>
      </c>
      <c r="FU64" s="13"/>
      <c r="FV64" s="13" t="s">
        <v>806</v>
      </c>
      <c r="FW64" s="13" t="s">
        <v>806</v>
      </c>
      <c r="FX64" s="13" t="s">
        <v>806</v>
      </c>
      <c r="FY64" s="13" t="s">
        <v>806</v>
      </c>
      <c r="FZ64" s="13" t="s">
        <v>806</v>
      </c>
      <c r="GA64" s="13" t="s">
        <v>806</v>
      </c>
      <c r="GB64" s="13" t="s">
        <v>806</v>
      </c>
      <c r="GE64" s="13" t="s">
        <v>806</v>
      </c>
      <c r="GF64" s="13" t="s">
        <v>806</v>
      </c>
      <c r="GH64" s="13" t="s">
        <v>806</v>
      </c>
    </row>
    <row r="65" spans="1:190" ht="15" customHeight="1" x14ac:dyDescent="0.25">
      <c r="A65" s="1" t="s">
        <v>97</v>
      </c>
      <c r="B65" s="1" t="s">
        <v>747</v>
      </c>
      <c r="C65" s="1" t="s">
        <v>657</v>
      </c>
      <c r="D65" s="1" t="s">
        <v>676</v>
      </c>
      <c r="E65" s="1" t="s">
        <v>126</v>
      </c>
      <c r="F65" s="1">
        <v>0</v>
      </c>
      <c r="G65" s="1">
        <v>2050</v>
      </c>
      <c r="H65" s="1">
        <v>1</v>
      </c>
      <c r="I65" s="1">
        <v>0</v>
      </c>
      <c r="J65" s="1">
        <v>0</v>
      </c>
      <c r="K6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164.31200000000001</v>
      </c>
      <c r="L6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292.90191111111108</v>
      </c>
      <c r="M6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480.60319999999996</v>
      </c>
      <c r="N65" s="19">
        <v>306.40239999999994</v>
      </c>
      <c r="O65" s="19">
        <v>250.792</v>
      </c>
      <c r="P65" s="19">
        <v>362.01279999999997</v>
      </c>
      <c r="Q65" s="19">
        <v>221.87759999999997</v>
      </c>
      <c r="R65" s="19">
        <v>181.60799999999998</v>
      </c>
      <c r="S65" s="19">
        <v>262.1472</v>
      </c>
      <c r="T65" s="19">
        <v>306.40239999999994</v>
      </c>
      <c r="U65" s="19">
        <v>250.792</v>
      </c>
      <c r="V65" s="19">
        <v>362.01279999999997</v>
      </c>
      <c r="W65" s="19">
        <v>221.87759999999997</v>
      </c>
      <c r="X65" s="19">
        <v>181.60799999999998</v>
      </c>
      <c r="Y65" s="19">
        <v>262.1472</v>
      </c>
      <c r="Z65" s="19">
        <v>406.7756</v>
      </c>
      <c r="AA65" s="19">
        <v>332.94799999999998</v>
      </c>
      <c r="AB65" s="19">
        <v>480.60319999999996</v>
      </c>
      <c r="AC65" s="19">
        <v>121.50439999999999</v>
      </c>
      <c r="AD65" s="19">
        <v>99.451999999999998</v>
      </c>
      <c r="AE65" s="19">
        <v>143.55679999999998</v>
      </c>
      <c r="AF65" s="19">
        <v>253.57439999999997</v>
      </c>
      <c r="AG65" s="19">
        <v>207.55199999999999</v>
      </c>
      <c r="AH65" s="19">
        <v>299.59680000000003</v>
      </c>
      <c r="AI65" s="19">
        <v>274.7056</v>
      </c>
      <c r="AJ65" s="19">
        <v>224.84799999999998</v>
      </c>
      <c r="AK65" s="19">
        <v>324.56319999999994</v>
      </c>
      <c r="AL65" s="19">
        <v>253.57439999999997</v>
      </c>
      <c r="AM65" s="19">
        <v>207.55199999999999</v>
      </c>
      <c r="AN65" s="19">
        <v>299.59680000000003</v>
      </c>
      <c r="AO65" s="19">
        <v>274.7056</v>
      </c>
      <c r="AP65" s="19">
        <v>224.84799999999998</v>
      </c>
      <c r="AQ65" s="19">
        <v>324.56319999999994</v>
      </c>
      <c r="AR65" s="19">
        <v>338.0992</v>
      </c>
      <c r="AS65" s="19">
        <v>276.73599999999999</v>
      </c>
      <c r="AT65" s="19">
        <v>399.46239999999995</v>
      </c>
      <c r="AU65" s="19">
        <v>190.18079999999998</v>
      </c>
      <c r="AV65" s="19">
        <v>155.66399999999999</v>
      </c>
      <c r="AW65" s="19">
        <v>224.69759999999997</v>
      </c>
      <c r="AX65" s="19">
        <v>306.40239999999994</v>
      </c>
      <c r="AY65" s="19">
        <v>250.792</v>
      </c>
      <c r="AZ65" s="19">
        <v>362.01279999999997</v>
      </c>
      <c r="BA65" s="19">
        <v>221.87759999999997</v>
      </c>
      <c r="BB65" s="19">
        <v>181.60799999999998</v>
      </c>
      <c r="BC65" s="19">
        <v>262.1472</v>
      </c>
      <c r="BD65" s="19">
        <v>200.74639999999999</v>
      </c>
      <c r="BE65" s="19">
        <v>164.31200000000001</v>
      </c>
      <c r="BF65" s="19">
        <v>237.18079999999998</v>
      </c>
      <c r="BG65" s="19">
        <v>327.53359999999998</v>
      </c>
      <c r="BH65" s="19">
        <v>268.08799999999997</v>
      </c>
      <c r="BI65" s="19">
        <v>386.97919999999999</v>
      </c>
      <c r="BJ65" s="19">
        <v>264.14</v>
      </c>
      <c r="BK65" s="19">
        <v>216.2</v>
      </c>
      <c r="BL65" s="19">
        <v>312.08</v>
      </c>
      <c r="BM65" s="19">
        <v>264.14</v>
      </c>
      <c r="BN65" s="19">
        <v>216.2</v>
      </c>
      <c r="BO65" s="19">
        <v>312.08</v>
      </c>
      <c r="BP65" s="19"/>
      <c r="BQ6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99.451999999999998</v>
      </c>
      <c r="BR6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235.37808888888887</v>
      </c>
      <c r="BS6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386.97919999999999</v>
      </c>
      <c r="BT65" s="11">
        <f>Tabelle5897112140[[#This Row],[Mindestauslastung min]]*Tabelle5897112140[[#This Row],[installierte Leistung MW min]]</f>
        <v>0</v>
      </c>
      <c r="BU65" s="11">
        <f>Tabelle5897112140[[#This Row],[Mindestauslastung durch]]*Tabelle5897112140[[#This Row],[installierte Leistung MW durch]]</f>
        <v>0</v>
      </c>
      <c r="BV65" s="11">
        <f>Tabelle5897112140[[#This Row],[Mindestauslastung max]]*Tabelle5897112140[[#This Row],[installierte Leistung MW max]]</f>
        <v>0</v>
      </c>
      <c r="BW65" s="9">
        <v>0</v>
      </c>
      <c r="BX65" s="9">
        <v>0</v>
      </c>
      <c r="BY65" s="9">
        <v>0</v>
      </c>
      <c r="BZ65" s="9"/>
      <c r="CA65" s="9">
        <v>0.57999999999999996</v>
      </c>
      <c r="CB65" s="9">
        <v>0.57999999999999996</v>
      </c>
      <c r="CC65" s="9">
        <v>0.57999999999999996</v>
      </c>
      <c r="CD65" s="9">
        <v>0.57999999999999996</v>
      </c>
      <c r="CE65" s="9">
        <v>0.57999999999999996</v>
      </c>
      <c r="CF65" s="9">
        <v>0.57999999999999996</v>
      </c>
      <c r="CG65" s="9">
        <v>0.77</v>
      </c>
      <c r="CH65" s="9">
        <v>0.77</v>
      </c>
      <c r="CI65" s="9">
        <v>0.77</v>
      </c>
      <c r="CJ65" s="9">
        <v>0.48</v>
      </c>
      <c r="CK65" s="9">
        <v>0.48</v>
      </c>
      <c r="CL65" s="9">
        <v>0.48</v>
      </c>
      <c r="CM65" s="9">
        <v>0.48</v>
      </c>
      <c r="CN65" s="9">
        <v>0.48</v>
      </c>
      <c r="CO65" s="9">
        <v>0.48</v>
      </c>
      <c r="CP65" s="9">
        <v>0.64</v>
      </c>
      <c r="CQ65" s="9">
        <v>0.64</v>
      </c>
      <c r="CR65" s="9">
        <v>0.64</v>
      </c>
      <c r="CS65" s="9">
        <v>0.57999999999999996</v>
      </c>
      <c r="CT65" s="9">
        <v>0.57999999999999996</v>
      </c>
      <c r="CU65" s="9">
        <v>0.57999999999999996</v>
      </c>
      <c r="CV65" s="9">
        <v>0.38</v>
      </c>
      <c r="CW65" s="9">
        <v>0.38</v>
      </c>
      <c r="CX65" s="9">
        <v>0.38</v>
      </c>
      <c r="CY65" s="9">
        <v>0.5</v>
      </c>
      <c r="CZ65" s="9">
        <v>0.5</v>
      </c>
      <c r="DA65" s="9">
        <v>0.5</v>
      </c>
      <c r="DB65" s="9">
        <f>MIN(Tabelle5897112140[[#This Row],[Durchschnittsauslastung durch Sommer WTT]:[Durchschnittsauslastung max Winter SFN]])</f>
        <v>0.38</v>
      </c>
      <c r="DC6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5" s="9">
        <f>MAX(Tabelle5897112140[[#This Row],[Durchschnittsauslastung durch Sommer WTT]:[Durchschnittsauslastung max Winter SFN]])</f>
        <v>0.77</v>
      </c>
      <c r="DE65" s="40">
        <f>Tabelle5897112140[[#This Row],[Durchschnittsauslastung min]]*Tabelle5897112140[[#This Row],[installierte Leistung MW min]]</f>
        <v>164.31199999999998</v>
      </c>
      <c r="DF65" s="40">
        <f>Tabelle5897112140[[#This Row],[Durchschnittsauslastung durch]]*Tabelle5897112140[[#This Row],[installierte Leistung MW durch]]</f>
        <v>292.90191111111113</v>
      </c>
      <c r="DG65" s="40">
        <f>Tabelle5897112140[[#This Row],[Durchschnittsauslastung max]]*Tabelle5897112140[[#This Row],[installierte Leistung MW max]]</f>
        <v>480.60319999999996</v>
      </c>
      <c r="DH65" s="46">
        <f>Tabelle5897112140[[#This Row],[Maximalauslastung min]]*Tabelle5897112140[[#This Row],[installierte Leistung MW min]]</f>
        <v>95.128</v>
      </c>
      <c r="DI65" s="46">
        <f>Tabelle5897112140[[#This Row],[Maximalauslastung durch]]*Tabelle5897112140[[#This Row],[installierte Leistung MW durch]]</f>
        <v>126.78719999999998</v>
      </c>
      <c r="DJ65" s="19">
        <f>Tabelle5897112140[[#This Row],[Maximalauslastung max]]*Tabelle5897112140[[#This Row],[installierte Leistung MW durch]]</f>
        <v>137.3528</v>
      </c>
      <c r="DK65" s="9">
        <v>0.22</v>
      </c>
      <c r="DL65" s="9">
        <v>0.24</v>
      </c>
      <c r="DM65" s="9">
        <v>0.26</v>
      </c>
      <c r="DN65" s="1">
        <v>528.28</v>
      </c>
      <c r="DO65" s="1">
        <v>432.4</v>
      </c>
      <c r="DP65" s="1">
        <v>624.16</v>
      </c>
      <c r="DQ65" s="19"/>
      <c r="DR65" s="19"/>
      <c r="DW65" s="1">
        <v>2.9874999999999998</v>
      </c>
      <c r="DX65" s="1">
        <v>1.2</v>
      </c>
      <c r="DY65" s="1">
        <v>5.8</v>
      </c>
      <c r="EL65" s="1">
        <v>365</v>
      </c>
      <c r="EM65" s="1">
        <v>292</v>
      </c>
      <c r="EN65" s="1">
        <v>438</v>
      </c>
      <c r="EO65" s="11"/>
      <c r="EP65" s="11"/>
      <c r="EQ65" s="11"/>
      <c r="ER65" s="1">
        <v>365</v>
      </c>
      <c r="ES65" s="1">
        <v>292</v>
      </c>
      <c r="ET65" s="1">
        <v>438</v>
      </c>
      <c r="EV65" s="19"/>
      <c r="EW65" s="19"/>
      <c r="EX65" s="19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O65" s="1">
        <v>67</v>
      </c>
      <c r="FP65" s="1">
        <v>67</v>
      </c>
      <c r="FQ65" s="1">
        <v>67</v>
      </c>
      <c r="FR65" s="13" t="s">
        <v>806</v>
      </c>
      <c r="FS65" s="13" t="s">
        <v>806</v>
      </c>
      <c r="FT65" s="13" t="s">
        <v>806</v>
      </c>
      <c r="FU65" s="13"/>
      <c r="FV65" s="13" t="s">
        <v>806</v>
      </c>
      <c r="FW65" s="13" t="s">
        <v>806</v>
      </c>
      <c r="FX65" s="13" t="s">
        <v>806</v>
      </c>
      <c r="FY65" s="13" t="s">
        <v>806</v>
      </c>
      <c r="FZ65" s="13" t="s">
        <v>806</v>
      </c>
      <c r="GA65" s="13" t="s">
        <v>806</v>
      </c>
      <c r="GB65" s="13" t="s">
        <v>806</v>
      </c>
      <c r="GE65" s="13" t="s">
        <v>806</v>
      </c>
      <c r="GF65" s="13" t="s">
        <v>806</v>
      </c>
      <c r="GH65" s="13" t="s">
        <v>806</v>
      </c>
    </row>
    <row r="66" spans="1:190" ht="15" customHeight="1" x14ac:dyDescent="0.25">
      <c r="A66" s="1" t="s">
        <v>208</v>
      </c>
      <c r="B66" s="1" t="s">
        <v>651</v>
      </c>
      <c r="C66" s="1" t="s">
        <v>657</v>
      </c>
      <c r="D66" s="1" t="s">
        <v>677</v>
      </c>
      <c r="E66" s="1" t="s">
        <v>126</v>
      </c>
      <c r="F66" s="1">
        <v>0</v>
      </c>
      <c r="G66" s="1">
        <v>2015</v>
      </c>
      <c r="H66" s="1">
        <v>1</v>
      </c>
      <c r="I66" s="1">
        <v>0</v>
      </c>
      <c r="J66" s="1">
        <v>0</v>
      </c>
      <c r="K6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0.78</v>
      </c>
      <c r="L6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8.8333333333333339</v>
      </c>
      <c r="M6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28.67</v>
      </c>
      <c r="N66" s="19">
        <v>17.5</v>
      </c>
      <c r="O66" s="19">
        <v>8.9700000000000006</v>
      </c>
      <c r="P66" s="19">
        <v>28.67</v>
      </c>
      <c r="Q66" s="19">
        <v>0.5</v>
      </c>
      <c r="R66" s="19">
        <v>0</v>
      </c>
      <c r="S66" s="19">
        <v>9.76</v>
      </c>
      <c r="T66" s="19">
        <v>4.5</v>
      </c>
      <c r="U66" s="19">
        <v>0.78</v>
      </c>
      <c r="V66" s="19">
        <v>9.76</v>
      </c>
      <c r="W66" s="19">
        <v>13.5</v>
      </c>
      <c r="X66" s="19">
        <v>6.63</v>
      </c>
      <c r="Y66" s="19">
        <v>22.57</v>
      </c>
      <c r="Z66" s="19">
        <v>4.5</v>
      </c>
      <c r="AA66" s="19">
        <v>0.78</v>
      </c>
      <c r="AB66" s="19">
        <v>9.76</v>
      </c>
      <c r="AC66" s="19">
        <v>13.5</v>
      </c>
      <c r="AD66" s="19">
        <v>6.63</v>
      </c>
      <c r="AE66" s="19">
        <v>22.57</v>
      </c>
      <c r="AF66" s="19">
        <v>17.5</v>
      </c>
      <c r="AG66" s="19">
        <v>8.9700000000000006</v>
      </c>
      <c r="AH66" s="19">
        <v>28.67</v>
      </c>
      <c r="AI66" s="19">
        <v>0.5</v>
      </c>
      <c r="AJ66" s="19">
        <v>0</v>
      </c>
      <c r="AK66" s="19">
        <v>9.76</v>
      </c>
      <c r="AL66" s="19">
        <v>4.5</v>
      </c>
      <c r="AM66" s="19">
        <v>0.78</v>
      </c>
      <c r="AN66" s="19">
        <v>9.76</v>
      </c>
      <c r="AO66" s="19">
        <v>13.5</v>
      </c>
      <c r="AP66" s="19">
        <v>6.63</v>
      </c>
      <c r="AQ66" s="19">
        <v>22.57</v>
      </c>
      <c r="AR66" s="19">
        <v>4.5</v>
      </c>
      <c r="AS66" s="19">
        <v>0.78</v>
      </c>
      <c r="AT66" s="19">
        <v>9.76</v>
      </c>
      <c r="AU66" s="19">
        <v>13.5</v>
      </c>
      <c r="AV66" s="19">
        <v>6.63</v>
      </c>
      <c r="AW66" s="19">
        <v>22.57</v>
      </c>
      <c r="AX66" s="19">
        <v>17.5</v>
      </c>
      <c r="AY66" s="19">
        <v>8.9700000000000006</v>
      </c>
      <c r="AZ66" s="19">
        <v>28.67</v>
      </c>
      <c r="BA66" s="19">
        <v>0.5</v>
      </c>
      <c r="BB66" s="19">
        <v>0</v>
      </c>
      <c r="BC66" s="19">
        <v>9.76</v>
      </c>
      <c r="BD66" s="19">
        <v>4.5</v>
      </c>
      <c r="BE66" s="19">
        <v>0.78</v>
      </c>
      <c r="BF66" s="19">
        <v>9.76</v>
      </c>
      <c r="BG66" s="19">
        <v>13.5</v>
      </c>
      <c r="BH66" s="19">
        <v>6.63</v>
      </c>
      <c r="BI66" s="19">
        <v>22.57</v>
      </c>
      <c r="BJ66" s="19">
        <v>4.5</v>
      </c>
      <c r="BK66" s="19">
        <v>0.78</v>
      </c>
      <c r="BL66" s="19">
        <v>9.76</v>
      </c>
      <c r="BM66" s="19">
        <v>13.5</v>
      </c>
      <c r="BN66" s="19">
        <v>6.63</v>
      </c>
      <c r="BO66" s="19">
        <v>22.57</v>
      </c>
      <c r="BP66" s="19"/>
      <c r="BQ6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9.1666666666666661</v>
      </c>
      <c r="BS6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22.57</v>
      </c>
      <c r="BT66" s="11">
        <f>Tabelle5897112140[[#This Row],[Mindestauslastung min]]*Tabelle5897112140[[#This Row],[installierte Leistung MW min]]</f>
        <v>0</v>
      </c>
      <c r="BU66" s="11">
        <f>Tabelle5897112140[[#This Row],[Mindestauslastung durch]]*Tabelle5897112140[[#This Row],[installierte Leistung MW durch]]</f>
        <v>0</v>
      </c>
      <c r="BV66" s="11">
        <f>Tabelle5897112140[[#This Row],[Mindestauslastung max]]*Tabelle5897112140[[#This Row],[installierte Leistung MW max]]</f>
        <v>0</v>
      </c>
      <c r="BW66" s="9">
        <v>0</v>
      </c>
      <c r="BX66" s="9">
        <v>0</v>
      </c>
      <c r="BY66" s="9">
        <v>0</v>
      </c>
      <c r="BZ66" s="9"/>
      <c r="CA66" s="9">
        <v>0.5</v>
      </c>
      <c r="CB66" s="9">
        <v>0.4</v>
      </c>
      <c r="CC66" s="9">
        <v>0.6</v>
      </c>
      <c r="CD66" s="9">
        <v>0.24</v>
      </c>
      <c r="CE66" s="9">
        <v>0.19</v>
      </c>
      <c r="CF66" s="9">
        <v>0.28999999999999998</v>
      </c>
      <c r="CG66" s="9">
        <v>0.24</v>
      </c>
      <c r="CH66" s="9">
        <v>0.19</v>
      </c>
      <c r="CI66" s="9">
        <v>0.28999999999999998</v>
      </c>
      <c r="CJ66" s="9">
        <v>0.5</v>
      </c>
      <c r="CK66" s="9">
        <v>0.4</v>
      </c>
      <c r="CL66" s="9">
        <v>0.6</v>
      </c>
      <c r="CM66" s="9">
        <v>0.24</v>
      </c>
      <c r="CN66" s="9">
        <v>0.19</v>
      </c>
      <c r="CO66" s="9">
        <v>0.28999999999999998</v>
      </c>
      <c r="CP66" s="9">
        <v>0.24</v>
      </c>
      <c r="CQ66" s="9">
        <v>0.19</v>
      </c>
      <c r="CR66" s="9">
        <v>0.28999999999999998</v>
      </c>
      <c r="CS66" s="9">
        <v>0.5</v>
      </c>
      <c r="CT66" s="9">
        <v>0.4</v>
      </c>
      <c r="CU66" s="9">
        <v>0.6</v>
      </c>
      <c r="CV66" s="9">
        <v>0.24</v>
      </c>
      <c r="CW66" s="9">
        <v>0.19</v>
      </c>
      <c r="CX66" s="9">
        <v>0.28999999999999998</v>
      </c>
      <c r="CY66" s="9">
        <v>0.24</v>
      </c>
      <c r="CZ66" s="9">
        <v>0.19</v>
      </c>
      <c r="DA66" s="9">
        <v>0.28999999999999998</v>
      </c>
      <c r="DB66" s="9">
        <f>MIN(Tabelle5897112140[[#This Row],[Durchschnittsauslastung durch Sommer WTT]:[Durchschnittsauslastung max Winter SFN]])</f>
        <v>0.19</v>
      </c>
      <c r="DC6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6" s="9">
        <f>MAX(Tabelle5897112140[[#This Row],[Durchschnittsauslastung durch Sommer WTT]:[Durchschnittsauslastung max Winter SFN]])</f>
        <v>0.6</v>
      </c>
      <c r="DE66" s="40">
        <f>Tabelle5897112140[[#This Row],[Durchschnittsauslastung min]]*Tabelle5897112140[[#This Row],[installierte Leistung MW min]]</f>
        <v>7.41</v>
      </c>
      <c r="DF66" s="40">
        <f>Tabelle5897112140[[#This Row],[Durchschnittsauslastung durch]]*Tabelle5897112140[[#This Row],[installierte Leistung MW durch]]</f>
        <v>16.333333333333336</v>
      </c>
      <c r="DG66" s="40">
        <f>Tabelle5897112140[[#This Row],[Durchschnittsauslastung max]]*Tabelle5897112140[[#This Row],[installierte Leistung MW max]]</f>
        <v>36.6</v>
      </c>
      <c r="DH66" s="46">
        <f>Tabelle5897112140[[#This Row],[Maximalauslastung min]]*Tabelle5897112140[[#This Row],[installierte Leistung MW min]]</f>
        <v>39</v>
      </c>
      <c r="DI66" s="46">
        <f>Tabelle5897112140[[#This Row],[Maximalauslastung durch]]*Tabelle5897112140[[#This Row],[installierte Leistung MW durch]]</f>
        <v>50</v>
      </c>
      <c r="DJ66" s="19">
        <f>Tabelle5897112140[[#This Row],[Maximalauslastung max]]*Tabelle5897112140[[#This Row],[installierte Leistung MW durch]]</f>
        <v>50</v>
      </c>
      <c r="DK66" s="9">
        <v>1</v>
      </c>
      <c r="DL66" s="9">
        <v>1</v>
      </c>
      <c r="DM66" s="9">
        <v>1</v>
      </c>
      <c r="DN66" s="1">
        <v>50</v>
      </c>
      <c r="DO66" s="1">
        <v>39</v>
      </c>
      <c r="DP66" s="1">
        <v>61</v>
      </c>
      <c r="DQ66" s="19"/>
      <c r="DR66" s="19"/>
      <c r="DW66" s="1">
        <v>1.1000000000000001</v>
      </c>
      <c r="DX66" s="1">
        <v>0.8</v>
      </c>
      <c r="DY66" s="1">
        <v>1.4</v>
      </c>
      <c r="EL66" s="1">
        <v>365</v>
      </c>
      <c r="EM66" s="1">
        <v>292</v>
      </c>
      <c r="EN66" s="1">
        <v>438</v>
      </c>
      <c r="EO66" s="11"/>
      <c r="EP66" s="11"/>
      <c r="EQ66" s="11"/>
      <c r="ER66" s="1">
        <v>365</v>
      </c>
      <c r="ES66" s="1">
        <v>292</v>
      </c>
      <c r="ET66" s="1">
        <v>438</v>
      </c>
      <c r="EV66" s="19"/>
      <c r="EW66" s="19"/>
      <c r="EX66" s="19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O66" s="1">
        <v>67</v>
      </c>
      <c r="FP66" s="1">
        <v>67</v>
      </c>
      <c r="FQ66" s="1">
        <v>67</v>
      </c>
      <c r="FR66" s="13" t="s">
        <v>806</v>
      </c>
      <c r="FS66" s="13" t="s">
        <v>806</v>
      </c>
      <c r="FT66" s="13" t="s">
        <v>806</v>
      </c>
      <c r="FU66" s="13"/>
      <c r="FV66" s="13" t="s">
        <v>806</v>
      </c>
      <c r="FW66" s="13" t="s">
        <v>806</v>
      </c>
      <c r="FX66" s="13" t="s">
        <v>806</v>
      </c>
      <c r="FY66" s="13" t="s">
        <v>806</v>
      </c>
      <c r="FZ66" s="13" t="s">
        <v>806</v>
      </c>
      <c r="GA66" s="13" t="s">
        <v>806</v>
      </c>
      <c r="GB66" s="13" t="s">
        <v>806</v>
      </c>
      <c r="GE66" s="13" t="s">
        <v>806</v>
      </c>
      <c r="GF66" s="13" t="s">
        <v>806</v>
      </c>
      <c r="GH66" s="13" t="s">
        <v>806</v>
      </c>
    </row>
    <row r="67" spans="1:190" ht="15" customHeight="1" x14ac:dyDescent="0.25">
      <c r="A67" s="1" t="s">
        <v>208</v>
      </c>
      <c r="B67" s="1" t="s">
        <v>651</v>
      </c>
      <c r="C67" s="1" t="s">
        <v>657</v>
      </c>
      <c r="D67" s="1" t="s">
        <v>677</v>
      </c>
      <c r="E67" s="1" t="s">
        <v>126</v>
      </c>
      <c r="F67" s="1">
        <v>0</v>
      </c>
      <c r="G67" s="1">
        <v>2020</v>
      </c>
      <c r="H67" s="1">
        <v>1</v>
      </c>
      <c r="I67" s="1">
        <v>0</v>
      </c>
      <c r="J67" s="1">
        <v>0</v>
      </c>
      <c r="K6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0.7722</v>
      </c>
      <c r="L6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8.7449999999999992</v>
      </c>
      <c r="M6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28.383300000000002</v>
      </c>
      <c r="N67" s="19">
        <v>17.324999999999999</v>
      </c>
      <c r="O67" s="19">
        <v>8.8803000000000001</v>
      </c>
      <c r="P67" s="19">
        <v>28.383300000000002</v>
      </c>
      <c r="Q67" s="19">
        <v>0.495</v>
      </c>
      <c r="R67" s="19">
        <v>0</v>
      </c>
      <c r="S67" s="19">
        <v>9.6623999999999999</v>
      </c>
      <c r="T67" s="19">
        <v>4.4550000000000001</v>
      </c>
      <c r="U67" s="19">
        <v>0.7722</v>
      </c>
      <c r="V67" s="19">
        <v>9.6623999999999999</v>
      </c>
      <c r="W67" s="19">
        <v>13.365</v>
      </c>
      <c r="X67" s="19">
        <v>6.5636999999999999</v>
      </c>
      <c r="Y67" s="19">
        <v>22.3443</v>
      </c>
      <c r="Z67" s="19">
        <v>4.4550000000000001</v>
      </c>
      <c r="AA67" s="19">
        <v>0.7722</v>
      </c>
      <c r="AB67" s="19">
        <v>9.6623999999999999</v>
      </c>
      <c r="AC67" s="19">
        <v>13.365</v>
      </c>
      <c r="AD67" s="19">
        <v>6.5636999999999999</v>
      </c>
      <c r="AE67" s="19">
        <v>22.3443</v>
      </c>
      <c r="AF67" s="19">
        <v>17.324999999999999</v>
      </c>
      <c r="AG67" s="19">
        <v>8.8803000000000001</v>
      </c>
      <c r="AH67" s="19">
        <v>28.383300000000002</v>
      </c>
      <c r="AI67" s="19">
        <v>0.495</v>
      </c>
      <c r="AJ67" s="19">
        <v>0</v>
      </c>
      <c r="AK67" s="19">
        <v>9.6623999999999999</v>
      </c>
      <c r="AL67" s="19">
        <v>4.4550000000000001</v>
      </c>
      <c r="AM67" s="19">
        <v>0.7722</v>
      </c>
      <c r="AN67" s="19">
        <v>9.6623999999999999</v>
      </c>
      <c r="AO67" s="19">
        <v>13.365</v>
      </c>
      <c r="AP67" s="19">
        <v>6.5636999999999999</v>
      </c>
      <c r="AQ67" s="19">
        <v>22.3443</v>
      </c>
      <c r="AR67" s="19">
        <v>4.4550000000000001</v>
      </c>
      <c r="AS67" s="19">
        <v>0.7722</v>
      </c>
      <c r="AT67" s="19">
        <v>9.6623999999999999</v>
      </c>
      <c r="AU67" s="19">
        <v>13.365</v>
      </c>
      <c r="AV67" s="19">
        <v>6.5636999999999999</v>
      </c>
      <c r="AW67" s="19">
        <v>22.3443</v>
      </c>
      <c r="AX67" s="19">
        <v>17.324999999999999</v>
      </c>
      <c r="AY67" s="19">
        <v>8.8803000000000001</v>
      </c>
      <c r="AZ67" s="19">
        <v>28.383300000000002</v>
      </c>
      <c r="BA67" s="19">
        <v>0.495</v>
      </c>
      <c r="BB67" s="19">
        <v>0</v>
      </c>
      <c r="BC67" s="19">
        <v>9.6623999999999999</v>
      </c>
      <c r="BD67" s="19">
        <v>4.4550000000000001</v>
      </c>
      <c r="BE67" s="19">
        <v>0.7722</v>
      </c>
      <c r="BF67" s="19">
        <v>9.6623999999999999</v>
      </c>
      <c r="BG67" s="19">
        <v>13.365</v>
      </c>
      <c r="BH67" s="19">
        <v>6.5636999999999999</v>
      </c>
      <c r="BI67" s="19">
        <v>22.3443</v>
      </c>
      <c r="BJ67" s="19">
        <v>4.4550000000000001</v>
      </c>
      <c r="BK67" s="19">
        <v>0.7722</v>
      </c>
      <c r="BL67" s="19">
        <v>9.6623999999999999</v>
      </c>
      <c r="BM67" s="19">
        <v>13.365</v>
      </c>
      <c r="BN67" s="19">
        <v>6.5636999999999999</v>
      </c>
      <c r="BO67" s="19">
        <v>22.3443</v>
      </c>
      <c r="BP67" s="19"/>
      <c r="BQ6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9.0749999999999993</v>
      </c>
      <c r="BS6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22.3443</v>
      </c>
      <c r="BT67" s="11">
        <f>Tabelle5897112140[[#This Row],[Mindestauslastung min]]*Tabelle5897112140[[#This Row],[installierte Leistung MW min]]</f>
        <v>0</v>
      </c>
      <c r="BU67" s="11">
        <f>Tabelle5897112140[[#This Row],[Mindestauslastung durch]]*Tabelle5897112140[[#This Row],[installierte Leistung MW durch]]</f>
        <v>0</v>
      </c>
      <c r="BV67" s="11">
        <f>Tabelle5897112140[[#This Row],[Mindestauslastung max]]*Tabelle5897112140[[#This Row],[installierte Leistung MW max]]</f>
        <v>0</v>
      </c>
      <c r="BW67" s="9">
        <v>0</v>
      </c>
      <c r="BX67" s="9">
        <v>0</v>
      </c>
      <c r="BY67" s="9">
        <v>0</v>
      </c>
      <c r="BZ67" s="9"/>
      <c r="CA67" s="9">
        <v>0.5</v>
      </c>
      <c r="CB67" s="9">
        <v>0.4</v>
      </c>
      <c r="CC67" s="9">
        <v>0.6</v>
      </c>
      <c r="CD67" s="9">
        <v>0.24</v>
      </c>
      <c r="CE67" s="9">
        <v>0.19</v>
      </c>
      <c r="CF67" s="9">
        <v>0.28999999999999998</v>
      </c>
      <c r="CG67" s="9">
        <v>0.24</v>
      </c>
      <c r="CH67" s="9">
        <v>0.19</v>
      </c>
      <c r="CI67" s="9">
        <v>0.28999999999999998</v>
      </c>
      <c r="CJ67" s="9">
        <v>0.5</v>
      </c>
      <c r="CK67" s="9">
        <v>0.4</v>
      </c>
      <c r="CL67" s="9">
        <v>0.6</v>
      </c>
      <c r="CM67" s="9">
        <v>0.24</v>
      </c>
      <c r="CN67" s="9">
        <v>0.19</v>
      </c>
      <c r="CO67" s="9">
        <v>0.28999999999999998</v>
      </c>
      <c r="CP67" s="9">
        <v>0.24</v>
      </c>
      <c r="CQ67" s="9">
        <v>0.19</v>
      </c>
      <c r="CR67" s="9">
        <v>0.28999999999999998</v>
      </c>
      <c r="CS67" s="9">
        <v>0.5</v>
      </c>
      <c r="CT67" s="9">
        <v>0.4</v>
      </c>
      <c r="CU67" s="9">
        <v>0.6</v>
      </c>
      <c r="CV67" s="9">
        <v>0.24</v>
      </c>
      <c r="CW67" s="9">
        <v>0.19</v>
      </c>
      <c r="CX67" s="9">
        <v>0.28999999999999998</v>
      </c>
      <c r="CY67" s="9">
        <v>0.24</v>
      </c>
      <c r="CZ67" s="9">
        <v>0.19</v>
      </c>
      <c r="DA67" s="9">
        <v>0.28999999999999998</v>
      </c>
      <c r="DB67" s="9">
        <f>MIN(Tabelle5897112140[[#This Row],[Durchschnittsauslastung durch Sommer WTT]:[Durchschnittsauslastung max Winter SFN]])</f>
        <v>0.19</v>
      </c>
      <c r="DC6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7" s="9">
        <f>MAX(Tabelle5897112140[[#This Row],[Durchschnittsauslastung durch Sommer WTT]:[Durchschnittsauslastung max Winter SFN]])</f>
        <v>0.6</v>
      </c>
      <c r="DE67" s="40">
        <f>Tabelle5897112140[[#This Row],[Durchschnittsauslastung min]]*Tabelle5897112140[[#This Row],[installierte Leistung MW min]]</f>
        <v>7.3358999999999996</v>
      </c>
      <c r="DF67" s="40">
        <f>Tabelle5897112140[[#This Row],[Durchschnittsauslastung durch]]*Tabelle5897112140[[#This Row],[installierte Leistung MW durch]]</f>
        <v>16.170000000000002</v>
      </c>
      <c r="DG67" s="40">
        <f>Tabelle5897112140[[#This Row],[Durchschnittsauslastung max]]*Tabelle5897112140[[#This Row],[installierte Leistung MW max]]</f>
        <v>36.234000000000002</v>
      </c>
      <c r="DH67" s="46">
        <f>Tabelle5897112140[[#This Row],[Maximalauslastung min]]*Tabelle5897112140[[#This Row],[installierte Leistung MW min]]</f>
        <v>38.61</v>
      </c>
      <c r="DI67" s="46">
        <f>Tabelle5897112140[[#This Row],[Maximalauslastung durch]]*Tabelle5897112140[[#This Row],[installierte Leistung MW durch]]</f>
        <v>49.5</v>
      </c>
      <c r="DJ67" s="19">
        <f>Tabelle5897112140[[#This Row],[Maximalauslastung max]]*Tabelle5897112140[[#This Row],[installierte Leistung MW durch]]</f>
        <v>49.5</v>
      </c>
      <c r="DK67" s="9">
        <v>1</v>
      </c>
      <c r="DL67" s="9">
        <v>1</v>
      </c>
      <c r="DM67" s="9">
        <v>1</v>
      </c>
      <c r="DN67" s="1">
        <v>49.5</v>
      </c>
      <c r="DO67" s="1">
        <v>38.61</v>
      </c>
      <c r="DP67" s="1">
        <v>60.39</v>
      </c>
      <c r="DQ67" s="19"/>
      <c r="DR67" s="19"/>
      <c r="DW67" s="1">
        <v>1.1000000000000001</v>
      </c>
      <c r="DX67" s="1">
        <v>0.8</v>
      </c>
      <c r="DY67" s="1">
        <v>1.4</v>
      </c>
      <c r="EL67" s="1">
        <v>365</v>
      </c>
      <c r="EM67" s="1">
        <v>292</v>
      </c>
      <c r="EN67" s="1">
        <v>438</v>
      </c>
      <c r="EO67" s="11"/>
      <c r="EP67" s="11"/>
      <c r="EQ67" s="11"/>
      <c r="ER67" s="1">
        <v>365</v>
      </c>
      <c r="ES67" s="1">
        <v>292</v>
      </c>
      <c r="ET67" s="1">
        <v>438</v>
      </c>
      <c r="EV67" s="19"/>
      <c r="EW67" s="19"/>
      <c r="EX67" s="19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O67" s="1">
        <v>67</v>
      </c>
      <c r="FP67" s="1">
        <v>67</v>
      </c>
      <c r="FQ67" s="1">
        <v>67</v>
      </c>
      <c r="FR67" s="13" t="s">
        <v>806</v>
      </c>
      <c r="FS67" s="13" t="s">
        <v>806</v>
      </c>
      <c r="FT67" s="13" t="s">
        <v>806</v>
      </c>
      <c r="FU67" s="13"/>
      <c r="FV67" s="13" t="s">
        <v>806</v>
      </c>
      <c r="FW67" s="13" t="s">
        <v>806</v>
      </c>
      <c r="FX67" s="13" t="s">
        <v>806</v>
      </c>
      <c r="FY67" s="13" t="s">
        <v>806</v>
      </c>
      <c r="FZ67" s="13" t="s">
        <v>806</v>
      </c>
      <c r="GA67" s="13" t="s">
        <v>806</v>
      </c>
      <c r="GB67" s="13" t="s">
        <v>806</v>
      </c>
      <c r="GE67" s="13" t="s">
        <v>806</v>
      </c>
      <c r="GF67" s="13" t="s">
        <v>806</v>
      </c>
      <c r="GH67" s="13" t="s">
        <v>806</v>
      </c>
    </row>
    <row r="68" spans="1:190" ht="15" customHeight="1" x14ac:dyDescent="0.25">
      <c r="A68" s="1" t="s">
        <v>208</v>
      </c>
      <c r="B68" s="1" t="s">
        <v>651</v>
      </c>
      <c r="C68" s="1" t="s">
        <v>657</v>
      </c>
      <c r="D68" s="1" t="s">
        <v>677</v>
      </c>
      <c r="E68" s="1" t="s">
        <v>126</v>
      </c>
      <c r="F68" s="1">
        <v>0</v>
      </c>
      <c r="G68" s="1">
        <v>2025</v>
      </c>
      <c r="H68" s="1">
        <v>1</v>
      </c>
      <c r="I68" s="1">
        <v>0</v>
      </c>
      <c r="J68" s="1">
        <v>0</v>
      </c>
      <c r="K6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0.76439999999999997</v>
      </c>
      <c r="L6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8.6566666666666663</v>
      </c>
      <c r="M6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28.096600000000002</v>
      </c>
      <c r="N68" s="19">
        <v>17.149999999999999</v>
      </c>
      <c r="O68" s="19">
        <v>8.7906000000000013</v>
      </c>
      <c r="P68" s="19">
        <v>28.096600000000002</v>
      </c>
      <c r="Q68" s="19">
        <v>0.49</v>
      </c>
      <c r="R68" s="19">
        <v>0</v>
      </c>
      <c r="S68" s="19">
        <v>9.5648</v>
      </c>
      <c r="T68" s="19">
        <v>4.41</v>
      </c>
      <c r="U68" s="19">
        <v>0.76439999999999997</v>
      </c>
      <c r="V68" s="19">
        <v>9.5648</v>
      </c>
      <c r="W68" s="19">
        <v>13.23</v>
      </c>
      <c r="X68" s="19">
        <v>6.4973999999999998</v>
      </c>
      <c r="Y68" s="19">
        <v>22.118600000000001</v>
      </c>
      <c r="Z68" s="19">
        <v>4.41</v>
      </c>
      <c r="AA68" s="19">
        <v>0.76439999999999997</v>
      </c>
      <c r="AB68" s="19">
        <v>9.5648</v>
      </c>
      <c r="AC68" s="19">
        <v>13.23</v>
      </c>
      <c r="AD68" s="19">
        <v>6.4973999999999998</v>
      </c>
      <c r="AE68" s="19">
        <v>22.118600000000001</v>
      </c>
      <c r="AF68" s="19">
        <v>17.149999999999999</v>
      </c>
      <c r="AG68" s="19">
        <v>8.7906000000000013</v>
      </c>
      <c r="AH68" s="19">
        <v>28.096600000000002</v>
      </c>
      <c r="AI68" s="19">
        <v>0.49</v>
      </c>
      <c r="AJ68" s="19">
        <v>0</v>
      </c>
      <c r="AK68" s="19">
        <v>9.5648</v>
      </c>
      <c r="AL68" s="19">
        <v>4.41</v>
      </c>
      <c r="AM68" s="19">
        <v>0.76439999999999997</v>
      </c>
      <c r="AN68" s="19">
        <v>9.5648</v>
      </c>
      <c r="AO68" s="19">
        <v>13.23</v>
      </c>
      <c r="AP68" s="19">
        <v>6.4973999999999998</v>
      </c>
      <c r="AQ68" s="19">
        <v>22.118600000000001</v>
      </c>
      <c r="AR68" s="19">
        <v>4.41</v>
      </c>
      <c r="AS68" s="19">
        <v>0.76439999999999997</v>
      </c>
      <c r="AT68" s="19">
        <v>9.5648</v>
      </c>
      <c r="AU68" s="19">
        <v>13.23</v>
      </c>
      <c r="AV68" s="19">
        <v>6.4973999999999998</v>
      </c>
      <c r="AW68" s="19">
        <v>22.118600000000001</v>
      </c>
      <c r="AX68" s="19">
        <v>17.149999999999999</v>
      </c>
      <c r="AY68" s="19">
        <v>8.7906000000000013</v>
      </c>
      <c r="AZ68" s="19">
        <v>28.096600000000002</v>
      </c>
      <c r="BA68" s="19">
        <v>0.49</v>
      </c>
      <c r="BB68" s="19">
        <v>0</v>
      </c>
      <c r="BC68" s="19">
        <v>9.5648</v>
      </c>
      <c r="BD68" s="19">
        <v>4.41</v>
      </c>
      <c r="BE68" s="19">
        <v>0.76439999999999997</v>
      </c>
      <c r="BF68" s="19">
        <v>9.5648</v>
      </c>
      <c r="BG68" s="19">
        <v>13.23</v>
      </c>
      <c r="BH68" s="19">
        <v>6.4973999999999998</v>
      </c>
      <c r="BI68" s="19">
        <v>22.118600000000001</v>
      </c>
      <c r="BJ68" s="19">
        <v>4.41</v>
      </c>
      <c r="BK68" s="19">
        <v>0.76439999999999997</v>
      </c>
      <c r="BL68" s="19">
        <v>9.5648</v>
      </c>
      <c r="BM68" s="19">
        <v>13.23</v>
      </c>
      <c r="BN68" s="19">
        <v>6.4973999999999998</v>
      </c>
      <c r="BO68" s="19">
        <v>22.118600000000001</v>
      </c>
      <c r="BP68" s="19"/>
      <c r="BQ6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8.9833333333333343</v>
      </c>
      <c r="BS6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22.118600000000001</v>
      </c>
      <c r="BT68" s="11">
        <f>Tabelle5897112140[[#This Row],[Mindestauslastung min]]*Tabelle5897112140[[#This Row],[installierte Leistung MW min]]</f>
        <v>0</v>
      </c>
      <c r="BU68" s="11">
        <f>Tabelle5897112140[[#This Row],[Mindestauslastung durch]]*Tabelle5897112140[[#This Row],[installierte Leistung MW durch]]</f>
        <v>0</v>
      </c>
      <c r="BV68" s="11">
        <f>Tabelle5897112140[[#This Row],[Mindestauslastung max]]*Tabelle5897112140[[#This Row],[installierte Leistung MW max]]</f>
        <v>0</v>
      </c>
      <c r="BW68" s="9">
        <v>0</v>
      </c>
      <c r="BX68" s="9">
        <v>0</v>
      </c>
      <c r="BY68" s="9">
        <v>0</v>
      </c>
      <c r="BZ68" s="9"/>
      <c r="CA68" s="9">
        <v>0.5</v>
      </c>
      <c r="CB68" s="9">
        <v>0.4</v>
      </c>
      <c r="CC68" s="9">
        <v>0.6</v>
      </c>
      <c r="CD68" s="9">
        <v>0.24</v>
      </c>
      <c r="CE68" s="9">
        <v>0.19</v>
      </c>
      <c r="CF68" s="9">
        <v>0.28999999999999998</v>
      </c>
      <c r="CG68" s="9">
        <v>0.24</v>
      </c>
      <c r="CH68" s="9">
        <v>0.19</v>
      </c>
      <c r="CI68" s="9">
        <v>0.28999999999999998</v>
      </c>
      <c r="CJ68" s="9">
        <v>0.5</v>
      </c>
      <c r="CK68" s="9">
        <v>0.4</v>
      </c>
      <c r="CL68" s="9">
        <v>0.6</v>
      </c>
      <c r="CM68" s="9">
        <v>0.24</v>
      </c>
      <c r="CN68" s="9">
        <v>0.19</v>
      </c>
      <c r="CO68" s="9">
        <v>0.28999999999999998</v>
      </c>
      <c r="CP68" s="9">
        <v>0.24</v>
      </c>
      <c r="CQ68" s="9">
        <v>0.19</v>
      </c>
      <c r="CR68" s="9">
        <v>0.28999999999999998</v>
      </c>
      <c r="CS68" s="9">
        <v>0.5</v>
      </c>
      <c r="CT68" s="9">
        <v>0.4</v>
      </c>
      <c r="CU68" s="9">
        <v>0.6</v>
      </c>
      <c r="CV68" s="9">
        <v>0.24</v>
      </c>
      <c r="CW68" s="9">
        <v>0.19</v>
      </c>
      <c r="CX68" s="9">
        <v>0.28999999999999998</v>
      </c>
      <c r="CY68" s="9">
        <v>0.24</v>
      </c>
      <c r="CZ68" s="9">
        <v>0.19</v>
      </c>
      <c r="DA68" s="9">
        <v>0.28999999999999998</v>
      </c>
      <c r="DB68" s="9">
        <f>MIN(Tabelle5897112140[[#This Row],[Durchschnittsauslastung durch Sommer WTT]:[Durchschnittsauslastung max Winter SFN]])</f>
        <v>0.19</v>
      </c>
      <c r="DC6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8" s="9">
        <f>MAX(Tabelle5897112140[[#This Row],[Durchschnittsauslastung durch Sommer WTT]:[Durchschnittsauslastung max Winter SFN]])</f>
        <v>0.6</v>
      </c>
      <c r="DE68" s="40">
        <f>Tabelle5897112140[[#This Row],[Durchschnittsauslastung min]]*Tabelle5897112140[[#This Row],[installierte Leistung MW min]]</f>
        <v>7.2618</v>
      </c>
      <c r="DF68" s="40">
        <f>Tabelle5897112140[[#This Row],[Durchschnittsauslastung durch]]*Tabelle5897112140[[#This Row],[installierte Leistung MW durch]]</f>
        <v>16.006666666666668</v>
      </c>
      <c r="DG68" s="40">
        <f>Tabelle5897112140[[#This Row],[Durchschnittsauslastung max]]*Tabelle5897112140[[#This Row],[installierte Leistung MW max]]</f>
        <v>35.868000000000002</v>
      </c>
      <c r="DH68" s="46">
        <f>Tabelle5897112140[[#This Row],[Maximalauslastung min]]*Tabelle5897112140[[#This Row],[installierte Leistung MW min]]</f>
        <v>38.22</v>
      </c>
      <c r="DI68" s="46">
        <f>Tabelle5897112140[[#This Row],[Maximalauslastung durch]]*Tabelle5897112140[[#This Row],[installierte Leistung MW durch]]</f>
        <v>49</v>
      </c>
      <c r="DJ68" s="19">
        <f>Tabelle5897112140[[#This Row],[Maximalauslastung max]]*Tabelle5897112140[[#This Row],[installierte Leistung MW durch]]</f>
        <v>49</v>
      </c>
      <c r="DK68" s="9">
        <v>1</v>
      </c>
      <c r="DL68" s="9">
        <v>1</v>
      </c>
      <c r="DM68" s="9">
        <v>1</v>
      </c>
      <c r="DN68" s="1">
        <v>49</v>
      </c>
      <c r="DO68" s="1">
        <v>38.22</v>
      </c>
      <c r="DP68" s="1">
        <v>59.78</v>
      </c>
      <c r="DQ68" s="19"/>
      <c r="DR68" s="19"/>
      <c r="DW68" s="1">
        <v>1.1000000000000001</v>
      </c>
      <c r="DX68" s="1">
        <v>0.8</v>
      </c>
      <c r="DY68" s="1">
        <v>1.4</v>
      </c>
      <c r="EL68" s="1">
        <v>365</v>
      </c>
      <c r="EM68" s="1">
        <v>292</v>
      </c>
      <c r="EN68" s="1">
        <v>438</v>
      </c>
      <c r="EO68" s="11"/>
      <c r="EP68" s="11"/>
      <c r="EQ68" s="11"/>
      <c r="ER68" s="1">
        <v>365</v>
      </c>
      <c r="ES68" s="1">
        <v>292</v>
      </c>
      <c r="ET68" s="1">
        <v>438</v>
      </c>
      <c r="EV68" s="19"/>
      <c r="EW68" s="19"/>
      <c r="EX68" s="19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O68" s="1">
        <v>67</v>
      </c>
      <c r="FP68" s="1">
        <v>67</v>
      </c>
      <c r="FQ68" s="1">
        <v>67</v>
      </c>
      <c r="FR68" s="13" t="s">
        <v>806</v>
      </c>
      <c r="FS68" s="13" t="s">
        <v>806</v>
      </c>
      <c r="FT68" s="13" t="s">
        <v>806</v>
      </c>
      <c r="FU68" s="13"/>
      <c r="FV68" s="13" t="s">
        <v>806</v>
      </c>
      <c r="FW68" s="13" t="s">
        <v>806</v>
      </c>
      <c r="FX68" s="13" t="s">
        <v>806</v>
      </c>
      <c r="FY68" s="13" t="s">
        <v>806</v>
      </c>
      <c r="FZ68" s="13" t="s">
        <v>806</v>
      </c>
      <c r="GA68" s="13" t="s">
        <v>806</v>
      </c>
      <c r="GB68" s="13" t="s">
        <v>806</v>
      </c>
      <c r="GE68" s="13" t="s">
        <v>806</v>
      </c>
      <c r="GF68" s="13" t="s">
        <v>806</v>
      </c>
      <c r="GH68" s="13" t="s">
        <v>806</v>
      </c>
    </row>
    <row r="69" spans="1:190" ht="15" customHeight="1" x14ac:dyDescent="0.25">
      <c r="A69" s="1" t="s">
        <v>208</v>
      </c>
      <c r="B69" s="1" t="s">
        <v>651</v>
      </c>
      <c r="C69" s="1" t="s">
        <v>657</v>
      </c>
      <c r="D69" s="1" t="s">
        <v>677</v>
      </c>
      <c r="E69" s="1" t="s">
        <v>126</v>
      </c>
      <c r="F69" s="1">
        <v>0</v>
      </c>
      <c r="G69" s="1">
        <v>2030</v>
      </c>
      <c r="H69" s="1">
        <v>1</v>
      </c>
      <c r="I69" s="1">
        <v>0</v>
      </c>
      <c r="J69" s="1">
        <v>0</v>
      </c>
      <c r="K6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0.75660000000000005</v>
      </c>
      <c r="L6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8.5683333333333316</v>
      </c>
      <c r="M6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27.809900000000003</v>
      </c>
      <c r="N69" s="19">
        <v>16.974999999999998</v>
      </c>
      <c r="O69" s="19">
        <v>8.7009000000000007</v>
      </c>
      <c r="P69" s="19">
        <v>27.809900000000003</v>
      </c>
      <c r="Q69" s="19">
        <v>0.48499999999999999</v>
      </c>
      <c r="R69" s="19">
        <v>0</v>
      </c>
      <c r="S69" s="19">
        <v>9.4672000000000001</v>
      </c>
      <c r="T69" s="19">
        <v>4.3650000000000002</v>
      </c>
      <c r="U69" s="19">
        <v>0.75660000000000005</v>
      </c>
      <c r="V69" s="19">
        <v>9.4672000000000001</v>
      </c>
      <c r="W69" s="19">
        <v>13.094999999999999</v>
      </c>
      <c r="X69" s="19">
        <v>6.4310999999999998</v>
      </c>
      <c r="Y69" s="19">
        <v>21.892900000000001</v>
      </c>
      <c r="Z69" s="19">
        <v>4.3650000000000002</v>
      </c>
      <c r="AA69" s="19">
        <v>0.75660000000000005</v>
      </c>
      <c r="AB69" s="19">
        <v>9.4672000000000001</v>
      </c>
      <c r="AC69" s="19">
        <v>13.094999999999999</v>
      </c>
      <c r="AD69" s="19">
        <v>6.4310999999999998</v>
      </c>
      <c r="AE69" s="19">
        <v>21.892900000000001</v>
      </c>
      <c r="AF69" s="19">
        <v>16.974999999999998</v>
      </c>
      <c r="AG69" s="19">
        <v>8.7009000000000007</v>
      </c>
      <c r="AH69" s="19">
        <v>27.809900000000003</v>
      </c>
      <c r="AI69" s="19">
        <v>0.48499999999999999</v>
      </c>
      <c r="AJ69" s="19">
        <v>0</v>
      </c>
      <c r="AK69" s="19">
        <v>9.4672000000000001</v>
      </c>
      <c r="AL69" s="19">
        <v>4.3650000000000002</v>
      </c>
      <c r="AM69" s="19">
        <v>0.75660000000000005</v>
      </c>
      <c r="AN69" s="19">
        <v>9.4672000000000001</v>
      </c>
      <c r="AO69" s="19">
        <v>13.094999999999999</v>
      </c>
      <c r="AP69" s="19">
        <v>6.4310999999999998</v>
      </c>
      <c r="AQ69" s="19">
        <v>21.892900000000001</v>
      </c>
      <c r="AR69" s="19">
        <v>4.3650000000000002</v>
      </c>
      <c r="AS69" s="19">
        <v>0.75660000000000005</v>
      </c>
      <c r="AT69" s="19">
        <v>9.4672000000000001</v>
      </c>
      <c r="AU69" s="19">
        <v>13.094999999999999</v>
      </c>
      <c r="AV69" s="19">
        <v>6.4310999999999998</v>
      </c>
      <c r="AW69" s="19">
        <v>21.892900000000001</v>
      </c>
      <c r="AX69" s="19">
        <v>16.974999999999998</v>
      </c>
      <c r="AY69" s="19">
        <v>8.7009000000000007</v>
      </c>
      <c r="AZ69" s="19">
        <v>27.809900000000003</v>
      </c>
      <c r="BA69" s="19">
        <v>0.48499999999999999</v>
      </c>
      <c r="BB69" s="19">
        <v>0</v>
      </c>
      <c r="BC69" s="19">
        <v>9.4672000000000001</v>
      </c>
      <c r="BD69" s="19">
        <v>4.3650000000000002</v>
      </c>
      <c r="BE69" s="19">
        <v>0.75660000000000005</v>
      </c>
      <c r="BF69" s="19">
        <v>9.4672000000000001</v>
      </c>
      <c r="BG69" s="19">
        <v>13.094999999999999</v>
      </c>
      <c r="BH69" s="19">
        <v>6.4310999999999998</v>
      </c>
      <c r="BI69" s="19">
        <v>21.892900000000001</v>
      </c>
      <c r="BJ69" s="19">
        <v>4.3650000000000002</v>
      </c>
      <c r="BK69" s="19">
        <v>0.75660000000000005</v>
      </c>
      <c r="BL69" s="19">
        <v>9.4672000000000001</v>
      </c>
      <c r="BM69" s="19">
        <v>13.094999999999999</v>
      </c>
      <c r="BN69" s="19">
        <v>6.4310999999999998</v>
      </c>
      <c r="BO69" s="19">
        <v>21.892900000000001</v>
      </c>
      <c r="BP69" s="19"/>
      <c r="BQ6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8.8916666666666657</v>
      </c>
      <c r="BS6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21.892900000000001</v>
      </c>
      <c r="BT69" s="11">
        <f>Tabelle5897112140[[#This Row],[Mindestauslastung min]]*Tabelle5897112140[[#This Row],[installierte Leistung MW min]]</f>
        <v>0</v>
      </c>
      <c r="BU69" s="11">
        <f>Tabelle5897112140[[#This Row],[Mindestauslastung durch]]*Tabelle5897112140[[#This Row],[installierte Leistung MW durch]]</f>
        <v>0</v>
      </c>
      <c r="BV69" s="11">
        <f>Tabelle5897112140[[#This Row],[Mindestauslastung max]]*Tabelle5897112140[[#This Row],[installierte Leistung MW max]]</f>
        <v>0</v>
      </c>
      <c r="BW69" s="9">
        <v>0</v>
      </c>
      <c r="BX69" s="9">
        <v>0</v>
      </c>
      <c r="BY69" s="9">
        <v>0</v>
      </c>
      <c r="BZ69" s="9"/>
      <c r="CA69" s="9">
        <v>0.5</v>
      </c>
      <c r="CB69" s="9">
        <v>0.4</v>
      </c>
      <c r="CC69" s="9">
        <v>0.6</v>
      </c>
      <c r="CD69" s="9">
        <v>0.24</v>
      </c>
      <c r="CE69" s="9">
        <v>0.19</v>
      </c>
      <c r="CF69" s="9">
        <v>0.28999999999999998</v>
      </c>
      <c r="CG69" s="9">
        <v>0.24</v>
      </c>
      <c r="CH69" s="9">
        <v>0.19</v>
      </c>
      <c r="CI69" s="9">
        <v>0.28999999999999998</v>
      </c>
      <c r="CJ69" s="9">
        <v>0.5</v>
      </c>
      <c r="CK69" s="9">
        <v>0.4</v>
      </c>
      <c r="CL69" s="9">
        <v>0.6</v>
      </c>
      <c r="CM69" s="9">
        <v>0.24</v>
      </c>
      <c r="CN69" s="9">
        <v>0.19</v>
      </c>
      <c r="CO69" s="9">
        <v>0.28999999999999998</v>
      </c>
      <c r="CP69" s="9">
        <v>0.24</v>
      </c>
      <c r="CQ69" s="9">
        <v>0.19</v>
      </c>
      <c r="CR69" s="9">
        <v>0.28999999999999998</v>
      </c>
      <c r="CS69" s="9">
        <v>0.5</v>
      </c>
      <c r="CT69" s="9">
        <v>0.4</v>
      </c>
      <c r="CU69" s="9">
        <v>0.6</v>
      </c>
      <c r="CV69" s="9">
        <v>0.24</v>
      </c>
      <c r="CW69" s="9">
        <v>0.19</v>
      </c>
      <c r="CX69" s="9">
        <v>0.28999999999999998</v>
      </c>
      <c r="CY69" s="9">
        <v>0.24</v>
      </c>
      <c r="CZ69" s="9">
        <v>0.19</v>
      </c>
      <c r="DA69" s="9">
        <v>0.28999999999999998</v>
      </c>
      <c r="DB69" s="9">
        <f>MIN(Tabelle5897112140[[#This Row],[Durchschnittsauslastung durch Sommer WTT]:[Durchschnittsauslastung max Winter SFN]])</f>
        <v>0.19</v>
      </c>
      <c r="DC6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9" s="9">
        <f>MAX(Tabelle5897112140[[#This Row],[Durchschnittsauslastung durch Sommer WTT]:[Durchschnittsauslastung max Winter SFN]])</f>
        <v>0.6</v>
      </c>
      <c r="DE69" s="40">
        <f>Tabelle5897112140[[#This Row],[Durchschnittsauslastung min]]*Tabelle5897112140[[#This Row],[installierte Leistung MW min]]</f>
        <v>7.1876999999999995</v>
      </c>
      <c r="DF69" s="40">
        <f>Tabelle5897112140[[#This Row],[Durchschnittsauslastung durch]]*Tabelle5897112140[[#This Row],[installierte Leistung MW durch]]</f>
        <v>15.843333333333335</v>
      </c>
      <c r="DG69" s="40">
        <f>Tabelle5897112140[[#This Row],[Durchschnittsauslastung max]]*Tabelle5897112140[[#This Row],[installierte Leistung MW max]]</f>
        <v>35.502000000000002</v>
      </c>
      <c r="DH69" s="46">
        <f>Tabelle5897112140[[#This Row],[Maximalauslastung min]]*Tabelle5897112140[[#This Row],[installierte Leistung MW min]]</f>
        <v>37.83</v>
      </c>
      <c r="DI69" s="46">
        <f>Tabelle5897112140[[#This Row],[Maximalauslastung durch]]*Tabelle5897112140[[#This Row],[installierte Leistung MW durch]]</f>
        <v>48.5</v>
      </c>
      <c r="DJ69" s="19">
        <f>Tabelle5897112140[[#This Row],[Maximalauslastung max]]*Tabelle5897112140[[#This Row],[installierte Leistung MW durch]]</f>
        <v>48.5</v>
      </c>
      <c r="DK69" s="9">
        <v>1</v>
      </c>
      <c r="DL69" s="9">
        <v>1</v>
      </c>
      <c r="DM69" s="9">
        <v>1</v>
      </c>
      <c r="DN69" s="1">
        <v>48.5</v>
      </c>
      <c r="DO69" s="1">
        <v>37.83</v>
      </c>
      <c r="DP69" s="1">
        <v>59.17</v>
      </c>
      <c r="DQ69" s="19"/>
      <c r="DR69" s="19"/>
      <c r="DW69" s="1">
        <v>1.1000000000000001</v>
      </c>
      <c r="DX69" s="1">
        <v>0.8</v>
      </c>
      <c r="DY69" s="1">
        <v>1.4</v>
      </c>
      <c r="EL69" s="1">
        <v>365</v>
      </c>
      <c r="EM69" s="1">
        <v>292</v>
      </c>
      <c r="EN69" s="1">
        <v>438</v>
      </c>
      <c r="EO69" s="11"/>
      <c r="EP69" s="11"/>
      <c r="EQ69" s="11"/>
      <c r="ER69" s="1">
        <v>365</v>
      </c>
      <c r="ES69" s="1">
        <v>292</v>
      </c>
      <c r="ET69" s="1">
        <v>438</v>
      </c>
      <c r="EV69" s="19"/>
      <c r="EW69" s="19"/>
      <c r="EX69" s="19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O69" s="1">
        <v>67</v>
      </c>
      <c r="FP69" s="1">
        <v>67</v>
      </c>
      <c r="FQ69" s="1">
        <v>67</v>
      </c>
      <c r="FR69" s="13" t="s">
        <v>806</v>
      </c>
      <c r="FS69" s="13" t="s">
        <v>806</v>
      </c>
      <c r="FT69" s="13" t="s">
        <v>806</v>
      </c>
      <c r="FU69" s="13"/>
      <c r="FV69" s="13" t="s">
        <v>806</v>
      </c>
      <c r="FW69" s="13" t="s">
        <v>806</v>
      </c>
      <c r="FX69" s="13" t="s">
        <v>806</v>
      </c>
      <c r="FY69" s="13" t="s">
        <v>806</v>
      </c>
      <c r="FZ69" s="13" t="s">
        <v>806</v>
      </c>
      <c r="GA69" s="13" t="s">
        <v>806</v>
      </c>
      <c r="GB69" s="13" t="s">
        <v>806</v>
      </c>
      <c r="GE69" s="13" t="s">
        <v>806</v>
      </c>
      <c r="GF69" s="13" t="s">
        <v>806</v>
      </c>
      <c r="GH69" s="13" t="s">
        <v>806</v>
      </c>
    </row>
    <row r="70" spans="1:190" ht="15" customHeight="1" x14ac:dyDescent="0.25">
      <c r="A70" s="1" t="s">
        <v>208</v>
      </c>
      <c r="B70" s="1" t="s">
        <v>651</v>
      </c>
      <c r="C70" s="1" t="s">
        <v>657</v>
      </c>
      <c r="D70" s="1" t="s">
        <v>677</v>
      </c>
      <c r="E70" s="1" t="s">
        <v>126</v>
      </c>
      <c r="F70" s="1">
        <v>0</v>
      </c>
      <c r="G70" s="1">
        <v>2035</v>
      </c>
      <c r="H70" s="1">
        <v>1</v>
      </c>
      <c r="I70" s="1">
        <v>0</v>
      </c>
      <c r="J70" s="1">
        <v>0</v>
      </c>
      <c r="K7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0.74880000000000002</v>
      </c>
      <c r="L7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8.4799999999999986</v>
      </c>
      <c r="M7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27.523199999999999</v>
      </c>
      <c r="N70" s="19">
        <v>16.8</v>
      </c>
      <c r="O70" s="19">
        <v>8.6112000000000002</v>
      </c>
      <c r="P70" s="19">
        <v>27.523199999999999</v>
      </c>
      <c r="Q70" s="19">
        <v>0.48</v>
      </c>
      <c r="R70" s="19">
        <v>0</v>
      </c>
      <c r="S70" s="19">
        <v>9.3696000000000002</v>
      </c>
      <c r="T70" s="19">
        <v>4.32</v>
      </c>
      <c r="U70" s="19">
        <v>0.74880000000000002</v>
      </c>
      <c r="V70" s="19">
        <v>9.3696000000000002</v>
      </c>
      <c r="W70" s="19">
        <v>12.959999999999999</v>
      </c>
      <c r="X70" s="19">
        <v>6.3647999999999998</v>
      </c>
      <c r="Y70" s="19">
        <v>21.667200000000001</v>
      </c>
      <c r="Z70" s="19">
        <v>4.32</v>
      </c>
      <c r="AA70" s="19">
        <v>0.74880000000000002</v>
      </c>
      <c r="AB70" s="19">
        <v>9.3696000000000002</v>
      </c>
      <c r="AC70" s="19">
        <v>12.959999999999999</v>
      </c>
      <c r="AD70" s="19">
        <v>6.3647999999999998</v>
      </c>
      <c r="AE70" s="19">
        <v>21.667200000000001</v>
      </c>
      <c r="AF70" s="19">
        <v>16.8</v>
      </c>
      <c r="AG70" s="19">
        <v>8.6112000000000002</v>
      </c>
      <c r="AH70" s="19">
        <v>27.523199999999999</v>
      </c>
      <c r="AI70" s="19">
        <v>0.48</v>
      </c>
      <c r="AJ70" s="19">
        <v>0</v>
      </c>
      <c r="AK70" s="19">
        <v>9.3696000000000002</v>
      </c>
      <c r="AL70" s="19">
        <v>4.32</v>
      </c>
      <c r="AM70" s="19">
        <v>0.74880000000000002</v>
      </c>
      <c r="AN70" s="19">
        <v>9.3696000000000002</v>
      </c>
      <c r="AO70" s="19">
        <v>12.959999999999999</v>
      </c>
      <c r="AP70" s="19">
        <v>6.3647999999999998</v>
      </c>
      <c r="AQ70" s="19">
        <v>21.667200000000001</v>
      </c>
      <c r="AR70" s="19">
        <v>4.32</v>
      </c>
      <c r="AS70" s="19">
        <v>0.74880000000000002</v>
      </c>
      <c r="AT70" s="19">
        <v>9.3696000000000002</v>
      </c>
      <c r="AU70" s="19">
        <v>12.959999999999999</v>
      </c>
      <c r="AV70" s="19">
        <v>6.3647999999999998</v>
      </c>
      <c r="AW70" s="19">
        <v>21.667200000000001</v>
      </c>
      <c r="AX70" s="19">
        <v>16.8</v>
      </c>
      <c r="AY70" s="19">
        <v>8.6112000000000002</v>
      </c>
      <c r="AZ70" s="19">
        <v>27.523199999999999</v>
      </c>
      <c r="BA70" s="19">
        <v>0.48</v>
      </c>
      <c r="BB70" s="19">
        <v>0</v>
      </c>
      <c r="BC70" s="19">
        <v>9.3696000000000002</v>
      </c>
      <c r="BD70" s="19">
        <v>4.32</v>
      </c>
      <c r="BE70" s="19">
        <v>0.74880000000000002</v>
      </c>
      <c r="BF70" s="19">
        <v>9.3696000000000002</v>
      </c>
      <c r="BG70" s="19">
        <v>12.959999999999999</v>
      </c>
      <c r="BH70" s="19">
        <v>6.3647999999999998</v>
      </c>
      <c r="BI70" s="19">
        <v>21.667200000000001</v>
      </c>
      <c r="BJ70" s="19">
        <v>4.32</v>
      </c>
      <c r="BK70" s="19">
        <v>0.74880000000000002</v>
      </c>
      <c r="BL70" s="19">
        <v>9.3696000000000002</v>
      </c>
      <c r="BM70" s="19">
        <v>12.959999999999999</v>
      </c>
      <c r="BN70" s="19">
        <v>6.3647999999999998</v>
      </c>
      <c r="BO70" s="19">
        <v>21.667200000000001</v>
      </c>
      <c r="BP70" s="19"/>
      <c r="BQ7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8.7999999999999989</v>
      </c>
      <c r="BS7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21.667200000000001</v>
      </c>
      <c r="BT70" s="11">
        <f>Tabelle5897112140[[#This Row],[Mindestauslastung min]]*Tabelle5897112140[[#This Row],[installierte Leistung MW min]]</f>
        <v>0</v>
      </c>
      <c r="BU70" s="11">
        <f>Tabelle5897112140[[#This Row],[Mindestauslastung durch]]*Tabelle5897112140[[#This Row],[installierte Leistung MW durch]]</f>
        <v>0</v>
      </c>
      <c r="BV70" s="11">
        <f>Tabelle5897112140[[#This Row],[Mindestauslastung max]]*Tabelle5897112140[[#This Row],[installierte Leistung MW max]]</f>
        <v>0</v>
      </c>
      <c r="BW70" s="9">
        <v>0</v>
      </c>
      <c r="BX70" s="9">
        <v>0</v>
      </c>
      <c r="BY70" s="9">
        <v>0</v>
      </c>
      <c r="BZ70" s="9"/>
      <c r="CA70" s="9">
        <v>0.5</v>
      </c>
      <c r="CB70" s="9">
        <v>0.4</v>
      </c>
      <c r="CC70" s="9">
        <v>0.6</v>
      </c>
      <c r="CD70" s="9">
        <v>0.24</v>
      </c>
      <c r="CE70" s="9">
        <v>0.19</v>
      </c>
      <c r="CF70" s="9">
        <v>0.28999999999999998</v>
      </c>
      <c r="CG70" s="9">
        <v>0.24</v>
      </c>
      <c r="CH70" s="9">
        <v>0.19</v>
      </c>
      <c r="CI70" s="9">
        <v>0.28999999999999998</v>
      </c>
      <c r="CJ70" s="9">
        <v>0.5</v>
      </c>
      <c r="CK70" s="9">
        <v>0.4</v>
      </c>
      <c r="CL70" s="9">
        <v>0.6</v>
      </c>
      <c r="CM70" s="9">
        <v>0.24</v>
      </c>
      <c r="CN70" s="9">
        <v>0.19</v>
      </c>
      <c r="CO70" s="9">
        <v>0.28999999999999998</v>
      </c>
      <c r="CP70" s="9">
        <v>0.24</v>
      </c>
      <c r="CQ70" s="9">
        <v>0.19</v>
      </c>
      <c r="CR70" s="9">
        <v>0.28999999999999998</v>
      </c>
      <c r="CS70" s="9">
        <v>0.5</v>
      </c>
      <c r="CT70" s="9">
        <v>0.4</v>
      </c>
      <c r="CU70" s="9">
        <v>0.6</v>
      </c>
      <c r="CV70" s="9">
        <v>0.24</v>
      </c>
      <c r="CW70" s="9">
        <v>0.19</v>
      </c>
      <c r="CX70" s="9">
        <v>0.28999999999999998</v>
      </c>
      <c r="CY70" s="9">
        <v>0.24</v>
      </c>
      <c r="CZ70" s="9">
        <v>0.19</v>
      </c>
      <c r="DA70" s="9">
        <v>0.28999999999999998</v>
      </c>
      <c r="DB70" s="9">
        <f>MIN(Tabelle5897112140[[#This Row],[Durchschnittsauslastung durch Sommer WTT]:[Durchschnittsauslastung max Winter SFN]])</f>
        <v>0.19</v>
      </c>
      <c r="DC7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0" s="9">
        <f>MAX(Tabelle5897112140[[#This Row],[Durchschnittsauslastung durch Sommer WTT]:[Durchschnittsauslastung max Winter SFN]])</f>
        <v>0.6</v>
      </c>
      <c r="DE70" s="40">
        <f>Tabelle5897112140[[#This Row],[Durchschnittsauslastung min]]*Tabelle5897112140[[#This Row],[installierte Leistung MW min]]</f>
        <v>7.1135999999999999</v>
      </c>
      <c r="DF70" s="40">
        <f>Tabelle5897112140[[#This Row],[Durchschnittsauslastung durch]]*Tabelle5897112140[[#This Row],[installierte Leistung MW durch]]</f>
        <v>15.680000000000003</v>
      </c>
      <c r="DG70" s="40">
        <f>Tabelle5897112140[[#This Row],[Durchschnittsauslastung max]]*Tabelle5897112140[[#This Row],[installierte Leistung MW max]]</f>
        <v>35.136000000000003</v>
      </c>
      <c r="DH70" s="46">
        <f>Tabelle5897112140[[#This Row],[Maximalauslastung min]]*Tabelle5897112140[[#This Row],[installierte Leistung MW min]]</f>
        <v>37.44</v>
      </c>
      <c r="DI70" s="46">
        <f>Tabelle5897112140[[#This Row],[Maximalauslastung durch]]*Tabelle5897112140[[#This Row],[installierte Leistung MW durch]]</f>
        <v>48</v>
      </c>
      <c r="DJ70" s="19">
        <f>Tabelle5897112140[[#This Row],[Maximalauslastung max]]*Tabelle5897112140[[#This Row],[installierte Leistung MW durch]]</f>
        <v>48</v>
      </c>
      <c r="DK70" s="9">
        <v>1</v>
      </c>
      <c r="DL70" s="9">
        <v>1</v>
      </c>
      <c r="DM70" s="9">
        <v>1</v>
      </c>
      <c r="DN70" s="1">
        <v>48</v>
      </c>
      <c r="DO70" s="1">
        <v>37.44</v>
      </c>
      <c r="DP70" s="1">
        <v>58.56</v>
      </c>
      <c r="DQ70" s="19"/>
      <c r="DR70" s="19"/>
      <c r="DW70" s="1">
        <v>1.1000000000000001</v>
      </c>
      <c r="DX70" s="1">
        <v>0.8</v>
      </c>
      <c r="DY70" s="1">
        <v>1.4</v>
      </c>
      <c r="EL70" s="1">
        <v>365</v>
      </c>
      <c r="EM70" s="1">
        <v>292</v>
      </c>
      <c r="EN70" s="1">
        <v>438</v>
      </c>
      <c r="EO70" s="11"/>
      <c r="EP70" s="11"/>
      <c r="EQ70" s="11"/>
      <c r="ER70" s="1">
        <v>365</v>
      </c>
      <c r="ES70" s="1">
        <v>292</v>
      </c>
      <c r="ET70" s="1">
        <v>438</v>
      </c>
      <c r="EV70" s="19"/>
      <c r="EW70" s="19"/>
      <c r="EX70" s="19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O70" s="1">
        <v>67</v>
      </c>
      <c r="FP70" s="1">
        <v>67</v>
      </c>
      <c r="FQ70" s="1">
        <v>67</v>
      </c>
      <c r="FR70" s="13" t="s">
        <v>806</v>
      </c>
      <c r="FS70" s="13" t="s">
        <v>806</v>
      </c>
      <c r="FT70" s="13" t="s">
        <v>806</v>
      </c>
      <c r="FU70" s="13"/>
      <c r="FV70" s="13" t="s">
        <v>806</v>
      </c>
      <c r="FW70" s="13" t="s">
        <v>806</v>
      </c>
      <c r="FX70" s="13" t="s">
        <v>806</v>
      </c>
      <c r="FY70" s="13" t="s">
        <v>806</v>
      </c>
      <c r="FZ70" s="13" t="s">
        <v>806</v>
      </c>
      <c r="GA70" s="13" t="s">
        <v>806</v>
      </c>
      <c r="GB70" s="13" t="s">
        <v>806</v>
      </c>
      <c r="GE70" s="13" t="s">
        <v>806</v>
      </c>
      <c r="GF70" s="13" t="s">
        <v>806</v>
      </c>
      <c r="GH70" s="13" t="s">
        <v>806</v>
      </c>
    </row>
    <row r="71" spans="1:190" ht="15" customHeight="1" x14ac:dyDescent="0.25">
      <c r="A71" s="1" t="s">
        <v>208</v>
      </c>
      <c r="B71" s="1" t="s">
        <v>651</v>
      </c>
      <c r="C71" s="1" t="s">
        <v>657</v>
      </c>
      <c r="D71" s="1" t="s">
        <v>677</v>
      </c>
      <c r="E71" s="1" t="s">
        <v>126</v>
      </c>
      <c r="F71" s="1">
        <v>0</v>
      </c>
      <c r="G71" s="1">
        <v>2040</v>
      </c>
      <c r="H71" s="1">
        <v>1</v>
      </c>
      <c r="I71" s="1">
        <v>0</v>
      </c>
      <c r="J71" s="1">
        <v>0</v>
      </c>
      <c r="K7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0.74099999999999999</v>
      </c>
      <c r="L7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8.3916666666666675</v>
      </c>
      <c r="M7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27.236499999999999</v>
      </c>
      <c r="N71" s="19">
        <v>16.625</v>
      </c>
      <c r="O71" s="19">
        <v>8.5214999999999996</v>
      </c>
      <c r="P71" s="19">
        <v>27.236499999999999</v>
      </c>
      <c r="Q71" s="19">
        <v>0.47499999999999998</v>
      </c>
      <c r="R71" s="19">
        <v>0</v>
      </c>
      <c r="S71" s="19">
        <v>9.2720000000000002</v>
      </c>
      <c r="T71" s="19">
        <v>4.2749999999999995</v>
      </c>
      <c r="U71" s="19">
        <v>0.74099999999999999</v>
      </c>
      <c r="V71" s="19">
        <v>9.2720000000000002</v>
      </c>
      <c r="W71" s="19">
        <v>12.824999999999999</v>
      </c>
      <c r="X71" s="19">
        <v>6.2984999999999998</v>
      </c>
      <c r="Y71" s="19">
        <v>21.441499999999998</v>
      </c>
      <c r="Z71" s="19">
        <v>4.2749999999999995</v>
      </c>
      <c r="AA71" s="19">
        <v>0.74099999999999999</v>
      </c>
      <c r="AB71" s="19">
        <v>9.2720000000000002</v>
      </c>
      <c r="AC71" s="19">
        <v>12.824999999999999</v>
      </c>
      <c r="AD71" s="19">
        <v>6.2984999999999998</v>
      </c>
      <c r="AE71" s="19">
        <v>21.441499999999998</v>
      </c>
      <c r="AF71" s="19">
        <v>16.625</v>
      </c>
      <c r="AG71" s="19">
        <v>8.5214999999999996</v>
      </c>
      <c r="AH71" s="19">
        <v>27.236499999999999</v>
      </c>
      <c r="AI71" s="19">
        <v>0.47499999999999998</v>
      </c>
      <c r="AJ71" s="19">
        <v>0</v>
      </c>
      <c r="AK71" s="19">
        <v>9.2720000000000002</v>
      </c>
      <c r="AL71" s="19">
        <v>4.2749999999999995</v>
      </c>
      <c r="AM71" s="19">
        <v>0.74099999999999999</v>
      </c>
      <c r="AN71" s="19">
        <v>9.2720000000000002</v>
      </c>
      <c r="AO71" s="19">
        <v>12.824999999999999</v>
      </c>
      <c r="AP71" s="19">
        <v>6.2984999999999998</v>
      </c>
      <c r="AQ71" s="19">
        <v>21.441499999999998</v>
      </c>
      <c r="AR71" s="19">
        <v>4.2749999999999995</v>
      </c>
      <c r="AS71" s="19">
        <v>0.74099999999999999</v>
      </c>
      <c r="AT71" s="19">
        <v>9.2720000000000002</v>
      </c>
      <c r="AU71" s="19">
        <v>12.824999999999999</v>
      </c>
      <c r="AV71" s="19">
        <v>6.2984999999999998</v>
      </c>
      <c r="AW71" s="19">
        <v>21.441499999999998</v>
      </c>
      <c r="AX71" s="19">
        <v>16.625</v>
      </c>
      <c r="AY71" s="19">
        <v>8.5214999999999996</v>
      </c>
      <c r="AZ71" s="19">
        <v>27.236499999999999</v>
      </c>
      <c r="BA71" s="19">
        <v>0.47499999999999998</v>
      </c>
      <c r="BB71" s="19">
        <v>0</v>
      </c>
      <c r="BC71" s="19">
        <v>9.2720000000000002</v>
      </c>
      <c r="BD71" s="19">
        <v>4.2749999999999995</v>
      </c>
      <c r="BE71" s="19">
        <v>0.74099999999999999</v>
      </c>
      <c r="BF71" s="19">
        <v>9.2720000000000002</v>
      </c>
      <c r="BG71" s="19">
        <v>12.824999999999999</v>
      </c>
      <c r="BH71" s="19">
        <v>6.2984999999999998</v>
      </c>
      <c r="BI71" s="19">
        <v>21.441499999999998</v>
      </c>
      <c r="BJ71" s="19">
        <v>4.2749999999999995</v>
      </c>
      <c r="BK71" s="19">
        <v>0.74099999999999999</v>
      </c>
      <c r="BL71" s="19">
        <v>9.2720000000000002</v>
      </c>
      <c r="BM71" s="19">
        <v>12.824999999999999</v>
      </c>
      <c r="BN71" s="19">
        <v>6.2984999999999998</v>
      </c>
      <c r="BO71" s="19">
        <v>21.441499999999998</v>
      </c>
      <c r="BP71" s="19"/>
      <c r="BQ7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8.7083333333333339</v>
      </c>
      <c r="BS7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21.441499999999998</v>
      </c>
      <c r="BT71" s="11">
        <f>Tabelle5897112140[[#This Row],[Mindestauslastung min]]*Tabelle5897112140[[#This Row],[installierte Leistung MW min]]</f>
        <v>0</v>
      </c>
      <c r="BU71" s="11">
        <f>Tabelle5897112140[[#This Row],[Mindestauslastung durch]]*Tabelle5897112140[[#This Row],[installierte Leistung MW durch]]</f>
        <v>0</v>
      </c>
      <c r="BV71" s="11">
        <f>Tabelle5897112140[[#This Row],[Mindestauslastung max]]*Tabelle5897112140[[#This Row],[installierte Leistung MW max]]</f>
        <v>0</v>
      </c>
      <c r="BW71" s="9">
        <v>0</v>
      </c>
      <c r="BX71" s="9">
        <v>0</v>
      </c>
      <c r="BY71" s="9">
        <v>0</v>
      </c>
      <c r="BZ71" s="9"/>
      <c r="CA71" s="9">
        <v>0.5</v>
      </c>
      <c r="CB71" s="9">
        <v>0.4</v>
      </c>
      <c r="CC71" s="9">
        <v>0.6</v>
      </c>
      <c r="CD71" s="9">
        <v>0.24</v>
      </c>
      <c r="CE71" s="9">
        <v>0.19</v>
      </c>
      <c r="CF71" s="9">
        <v>0.28999999999999998</v>
      </c>
      <c r="CG71" s="9">
        <v>0.24</v>
      </c>
      <c r="CH71" s="9">
        <v>0.19</v>
      </c>
      <c r="CI71" s="9">
        <v>0.28999999999999998</v>
      </c>
      <c r="CJ71" s="9">
        <v>0.5</v>
      </c>
      <c r="CK71" s="9">
        <v>0.4</v>
      </c>
      <c r="CL71" s="9">
        <v>0.6</v>
      </c>
      <c r="CM71" s="9">
        <v>0.24</v>
      </c>
      <c r="CN71" s="9">
        <v>0.19</v>
      </c>
      <c r="CO71" s="9">
        <v>0.28999999999999998</v>
      </c>
      <c r="CP71" s="9">
        <v>0.24</v>
      </c>
      <c r="CQ71" s="9">
        <v>0.19</v>
      </c>
      <c r="CR71" s="9">
        <v>0.28999999999999998</v>
      </c>
      <c r="CS71" s="9">
        <v>0.5</v>
      </c>
      <c r="CT71" s="9">
        <v>0.4</v>
      </c>
      <c r="CU71" s="9">
        <v>0.6</v>
      </c>
      <c r="CV71" s="9">
        <v>0.24</v>
      </c>
      <c r="CW71" s="9">
        <v>0.19</v>
      </c>
      <c r="CX71" s="9">
        <v>0.28999999999999998</v>
      </c>
      <c r="CY71" s="9">
        <v>0.24</v>
      </c>
      <c r="CZ71" s="9">
        <v>0.19</v>
      </c>
      <c r="DA71" s="9">
        <v>0.28999999999999998</v>
      </c>
      <c r="DB71" s="9">
        <f>MIN(Tabelle5897112140[[#This Row],[Durchschnittsauslastung durch Sommer WTT]:[Durchschnittsauslastung max Winter SFN]])</f>
        <v>0.19</v>
      </c>
      <c r="DC7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1" s="9">
        <f>MAX(Tabelle5897112140[[#This Row],[Durchschnittsauslastung durch Sommer WTT]:[Durchschnittsauslastung max Winter SFN]])</f>
        <v>0.6</v>
      </c>
      <c r="DE71" s="40">
        <f>Tabelle5897112140[[#This Row],[Durchschnittsauslastung min]]*Tabelle5897112140[[#This Row],[installierte Leistung MW min]]</f>
        <v>7.0394999999999994</v>
      </c>
      <c r="DF71" s="40">
        <f>Tabelle5897112140[[#This Row],[Durchschnittsauslastung durch]]*Tabelle5897112140[[#This Row],[installierte Leistung MW durch]]</f>
        <v>15.516666666666669</v>
      </c>
      <c r="DG71" s="40">
        <f>Tabelle5897112140[[#This Row],[Durchschnittsauslastung max]]*Tabelle5897112140[[#This Row],[installierte Leistung MW max]]</f>
        <v>34.770000000000003</v>
      </c>
      <c r="DH71" s="46">
        <f>Tabelle5897112140[[#This Row],[Maximalauslastung min]]*Tabelle5897112140[[#This Row],[installierte Leistung MW min]]</f>
        <v>37.049999999999997</v>
      </c>
      <c r="DI71" s="46">
        <f>Tabelle5897112140[[#This Row],[Maximalauslastung durch]]*Tabelle5897112140[[#This Row],[installierte Leistung MW durch]]</f>
        <v>47.5</v>
      </c>
      <c r="DJ71" s="19">
        <f>Tabelle5897112140[[#This Row],[Maximalauslastung max]]*Tabelle5897112140[[#This Row],[installierte Leistung MW durch]]</f>
        <v>47.5</v>
      </c>
      <c r="DK71" s="9">
        <v>1</v>
      </c>
      <c r="DL71" s="9">
        <v>1</v>
      </c>
      <c r="DM71" s="9">
        <v>1</v>
      </c>
      <c r="DN71" s="1">
        <v>47.5</v>
      </c>
      <c r="DO71" s="1">
        <v>37.049999999999997</v>
      </c>
      <c r="DP71" s="1">
        <v>57.95</v>
      </c>
      <c r="DQ71" s="19"/>
      <c r="DR71" s="19"/>
      <c r="DW71" s="1">
        <v>1.1000000000000001</v>
      </c>
      <c r="DX71" s="1">
        <v>0.8</v>
      </c>
      <c r="DY71" s="1">
        <v>1.4</v>
      </c>
      <c r="EL71" s="1">
        <v>365</v>
      </c>
      <c r="EM71" s="1">
        <v>292</v>
      </c>
      <c r="EN71" s="1">
        <v>438</v>
      </c>
      <c r="EO71" s="11"/>
      <c r="EP71" s="11"/>
      <c r="EQ71" s="11"/>
      <c r="ER71" s="1">
        <v>365</v>
      </c>
      <c r="ES71" s="1">
        <v>292</v>
      </c>
      <c r="ET71" s="1">
        <v>438</v>
      </c>
      <c r="EV71" s="19"/>
      <c r="EW71" s="19"/>
      <c r="EX71" s="19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O71" s="1">
        <v>67</v>
      </c>
      <c r="FP71" s="1">
        <v>67</v>
      </c>
      <c r="FQ71" s="1">
        <v>67</v>
      </c>
      <c r="FR71" s="13" t="s">
        <v>806</v>
      </c>
      <c r="FS71" s="13" t="s">
        <v>806</v>
      </c>
      <c r="FT71" s="13" t="s">
        <v>806</v>
      </c>
      <c r="FU71" s="13"/>
      <c r="FV71" s="13" t="s">
        <v>806</v>
      </c>
      <c r="FW71" s="13" t="s">
        <v>806</v>
      </c>
      <c r="FX71" s="13" t="s">
        <v>806</v>
      </c>
      <c r="FY71" s="13" t="s">
        <v>806</v>
      </c>
      <c r="FZ71" s="13" t="s">
        <v>806</v>
      </c>
      <c r="GA71" s="13" t="s">
        <v>806</v>
      </c>
      <c r="GB71" s="13" t="s">
        <v>806</v>
      </c>
      <c r="GE71" s="13" t="s">
        <v>806</v>
      </c>
      <c r="GF71" s="13" t="s">
        <v>806</v>
      </c>
      <c r="GH71" s="13" t="s">
        <v>806</v>
      </c>
    </row>
    <row r="72" spans="1:190" ht="15" customHeight="1" x14ac:dyDescent="0.25">
      <c r="A72" s="1" t="s">
        <v>208</v>
      </c>
      <c r="B72" s="1" t="s">
        <v>651</v>
      </c>
      <c r="C72" s="1" t="s">
        <v>657</v>
      </c>
      <c r="D72" s="1" t="s">
        <v>677</v>
      </c>
      <c r="E72" s="1" t="s">
        <v>126</v>
      </c>
      <c r="F72" s="1">
        <v>0</v>
      </c>
      <c r="G72" s="1">
        <v>2045</v>
      </c>
      <c r="H72" s="1">
        <v>1</v>
      </c>
      <c r="I72" s="1">
        <v>0</v>
      </c>
      <c r="J72" s="1">
        <v>0</v>
      </c>
      <c r="K7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0.74099999999999999</v>
      </c>
      <c r="L7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8.3916666666666675</v>
      </c>
      <c r="M7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27.236499999999999</v>
      </c>
      <c r="N72" s="19">
        <v>16.625</v>
      </c>
      <c r="O72" s="19">
        <v>8.5214999999999996</v>
      </c>
      <c r="P72" s="19">
        <v>27.236499999999999</v>
      </c>
      <c r="Q72" s="19">
        <v>0.47499999999999998</v>
      </c>
      <c r="R72" s="19">
        <v>0</v>
      </c>
      <c r="S72" s="19">
        <v>9.2720000000000002</v>
      </c>
      <c r="T72" s="19">
        <v>4.2749999999999995</v>
      </c>
      <c r="U72" s="19">
        <v>0.74099999999999999</v>
      </c>
      <c r="V72" s="19">
        <v>9.2720000000000002</v>
      </c>
      <c r="W72" s="19">
        <v>12.824999999999999</v>
      </c>
      <c r="X72" s="19">
        <v>6.2984999999999998</v>
      </c>
      <c r="Y72" s="19">
        <v>21.441499999999998</v>
      </c>
      <c r="Z72" s="19">
        <v>4.2749999999999995</v>
      </c>
      <c r="AA72" s="19">
        <v>0.74099999999999999</v>
      </c>
      <c r="AB72" s="19">
        <v>9.2720000000000002</v>
      </c>
      <c r="AC72" s="19">
        <v>12.824999999999999</v>
      </c>
      <c r="AD72" s="19">
        <v>6.2984999999999998</v>
      </c>
      <c r="AE72" s="19">
        <v>21.441499999999998</v>
      </c>
      <c r="AF72" s="19">
        <v>16.625</v>
      </c>
      <c r="AG72" s="19">
        <v>8.5214999999999996</v>
      </c>
      <c r="AH72" s="19">
        <v>27.236499999999999</v>
      </c>
      <c r="AI72" s="19">
        <v>0.47499999999999998</v>
      </c>
      <c r="AJ72" s="19">
        <v>0</v>
      </c>
      <c r="AK72" s="19">
        <v>9.2720000000000002</v>
      </c>
      <c r="AL72" s="19">
        <v>4.2749999999999995</v>
      </c>
      <c r="AM72" s="19">
        <v>0.74099999999999999</v>
      </c>
      <c r="AN72" s="19">
        <v>9.2720000000000002</v>
      </c>
      <c r="AO72" s="19">
        <v>12.824999999999999</v>
      </c>
      <c r="AP72" s="19">
        <v>6.2984999999999998</v>
      </c>
      <c r="AQ72" s="19">
        <v>21.441499999999998</v>
      </c>
      <c r="AR72" s="19">
        <v>4.2749999999999995</v>
      </c>
      <c r="AS72" s="19">
        <v>0.74099999999999999</v>
      </c>
      <c r="AT72" s="19">
        <v>9.2720000000000002</v>
      </c>
      <c r="AU72" s="19">
        <v>12.824999999999999</v>
      </c>
      <c r="AV72" s="19">
        <v>6.2984999999999998</v>
      </c>
      <c r="AW72" s="19">
        <v>21.441499999999998</v>
      </c>
      <c r="AX72" s="19">
        <v>16.625</v>
      </c>
      <c r="AY72" s="19">
        <v>8.5214999999999996</v>
      </c>
      <c r="AZ72" s="19">
        <v>27.236499999999999</v>
      </c>
      <c r="BA72" s="19">
        <v>0.47499999999999998</v>
      </c>
      <c r="BB72" s="19">
        <v>0</v>
      </c>
      <c r="BC72" s="19">
        <v>9.2720000000000002</v>
      </c>
      <c r="BD72" s="19">
        <v>4.2749999999999995</v>
      </c>
      <c r="BE72" s="19">
        <v>0.74099999999999999</v>
      </c>
      <c r="BF72" s="19">
        <v>9.2720000000000002</v>
      </c>
      <c r="BG72" s="19">
        <v>12.824999999999999</v>
      </c>
      <c r="BH72" s="19">
        <v>6.2984999999999998</v>
      </c>
      <c r="BI72" s="19">
        <v>21.441499999999998</v>
      </c>
      <c r="BJ72" s="19">
        <v>4.2749999999999995</v>
      </c>
      <c r="BK72" s="19">
        <v>0.74099999999999999</v>
      </c>
      <c r="BL72" s="19">
        <v>9.2720000000000002</v>
      </c>
      <c r="BM72" s="19">
        <v>12.824999999999999</v>
      </c>
      <c r="BN72" s="19">
        <v>6.2984999999999998</v>
      </c>
      <c r="BO72" s="19">
        <v>21.441499999999998</v>
      </c>
      <c r="BP72" s="19"/>
      <c r="BQ7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8.7083333333333339</v>
      </c>
      <c r="BS7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21.441499999999998</v>
      </c>
      <c r="BT72" s="11">
        <f>Tabelle5897112140[[#This Row],[Mindestauslastung min]]*Tabelle5897112140[[#This Row],[installierte Leistung MW min]]</f>
        <v>0</v>
      </c>
      <c r="BU72" s="11">
        <f>Tabelle5897112140[[#This Row],[Mindestauslastung durch]]*Tabelle5897112140[[#This Row],[installierte Leistung MW durch]]</f>
        <v>0</v>
      </c>
      <c r="BV72" s="11">
        <f>Tabelle5897112140[[#This Row],[Mindestauslastung max]]*Tabelle5897112140[[#This Row],[installierte Leistung MW max]]</f>
        <v>0</v>
      </c>
      <c r="BW72" s="9">
        <v>0</v>
      </c>
      <c r="BX72" s="9">
        <v>0</v>
      </c>
      <c r="BY72" s="9">
        <v>0</v>
      </c>
      <c r="BZ72" s="9"/>
      <c r="CA72" s="9">
        <v>0.5</v>
      </c>
      <c r="CB72" s="9">
        <v>0.4</v>
      </c>
      <c r="CC72" s="9">
        <v>0.6</v>
      </c>
      <c r="CD72" s="9">
        <v>0.24</v>
      </c>
      <c r="CE72" s="9">
        <v>0.19</v>
      </c>
      <c r="CF72" s="9">
        <v>0.28999999999999998</v>
      </c>
      <c r="CG72" s="9">
        <v>0.24</v>
      </c>
      <c r="CH72" s="9">
        <v>0.19</v>
      </c>
      <c r="CI72" s="9">
        <v>0.28999999999999998</v>
      </c>
      <c r="CJ72" s="9">
        <v>0.5</v>
      </c>
      <c r="CK72" s="9">
        <v>0.4</v>
      </c>
      <c r="CL72" s="9">
        <v>0.6</v>
      </c>
      <c r="CM72" s="9">
        <v>0.24</v>
      </c>
      <c r="CN72" s="9">
        <v>0.19</v>
      </c>
      <c r="CO72" s="9">
        <v>0.28999999999999998</v>
      </c>
      <c r="CP72" s="9">
        <v>0.24</v>
      </c>
      <c r="CQ72" s="9">
        <v>0.19</v>
      </c>
      <c r="CR72" s="9">
        <v>0.28999999999999998</v>
      </c>
      <c r="CS72" s="9">
        <v>0.5</v>
      </c>
      <c r="CT72" s="9">
        <v>0.4</v>
      </c>
      <c r="CU72" s="9">
        <v>0.6</v>
      </c>
      <c r="CV72" s="9">
        <v>0.24</v>
      </c>
      <c r="CW72" s="9">
        <v>0.19</v>
      </c>
      <c r="CX72" s="9">
        <v>0.28999999999999998</v>
      </c>
      <c r="CY72" s="9">
        <v>0.24</v>
      </c>
      <c r="CZ72" s="9">
        <v>0.19</v>
      </c>
      <c r="DA72" s="9">
        <v>0.28999999999999998</v>
      </c>
      <c r="DB72" s="9">
        <f>MIN(Tabelle5897112140[[#This Row],[Durchschnittsauslastung durch Sommer WTT]:[Durchschnittsauslastung max Winter SFN]])</f>
        <v>0.19</v>
      </c>
      <c r="DC7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2" s="9">
        <f>MAX(Tabelle5897112140[[#This Row],[Durchschnittsauslastung durch Sommer WTT]:[Durchschnittsauslastung max Winter SFN]])</f>
        <v>0.6</v>
      </c>
      <c r="DE72" s="40">
        <f>Tabelle5897112140[[#This Row],[Durchschnittsauslastung min]]*Tabelle5897112140[[#This Row],[installierte Leistung MW min]]</f>
        <v>7.0394999999999994</v>
      </c>
      <c r="DF72" s="40">
        <f>Tabelle5897112140[[#This Row],[Durchschnittsauslastung durch]]*Tabelle5897112140[[#This Row],[installierte Leistung MW durch]]</f>
        <v>15.516666666666669</v>
      </c>
      <c r="DG72" s="40">
        <f>Tabelle5897112140[[#This Row],[Durchschnittsauslastung max]]*Tabelle5897112140[[#This Row],[installierte Leistung MW max]]</f>
        <v>34.770000000000003</v>
      </c>
      <c r="DH72" s="46">
        <f>Tabelle5897112140[[#This Row],[Maximalauslastung min]]*Tabelle5897112140[[#This Row],[installierte Leistung MW min]]</f>
        <v>37.049999999999997</v>
      </c>
      <c r="DI72" s="46">
        <f>Tabelle5897112140[[#This Row],[Maximalauslastung durch]]*Tabelle5897112140[[#This Row],[installierte Leistung MW durch]]</f>
        <v>47.5</v>
      </c>
      <c r="DJ72" s="19">
        <f>Tabelle5897112140[[#This Row],[Maximalauslastung max]]*Tabelle5897112140[[#This Row],[installierte Leistung MW durch]]</f>
        <v>47.5</v>
      </c>
      <c r="DK72" s="9">
        <v>1</v>
      </c>
      <c r="DL72" s="9">
        <v>1</v>
      </c>
      <c r="DM72" s="9">
        <v>1</v>
      </c>
      <c r="DN72" s="1">
        <v>47.5</v>
      </c>
      <c r="DO72" s="1">
        <v>37.049999999999997</v>
      </c>
      <c r="DP72" s="1">
        <v>57.95</v>
      </c>
      <c r="DQ72" s="19"/>
      <c r="DR72" s="19"/>
      <c r="DW72" s="1">
        <v>1.1000000000000001</v>
      </c>
      <c r="DX72" s="1">
        <v>0.8</v>
      </c>
      <c r="DY72" s="1">
        <v>1.4</v>
      </c>
      <c r="EL72" s="1">
        <v>365</v>
      </c>
      <c r="EM72" s="1">
        <v>292</v>
      </c>
      <c r="EN72" s="1">
        <v>438</v>
      </c>
      <c r="EO72" s="11"/>
      <c r="EP72" s="11"/>
      <c r="EQ72" s="11"/>
      <c r="ER72" s="1">
        <v>365</v>
      </c>
      <c r="ES72" s="1">
        <v>292</v>
      </c>
      <c r="ET72" s="1">
        <v>438</v>
      </c>
      <c r="EV72" s="19"/>
      <c r="EW72" s="19"/>
      <c r="EX72" s="19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O72" s="1">
        <v>67</v>
      </c>
      <c r="FP72" s="1">
        <v>67</v>
      </c>
      <c r="FQ72" s="1">
        <v>67</v>
      </c>
      <c r="FR72" s="13" t="s">
        <v>806</v>
      </c>
      <c r="FS72" s="13" t="s">
        <v>806</v>
      </c>
      <c r="FT72" s="13" t="s">
        <v>806</v>
      </c>
      <c r="FU72" s="13"/>
      <c r="FV72" s="13" t="s">
        <v>806</v>
      </c>
      <c r="FW72" s="13" t="s">
        <v>806</v>
      </c>
      <c r="FX72" s="13" t="s">
        <v>806</v>
      </c>
      <c r="FY72" s="13" t="s">
        <v>806</v>
      </c>
      <c r="FZ72" s="13" t="s">
        <v>806</v>
      </c>
      <c r="GA72" s="13" t="s">
        <v>806</v>
      </c>
      <c r="GB72" s="13" t="s">
        <v>806</v>
      </c>
      <c r="GE72" s="13" t="s">
        <v>806</v>
      </c>
      <c r="GF72" s="13" t="s">
        <v>806</v>
      </c>
      <c r="GH72" s="13" t="s">
        <v>806</v>
      </c>
    </row>
    <row r="73" spans="1:190" ht="15" customHeight="1" x14ac:dyDescent="0.25">
      <c r="A73" s="1" t="s">
        <v>208</v>
      </c>
      <c r="B73" s="1" t="s">
        <v>651</v>
      </c>
      <c r="C73" s="1" t="s">
        <v>657</v>
      </c>
      <c r="D73" s="1" t="s">
        <v>677</v>
      </c>
      <c r="E73" s="1" t="s">
        <v>126</v>
      </c>
      <c r="F73" s="1">
        <v>0</v>
      </c>
      <c r="G73" s="1">
        <v>2050</v>
      </c>
      <c r="H73" s="1">
        <v>1</v>
      </c>
      <c r="I73" s="1">
        <v>0</v>
      </c>
      <c r="J73" s="1">
        <v>0</v>
      </c>
      <c r="K7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0.73319999999999996</v>
      </c>
      <c r="L7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8.3033333333333346</v>
      </c>
      <c r="M7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26.9498</v>
      </c>
      <c r="N73" s="19">
        <v>16.45</v>
      </c>
      <c r="O73" s="19">
        <v>8.4318000000000008</v>
      </c>
      <c r="P73" s="19">
        <v>26.9498</v>
      </c>
      <c r="Q73" s="19">
        <v>0.47</v>
      </c>
      <c r="R73" s="19">
        <v>0</v>
      </c>
      <c r="S73" s="19">
        <v>9.1743999999999986</v>
      </c>
      <c r="T73" s="19">
        <v>4.2299999999999995</v>
      </c>
      <c r="U73" s="19">
        <v>0.73319999999999996</v>
      </c>
      <c r="V73" s="19">
        <v>9.1743999999999986</v>
      </c>
      <c r="W73" s="19">
        <v>12.69</v>
      </c>
      <c r="X73" s="19">
        <v>6.2321999999999997</v>
      </c>
      <c r="Y73" s="19">
        <v>21.215799999999998</v>
      </c>
      <c r="Z73" s="19">
        <v>4.2299999999999995</v>
      </c>
      <c r="AA73" s="19">
        <v>0.73319999999999996</v>
      </c>
      <c r="AB73" s="19">
        <v>9.1743999999999986</v>
      </c>
      <c r="AC73" s="19">
        <v>12.69</v>
      </c>
      <c r="AD73" s="19">
        <v>6.2321999999999997</v>
      </c>
      <c r="AE73" s="19">
        <v>21.215799999999998</v>
      </c>
      <c r="AF73" s="19">
        <v>16.45</v>
      </c>
      <c r="AG73" s="19">
        <v>8.4318000000000008</v>
      </c>
      <c r="AH73" s="19">
        <v>26.9498</v>
      </c>
      <c r="AI73" s="19">
        <v>0.47</v>
      </c>
      <c r="AJ73" s="19">
        <v>0</v>
      </c>
      <c r="AK73" s="19">
        <v>9.1743999999999986</v>
      </c>
      <c r="AL73" s="19">
        <v>4.2299999999999995</v>
      </c>
      <c r="AM73" s="19">
        <v>0.73319999999999996</v>
      </c>
      <c r="AN73" s="19">
        <v>9.1743999999999986</v>
      </c>
      <c r="AO73" s="19">
        <v>12.69</v>
      </c>
      <c r="AP73" s="19">
        <v>6.2321999999999997</v>
      </c>
      <c r="AQ73" s="19">
        <v>21.215799999999998</v>
      </c>
      <c r="AR73" s="19">
        <v>4.2299999999999995</v>
      </c>
      <c r="AS73" s="19">
        <v>0.73319999999999996</v>
      </c>
      <c r="AT73" s="19">
        <v>9.1743999999999986</v>
      </c>
      <c r="AU73" s="19">
        <v>12.69</v>
      </c>
      <c r="AV73" s="19">
        <v>6.2321999999999997</v>
      </c>
      <c r="AW73" s="19">
        <v>21.215799999999998</v>
      </c>
      <c r="AX73" s="19">
        <v>16.45</v>
      </c>
      <c r="AY73" s="19">
        <v>8.4318000000000008</v>
      </c>
      <c r="AZ73" s="19">
        <v>26.9498</v>
      </c>
      <c r="BA73" s="19">
        <v>0.47</v>
      </c>
      <c r="BB73" s="19">
        <v>0</v>
      </c>
      <c r="BC73" s="19">
        <v>9.1743999999999986</v>
      </c>
      <c r="BD73" s="19">
        <v>4.2299999999999995</v>
      </c>
      <c r="BE73" s="19">
        <v>0.73319999999999996</v>
      </c>
      <c r="BF73" s="19">
        <v>9.1743999999999986</v>
      </c>
      <c r="BG73" s="19">
        <v>12.69</v>
      </c>
      <c r="BH73" s="19">
        <v>6.2321999999999997</v>
      </c>
      <c r="BI73" s="19">
        <v>21.215799999999998</v>
      </c>
      <c r="BJ73" s="19">
        <v>4.2299999999999995</v>
      </c>
      <c r="BK73" s="19">
        <v>0.73319999999999996</v>
      </c>
      <c r="BL73" s="19">
        <v>9.1743999999999986</v>
      </c>
      <c r="BM73" s="19">
        <v>12.69</v>
      </c>
      <c r="BN73" s="19">
        <v>6.2321999999999997</v>
      </c>
      <c r="BO73" s="19">
        <v>21.215799999999998</v>
      </c>
      <c r="BP73" s="19"/>
      <c r="BQ7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8.6166666666666671</v>
      </c>
      <c r="BS7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21.215799999999998</v>
      </c>
      <c r="BT73" s="11">
        <f>Tabelle5897112140[[#This Row],[Mindestauslastung min]]*Tabelle5897112140[[#This Row],[installierte Leistung MW min]]</f>
        <v>0</v>
      </c>
      <c r="BU73" s="11">
        <f>Tabelle5897112140[[#This Row],[Mindestauslastung durch]]*Tabelle5897112140[[#This Row],[installierte Leistung MW durch]]</f>
        <v>0</v>
      </c>
      <c r="BV73" s="11">
        <f>Tabelle5897112140[[#This Row],[Mindestauslastung max]]*Tabelle5897112140[[#This Row],[installierte Leistung MW max]]</f>
        <v>0</v>
      </c>
      <c r="BW73" s="9">
        <v>0</v>
      </c>
      <c r="BX73" s="9">
        <v>0</v>
      </c>
      <c r="BY73" s="9">
        <v>0</v>
      </c>
      <c r="BZ73" s="9"/>
      <c r="CA73" s="9">
        <v>0.5</v>
      </c>
      <c r="CB73" s="9">
        <v>0.4</v>
      </c>
      <c r="CC73" s="9">
        <v>0.6</v>
      </c>
      <c r="CD73" s="9">
        <v>0.24</v>
      </c>
      <c r="CE73" s="9">
        <v>0.19</v>
      </c>
      <c r="CF73" s="9">
        <v>0.28999999999999998</v>
      </c>
      <c r="CG73" s="9">
        <v>0.24</v>
      </c>
      <c r="CH73" s="9">
        <v>0.19</v>
      </c>
      <c r="CI73" s="9">
        <v>0.28999999999999998</v>
      </c>
      <c r="CJ73" s="9">
        <v>0.5</v>
      </c>
      <c r="CK73" s="9">
        <v>0.4</v>
      </c>
      <c r="CL73" s="9">
        <v>0.6</v>
      </c>
      <c r="CM73" s="9">
        <v>0.24</v>
      </c>
      <c r="CN73" s="9">
        <v>0.19</v>
      </c>
      <c r="CO73" s="9">
        <v>0.28999999999999998</v>
      </c>
      <c r="CP73" s="9">
        <v>0.24</v>
      </c>
      <c r="CQ73" s="9">
        <v>0.19</v>
      </c>
      <c r="CR73" s="9">
        <v>0.28999999999999998</v>
      </c>
      <c r="CS73" s="9">
        <v>0.5</v>
      </c>
      <c r="CT73" s="9">
        <v>0.4</v>
      </c>
      <c r="CU73" s="9">
        <v>0.6</v>
      </c>
      <c r="CV73" s="9">
        <v>0.24</v>
      </c>
      <c r="CW73" s="9">
        <v>0.19</v>
      </c>
      <c r="CX73" s="9">
        <v>0.28999999999999998</v>
      </c>
      <c r="CY73" s="9">
        <v>0.24</v>
      </c>
      <c r="CZ73" s="9">
        <v>0.19</v>
      </c>
      <c r="DA73" s="9">
        <v>0.28999999999999998</v>
      </c>
      <c r="DB73" s="9">
        <f>MIN(Tabelle5897112140[[#This Row],[Durchschnittsauslastung durch Sommer WTT]:[Durchschnittsauslastung max Winter SFN]])</f>
        <v>0.19</v>
      </c>
      <c r="DC7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3" s="9">
        <f>MAX(Tabelle5897112140[[#This Row],[Durchschnittsauslastung durch Sommer WTT]:[Durchschnittsauslastung max Winter SFN]])</f>
        <v>0.6</v>
      </c>
      <c r="DE73" s="40">
        <f>Tabelle5897112140[[#This Row],[Durchschnittsauslastung min]]*Tabelle5897112140[[#This Row],[installierte Leistung MW min]]</f>
        <v>6.9653999999999998</v>
      </c>
      <c r="DF73" s="40">
        <f>Tabelle5897112140[[#This Row],[Durchschnittsauslastung durch]]*Tabelle5897112140[[#This Row],[installierte Leistung MW durch]]</f>
        <v>15.353333333333335</v>
      </c>
      <c r="DG73" s="40">
        <f>Tabelle5897112140[[#This Row],[Durchschnittsauslastung max]]*Tabelle5897112140[[#This Row],[installierte Leistung MW max]]</f>
        <v>34.404000000000003</v>
      </c>
      <c r="DH73" s="46">
        <f>Tabelle5897112140[[#This Row],[Maximalauslastung min]]*Tabelle5897112140[[#This Row],[installierte Leistung MW min]]</f>
        <v>36.659999999999997</v>
      </c>
      <c r="DI73" s="46">
        <f>Tabelle5897112140[[#This Row],[Maximalauslastung durch]]*Tabelle5897112140[[#This Row],[installierte Leistung MW durch]]</f>
        <v>47</v>
      </c>
      <c r="DJ73" s="19">
        <f>Tabelle5897112140[[#This Row],[Maximalauslastung max]]*Tabelle5897112140[[#This Row],[installierte Leistung MW durch]]</f>
        <v>47</v>
      </c>
      <c r="DK73" s="9">
        <v>1</v>
      </c>
      <c r="DL73" s="9">
        <v>1</v>
      </c>
      <c r="DM73" s="9">
        <v>1</v>
      </c>
      <c r="DN73" s="1">
        <v>47</v>
      </c>
      <c r="DO73" s="1">
        <v>36.659999999999997</v>
      </c>
      <c r="DP73" s="1">
        <v>57.34</v>
      </c>
      <c r="DQ73" s="19"/>
      <c r="DR73" s="19"/>
      <c r="DW73" s="1">
        <v>1.1000000000000001</v>
      </c>
      <c r="DX73" s="1">
        <v>0.8</v>
      </c>
      <c r="DY73" s="1">
        <v>1.4</v>
      </c>
      <c r="EL73" s="1">
        <v>365</v>
      </c>
      <c r="EM73" s="1">
        <v>292</v>
      </c>
      <c r="EN73" s="1">
        <v>438</v>
      </c>
      <c r="EO73" s="11"/>
      <c r="EP73" s="11"/>
      <c r="EQ73" s="11"/>
      <c r="ER73" s="1">
        <v>365</v>
      </c>
      <c r="ES73" s="1">
        <v>292</v>
      </c>
      <c r="ET73" s="1">
        <v>438</v>
      </c>
      <c r="EV73" s="19"/>
      <c r="EW73" s="19"/>
      <c r="EX73" s="19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O73" s="1">
        <v>67</v>
      </c>
      <c r="FP73" s="1">
        <v>67</v>
      </c>
      <c r="FQ73" s="1">
        <v>67</v>
      </c>
      <c r="FR73" s="13" t="s">
        <v>806</v>
      </c>
      <c r="FS73" s="13" t="s">
        <v>806</v>
      </c>
      <c r="FT73" s="13" t="s">
        <v>806</v>
      </c>
      <c r="FU73" s="13"/>
      <c r="FV73" s="13" t="s">
        <v>806</v>
      </c>
      <c r="FW73" s="13" t="s">
        <v>806</v>
      </c>
      <c r="FX73" s="13" t="s">
        <v>806</v>
      </c>
      <c r="FY73" s="13" t="s">
        <v>806</v>
      </c>
      <c r="FZ73" s="13" t="s">
        <v>806</v>
      </c>
      <c r="GA73" s="13" t="s">
        <v>806</v>
      </c>
      <c r="GB73" s="13" t="s">
        <v>806</v>
      </c>
      <c r="GE73" s="13" t="s">
        <v>806</v>
      </c>
      <c r="GF73" s="13" t="s">
        <v>806</v>
      </c>
      <c r="GH73" s="13" t="s">
        <v>806</v>
      </c>
    </row>
    <row r="74" spans="1:190" ht="15" customHeight="1" x14ac:dyDescent="0.25">
      <c r="A74" s="1" t="s">
        <v>362</v>
      </c>
      <c r="B74" s="1" t="s">
        <v>650</v>
      </c>
      <c r="C74" s="1" t="s">
        <v>658</v>
      </c>
      <c r="D74" s="1" t="s">
        <v>679</v>
      </c>
      <c r="E74" s="1" t="s">
        <v>126</v>
      </c>
      <c r="F74" s="1">
        <v>0</v>
      </c>
      <c r="G74" s="1">
        <v>2015</v>
      </c>
      <c r="H74" s="1">
        <v>1</v>
      </c>
      <c r="I74" s="1">
        <v>0</v>
      </c>
      <c r="J74" s="1">
        <v>0</v>
      </c>
      <c r="K7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15.959999999999999</v>
      </c>
      <c r="M7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183.54</v>
      </c>
      <c r="N74" s="19">
        <v>118.44</v>
      </c>
      <c r="O74" s="19">
        <v>67.34</v>
      </c>
      <c r="P74" s="19">
        <v>183.54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60.48</v>
      </c>
      <c r="X74" s="19">
        <v>40.04</v>
      </c>
      <c r="Y74" s="19">
        <v>83.72</v>
      </c>
      <c r="Z74" s="19">
        <v>0</v>
      </c>
      <c r="AA74" s="19">
        <v>0</v>
      </c>
      <c r="AB74" s="19">
        <v>0</v>
      </c>
      <c r="AC74" s="19">
        <v>60.48</v>
      </c>
      <c r="AD74" s="19">
        <v>40.04</v>
      </c>
      <c r="AE74" s="19">
        <v>83.72</v>
      </c>
      <c r="AF74" s="19">
        <v>25.2</v>
      </c>
      <c r="AG74" s="19">
        <v>0</v>
      </c>
      <c r="AH74" s="19">
        <v>64.400000000000006</v>
      </c>
      <c r="AI74" s="19">
        <v>35.28</v>
      </c>
      <c r="AJ74" s="19">
        <v>3.64</v>
      </c>
      <c r="AK74" s="19">
        <v>83.72</v>
      </c>
      <c r="AL74" s="19">
        <v>0</v>
      </c>
      <c r="AM74" s="19">
        <v>0</v>
      </c>
      <c r="AN74" s="19">
        <v>0</v>
      </c>
      <c r="AO74" s="19">
        <v>60.48</v>
      </c>
      <c r="AP74" s="19">
        <v>40.04</v>
      </c>
      <c r="AQ74" s="19">
        <v>83.72</v>
      </c>
      <c r="AR74" s="19">
        <v>0</v>
      </c>
      <c r="AS74" s="19">
        <v>0</v>
      </c>
      <c r="AT74" s="19">
        <v>0</v>
      </c>
      <c r="AU74" s="19">
        <v>60.48</v>
      </c>
      <c r="AV74" s="19">
        <v>40.04</v>
      </c>
      <c r="AW74" s="19">
        <v>83.72</v>
      </c>
      <c r="AX74" s="19">
        <v>0</v>
      </c>
      <c r="AY74" s="19">
        <v>0</v>
      </c>
      <c r="AZ74" s="19">
        <v>0</v>
      </c>
      <c r="BA74" s="19">
        <v>60.48</v>
      </c>
      <c r="BB74" s="19">
        <v>40.04</v>
      </c>
      <c r="BC74" s="19">
        <v>83.72</v>
      </c>
      <c r="BD74" s="19">
        <v>0</v>
      </c>
      <c r="BE74" s="19">
        <v>0</v>
      </c>
      <c r="BF74" s="19">
        <v>0</v>
      </c>
      <c r="BG74" s="19">
        <v>60.48</v>
      </c>
      <c r="BH74" s="19">
        <v>40.04</v>
      </c>
      <c r="BI74" s="19">
        <v>83.72</v>
      </c>
      <c r="BJ74" s="19">
        <v>0</v>
      </c>
      <c r="BK74" s="19">
        <v>0</v>
      </c>
      <c r="BL74" s="19">
        <v>0</v>
      </c>
      <c r="BM74" s="19">
        <v>60.48</v>
      </c>
      <c r="BN74" s="19">
        <v>40.04</v>
      </c>
      <c r="BO74" s="19">
        <v>83.72</v>
      </c>
      <c r="BP74" s="19"/>
      <c r="BQ7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50.960000000000008</v>
      </c>
      <c r="BS7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83.72</v>
      </c>
      <c r="BT74" s="11">
        <f>Tabelle5897112140[[#This Row],[Mindestauslastung min]]*Tabelle5897112140[[#This Row],[installierte Leistung MW min]]</f>
        <v>23.66</v>
      </c>
      <c r="BU74" s="11">
        <f>Tabelle5897112140[[#This Row],[Mindestauslastung durch]]*Tabelle5897112140[[#This Row],[installierte Leistung MW durch]]</f>
        <v>37.799999999999997</v>
      </c>
      <c r="BV74" s="11">
        <f>Tabelle5897112140[[#This Row],[Mindestauslastung max]]*Tabelle5897112140[[#This Row],[installierte Leistung MW max]]</f>
        <v>54.74</v>
      </c>
      <c r="BW74" s="9">
        <v>0.13</v>
      </c>
      <c r="BX74" s="9">
        <v>0.15</v>
      </c>
      <c r="BY74" s="9">
        <v>0.17</v>
      </c>
      <c r="BZ74" s="9"/>
      <c r="CA74" s="9">
        <v>0.47</v>
      </c>
      <c r="CB74" s="9">
        <v>0.37</v>
      </c>
      <c r="CC74" s="9">
        <v>0.56999999999999995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0.1</v>
      </c>
      <c r="CK74" s="9">
        <v>0</v>
      </c>
      <c r="CL74" s="9">
        <v>0.2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  <c r="CZ74" s="9">
        <v>0</v>
      </c>
      <c r="DA74" s="9">
        <v>0</v>
      </c>
      <c r="DB74" s="9">
        <f>MIN(Tabelle5897112140[[#This Row],[Durchschnittsauslastung durch Sommer WTT]:[Durchschnittsauslastung max Winter SFN]])</f>
        <v>0</v>
      </c>
      <c r="DC7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4" s="9">
        <f>MAX(Tabelle5897112140[[#This Row],[Durchschnittsauslastung durch Sommer WTT]:[Durchschnittsauslastung max Winter SFN]])</f>
        <v>0.56999999999999995</v>
      </c>
      <c r="DE74" s="40">
        <f>Tabelle5897112140[[#This Row],[Durchschnittsauslastung min]]*Tabelle5897112140[[#This Row],[installierte Leistung MW min]]</f>
        <v>0</v>
      </c>
      <c r="DF74" s="40">
        <f>Tabelle5897112140[[#This Row],[Durchschnittsauslastung durch]]*Tabelle5897112140[[#This Row],[installierte Leistung MW durch]]</f>
        <v>15.959999999999997</v>
      </c>
      <c r="DG74" s="40">
        <f>Tabelle5897112140[[#This Row],[Durchschnittsauslastung max]]*Tabelle5897112140[[#This Row],[installierte Leistung MW max]]</f>
        <v>183.54</v>
      </c>
      <c r="DH74" s="46">
        <f>Tabelle5897112140[[#This Row],[Maximalauslastung min]]*Tabelle5897112140[[#This Row],[installierte Leistung MW min]]</f>
        <v>83.72</v>
      </c>
      <c r="DI74" s="46">
        <f>Tabelle5897112140[[#This Row],[Maximalauslastung durch]]*Tabelle5897112140[[#This Row],[installierte Leistung MW durch]]</f>
        <v>128.52000000000001</v>
      </c>
      <c r="DJ74" s="19">
        <f>Tabelle5897112140[[#This Row],[Maximalauslastung max]]*Tabelle5897112140[[#This Row],[installierte Leistung MW durch]]</f>
        <v>141.12</v>
      </c>
      <c r="DK74" s="9">
        <v>0.46</v>
      </c>
      <c r="DL74" s="9">
        <v>0.51</v>
      </c>
      <c r="DM74" s="9">
        <v>0.56000000000000005</v>
      </c>
      <c r="DN74" s="1">
        <v>252</v>
      </c>
      <c r="DO74" s="1">
        <v>182</v>
      </c>
      <c r="DP74" s="1">
        <v>322</v>
      </c>
      <c r="DQ74" s="19"/>
      <c r="DR74" s="19"/>
      <c r="EL74" s="1">
        <v>365</v>
      </c>
      <c r="EM74" s="1">
        <v>292</v>
      </c>
      <c r="EN74" s="1">
        <v>438</v>
      </c>
      <c r="EO74" s="11"/>
      <c r="EP74" s="11"/>
      <c r="EQ74" s="11"/>
      <c r="ER74" s="1">
        <v>365</v>
      </c>
      <c r="ES74" s="1">
        <v>292</v>
      </c>
      <c r="ET74" s="1">
        <v>438</v>
      </c>
      <c r="EV74" s="19"/>
      <c r="EW74" s="19"/>
      <c r="EX74" s="19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O74" s="1">
        <v>67</v>
      </c>
      <c r="FP74" s="1">
        <v>67</v>
      </c>
      <c r="FQ74" s="1">
        <v>67</v>
      </c>
      <c r="FR74" s="13" t="s">
        <v>806</v>
      </c>
      <c r="FS74" s="13" t="s">
        <v>806</v>
      </c>
      <c r="FT74" s="13" t="s">
        <v>806</v>
      </c>
      <c r="FU74" s="13"/>
      <c r="FV74" s="13" t="s">
        <v>806</v>
      </c>
      <c r="FW74" s="13" t="s">
        <v>806</v>
      </c>
      <c r="FX74" s="13" t="s">
        <v>806</v>
      </c>
      <c r="FY74" s="13" t="s">
        <v>806</v>
      </c>
      <c r="FZ74" s="13" t="s">
        <v>806</v>
      </c>
      <c r="GA74" s="13" t="s">
        <v>806</v>
      </c>
      <c r="GB74" s="13" t="s">
        <v>806</v>
      </c>
      <c r="GE74" s="13" t="s">
        <v>806</v>
      </c>
      <c r="GF74" s="13" t="s">
        <v>806</v>
      </c>
      <c r="GH74" s="13" t="s">
        <v>806</v>
      </c>
    </row>
    <row r="75" spans="1:190" ht="15" customHeight="1" x14ac:dyDescent="0.25">
      <c r="A75" s="1" t="s">
        <v>362</v>
      </c>
      <c r="B75" s="1" t="s">
        <v>650</v>
      </c>
      <c r="C75" s="1" t="s">
        <v>658</v>
      </c>
      <c r="D75" s="1" t="s">
        <v>679</v>
      </c>
      <c r="E75" s="1" t="s">
        <v>126</v>
      </c>
      <c r="F75" s="1">
        <v>0</v>
      </c>
      <c r="G75" s="1">
        <v>2020</v>
      </c>
      <c r="H75" s="1">
        <v>1</v>
      </c>
      <c r="I75" s="1">
        <v>0</v>
      </c>
      <c r="J75" s="1">
        <v>0</v>
      </c>
      <c r="K7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16.279199999999999</v>
      </c>
      <c r="M7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187.21080000000001</v>
      </c>
      <c r="N75" s="19">
        <v>120.80880000000001</v>
      </c>
      <c r="O75" s="19">
        <v>68.686800000000005</v>
      </c>
      <c r="P75" s="19">
        <v>187.21080000000001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61.689599999999999</v>
      </c>
      <c r="X75" s="19">
        <v>40.840800000000002</v>
      </c>
      <c r="Y75" s="19">
        <v>85.394400000000005</v>
      </c>
      <c r="Z75" s="19">
        <v>0</v>
      </c>
      <c r="AA75" s="19">
        <v>0</v>
      </c>
      <c r="AB75" s="19">
        <v>0</v>
      </c>
      <c r="AC75" s="19">
        <v>61.689599999999999</v>
      </c>
      <c r="AD75" s="19">
        <v>40.840800000000002</v>
      </c>
      <c r="AE75" s="19">
        <v>85.394400000000005</v>
      </c>
      <c r="AF75" s="19">
        <v>25.704000000000001</v>
      </c>
      <c r="AG75" s="19">
        <v>0</v>
      </c>
      <c r="AH75" s="19">
        <v>65.688000000000002</v>
      </c>
      <c r="AI75" s="19">
        <v>35.985600000000005</v>
      </c>
      <c r="AJ75" s="19">
        <v>3.7128000000000001</v>
      </c>
      <c r="AK75" s="19">
        <v>85.394400000000005</v>
      </c>
      <c r="AL75" s="19">
        <v>0</v>
      </c>
      <c r="AM75" s="19">
        <v>0</v>
      </c>
      <c r="AN75" s="19">
        <v>0</v>
      </c>
      <c r="AO75" s="19">
        <v>61.689599999999999</v>
      </c>
      <c r="AP75" s="19">
        <v>40.840800000000002</v>
      </c>
      <c r="AQ75" s="19">
        <v>85.394400000000005</v>
      </c>
      <c r="AR75" s="19">
        <v>0</v>
      </c>
      <c r="AS75" s="19">
        <v>0</v>
      </c>
      <c r="AT75" s="19">
        <v>0</v>
      </c>
      <c r="AU75" s="19">
        <v>61.689599999999999</v>
      </c>
      <c r="AV75" s="19">
        <v>40.840800000000002</v>
      </c>
      <c r="AW75" s="19">
        <v>85.394400000000005</v>
      </c>
      <c r="AX75" s="19">
        <v>0</v>
      </c>
      <c r="AY75" s="19">
        <v>0</v>
      </c>
      <c r="AZ75" s="19">
        <v>0</v>
      </c>
      <c r="BA75" s="19">
        <v>61.689599999999999</v>
      </c>
      <c r="BB75" s="19">
        <v>40.840800000000002</v>
      </c>
      <c r="BC75" s="19">
        <v>85.394400000000005</v>
      </c>
      <c r="BD75" s="19">
        <v>0</v>
      </c>
      <c r="BE75" s="19">
        <v>0</v>
      </c>
      <c r="BF75" s="19">
        <v>0</v>
      </c>
      <c r="BG75" s="19">
        <v>61.689599999999999</v>
      </c>
      <c r="BH75" s="19">
        <v>40.840800000000002</v>
      </c>
      <c r="BI75" s="19">
        <v>85.394400000000005</v>
      </c>
      <c r="BJ75" s="19">
        <v>0</v>
      </c>
      <c r="BK75" s="19">
        <v>0</v>
      </c>
      <c r="BL75" s="19">
        <v>0</v>
      </c>
      <c r="BM75" s="19">
        <v>61.689599999999999</v>
      </c>
      <c r="BN75" s="19">
        <v>40.840800000000002</v>
      </c>
      <c r="BO75" s="19">
        <v>85.394400000000005</v>
      </c>
      <c r="BP75" s="19"/>
      <c r="BQ7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51.979199999999992</v>
      </c>
      <c r="BS7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85.394400000000005</v>
      </c>
      <c r="BT75" s="11">
        <f>Tabelle5897112140[[#This Row],[Mindestauslastung min]]*Tabelle5897112140[[#This Row],[installierte Leistung MW min]]</f>
        <v>0</v>
      </c>
      <c r="BU75" s="11">
        <f>Tabelle5897112140[[#This Row],[Mindestauslastung durch]]*Tabelle5897112140[[#This Row],[installierte Leistung MW durch]]</f>
        <v>0</v>
      </c>
      <c r="BV75" s="11">
        <f>Tabelle5897112140[[#This Row],[Mindestauslastung max]]*Tabelle5897112140[[#This Row],[installierte Leistung MW max]]</f>
        <v>0</v>
      </c>
      <c r="BW75" s="9">
        <v>0</v>
      </c>
      <c r="BX75" s="9">
        <v>0</v>
      </c>
      <c r="BY75" s="9">
        <v>0</v>
      </c>
      <c r="BZ75" s="9"/>
      <c r="CA75" s="9">
        <v>0.47</v>
      </c>
      <c r="CB75" s="9">
        <v>0.37</v>
      </c>
      <c r="CC75" s="9">
        <v>0.56999999999999995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0.1</v>
      </c>
      <c r="CK75" s="9">
        <v>0</v>
      </c>
      <c r="CL75" s="9">
        <v>0.2</v>
      </c>
      <c r="CM75" s="9">
        <v>0</v>
      </c>
      <c r="CN75" s="9">
        <v>0</v>
      </c>
      <c r="CO75" s="9">
        <v>0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>
        <v>0</v>
      </c>
      <c r="CY75" s="9">
        <v>0</v>
      </c>
      <c r="CZ75" s="9">
        <v>0</v>
      </c>
      <c r="DA75" s="9">
        <v>0</v>
      </c>
      <c r="DB75" s="9">
        <f>MIN(Tabelle5897112140[[#This Row],[Durchschnittsauslastung durch Sommer WTT]:[Durchschnittsauslastung max Winter SFN]])</f>
        <v>0</v>
      </c>
      <c r="DC7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5" s="9">
        <f>MAX(Tabelle5897112140[[#This Row],[Durchschnittsauslastung durch Sommer WTT]:[Durchschnittsauslastung max Winter SFN]])</f>
        <v>0.56999999999999995</v>
      </c>
      <c r="DE75" s="40">
        <f>Tabelle5897112140[[#This Row],[Durchschnittsauslastung min]]*Tabelle5897112140[[#This Row],[installierte Leistung MW min]]</f>
        <v>0</v>
      </c>
      <c r="DF75" s="40">
        <f>Tabelle5897112140[[#This Row],[Durchschnittsauslastung durch]]*Tabelle5897112140[[#This Row],[installierte Leistung MW durch]]</f>
        <v>16.279199999999999</v>
      </c>
      <c r="DG75" s="40">
        <f>Tabelle5897112140[[#This Row],[Durchschnittsauslastung max]]*Tabelle5897112140[[#This Row],[installierte Leistung MW max]]</f>
        <v>187.21079999999998</v>
      </c>
      <c r="DH75" s="46">
        <f>Tabelle5897112140[[#This Row],[Maximalauslastung min]]*Tabelle5897112140[[#This Row],[installierte Leistung MW min]]</f>
        <v>40.840799999999994</v>
      </c>
      <c r="DI75" s="46">
        <f>Tabelle5897112140[[#This Row],[Maximalauslastung durch]]*Tabelle5897112140[[#This Row],[installierte Leistung MW durch]]</f>
        <v>61.689600000000006</v>
      </c>
      <c r="DJ75" s="19">
        <f>Tabelle5897112140[[#This Row],[Maximalauslastung max]]*Tabelle5897112140[[#This Row],[installierte Leistung MW durch]]</f>
        <v>66.830400000000012</v>
      </c>
      <c r="DK75" s="9">
        <v>0.22</v>
      </c>
      <c r="DL75" s="9">
        <v>0.24</v>
      </c>
      <c r="DM75" s="9">
        <v>0.26</v>
      </c>
      <c r="DN75" s="1">
        <v>257.04000000000002</v>
      </c>
      <c r="DO75" s="1">
        <v>185.64</v>
      </c>
      <c r="DP75" s="1">
        <v>328.44</v>
      </c>
      <c r="DQ75" s="19"/>
      <c r="DR75" s="19"/>
      <c r="EL75" s="1">
        <v>365</v>
      </c>
      <c r="EM75" s="1">
        <v>292</v>
      </c>
      <c r="EN75" s="1">
        <v>438</v>
      </c>
      <c r="EO75" s="11"/>
      <c r="EP75" s="11"/>
      <c r="EQ75" s="11"/>
      <c r="ER75" s="1">
        <v>365</v>
      </c>
      <c r="ES75" s="1">
        <v>292</v>
      </c>
      <c r="ET75" s="1">
        <v>438</v>
      </c>
      <c r="EV75" s="19"/>
      <c r="EW75" s="19"/>
      <c r="EX75" s="19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O75" s="1">
        <v>67</v>
      </c>
      <c r="FP75" s="1">
        <v>67</v>
      </c>
      <c r="FQ75" s="1">
        <v>67</v>
      </c>
      <c r="FR75" s="13" t="s">
        <v>806</v>
      </c>
      <c r="FS75" s="13" t="s">
        <v>806</v>
      </c>
      <c r="FT75" s="13" t="s">
        <v>806</v>
      </c>
      <c r="FU75" s="13"/>
      <c r="FV75" s="13" t="s">
        <v>806</v>
      </c>
      <c r="FW75" s="13" t="s">
        <v>806</v>
      </c>
      <c r="FX75" s="13" t="s">
        <v>806</v>
      </c>
      <c r="FY75" s="13" t="s">
        <v>806</v>
      </c>
      <c r="FZ75" s="13" t="s">
        <v>806</v>
      </c>
      <c r="GA75" s="13" t="s">
        <v>806</v>
      </c>
      <c r="GB75" s="13" t="s">
        <v>806</v>
      </c>
      <c r="GE75" s="13" t="s">
        <v>806</v>
      </c>
      <c r="GF75" s="13" t="s">
        <v>806</v>
      </c>
      <c r="GH75" s="13" t="s">
        <v>806</v>
      </c>
    </row>
    <row r="76" spans="1:190" ht="15" customHeight="1" x14ac:dyDescent="0.25">
      <c r="A76" s="1" t="s">
        <v>362</v>
      </c>
      <c r="B76" s="1" t="s">
        <v>650</v>
      </c>
      <c r="C76" s="1" t="s">
        <v>658</v>
      </c>
      <c r="D76" s="1" t="s">
        <v>679</v>
      </c>
      <c r="E76" s="1" t="s">
        <v>126</v>
      </c>
      <c r="F76" s="1">
        <v>0</v>
      </c>
      <c r="G76" s="1">
        <v>2025</v>
      </c>
      <c r="H76" s="1">
        <v>1</v>
      </c>
      <c r="I76" s="1">
        <v>0</v>
      </c>
      <c r="J76" s="1">
        <v>0</v>
      </c>
      <c r="K7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16.598400000000002</v>
      </c>
      <c r="M7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190.88159999999999</v>
      </c>
      <c r="N76" s="19">
        <v>123.1776</v>
      </c>
      <c r="O76" s="19">
        <v>70.033600000000007</v>
      </c>
      <c r="P76" s="19">
        <v>190.88159999999999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62.8992</v>
      </c>
      <c r="X76" s="19">
        <v>41.641600000000004</v>
      </c>
      <c r="Y76" s="19">
        <v>87.068799999999996</v>
      </c>
      <c r="Z76" s="19">
        <v>0</v>
      </c>
      <c r="AA76" s="19">
        <v>0</v>
      </c>
      <c r="AB76" s="19">
        <v>0</v>
      </c>
      <c r="AC76" s="19">
        <v>62.8992</v>
      </c>
      <c r="AD76" s="19">
        <v>41.641600000000004</v>
      </c>
      <c r="AE76" s="19">
        <v>87.068799999999996</v>
      </c>
      <c r="AF76" s="19">
        <v>26.207999999999998</v>
      </c>
      <c r="AG76" s="19">
        <v>0</v>
      </c>
      <c r="AH76" s="19">
        <v>66.976000000000013</v>
      </c>
      <c r="AI76" s="19">
        <v>36.691200000000002</v>
      </c>
      <c r="AJ76" s="19">
        <v>3.7856000000000001</v>
      </c>
      <c r="AK76" s="19">
        <v>87.068799999999996</v>
      </c>
      <c r="AL76" s="19">
        <v>0</v>
      </c>
      <c r="AM76" s="19">
        <v>0</v>
      </c>
      <c r="AN76" s="19">
        <v>0</v>
      </c>
      <c r="AO76" s="19">
        <v>62.8992</v>
      </c>
      <c r="AP76" s="19">
        <v>41.641600000000004</v>
      </c>
      <c r="AQ76" s="19">
        <v>87.068799999999996</v>
      </c>
      <c r="AR76" s="19">
        <v>0</v>
      </c>
      <c r="AS76" s="19">
        <v>0</v>
      </c>
      <c r="AT76" s="19">
        <v>0</v>
      </c>
      <c r="AU76" s="19">
        <v>62.8992</v>
      </c>
      <c r="AV76" s="19">
        <v>41.641600000000004</v>
      </c>
      <c r="AW76" s="19">
        <v>87.068799999999996</v>
      </c>
      <c r="AX76" s="19">
        <v>0</v>
      </c>
      <c r="AY76" s="19">
        <v>0</v>
      </c>
      <c r="AZ76" s="19">
        <v>0</v>
      </c>
      <c r="BA76" s="19">
        <v>62.8992</v>
      </c>
      <c r="BB76" s="19">
        <v>41.641600000000004</v>
      </c>
      <c r="BC76" s="19">
        <v>87.068799999999996</v>
      </c>
      <c r="BD76" s="19">
        <v>0</v>
      </c>
      <c r="BE76" s="19">
        <v>0</v>
      </c>
      <c r="BF76" s="19">
        <v>0</v>
      </c>
      <c r="BG76" s="19">
        <v>62.8992</v>
      </c>
      <c r="BH76" s="19">
        <v>41.641600000000004</v>
      </c>
      <c r="BI76" s="19">
        <v>87.068799999999996</v>
      </c>
      <c r="BJ76" s="19">
        <v>0</v>
      </c>
      <c r="BK76" s="19">
        <v>0</v>
      </c>
      <c r="BL76" s="19">
        <v>0</v>
      </c>
      <c r="BM76" s="19">
        <v>62.8992</v>
      </c>
      <c r="BN76" s="19">
        <v>41.641600000000004</v>
      </c>
      <c r="BO76" s="19">
        <v>87.068799999999996</v>
      </c>
      <c r="BP76" s="19"/>
      <c r="BQ7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52.998400000000004</v>
      </c>
      <c r="BS7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87.068799999999996</v>
      </c>
      <c r="BT76" s="11">
        <f>Tabelle5897112140[[#This Row],[Mindestauslastung min]]*Tabelle5897112140[[#This Row],[installierte Leistung MW min]]</f>
        <v>0</v>
      </c>
      <c r="BU76" s="11">
        <f>Tabelle5897112140[[#This Row],[Mindestauslastung durch]]*Tabelle5897112140[[#This Row],[installierte Leistung MW durch]]</f>
        <v>0</v>
      </c>
      <c r="BV76" s="11">
        <f>Tabelle5897112140[[#This Row],[Mindestauslastung max]]*Tabelle5897112140[[#This Row],[installierte Leistung MW max]]</f>
        <v>0</v>
      </c>
      <c r="BW76" s="9">
        <v>0</v>
      </c>
      <c r="BX76" s="9">
        <v>0</v>
      </c>
      <c r="BY76" s="9">
        <v>0</v>
      </c>
      <c r="BZ76" s="9"/>
      <c r="CA76" s="9">
        <v>0.47</v>
      </c>
      <c r="CB76" s="9">
        <v>0.37</v>
      </c>
      <c r="CC76" s="9">
        <v>0.56999999999999995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0.1</v>
      </c>
      <c r="CK76" s="9">
        <v>0</v>
      </c>
      <c r="CL76" s="9">
        <v>0.2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  <c r="CX76" s="9">
        <v>0</v>
      </c>
      <c r="CY76" s="9">
        <v>0</v>
      </c>
      <c r="CZ76" s="9">
        <v>0</v>
      </c>
      <c r="DA76" s="9">
        <v>0</v>
      </c>
      <c r="DB76" s="9">
        <f>MIN(Tabelle5897112140[[#This Row],[Durchschnittsauslastung durch Sommer WTT]:[Durchschnittsauslastung max Winter SFN]])</f>
        <v>0</v>
      </c>
      <c r="DC7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6" s="9">
        <f>MAX(Tabelle5897112140[[#This Row],[Durchschnittsauslastung durch Sommer WTT]:[Durchschnittsauslastung max Winter SFN]])</f>
        <v>0.56999999999999995</v>
      </c>
      <c r="DE76" s="40">
        <f>Tabelle5897112140[[#This Row],[Durchschnittsauslastung min]]*Tabelle5897112140[[#This Row],[installierte Leistung MW min]]</f>
        <v>0</v>
      </c>
      <c r="DF76" s="40">
        <f>Tabelle5897112140[[#This Row],[Durchschnittsauslastung durch]]*Tabelle5897112140[[#This Row],[installierte Leistung MW durch]]</f>
        <v>16.598399999999998</v>
      </c>
      <c r="DG76" s="40">
        <f>Tabelle5897112140[[#This Row],[Durchschnittsauslastung max]]*Tabelle5897112140[[#This Row],[installierte Leistung MW max]]</f>
        <v>190.88159999999999</v>
      </c>
      <c r="DH76" s="46">
        <f>Tabelle5897112140[[#This Row],[Maximalauslastung min]]*Tabelle5897112140[[#This Row],[installierte Leistung MW min]]</f>
        <v>41.641600000000004</v>
      </c>
      <c r="DI76" s="46">
        <f>Tabelle5897112140[[#This Row],[Maximalauslastung durch]]*Tabelle5897112140[[#This Row],[installierte Leistung MW durch]]</f>
        <v>62.899199999999993</v>
      </c>
      <c r="DJ76" s="19">
        <f>Tabelle5897112140[[#This Row],[Maximalauslastung max]]*Tabelle5897112140[[#This Row],[installierte Leistung MW durch]]</f>
        <v>68.140799999999999</v>
      </c>
      <c r="DK76" s="9">
        <v>0.22</v>
      </c>
      <c r="DL76" s="9">
        <v>0.24</v>
      </c>
      <c r="DM76" s="9">
        <v>0.26</v>
      </c>
      <c r="DN76" s="1">
        <v>262.08</v>
      </c>
      <c r="DO76" s="1">
        <v>189.28</v>
      </c>
      <c r="DP76" s="1">
        <v>334.88</v>
      </c>
      <c r="DQ76" s="19"/>
      <c r="DR76" s="19"/>
      <c r="EL76" s="1">
        <v>365</v>
      </c>
      <c r="EM76" s="1">
        <v>292</v>
      </c>
      <c r="EN76" s="1">
        <v>438</v>
      </c>
      <c r="EO76" s="11"/>
      <c r="EP76" s="11"/>
      <c r="EQ76" s="11"/>
      <c r="ER76" s="1">
        <v>365</v>
      </c>
      <c r="ES76" s="1">
        <v>292</v>
      </c>
      <c r="ET76" s="1">
        <v>438</v>
      </c>
      <c r="EV76" s="19"/>
      <c r="EW76" s="19"/>
      <c r="EX76" s="19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O76" s="1">
        <v>67</v>
      </c>
      <c r="FP76" s="1">
        <v>67</v>
      </c>
      <c r="FQ76" s="1">
        <v>67</v>
      </c>
      <c r="FR76" s="13" t="s">
        <v>806</v>
      </c>
      <c r="FS76" s="13" t="s">
        <v>806</v>
      </c>
      <c r="FT76" s="13" t="s">
        <v>806</v>
      </c>
      <c r="FU76" s="13"/>
      <c r="FV76" s="13" t="s">
        <v>806</v>
      </c>
      <c r="FW76" s="13" t="s">
        <v>806</v>
      </c>
      <c r="FX76" s="13" t="s">
        <v>806</v>
      </c>
      <c r="FY76" s="13" t="s">
        <v>806</v>
      </c>
      <c r="FZ76" s="13" t="s">
        <v>806</v>
      </c>
      <c r="GA76" s="13" t="s">
        <v>806</v>
      </c>
      <c r="GB76" s="13" t="s">
        <v>806</v>
      </c>
      <c r="GE76" s="13" t="s">
        <v>806</v>
      </c>
      <c r="GF76" s="13" t="s">
        <v>806</v>
      </c>
      <c r="GH76" s="13" t="s">
        <v>806</v>
      </c>
    </row>
    <row r="77" spans="1:190" ht="15" customHeight="1" x14ac:dyDescent="0.25">
      <c r="A77" s="1" t="s">
        <v>362</v>
      </c>
      <c r="B77" s="1" t="s">
        <v>650</v>
      </c>
      <c r="C77" s="1" t="s">
        <v>658</v>
      </c>
      <c r="D77" s="1" t="s">
        <v>679</v>
      </c>
      <c r="E77" s="1" t="s">
        <v>126</v>
      </c>
      <c r="F77" s="1">
        <v>0</v>
      </c>
      <c r="G77" s="1">
        <v>2030</v>
      </c>
      <c r="H77" s="1">
        <v>1</v>
      </c>
      <c r="I77" s="1">
        <v>0</v>
      </c>
      <c r="J77" s="1">
        <v>0</v>
      </c>
      <c r="K7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16.9176</v>
      </c>
      <c r="M7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194.55240000000001</v>
      </c>
      <c r="N77" s="19">
        <v>125.54640000000001</v>
      </c>
      <c r="O77" s="19">
        <v>71.380400000000009</v>
      </c>
      <c r="P77" s="19">
        <v>194.55240000000001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64.108800000000002</v>
      </c>
      <c r="X77" s="19">
        <v>42.442399999999999</v>
      </c>
      <c r="Y77" s="19">
        <v>88.743200000000002</v>
      </c>
      <c r="Z77" s="19">
        <v>0</v>
      </c>
      <c r="AA77" s="19">
        <v>0</v>
      </c>
      <c r="AB77" s="19">
        <v>0</v>
      </c>
      <c r="AC77" s="19">
        <v>64.108800000000002</v>
      </c>
      <c r="AD77" s="19">
        <v>42.442399999999999</v>
      </c>
      <c r="AE77" s="19">
        <v>88.743200000000002</v>
      </c>
      <c r="AF77" s="19">
        <v>26.712</v>
      </c>
      <c r="AG77" s="19">
        <v>0</v>
      </c>
      <c r="AH77" s="19">
        <v>68.26400000000001</v>
      </c>
      <c r="AI77" s="19">
        <v>37.396800000000006</v>
      </c>
      <c r="AJ77" s="19">
        <v>3.8584000000000005</v>
      </c>
      <c r="AK77" s="19">
        <v>88.743200000000002</v>
      </c>
      <c r="AL77" s="19">
        <v>0</v>
      </c>
      <c r="AM77" s="19">
        <v>0</v>
      </c>
      <c r="AN77" s="19">
        <v>0</v>
      </c>
      <c r="AO77" s="19">
        <v>64.108800000000002</v>
      </c>
      <c r="AP77" s="19">
        <v>42.442399999999999</v>
      </c>
      <c r="AQ77" s="19">
        <v>88.743200000000002</v>
      </c>
      <c r="AR77" s="19">
        <v>0</v>
      </c>
      <c r="AS77" s="19">
        <v>0</v>
      </c>
      <c r="AT77" s="19">
        <v>0</v>
      </c>
      <c r="AU77" s="19">
        <v>64.108800000000002</v>
      </c>
      <c r="AV77" s="19">
        <v>42.442399999999999</v>
      </c>
      <c r="AW77" s="19">
        <v>88.743200000000002</v>
      </c>
      <c r="AX77" s="19">
        <v>0</v>
      </c>
      <c r="AY77" s="19">
        <v>0</v>
      </c>
      <c r="AZ77" s="19">
        <v>0</v>
      </c>
      <c r="BA77" s="19">
        <v>64.108800000000002</v>
      </c>
      <c r="BB77" s="19">
        <v>42.442399999999999</v>
      </c>
      <c r="BC77" s="19">
        <v>88.743200000000002</v>
      </c>
      <c r="BD77" s="19">
        <v>0</v>
      </c>
      <c r="BE77" s="19">
        <v>0</v>
      </c>
      <c r="BF77" s="19">
        <v>0</v>
      </c>
      <c r="BG77" s="19">
        <v>64.108800000000002</v>
      </c>
      <c r="BH77" s="19">
        <v>42.442399999999999</v>
      </c>
      <c r="BI77" s="19">
        <v>88.743200000000002</v>
      </c>
      <c r="BJ77" s="19">
        <v>0</v>
      </c>
      <c r="BK77" s="19">
        <v>0</v>
      </c>
      <c r="BL77" s="19">
        <v>0</v>
      </c>
      <c r="BM77" s="19">
        <v>64.108800000000002</v>
      </c>
      <c r="BN77" s="19">
        <v>42.442399999999999</v>
      </c>
      <c r="BO77" s="19">
        <v>88.743200000000002</v>
      </c>
      <c r="BP77" s="19"/>
      <c r="BQ7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54.017599999999987</v>
      </c>
      <c r="BS7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88.743200000000002</v>
      </c>
      <c r="BT77" s="11">
        <f>Tabelle5897112140[[#This Row],[Mindestauslastung min]]*Tabelle5897112140[[#This Row],[installierte Leistung MW min]]</f>
        <v>0</v>
      </c>
      <c r="BU77" s="11">
        <f>Tabelle5897112140[[#This Row],[Mindestauslastung durch]]*Tabelle5897112140[[#This Row],[installierte Leistung MW durch]]</f>
        <v>0</v>
      </c>
      <c r="BV77" s="11">
        <f>Tabelle5897112140[[#This Row],[Mindestauslastung max]]*Tabelle5897112140[[#This Row],[installierte Leistung MW max]]</f>
        <v>0</v>
      </c>
      <c r="BW77" s="9">
        <v>0</v>
      </c>
      <c r="BX77" s="9">
        <v>0</v>
      </c>
      <c r="BY77" s="9">
        <v>0</v>
      </c>
      <c r="BZ77" s="9"/>
      <c r="CA77" s="9">
        <v>0.47</v>
      </c>
      <c r="CB77" s="9">
        <v>0.37</v>
      </c>
      <c r="CC77" s="9">
        <v>0.56999999999999995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0.1</v>
      </c>
      <c r="CK77" s="9">
        <v>0</v>
      </c>
      <c r="CL77" s="9">
        <v>0.2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>
        <v>0</v>
      </c>
      <c r="CY77" s="9">
        <v>0</v>
      </c>
      <c r="CZ77" s="9">
        <v>0</v>
      </c>
      <c r="DA77" s="9">
        <v>0</v>
      </c>
      <c r="DB77" s="9">
        <f>MIN(Tabelle5897112140[[#This Row],[Durchschnittsauslastung durch Sommer WTT]:[Durchschnittsauslastung max Winter SFN]])</f>
        <v>0</v>
      </c>
      <c r="DC7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7" s="9">
        <f>MAX(Tabelle5897112140[[#This Row],[Durchschnittsauslastung durch Sommer WTT]:[Durchschnittsauslastung max Winter SFN]])</f>
        <v>0.56999999999999995</v>
      </c>
      <c r="DE77" s="40">
        <f>Tabelle5897112140[[#This Row],[Durchschnittsauslastung min]]*Tabelle5897112140[[#This Row],[installierte Leistung MW min]]</f>
        <v>0</v>
      </c>
      <c r="DF77" s="40">
        <f>Tabelle5897112140[[#This Row],[Durchschnittsauslastung durch]]*Tabelle5897112140[[#This Row],[installierte Leistung MW durch]]</f>
        <v>16.917599999999997</v>
      </c>
      <c r="DG77" s="40">
        <f>Tabelle5897112140[[#This Row],[Durchschnittsauslastung max]]*Tabelle5897112140[[#This Row],[installierte Leistung MW max]]</f>
        <v>194.55239999999998</v>
      </c>
      <c r="DH77" s="46">
        <f>Tabelle5897112140[[#This Row],[Maximalauslastung min]]*Tabelle5897112140[[#This Row],[installierte Leistung MW min]]</f>
        <v>42.442399999999999</v>
      </c>
      <c r="DI77" s="46">
        <f>Tabelle5897112140[[#This Row],[Maximalauslastung durch]]*Tabelle5897112140[[#This Row],[installierte Leistung MW durch]]</f>
        <v>64.108800000000002</v>
      </c>
      <c r="DJ77" s="19">
        <f>Tabelle5897112140[[#This Row],[Maximalauslastung max]]*Tabelle5897112140[[#This Row],[installierte Leistung MW durch]]</f>
        <v>69.4512</v>
      </c>
      <c r="DK77" s="9">
        <v>0.22</v>
      </c>
      <c r="DL77" s="9">
        <v>0.24</v>
      </c>
      <c r="DM77" s="9">
        <v>0.26</v>
      </c>
      <c r="DN77" s="1">
        <v>267.12</v>
      </c>
      <c r="DO77" s="1">
        <v>192.92</v>
      </c>
      <c r="DP77" s="1">
        <v>341.32</v>
      </c>
      <c r="DQ77" s="19"/>
      <c r="DR77" s="19"/>
      <c r="EL77" s="1">
        <v>365</v>
      </c>
      <c r="EM77" s="1">
        <v>292</v>
      </c>
      <c r="EN77" s="1">
        <v>438</v>
      </c>
      <c r="EO77" s="11"/>
      <c r="EP77" s="11"/>
      <c r="EQ77" s="11"/>
      <c r="ER77" s="1">
        <v>365</v>
      </c>
      <c r="ES77" s="1">
        <v>292</v>
      </c>
      <c r="ET77" s="1">
        <v>438</v>
      </c>
      <c r="EV77" s="19"/>
      <c r="EW77" s="19"/>
      <c r="EX77" s="19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O77" s="1">
        <v>67</v>
      </c>
      <c r="FP77" s="1">
        <v>67</v>
      </c>
      <c r="FQ77" s="1">
        <v>67</v>
      </c>
      <c r="FR77" s="13" t="s">
        <v>806</v>
      </c>
      <c r="FS77" s="13" t="s">
        <v>806</v>
      </c>
      <c r="FT77" s="13" t="s">
        <v>806</v>
      </c>
      <c r="FU77" s="13"/>
      <c r="FV77" s="13" t="s">
        <v>806</v>
      </c>
      <c r="FW77" s="13" t="s">
        <v>806</v>
      </c>
      <c r="FX77" s="13" t="s">
        <v>806</v>
      </c>
      <c r="FY77" s="13" t="s">
        <v>806</v>
      </c>
      <c r="FZ77" s="13" t="s">
        <v>806</v>
      </c>
      <c r="GA77" s="13" t="s">
        <v>806</v>
      </c>
      <c r="GB77" s="13" t="s">
        <v>806</v>
      </c>
      <c r="GE77" s="13" t="s">
        <v>806</v>
      </c>
      <c r="GF77" s="13" t="s">
        <v>806</v>
      </c>
      <c r="GH77" s="13" t="s">
        <v>806</v>
      </c>
    </row>
    <row r="78" spans="1:190" ht="15" customHeight="1" x14ac:dyDescent="0.25">
      <c r="A78" s="1" t="s">
        <v>362</v>
      </c>
      <c r="B78" s="1" t="s">
        <v>650</v>
      </c>
      <c r="C78" s="1" t="s">
        <v>658</v>
      </c>
      <c r="D78" s="1" t="s">
        <v>679</v>
      </c>
      <c r="E78" s="1" t="s">
        <v>126</v>
      </c>
      <c r="F78" s="1">
        <v>0</v>
      </c>
      <c r="G78" s="1">
        <v>2035</v>
      </c>
      <c r="H78" s="1">
        <v>1</v>
      </c>
      <c r="I78" s="1">
        <v>0</v>
      </c>
      <c r="J78" s="1">
        <v>0</v>
      </c>
      <c r="K7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17.3964</v>
      </c>
      <c r="M7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200.05860000000001</v>
      </c>
      <c r="N78" s="19">
        <v>129.09960000000001</v>
      </c>
      <c r="O78" s="19">
        <v>73.400600000000011</v>
      </c>
      <c r="P78" s="19">
        <v>200.05860000000001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65.923200000000008</v>
      </c>
      <c r="X78" s="19">
        <v>43.643599999999999</v>
      </c>
      <c r="Y78" s="19">
        <v>91.254800000000003</v>
      </c>
      <c r="Z78" s="19">
        <v>0</v>
      </c>
      <c r="AA78" s="19">
        <v>0</v>
      </c>
      <c r="AB78" s="19">
        <v>0</v>
      </c>
      <c r="AC78" s="19">
        <v>65.923200000000008</v>
      </c>
      <c r="AD78" s="19">
        <v>43.643599999999999</v>
      </c>
      <c r="AE78" s="19">
        <v>91.254800000000003</v>
      </c>
      <c r="AF78" s="19">
        <v>27.468</v>
      </c>
      <c r="AG78" s="19">
        <v>0</v>
      </c>
      <c r="AH78" s="19">
        <v>70.196000000000012</v>
      </c>
      <c r="AI78" s="19">
        <v>38.455200000000005</v>
      </c>
      <c r="AJ78" s="19">
        <v>3.9676000000000005</v>
      </c>
      <c r="AK78" s="19">
        <v>91.254800000000003</v>
      </c>
      <c r="AL78" s="19">
        <v>0</v>
      </c>
      <c r="AM78" s="19">
        <v>0</v>
      </c>
      <c r="AN78" s="19">
        <v>0</v>
      </c>
      <c r="AO78" s="19">
        <v>65.923200000000008</v>
      </c>
      <c r="AP78" s="19">
        <v>43.643599999999999</v>
      </c>
      <c r="AQ78" s="19">
        <v>91.254800000000003</v>
      </c>
      <c r="AR78" s="19">
        <v>0</v>
      </c>
      <c r="AS78" s="19">
        <v>0</v>
      </c>
      <c r="AT78" s="19">
        <v>0</v>
      </c>
      <c r="AU78" s="19">
        <v>65.923200000000008</v>
      </c>
      <c r="AV78" s="19">
        <v>43.643599999999999</v>
      </c>
      <c r="AW78" s="19">
        <v>91.254800000000003</v>
      </c>
      <c r="AX78" s="19">
        <v>0</v>
      </c>
      <c r="AY78" s="19">
        <v>0</v>
      </c>
      <c r="AZ78" s="19">
        <v>0</v>
      </c>
      <c r="BA78" s="19">
        <v>65.923200000000008</v>
      </c>
      <c r="BB78" s="19">
        <v>43.643599999999999</v>
      </c>
      <c r="BC78" s="19">
        <v>91.254800000000003</v>
      </c>
      <c r="BD78" s="19">
        <v>0</v>
      </c>
      <c r="BE78" s="19">
        <v>0</v>
      </c>
      <c r="BF78" s="19">
        <v>0</v>
      </c>
      <c r="BG78" s="19">
        <v>65.923200000000008</v>
      </c>
      <c r="BH78" s="19">
        <v>43.643599999999999</v>
      </c>
      <c r="BI78" s="19">
        <v>91.254800000000003</v>
      </c>
      <c r="BJ78" s="19">
        <v>0</v>
      </c>
      <c r="BK78" s="19">
        <v>0</v>
      </c>
      <c r="BL78" s="19">
        <v>0</v>
      </c>
      <c r="BM78" s="19">
        <v>65.923200000000008</v>
      </c>
      <c r="BN78" s="19">
        <v>43.643599999999999</v>
      </c>
      <c r="BO78" s="19">
        <v>91.254800000000003</v>
      </c>
      <c r="BP78" s="19"/>
      <c r="BQ7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55.546400000000006</v>
      </c>
      <c r="BS7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91.254800000000003</v>
      </c>
      <c r="BT78" s="11">
        <f>Tabelle5897112140[[#This Row],[Mindestauslastung min]]*Tabelle5897112140[[#This Row],[installierte Leistung MW min]]</f>
        <v>0</v>
      </c>
      <c r="BU78" s="11">
        <f>Tabelle5897112140[[#This Row],[Mindestauslastung durch]]*Tabelle5897112140[[#This Row],[installierte Leistung MW durch]]</f>
        <v>0</v>
      </c>
      <c r="BV78" s="11">
        <f>Tabelle5897112140[[#This Row],[Mindestauslastung max]]*Tabelle5897112140[[#This Row],[installierte Leistung MW max]]</f>
        <v>0</v>
      </c>
      <c r="BW78" s="9">
        <v>0</v>
      </c>
      <c r="BX78" s="9">
        <v>0</v>
      </c>
      <c r="BY78" s="9">
        <v>0</v>
      </c>
      <c r="BZ78" s="9"/>
      <c r="CA78" s="9">
        <v>0.47</v>
      </c>
      <c r="CB78" s="9">
        <v>0.37</v>
      </c>
      <c r="CC78" s="9">
        <v>0.56999999999999995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0.1</v>
      </c>
      <c r="CK78" s="9">
        <v>0</v>
      </c>
      <c r="CL78" s="9">
        <v>0.2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0</v>
      </c>
      <c r="DB78" s="9">
        <f>MIN(Tabelle5897112140[[#This Row],[Durchschnittsauslastung durch Sommer WTT]:[Durchschnittsauslastung max Winter SFN]])</f>
        <v>0</v>
      </c>
      <c r="DC7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8" s="9">
        <f>MAX(Tabelle5897112140[[#This Row],[Durchschnittsauslastung durch Sommer WTT]:[Durchschnittsauslastung max Winter SFN]])</f>
        <v>0.56999999999999995</v>
      </c>
      <c r="DE78" s="40">
        <f>Tabelle5897112140[[#This Row],[Durchschnittsauslastung min]]*Tabelle5897112140[[#This Row],[installierte Leistung MW min]]</f>
        <v>0</v>
      </c>
      <c r="DF78" s="40">
        <f>Tabelle5897112140[[#This Row],[Durchschnittsauslastung durch]]*Tabelle5897112140[[#This Row],[installierte Leistung MW durch]]</f>
        <v>17.3964</v>
      </c>
      <c r="DG78" s="40">
        <f>Tabelle5897112140[[#This Row],[Durchschnittsauslastung max]]*Tabelle5897112140[[#This Row],[installierte Leistung MW max]]</f>
        <v>200.05859999999998</v>
      </c>
      <c r="DH78" s="46">
        <f>Tabelle5897112140[[#This Row],[Maximalauslastung min]]*Tabelle5897112140[[#This Row],[installierte Leistung MW min]]</f>
        <v>43.643599999999999</v>
      </c>
      <c r="DI78" s="46">
        <f>Tabelle5897112140[[#This Row],[Maximalauslastung durch]]*Tabelle5897112140[[#This Row],[installierte Leistung MW durch]]</f>
        <v>65.923199999999994</v>
      </c>
      <c r="DJ78" s="19">
        <f>Tabelle5897112140[[#This Row],[Maximalauslastung max]]*Tabelle5897112140[[#This Row],[installierte Leistung MW durch]]</f>
        <v>71.416800000000009</v>
      </c>
      <c r="DK78" s="9">
        <v>0.22</v>
      </c>
      <c r="DL78" s="9">
        <v>0.24</v>
      </c>
      <c r="DM78" s="9">
        <v>0.26</v>
      </c>
      <c r="DN78" s="1">
        <v>274.68</v>
      </c>
      <c r="DO78" s="1">
        <v>198.38</v>
      </c>
      <c r="DP78" s="1">
        <v>350.98</v>
      </c>
      <c r="DQ78" s="19"/>
      <c r="DR78" s="19"/>
      <c r="EL78" s="1">
        <v>365</v>
      </c>
      <c r="EM78" s="1">
        <v>292</v>
      </c>
      <c r="EN78" s="1">
        <v>438</v>
      </c>
      <c r="EO78" s="11"/>
      <c r="EP78" s="11"/>
      <c r="EQ78" s="11"/>
      <c r="ER78" s="1">
        <v>365</v>
      </c>
      <c r="ES78" s="1">
        <v>292</v>
      </c>
      <c r="ET78" s="1">
        <v>438</v>
      </c>
      <c r="EV78" s="19"/>
      <c r="EW78" s="19"/>
      <c r="EX78" s="19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O78" s="1">
        <v>67</v>
      </c>
      <c r="FP78" s="1">
        <v>67</v>
      </c>
      <c r="FQ78" s="1">
        <v>67</v>
      </c>
      <c r="FR78" s="13" t="s">
        <v>806</v>
      </c>
      <c r="FS78" s="13" t="s">
        <v>806</v>
      </c>
      <c r="FT78" s="13" t="s">
        <v>806</v>
      </c>
      <c r="FU78" s="13"/>
      <c r="FV78" s="13" t="s">
        <v>806</v>
      </c>
      <c r="FW78" s="13" t="s">
        <v>806</v>
      </c>
      <c r="FX78" s="13" t="s">
        <v>806</v>
      </c>
      <c r="FY78" s="13" t="s">
        <v>806</v>
      </c>
      <c r="FZ78" s="13" t="s">
        <v>806</v>
      </c>
      <c r="GA78" s="13" t="s">
        <v>806</v>
      </c>
      <c r="GB78" s="13" t="s">
        <v>806</v>
      </c>
      <c r="GE78" s="13" t="s">
        <v>806</v>
      </c>
      <c r="GF78" s="13" t="s">
        <v>806</v>
      </c>
      <c r="GH78" s="13" t="s">
        <v>806</v>
      </c>
    </row>
    <row r="79" spans="1:190" ht="15" customHeight="1" x14ac:dyDescent="0.25">
      <c r="A79" s="1" t="s">
        <v>362</v>
      </c>
      <c r="B79" s="1" t="s">
        <v>650</v>
      </c>
      <c r="C79" s="1" t="s">
        <v>658</v>
      </c>
      <c r="D79" s="1" t="s">
        <v>679</v>
      </c>
      <c r="E79" s="1" t="s">
        <v>126</v>
      </c>
      <c r="F79" s="1">
        <v>0</v>
      </c>
      <c r="G79" s="1">
        <v>2040</v>
      </c>
      <c r="H79" s="1">
        <v>1</v>
      </c>
      <c r="I79" s="1">
        <v>0</v>
      </c>
      <c r="J79" s="1">
        <v>0</v>
      </c>
      <c r="K7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17.715600000000002</v>
      </c>
      <c r="M7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203.7294</v>
      </c>
      <c r="N79" s="19">
        <v>131.4684</v>
      </c>
      <c r="O79" s="19">
        <v>74.747400000000013</v>
      </c>
      <c r="P79" s="19">
        <v>203.7294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67.132800000000003</v>
      </c>
      <c r="X79" s="19">
        <v>44.444400000000002</v>
      </c>
      <c r="Y79" s="19">
        <v>92.929200000000009</v>
      </c>
      <c r="Z79" s="19">
        <v>0</v>
      </c>
      <c r="AA79" s="19">
        <v>0</v>
      </c>
      <c r="AB79" s="19">
        <v>0</v>
      </c>
      <c r="AC79" s="19">
        <v>67.132800000000003</v>
      </c>
      <c r="AD79" s="19">
        <v>44.444400000000002</v>
      </c>
      <c r="AE79" s="19">
        <v>92.929200000000009</v>
      </c>
      <c r="AF79" s="19">
        <v>27.972000000000001</v>
      </c>
      <c r="AG79" s="19">
        <v>0</v>
      </c>
      <c r="AH79" s="19">
        <v>71.484000000000009</v>
      </c>
      <c r="AI79" s="19">
        <v>39.160800000000002</v>
      </c>
      <c r="AJ79" s="19">
        <v>4.0404000000000009</v>
      </c>
      <c r="AK79" s="19">
        <v>92.929200000000009</v>
      </c>
      <c r="AL79" s="19">
        <v>0</v>
      </c>
      <c r="AM79" s="19">
        <v>0</v>
      </c>
      <c r="AN79" s="19">
        <v>0</v>
      </c>
      <c r="AO79" s="19">
        <v>67.132800000000003</v>
      </c>
      <c r="AP79" s="19">
        <v>44.444400000000002</v>
      </c>
      <c r="AQ79" s="19">
        <v>92.929200000000009</v>
      </c>
      <c r="AR79" s="19">
        <v>0</v>
      </c>
      <c r="AS79" s="19">
        <v>0</v>
      </c>
      <c r="AT79" s="19">
        <v>0</v>
      </c>
      <c r="AU79" s="19">
        <v>67.132800000000003</v>
      </c>
      <c r="AV79" s="19">
        <v>44.444400000000002</v>
      </c>
      <c r="AW79" s="19">
        <v>92.929200000000009</v>
      </c>
      <c r="AX79" s="19">
        <v>0</v>
      </c>
      <c r="AY79" s="19">
        <v>0</v>
      </c>
      <c r="AZ79" s="19">
        <v>0</v>
      </c>
      <c r="BA79" s="19">
        <v>67.132800000000003</v>
      </c>
      <c r="BB79" s="19">
        <v>44.444400000000002</v>
      </c>
      <c r="BC79" s="19">
        <v>92.929200000000009</v>
      </c>
      <c r="BD79" s="19">
        <v>0</v>
      </c>
      <c r="BE79" s="19">
        <v>0</v>
      </c>
      <c r="BF79" s="19">
        <v>0</v>
      </c>
      <c r="BG79" s="19">
        <v>67.132800000000003</v>
      </c>
      <c r="BH79" s="19">
        <v>44.444400000000002</v>
      </c>
      <c r="BI79" s="19">
        <v>92.929200000000009</v>
      </c>
      <c r="BJ79" s="19">
        <v>0</v>
      </c>
      <c r="BK79" s="19">
        <v>0</v>
      </c>
      <c r="BL79" s="19">
        <v>0</v>
      </c>
      <c r="BM79" s="19">
        <v>67.132800000000003</v>
      </c>
      <c r="BN79" s="19">
        <v>44.444400000000002</v>
      </c>
      <c r="BO79" s="19">
        <v>92.929200000000009</v>
      </c>
      <c r="BP79" s="19"/>
      <c r="BQ7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56.565599999999989</v>
      </c>
      <c r="BS7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92.929200000000009</v>
      </c>
      <c r="BT79" s="11">
        <f>Tabelle5897112140[[#This Row],[Mindestauslastung min]]*Tabelle5897112140[[#This Row],[installierte Leistung MW min]]</f>
        <v>0</v>
      </c>
      <c r="BU79" s="11">
        <f>Tabelle5897112140[[#This Row],[Mindestauslastung durch]]*Tabelle5897112140[[#This Row],[installierte Leistung MW durch]]</f>
        <v>0</v>
      </c>
      <c r="BV79" s="11">
        <f>Tabelle5897112140[[#This Row],[Mindestauslastung max]]*Tabelle5897112140[[#This Row],[installierte Leistung MW max]]</f>
        <v>0</v>
      </c>
      <c r="BW79" s="9">
        <v>0</v>
      </c>
      <c r="BX79" s="9">
        <v>0</v>
      </c>
      <c r="BY79" s="9">
        <v>0</v>
      </c>
      <c r="BZ79" s="9"/>
      <c r="CA79" s="9">
        <v>0.47</v>
      </c>
      <c r="CB79" s="9">
        <v>0.37</v>
      </c>
      <c r="CC79" s="9">
        <v>0.56999999999999995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0.1</v>
      </c>
      <c r="CK79" s="9">
        <v>0</v>
      </c>
      <c r="CL79" s="9">
        <v>0.2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9">
        <v>0</v>
      </c>
      <c r="CW79" s="9">
        <v>0</v>
      </c>
      <c r="CX79" s="9">
        <v>0</v>
      </c>
      <c r="CY79" s="9">
        <v>0</v>
      </c>
      <c r="CZ79" s="9">
        <v>0</v>
      </c>
      <c r="DA79" s="9">
        <v>0</v>
      </c>
      <c r="DB79" s="9">
        <f>MIN(Tabelle5897112140[[#This Row],[Durchschnittsauslastung durch Sommer WTT]:[Durchschnittsauslastung max Winter SFN]])</f>
        <v>0</v>
      </c>
      <c r="DC7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9" s="9">
        <f>MAX(Tabelle5897112140[[#This Row],[Durchschnittsauslastung durch Sommer WTT]:[Durchschnittsauslastung max Winter SFN]])</f>
        <v>0.56999999999999995</v>
      </c>
      <c r="DE79" s="40">
        <f>Tabelle5897112140[[#This Row],[Durchschnittsauslastung min]]*Tabelle5897112140[[#This Row],[installierte Leistung MW min]]</f>
        <v>0</v>
      </c>
      <c r="DF79" s="40">
        <f>Tabelle5897112140[[#This Row],[Durchschnittsauslastung durch]]*Tabelle5897112140[[#This Row],[installierte Leistung MW durch]]</f>
        <v>17.715599999999998</v>
      </c>
      <c r="DG79" s="40">
        <f>Tabelle5897112140[[#This Row],[Durchschnittsauslastung max]]*Tabelle5897112140[[#This Row],[installierte Leistung MW max]]</f>
        <v>203.7294</v>
      </c>
      <c r="DH79" s="46">
        <f>Tabelle5897112140[[#This Row],[Maximalauslastung min]]*Tabelle5897112140[[#This Row],[installierte Leistung MW min]]</f>
        <v>44.444400000000002</v>
      </c>
      <c r="DI79" s="46">
        <f>Tabelle5897112140[[#This Row],[Maximalauslastung durch]]*Tabelle5897112140[[#This Row],[installierte Leistung MW durch]]</f>
        <v>67.132800000000003</v>
      </c>
      <c r="DJ79" s="19">
        <f>Tabelle5897112140[[#This Row],[Maximalauslastung max]]*Tabelle5897112140[[#This Row],[installierte Leistung MW durch]]</f>
        <v>72.727200000000011</v>
      </c>
      <c r="DK79" s="9">
        <v>0.22</v>
      </c>
      <c r="DL79" s="9">
        <v>0.24</v>
      </c>
      <c r="DM79" s="9">
        <v>0.26</v>
      </c>
      <c r="DN79" s="1">
        <v>279.72000000000003</v>
      </c>
      <c r="DO79" s="1">
        <v>202.02</v>
      </c>
      <c r="DP79" s="1">
        <v>357.42</v>
      </c>
      <c r="DQ79" s="19"/>
      <c r="DR79" s="19"/>
      <c r="EL79" s="1">
        <v>365</v>
      </c>
      <c r="EM79" s="1">
        <v>292</v>
      </c>
      <c r="EN79" s="1">
        <v>438</v>
      </c>
      <c r="EO79" s="11"/>
      <c r="EP79" s="11"/>
      <c r="EQ79" s="11"/>
      <c r="ER79" s="1">
        <v>365</v>
      </c>
      <c r="ES79" s="1">
        <v>292</v>
      </c>
      <c r="ET79" s="1">
        <v>438</v>
      </c>
      <c r="EV79" s="19"/>
      <c r="EW79" s="19"/>
      <c r="EX79" s="19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O79" s="1">
        <v>67</v>
      </c>
      <c r="FP79" s="1">
        <v>67</v>
      </c>
      <c r="FQ79" s="1">
        <v>67</v>
      </c>
      <c r="FR79" s="13" t="s">
        <v>806</v>
      </c>
      <c r="FS79" s="13" t="s">
        <v>806</v>
      </c>
      <c r="FT79" s="13" t="s">
        <v>806</v>
      </c>
      <c r="FU79" s="13"/>
      <c r="FV79" s="13" t="s">
        <v>806</v>
      </c>
      <c r="FW79" s="13" t="s">
        <v>806</v>
      </c>
      <c r="FX79" s="13" t="s">
        <v>806</v>
      </c>
      <c r="FY79" s="13" t="s">
        <v>806</v>
      </c>
      <c r="FZ79" s="13" t="s">
        <v>806</v>
      </c>
      <c r="GA79" s="13" t="s">
        <v>806</v>
      </c>
      <c r="GB79" s="13" t="s">
        <v>806</v>
      </c>
      <c r="GE79" s="13" t="s">
        <v>806</v>
      </c>
      <c r="GF79" s="13" t="s">
        <v>806</v>
      </c>
      <c r="GH79" s="13" t="s">
        <v>806</v>
      </c>
    </row>
    <row r="80" spans="1:190" ht="15" customHeight="1" x14ac:dyDescent="0.25">
      <c r="A80" s="1" t="s">
        <v>362</v>
      </c>
      <c r="B80" s="1" t="s">
        <v>650</v>
      </c>
      <c r="C80" s="1" t="s">
        <v>658</v>
      </c>
      <c r="D80" s="1" t="s">
        <v>679</v>
      </c>
      <c r="E80" s="1" t="s">
        <v>126</v>
      </c>
      <c r="F80" s="1">
        <v>0</v>
      </c>
      <c r="G80" s="1">
        <v>2045</v>
      </c>
      <c r="H80" s="1">
        <v>1</v>
      </c>
      <c r="I80" s="1">
        <v>0</v>
      </c>
      <c r="J80" s="1">
        <v>0</v>
      </c>
      <c r="K8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8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18.194399999999998</v>
      </c>
      <c r="M8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209.23559999999998</v>
      </c>
      <c r="N80" s="19">
        <v>135.02159999999998</v>
      </c>
      <c r="O80" s="19">
        <v>76.767600000000002</v>
      </c>
      <c r="P80" s="19">
        <v>209.23559999999998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68.947199999999995</v>
      </c>
      <c r="X80" s="19">
        <v>45.645599999999995</v>
      </c>
      <c r="Y80" s="19">
        <v>95.440799999999996</v>
      </c>
      <c r="Z80" s="19">
        <v>0</v>
      </c>
      <c r="AA80" s="19">
        <v>0</v>
      </c>
      <c r="AB80" s="19">
        <v>0</v>
      </c>
      <c r="AC80" s="19">
        <v>68.947199999999995</v>
      </c>
      <c r="AD80" s="19">
        <v>45.645599999999995</v>
      </c>
      <c r="AE80" s="19">
        <v>95.440799999999996</v>
      </c>
      <c r="AF80" s="19">
        <v>28.727999999999998</v>
      </c>
      <c r="AG80" s="19">
        <v>0</v>
      </c>
      <c r="AH80" s="19">
        <v>73.415999999999997</v>
      </c>
      <c r="AI80" s="19">
        <v>40.219200000000001</v>
      </c>
      <c r="AJ80" s="19">
        <v>4.1495999999999995</v>
      </c>
      <c r="AK80" s="19">
        <v>95.440799999999996</v>
      </c>
      <c r="AL80" s="19">
        <v>0</v>
      </c>
      <c r="AM80" s="19">
        <v>0</v>
      </c>
      <c r="AN80" s="19">
        <v>0</v>
      </c>
      <c r="AO80" s="19">
        <v>68.947199999999995</v>
      </c>
      <c r="AP80" s="19">
        <v>45.645599999999995</v>
      </c>
      <c r="AQ80" s="19">
        <v>95.440799999999996</v>
      </c>
      <c r="AR80" s="19">
        <v>0</v>
      </c>
      <c r="AS80" s="19">
        <v>0</v>
      </c>
      <c r="AT80" s="19">
        <v>0</v>
      </c>
      <c r="AU80" s="19">
        <v>68.947199999999995</v>
      </c>
      <c r="AV80" s="19">
        <v>45.645599999999995</v>
      </c>
      <c r="AW80" s="19">
        <v>95.440799999999996</v>
      </c>
      <c r="AX80" s="19">
        <v>0</v>
      </c>
      <c r="AY80" s="19">
        <v>0</v>
      </c>
      <c r="AZ80" s="19">
        <v>0</v>
      </c>
      <c r="BA80" s="19">
        <v>68.947199999999995</v>
      </c>
      <c r="BB80" s="19">
        <v>45.645599999999995</v>
      </c>
      <c r="BC80" s="19">
        <v>95.440799999999996</v>
      </c>
      <c r="BD80" s="19">
        <v>0</v>
      </c>
      <c r="BE80" s="19">
        <v>0</v>
      </c>
      <c r="BF80" s="19">
        <v>0</v>
      </c>
      <c r="BG80" s="19">
        <v>68.947199999999995</v>
      </c>
      <c r="BH80" s="19">
        <v>45.645599999999995</v>
      </c>
      <c r="BI80" s="19">
        <v>95.440799999999996</v>
      </c>
      <c r="BJ80" s="19">
        <v>0</v>
      </c>
      <c r="BK80" s="19">
        <v>0</v>
      </c>
      <c r="BL80" s="19">
        <v>0</v>
      </c>
      <c r="BM80" s="19">
        <v>68.947199999999995</v>
      </c>
      <c r="BN80" s="19">
        <v>45.645599999999995</v>
      </c>
      <c r="BO80" s="19">
        <v>95.440799999999996</v>
      </c>
      <c r="BP80" s="19"/>
      <c r="BQ8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58.0944</v>
      </c>
      <c r="BS8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95.440799999999996</v>
      </c>
      <c r="BT80" s="11">
        <f>Tabelle5897112140[[#This Row],[Mindestauslastung min]]*Tabelle5897112140[[#This Row],[installierte Leistung MW min]]</f>
        <v>0</v>
      </c>
      <c r="BU80" s="11">
        <f>Tabelle5897112140[[#This Row],[Mindestauslastung durch]]*Tabelle5897112140[[#This Row],[installierte Leistung MW durch]]</f>
        <v>0</v>
      </c>
      <c r="BV80" s="11">
        <f>Tabelle5897112140[[#This Row],[Mindestauslastung max]]*Tabelle5897112140[[#This Row],[installierte Leistung MW max]]</f>
        <v>0</v>
      </c>
      <c r="BW80" s="9">
        <v>0</v>
      </c>
      <c r="BX80" s="9">
        <v>0</v>
      </c>
      <c r="BY80" s="9">
        <v>0</v>
      </c>
      <c r="BZ80" s="9"/>
      <c r="CA80" s="9">
        <v>0.47</v>
      </c>
      <c r="CB80" s="9">
        <v>0.37</v>
      </c>
      <c r="CC80" s="9">
        <v>0.56999999999999995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0.1</v>
      </c>
      <c r="CK80" s="9">
        <v>0</v>
      </c>
      <c r="CL80" s="9">
        <v>0.2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  <c r="CZ80" s="9">
        <v>0</v>
      </c>
      <c r="DA80" s="9">
        <v>0</v>
      </c>
      <c r="DB80" s="9">
        <f>MIN(Tabelle5897112140[[#This Row],[Durchschnittsauslastung durch Sommer WTT]:[Durchschnittsauslastung max Winter SFN]])</f>
        <v>0</v>
      </c>
      <c r="DC8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80" s="9">
        <f>MAX(Tabelle5897112140[[#This Row],[Durchschnittsauslastung durch Sommer WTT]:[Durchschnittsauslastung max Winter SFN]])</f>
        <v>0.56999999999999995</v>
      </c>
      <c r="DE80" s="40">
        <f>Tabelle5897112140[[#This Row],[Durchschnittsauslastung min]]*Tabelle5897112140[[#This Row],[installierte Leistung MW min]]</f>
        <v>0</v>
      </c>
      <c r="DF80" s="40">
        <f>Tabelle5897112140[[#This Row],[Durchschnittsauslastung durch]]*Tabelle5897112140[[#This Row],[installierte Leistung MW durch]]</f>
        <v>18.194399999999995</v>
      </c>
      <c r="DG80" s="40">
        <f>Tabelle5897112140[[#This Row],[Durchschnittsauslastung max]]*Tabelle5897112140[[#This Row],[installierte Leistung MW max]]</f>
        <v>209.23559999999998</v>
      </c>
      <c r="DH80" s="46">
        <f>Tabelle5897112140[[#This Row],[Maximalauslastung min]]*Tabelle5897112140[[#This Row],[installierte Leistung MW min]]</f>
        <v>45.645599999999995</v>
      </c>
      <c r="DI80" s="46">
        <f>Tabelle5897112140[[#This Row],[Maximalauslastung durch]]*Tabelle5897112140[[#This Row],[installierte Leistung MW durch]]</f>
        <v>68.947199999999995</v>
      </c>
      <c r="DJ80" s="19">
        <f>Tabelle5897112140[[#This Row],[Maximalauslastung max]]*Tabelle5897112140[[#This Row],[installierte Leistung MW durch]]</f>
        <v>74.692799999999991</v>
      </c>
      <c r="DK80" s="9">
        <v>0.22</v>
      </c>
      <c r="DL80" s="9">
        <v>0.24</v>
      </c>
      <c r="DM80" s="9">
        <v>0.26</v>
      </c>
      <c r="DN80" s="1">
        <v>287.27999999999997</v>
      </c>
      <c r="DO80" s="1">
        <v>207.48</v>
      </c>
      <c r="DP80" s="1">
        <v>367.08</v>
      </c>
      <c r="DQ80" s="19"/>
      <c r="DR80" s="19"/>
      <c r="EL80" s="1">
        <v>365</v>
      </c>
      <c r="EM80" s="1">
        <v>292</v>
      </c>
      <c r="EN80" s="1">
        <v>438</v>
      </c>
      <c r="EO80" s="11"/>
      <c r="EP80" s="11"/>
      <c r="EQ80" s="11"/>
      <c r="ER80" s="1">
        <v>365</v>
      </c>
      <c r="ES80" s="1">
        <v>292</v>
      </c>
      <c r="ET80" s="1">
        <v>438</v>
      </c>
      <c r="EV80" s="19"/>
      <c r="EW80" s="19"/>
      <c r="EX80" s="19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O80" s="1">
        <v>67</v>
      </c>
      <c r="FP80" s="1">
        <v>67</v>
      </c>
      <c r="FQ80" s="1">
        <v>67</v>
      </c>
      <c r="FR80" s="13" t="s">
        <v>806</v>
      </c>
      <c r="FS80" s="13" t="s">
        <v>806</v>
      </c>
      <c r="FT80" s="13" t="s">
        <v>806</v>
      </c>
      <c r="FU80" s="13"/>
      <c r="FV80" s="13" t="s">
        <v>806</v>
      </c>
      <c r="FW80" s="13" t="s">
        <v>806</v>
      </c>
      <c r="FX80" s="13" t="s">
        <v>806</v>
      </c>
      <c r="FY80" s="13" t="s">
        <v>806</v>
      </c>
      <c r="FZ80" s="13" t="s">
        <v>806</v>
      </c>
      <c r="GA80" s="13" t="s">
        <v>806</v>
      </c>
      <c r="GB80" s="13" t="s">
        <v>806</v>
      </c>
      <c r="GE80" s="13" t="s">
        <v>806</v>
      </c>
      <c r="GF80" s="13" t="s">
        <v>806</v>
      </c>
      <c r="GH80" s="13" t="s">
        <v>806</v>
      </c>
    </row>
    <row r="81" spans="1:190" ht="15" customHeight="1" x14ac:dyDescent="0.25">
      <c r="A81" s="1" t="s">
        <v>362</v>
      </c>
      <c r="B81" s="1" t="s">
        <v>650</v>
      </c>
      <c r="C81" s="1" t="s">
        <v>658</v>
      </c>
      <c r="D81" s="1" t="s">
        <v>679</v>
      </c>
      <c r="E81" s="1" t="s">
        <v>126</v>
      </c>
      <c r="F81" s="1">
        <v>0</v>
      </c>
      <c r="G81" s="1">
        <v>2050</v>
      </c>
      <c r="H81" s="1">
        <v>1</v>
      </c>
      <c r="I81" s="1">
        <v>0</v>
      </c>
      <c r="J81" s="1">
        <v>0</v>
      </c>
      <c r="K8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8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18.5136</v>
      </c>
      <c r="M8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212.90639999999996</v>
      </c>
      <c r="N81" s="19">
        <v>137.3904</v>
      </c>
      <c r="O81" s="19">
        <v>78.114400000000003</v>
      </c>
      <c r="P81" s="19">
        <v>212.90639999999996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70.15679999999999</v>
      </c>
      <c r="X81" s="19">
        <v>46.446399999999997</v>
      </c>
      <c r="Y81" s="19">
        <v>97.115199999999987</v>
      </c>
      <c r="Z81" s="19">
        <v>0</v>
      </c>
      <c r="AA81" s="19">
        <v>0</v>
      </c>
      <c r="AB81" s="19">
        <v>0</v>
      </c>
      <c r="AC81" s="19">
        <v>70.15679999999999</v>
      </c>
      <c r="AD81" s="19">
        <v>46.446399999999997</v>
      </c>
      <c r="AE81" s="19">
        <v>97.115199999999987</v>
      </c>
      <c r="AF81" s="19">
        <v>29.231999999999996</v>
      </c>
      <c r="AG81" s="19">
        <v>0</v>
      </c>
      <c r="AH81" s="19">
        <v>74.704000000000008</v>
      </c>
      <c r="AI81" s="19">
        <v>40.924799999999998</v>
      </c>
      <c r="AJ81" s="19">
        <v>4.2223999999999995</v>
      </c>
      <c r="AK81" s="19">
        <v>97.115199999999987</v>
      </c>
      <c r="AL81" s="19">
        <v>0</v>
      </c>
      <c r="AM81" s="19">
        <v>0</v>
      </c>
      <c r="AN81" s="19">
        <v>0</v>
      </c>
      <c r="AO81" s="19">
        <v>70.15679999999999</v>
      </c>
      <c r="AP81" s="19">
        <v>46.446399999999997</v>
      </c>
      <c r="AQ81" s="19">
        <v>97.115199999999987</v>
      </c>
      <c r="AR81" s="19">
        <v>0</v>
      </c>
      <c r="AS81" s="19">
        <v>0</v>
      </c>
      <c r="AT81" s="19">
        <v>0</v>
      </c>
      <c r="AU81" s="19">
        <v>70.15679999999999</v>
      </c>
      <c r="AV81" s="19">
        <v>46.446399999999997</v>
      </c>
      <c r="AW81" s="19">
        <v>97.115199999999987</v>
      </c>
      <c r="AX81" s="19">
        <v>0</v>
      </c>
      <c r="AY81" s="19">
        <v>0</v>
      </c>
      <c r="AZ81" s="19">
        <v>0</v>
      </c>
      <c r="BA81" s="19">
        <v>70.15679999999999</v>
      </c>
      <c r="BB81" s="19">
        <v>46.446399999999997</v>
      </c>
      <c r="BC81" s="19">
        <v>97.115199999999987</v>
      </c>
      <c r="BD81" s="19">
        <v>0</v>
      </c>
      <c r="BE81" s="19">
        <v>0</v>
      </c>
      <c r="BF81" s="19">
        <v>0</v>
      </c>
      <c r="BG81" s="19">
        <v>70.15679999999999</v>
      </c>
      <c r="BH81" s="19">
        <v>46.446399999999997</v>
      </c>
      <c r="BI81" s="19">
        <v>97.115199999999987</v>
      </c>
      <c r="BJ81" s="19">
        <v>0</v>
      </c>
      <c r="BK81" s="19">
        <v>0</v>
      </c>
      <c r="BL81" s="19">
        <v>0</v>
      </c>
      <c r="BM81" s="19">
        <v>70.15679999999999</v>
      </c>
      <c r="BN81" s="19">
        <v>46.446399999999997</v>
      </c>
      <c r="BO81" s="19">
        <v>97.115199999999987</v>
      </c>
      <c r="BP81" s="19"/>
      <c r="BQ8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59.113599999999991</v>
      </c>
      <c r="BS8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97.115199999999987</v>
      </c>
      <c r="BT81" s="11">
        <f>Tabelle5897112140[[#This Row],[Mindestauslastung min]]*Tabelle5897112140[[#This Row],[installierte Leistung MW min]]</f>
        <v>0</v>
      </c>
      <c r="BU81" s="11">
        <f>Tabelle5897112140[[#This Row],[Mindestauslastung durch]]*Tabelle5897112140[[#This Row],[installierte Leistung MW durch]]</f>
        <v>0</v>
      </c>
      <c r="BV81" s="11">
        <f>Tabelle5897112140[[#This Row],[Mindestauslastung max]]*Tabelle5897112140[[#This Row],[installierte Leistung MW max]]</f>
        <v>0</v>
      </c>
      <c r="BW81" s="9">
        <v>0</v>
      </c>
      <c r="BX81" s="9">
        <v>0</v>
      </c>
      <c r="BY81" s="9">
        <v>0</v>
      </c>
      <c r="BZ81" s="9"/>
      <c r="CA81" s="9">
        <v>0.47</v>
      </c>
      <c r="CB81" s="9">
        <v>0.37</v>
      </c>
      <c r="CC81" s="9">
        <v>0.56999999999999995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0.1</v>
      </c>
      <c r="CK81" s="9">
        <v>0</v>
      </c>
      <c r="CL81" s="9">
        <v>0.2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  <c r="CZ81" s="9">
        <v>0</v>
      </c>
      <c r="DA81" s="9">
        <v>0</v>
      </c>
      <c r="DB81" s="9">
        <f>MIN(Tabelle5897112140[[#This Row],[Durchschnittsauslastung durch Sommer WTT]:[Durchschnittsauslastung max Winter SFN]])</f>
        <v>0</v>
      </c>
      <c r="DC8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81" s="9">
        <f>MAX(Tabelle5897112140[[#This Row],[Durchschnittsauslastung durch Sommer WTT]:[Durchschnittsauslastung max Winter SFN]])</f>
        <v>0.56999999999999995</v>
      </c>
      <c r="DE81" s="40">
        <f>Tabelle5897112140[[#This Row],[Durchschnittsauslastung min]]*Tabelle5897112140[[#This Row],[installierte Leistung MW min]]</f>
        <v>0</v>
      </c>
      <c r="DF81" s="40">
        <f>Tabelle5897112140[[#This Row],[Durchschnittsauslastung durch]]*Tabelle5897112140[[#This Row],[installierte Leistung MW durch]]</f>
        <v>18.513599999999997</v>
      </c>
      <c r="DG81" s="40">
        <f>Tabelle5897112140[[#This Row],[Durchschnittsauslastung max]]*Tabelle5897112140[[#This Row],[installierte Leistung MW max]]</f>
        <v>212.90639999999996</v>
      </c>
      <c r="DH81" s="46">
        <f>Tabelle5897112140[[#This Row],[Maximalauslastung min]]*Tabelle5897112140[[#This Row],[installierte Leistung MW min]]</f>
        <v>46.446400000000004</v>
      </c>
      <c r="DI81" s="46">
        <f>Tabelle5897112140[[#This Row],[Maximalauslastung durch]]*Tabelle5897112140[[#This Row],[installierte Leistung MW durch]]</f>
        <v>70.15679999999999</v>
      </c>
      <c r="DJ81" s="19">
        <f>Tabelle5897112140[[#This Row],[Maximalauslastung max]]*Tabelle5897112140[[#This Row],[installierte Leistung MW durch]]</f>
        <v>76.003200000000007</v>
      </c>
      <c r="DK81" s="9">
        <v>0.22</v>
      </c>
      <c r="DL81" s="9">
        <v>0.24</v>
      </c>
      <c r="DM81" s="9">
        <v>0.26</v>
      </c>
      <c r="DN81" s="1">
        <v>292.32</v>
      </c>
      <c r="DO81" s="1">
        <v>211.12</v>
      </c>
      <c r="DP81" s="1">
        <v>373.52</v>
      </c>
      <c r="DQ81" s="19"/>
      <c r="DR81" s="19"/>
      <c r="EL81" s="1">
        <v>365</v>
      </c>
      <c r="EM81" s="1">
        <v>292</v>
      </c>
      <c r="EN81" s="1">
        <v>438</v>
      </c>
      <c r="EO81" s="11"/>
      <c r="EP81" s="11"/>
      <c r="EQ81" s="11"/>
      <c r="ER81" s="1">
        <v>365</v>
      </c>
      <c r="ES81" s="1">
        <v>292</v>
      </c>
      <c r="ET81" s="1">
        <v>438</v>
      </c>
      <c r="EV81" s="19"/>
      <c r="EW81" s="19"/>
      <c r="EX81" s="19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O81" s="1">
        <v>67</v>
      </c>
      <c r="FP81" s="1">
        <v>67</v>
      </c>
      <c r="FQ81" s="1">
        <v>67</v>
      </c>
      <c r="FR81" s="13" t="s">
        <v>806</v>
      </c>
      <c r="FS81" s="13" t="s">
        <v>806</v>
      </c>
      <c r="FT81" s="13" t="s">
        <v>806</v>
      </c>
      <c r="FU81" s="13"/>
      <c r="FV81" s="13" t="s">
        <v>806</v>
      </c>
      <c r="FW81" s="13" t="s">
        <v>806</v>
      </c>
      <c r="FX81" s="13" t="s">
        <v>806</v>
      </c>
      <c r="FY81" s="13" t="s">
        <v>806</v>
      </c>
      <c r="FZ81" s="13" t="s">
        <v>806</v>
      </c>
      <c r="GA81" s="13" t="s">
        <v>806</v>
      </c>
      <c r="GB81" s="13" t="s">
        <v>806</v>
      </c>
      <c r="GE81" s="13" t="s">
        <v>806</v>
      </c>
      <c r="GF81" s="13" t="s">
        <v>806</v>
      </c>
      <c r="GH81" s="13" t="s">
        <v>806</v>
      </c>
    </row>
    <row r="82" spans="1:190" ht="15" customHeight="1" x14ac:dyDescent="0.25">
      <c r="A82" s="1" t="s">
        <v>208</v>
      </c>
      <c r="B82" s="1" t="s">
        <v>651</v>
      </c>
      <c r="C82" s="1" t="s">
        <v>658</v>
      </c>
      <c r="D82" s="1" t="s">
        <v>680</v>
      </c>
      <c r="E82" s="1" t="s">
        <v>126</v>
      </c>
      <c r="F82" s="1">
        <v>0</v>
      </c>
      <c r="G82" s="1">
        <v>2015</v>
      </c>
      <c r="H82" s="1">
        <v>1</v>
      </c>
      <c r="I82" s="1">
        <v>0</v>
      </c>
      <c r="J82" s="1">
        <v>0</v>
      </c>
      <c r="K8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1.1599999999999999</v>
      </c>
      <c r="L8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13.073333333333332</v>
      </c>
      <c r="M8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42.3</v>
      </c>
      <c r="N82" s="19">
        <v>25.9</v>
      </c>
      <c r="O82" s="19">
        <v>13.34</v>
      </c>
      <c r="P82" s="19">
        <v>42.3</v>
      </c>
      <c r="Q82" s="19">
        <v>0.74</v>
      </c>
      <c r="R82" s="19">
        <v>0</v>
      </c>
      <c r="S82" s="19">
        <v>14.4</v>
      </c>
      <c r="T82" s="19">
        <v>6.66</v>
      </c>
      <c r="U82" s="19">
        <v>1.1599999999999999</v>
      </c>
      <c r="V82" s="19">
        <v>14.4</v>
      </c>
      <c r="W82" s="19">
        <v>19.98</v>
      </c>
      <c r="X82" s="19">
        <v>9.86</v>
      </c>
      <c r="Y82" s="19">
        <v>33.299999999999997</v>
      </c>
      <c r="Z82" s="19">
        <v>6.66</v>
      </c>
      <c r="AA82" s="19">
        <v>1.1599999999999999</v>
      </c>
      <c r="AB82" s="19">
        <v>14.4</v>
      </c>
      <c r="AC82" s="19">
        <v>19.98</v>
      </c>
      <c r="AD82" s="19">
        <v>9.86</v>
      </c>
      <c r="AE82" s="19">
        <v>33.299999999999997</v>
      </c>
      <c r="AF82" s="19">
        <v>25.9</v>
      </c>
      <c r="AG82" s="19">
        <v>13.34</v>
      </c>
      <c r="AH82" s="19">
        <v>42.3</v>
      </c>
      <c r="AI82" s="19">
        <v>0.74</v>
      </c>
      <c r="AJ82" s="19">
        <v>0</v>
      </c>
      <c r="AK82" s="19">
        <v>14.4</v>
      </c>
      <c r="AL82" s="19">
        <v>6.66</v>
      </c>
      <c r="AM82" s="19">
        <v>1.1599999999999999</v>
      </c>
      <c r="AN82" s="19">
        <v>14.4</v>
      </c>
      <c r="AO82" s="19">
        <v>19.98</v>
      </c>
      <c r="AP82" s="19">
        <v>9.86</v>
      </c>
      <c r="AQ82" s="19">
        <v>33.299999999999997</v>
      </c>
      <c r="AR82" s="19">
        <v>6.66</v>
      </c>
      <c r="AS82" s="19">
        <v>1.1599999999999999</v>
      </c>
      <c r="AT82" s="19">
        <v>14.4</v>
      </c>
      <c r="AU82" s="19">
        <v>19.98</v>
      </c>
      <c r="AV82" s="19">
        <v>9.86</v>
      </c>
      <c r="AW82" s="19">
        <v>33.299999999999997</v>
      </c>
      <c r="AX82" s="19">
        <v>25.9</v>
      </c>
      <c r="AY82" s="19">
        <v>13.34</v>
      </c>
      <c r="AZ82" s="19">
        <v>42.3</v>
      </c>
      <c r="BA82" s="19">
        <v>0.74</v>
      </c>
      <c r="BB82" s="19">
        <v>0</v>
      </c>
      <c r="BC82" s="19">
        <v>14.4</v>
      </c>
      <c r="BD82" s="19">
        <v>6.66</v>
      </c>
      <c r="BE82" s="19">
        <v>1.1599999999999999</v>
      </c>
      <c r="BF82" s="19">
        <v>14.4</v>
      </c>
      <c r="BG82" s="19">
        <v>19.98</v>
      </c>
      <c r="BH82" s="19">
        <v>9.86</v>
      </c>
      <c r="BI82" s="19">
        <v>33.299999999999997</v>
      </c>
      <c r="BJ82" s="19">
        <v>6.66</v>
      </c>
      <c r="BK82" s="19">
        <v>1.1599999999999999</v>
      </c>
      <c r="BL82" s="19">
        <v>14.4</v>
      </c>
      <c r="BM82" s="19">
        <v>19.98</v>
      </c>
      <c r="BN82" s="19">
        <v>9.86</v>
      </c>
      <c r="BO82" s="19">
        <v>33.299999999999997</v>
      </c>
      <c r="BP82" s="19"/>
      <c r="BQ8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13.566666666666668</v>
      </c>
      <c r="BS8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33.299999999999997</v>
      </c>
      <c r="BT82" s="11">
        <f>Tabelle5897112140[[#This Row],[Mindestauslastung min]]*Tabelle5897112140[[#This Row],[installierte Leistung MW min]]</f>
        <v>0</v>
      </c>
      <c r="BU82" s="11">
        <f>Tabelle5897112140[[#This Row],[Mindestauslastung durch]]*Tabelle5897112140[[#This Row],[installierte Leistung MW durch]]</f>
        <v>0</v>
      </c>
      <c r="BV82" s="11">
        <f>Tabelle5897112140[[#This Row],[Mindestauslastung max]]*Tabelle5897112140[[#This Row],[installierte Leistung MW max]]</f>
        <v>0</v>
      </c>
      <c r="BW82" s="9">
        <v>0</v>
      </c>
      <c r="BX82" s="9">
        <v>0</v>
      </c>
      <c r="BY82" s="9">
        <v>0</v>
      </c>
      <c r="BZ82" s="9"/>
      <c r="CA82" s="9">
        <v>0.5</v>
      </c>
      <c r="CB82" s="9">
        <v>0.4</v>
      </c>
      <c r="CC82" s="9">
        <v>0.6</v>
      </c>
      <c r="CD82" s="9">
        <v>0.24</v>
      </c>
      <c r="CE82" s="9">
        <v>0.19</v>
      </c>
      <c r="CF82" s="9">
        <v>0.28999999999999998</v>
      </c>
      <c r="CG82" s="9">
        <v>0.24</v>
      </c>
      <c r="CH82" s="9">
        <v>0.19</v>
      </c>
      <c r="CI82" s="9">
        <v>0.28999999999999998</v>
      </c>
      <c r="CJ82" s="9">
        <v>0.5</v>
      </c>
      <c r="CK82" s="9">
        <v>0.4</v>
      </c>
      <c r="CL82" s="9">
        <v>0.6</v>
      </c>
      <c r="CM82" s="9">
        <v>0.24</v>
      </c>
      <c r="CN82" s="9">
        <v>0.19</v>
      </c>
      <c r="CO82" s="9">
        <v>0.28999999999999998</v>
      </c>
      <c r="CP82" s="9">
        <v>0.24</v>
      </c>
      <c r="CQ82" s="9">
        <v>0.19</v>
      </c>
      <c r="CR82" s="9">
        <v>0.28999999999999998</v>
      </c>
      <c r="CS82" s="9">
        <v>0.5</v>
      </c>
      <c r="CT82" s="9">
        <v>0.4</v>
      </c>
      <c r="CU82" s="9">
        <v>0.6</v>
      </c>
      <c r="CV82" s="9">
        <v>0.24</v>
      </c>
      <c r="CW82" s="9">
        <v>0.19</v>
      </c>
      <c r="CX82" s="9">
        <v>0.28999999999999998</v>
      </c>
      <c r="CY82" s="9">
        <v>0.24</v>
      </c>
      <c r="CZ82" s="9">
        <v>0.19</v>
      </c>
      <c r="DA82" s="9">
        <v>0.28999999999999998</v>
      </c>
      <c r="DB82" s="9">
        <f>MIN(Tabelle5897112140[[#This Row],[Durchschnittsauslastung durch Sommer WTT]:[Durchschnittsauslastung max Winter SFN]])</f>
        <v>0.19</v>
      </c>
      <c r="DC8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2" s="9">
        <f>MAX(Tabelle5897112140[[#This Row],[Durchschnittsauslastung durch Sommer WTT]:[Durchschnittsauslastung max Winter SFN]])</f>
        <v>0.6</v>
      </c>
      <c r="DE82" s="40">
        <f>Tabelle5897112140[[#This Row],[Durchschnittsauslastung min]]*Tabelle5897112140[[#This Row],[installierte Leistung MW min]]</f>
        <v>11.02</v>
      </c>
      <c r="DF82" s="40">
        <f>Tabelle5897112140[[#This Row],[Durchschnittsauslastung durch]]*Tabelle5897112140[[#This Row],[installierte Leistung MW durch]]</f>
        <v>24.173333333333336</v>
      </c>
      <c r="DG82" s="40">
        <f>Tabelle5897112140[[#This Row],[Durchschnittsauslastung max]]*Tabelle5897112140[[#This Row],[installierte Leistung MW max]]</f>
        <v>54</v>
      </c>
      <c r="DH82" s="46">
        <f>Tabelle5897112140[[#This Row],[Maximalauslastung min]]*Tabelle5897112140[[#This Row],[installierte Leistung MW min]]</f>
        <v>12.76</v>
      </c>
      <c r="DI82" s="46">
        <f>Tabelle5897112140[[#This Row],[Maximalauslastung durch]]*Tabelle5897112140[[#This Row],[installierte Leistung MW durch]]</f>
        <v>17.759999999999998</v>
      </c>
      <c r="DJ82" s="19">
        <f>Tabelle5897112140[[#This Row],[Maximalauslastung max]]*Tabelle5897112140[[#This Row],[installierte Leistung MW durch]]</f>
        <v>19.240000000000002</v>
      </c>
      <c r="DK82" s="9">
        <v>0.22</v>
      </c>
      <c r="DL82" s="9">
        <v>0.24</v>
      </c>
      <c r="DM82" s="9">
        <v>0.26</v>
      </c>
      <c r="DN82" s="1">
        <v>74</v>
      </c>
      <c r="DO82" s="1">
        <v>58</v>
      </c>
      <c r="DP82" s="1">
        <v>90</v>
      </c>
      <c r="DQ82" s="19"/>
      <c r="DR82" s="19"/>
      <c r="DW82" s="1">
        <v>1.1000000000000001</v>
      </c>
      <c r="DX82" s="1">
        <v>0.8</v>
      </c>
      <c r="DY82" s="1">
        <v>1.4</v>
      </c>
      <c r="EL82" s="1">
        <v>365</v>
      </c>
      <c r="EM82" s="1">
        <v>292</v>
      </c>
      <c r="EN82" s="1">
        <v>438</v>
      </c>
      <c r="EO82" s="11"/>
      <c r="EP82" s="11"/>
      <c r="EQ82" s="11"/>
      <c r="ER82" s="1">
        <v>365</v>
      </c>
      <c r="ES82" s="1">
        <v>292</v>
      </c>
      <c r="ET82" s="1">
        <v>438</v>
      </c>
      <c r="EV82" s="19"/>
      <c r="EW82" s="19"/>
      <c r="EX82" s="19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O82" s="1">
        <v>67</v>
      </c>
      <c r="FP82" s="1">
        <v>67</v>
      </c>
      <c r="FQ82" s="1">
        <v>67</v>
      </c>
      <c r="FR82" s="13" t="s">
        <v>806</v>
      </c>
      <c r="FS82" s="13" t="s">
        <v>806</v>
      </c>
      <c r="FT82" s="13" t="s">
        <v>806</v>
      </c>
      <c r="FU82" s="13"/>
      <c r="FV82" s="13" t="s">
        <v>806</v>
      </c>
      <c r="FW82" s="13" t="s">
        <v>806</v>
      </c>
      <c r="FX82" s="13" t="s">
        <v>806</v>
      </c>
      <c r="FY82" s="13" t="s">
        <v>806</v>
      </c>
      <c r="FZ82" s="13" t="s">
        <v>806</v>
      </c>
      <c r="GA82" s="13" t="s">
        <v>806</v>
      </c>
      <c r="GB82" s="13" t="s">
        <v>806</v>
      </c>
      <c r="GE82" s="13" t="s">
        <v>806</v>
      </c>
      <c r="GF82" s="13" t="s">
        <v>806</v>
      </c>
      <c r="GH82" s="13" t="s">
        <v>806</v>
      </c>
    </row>
    <row r="83" spans="1:190" ht="15" customHeight="1" x14ac:dyDescent="0.25">
      <c r="A83" s="1" t="s">
        <v>208</v>
      </c>
      <c r="B83" s="1" t="s">
        <v>651</v>
      </c>
      <c r="C83" s="1" t="s">
        <v>658</v>
      </c>
      <c r="D83" s="1" t="s">
        <v>680</v>
      </c>
      <c r="E83" s="1" t="s">
        <v>126</v>
      </c>
      <c r="F83" s="1">
        <v>0</v>
      </c>
      <c r="G83" s="1">
        <v>2020</v>
      </c>
      <c r="H83" s="1">
        <v>1</v>
      </c>
      <c r="I83" s="1">
        <v>0</v>
      </c>
      <c r="J83" s="1">
        <v>0</v>
      </c>
      <c r="K8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1.1832</v>
      </c>
      <c r="L8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13.334799999999998</v>
      </c>
      <c r="M8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43.146000000000001</v>
      </c>
      <c r="N83" s="19">
        <v>26.417999999999999</v>
      </c>
      <c r="O83" s="19">
        <v>13.6068</v>
      </c>
      <c r="P83" s="19">
        <v>43.146000000000001</v>
      </c>
      <c r="Q83" s="19">
        <v>0.75480000000000003</v>
      </c>
      <c r="R83" s="19">
        <v>0</v>
      </c>
      <c r="S83" s="19">
        <v>14.688000000000001</v>
      </c>
      <c r="T83" s="19">
        <v>6.7932000000000006</v>
      </c>
      <c r="U83" s="19">
        <v>1.1832</v>
      </c>
      <c r="V83" s="19">
        <v>14.688000000000001</v>
      </c>
      <c r="W83" s="19">
        <v>20.3796</v>
      </c>
      <c r="X83" s="19">
        <v>10.0572</v>
      </c>
      <c r="Y83" s="19">
        <v>33.966000000000001</v>
      </c>
      <c r="Z83" s="19">
        <v>6.7932000000000006</v>
      </c>
      <c r="AA83" s="19">
        <v>1.1832</v>
      </c>
      <c r="AB83" s="19">
        <v>14.688000000000001</v>
      </c>
      <c r="AC83" s="19">
        <v>20.3796</v>
      </c>
      <c r="AD83" s="19">
        <v>10.0572</v>
      </c>
      <c r="AE83" s="19">
        <v>33.966000000000001</v>
      </c>
      <c r="AF83" s="19">
        <v>26.417999999999999</v>
      </c>
      <c r="AG83" s="19">
        <v>13.6068</v>
      </c>
      <c r="AH83" s="19">
        <v>43.146000000000001</v>
      </c>
      <c r="AI83" s="19">
        <v>0.75480000000000003</v>
      </c>
      <c r="AJ83" s="19">
        <v>0</v>
      </c>
      <c r="AK83" s="19">
        <v>14.688000000000001</v>
      </c>
      <c r="AL83" s="19">
        <v>6.7932000000000006</v>
      </c>
      <c r="AM83" s="19">
        <v>1.1832</v>
      </c>
      <c r="AN83" s="19">
        <v>14.688000000000001</v>
      </c>
      <c r="AO83" s="19">
        <v>20.3796</v>
      </c>
      <c r="AP83" s="19">
        <v>10.0572</v>
      </c>
      <c r="AQ83" s="19">
        <v>33.966000000000001</v>
      </c>
      <c r="AR83" s="19">
        <v>6.7932000000000006</v>
      </c>
      <c r="AS83" s="19">
        <v>1.1832</v>
      </c>
      <c r="AT83" s="19">
        <v>14.688000000000001</v>
      </c>
      <c r="AU83" s="19">
        <v>20.3796</v>
      </c>
      <c r="AV83" s="19">
        <v>10.0572</v>
      </c>
      <c r="AW83" s="19">
        <v>33.966000000000001</v>
      </c>
      <c r="AX83" s="19">
        <v>26.417999999999999</v>
      </c>
      <c r="AY83" s="19">
        <v>13.6068</v>
      </c>
      <c r="AZ83" s="19">
        <v>43.146000000000001</v>
      </c>
      <c r="BA83" s="19">
        <v>0.75480000000000003</v>
      </c>
      <c r="BB83" s="19">
        <v>0</v>
      </c>
      <c r="BC83" s="19">
        <v>14.688000000000001</v>
      </c>
      <c r="BD83" s="19">
        <v>6.7932000000000006</v>
      </c>
      <c r="BE83" s="19">
        <v>1.1832</v>
      </c>
      <c r="BF83" s="19">
        <v>14.688000000000001</v>
      </c>
      <c r="BG83" s="19">
        <v>20.3796</v>
      </c>
      <c r="BH83" s="19">
        <v>10.0572</v>
      </c>
      <c r="BI83" s="19">
        <v>33.966000000000001</v>
      </c>
      <c r="BJ83" s="19">
        <v>6.7932000000000006</v>
      </c>
      <c r="BK83" s="19">
        <v>1.1832</v>
      </c>
      <c r="BL83" s="19">
        <v>14.688000000000001</v>
      </c>
      <c r="BM83" s="19">
        <v>20.3796</v>
      </c>
      <c r="BN83" s="19">
        <v>10.0572</v>
      </c>
      <c r="BO83" s="19">
        <v>33.966000000000001</v>
      </c>
      <c r="BP83" s="19"/>
      <c r="BQ8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13.837999999999999</v>
      </c>
      <c r="BS8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33.966000000000001</v>
      </c>
      <c r="BT83" s="11">
        <f>Tabelle5897112140[[#This Row],[Mindestauslastung min]]*Tabelle5897112140[[#This Row],[installierte Leistung MW min]]</f>
        <v>7.6907999999999994</v>
      </c>
      <c r="BU83" s="11">
        <f>Tabelle5897112140[[#This Row],[Mindestauslastung durch]]*Tabelle5897112140[[#This Row],[installierte Leistung MW durch]]</f>
        <v>11.322000000000001</v>
      </c>
      <c r="BV83" s="11">
        <f>Tabelle5897112140[[#This Row],[Mindestauslastung max]]*Tabelle5897112140[[#This Row],[installierte Leistung MW max]]</f>
        <v>15.606</v>
      </c>
      <c r="BW83" s="9">
        <v>0.13</v>
      </c>
      <c r="BX83" s="9">
        <v>0.15</v>
      </c>
      <c r="BY83" s="9">
        <v>0.17</v>
      </c>
      <c r="BZ83" s="9"/>
      <c r="CA83" s="9">
        <v>0.5</v>
      </c>
      <c r="CB83" s="9">
        <v>0.4</v>
      </c>
      <c r="CC83" s="9">
        <v>0.6</v>
      </c>
      <c r="CD83" s="9">
        <v>0.24</v>
      </c>
      <c r="CE83" s="9">
        <v>0.19</v>
      </c>
      <c r="CF83" s="9">
        <v>0.28999999999999998</v>
      </c>
      <c r="CG83" s="9">
        <v>0.24</v>
      </c>
      <c r="CH83" s="9">
        <v>0.19</v>
      </c>
      <c r="CI83" s="9">
        <v>0.28999999999999998</v>
      </c>
      <c r="CJ83" s="9">
        <v>0.5</v>
      </c>
      <c r="CK83" s="9">
        <v>0.4</v>
      </c>
      <c r="CL83" s="9">
        <v>0.6</v>
      </c>
      <c r="CM83" s="9">
        <v>0.24</v>
      </c>
      <c r="CN83" s="9">
        <v>0.19</v>
      </c>
      <c r="CO83" s="9">
        <v>0.28999999999999998</v>
      </c>
      <c r="CP83" s="9">
        <v>0.24</v>
      </c>
      <c r="CQ83" s="9">
        <v>0.19</v>
      </c>
      <c r="CR83" s="9">
        <v>0.28999999999999998</v>
      </c>
      <c r="CS83" s="9">
        <v>0.5</v>
      </c>
      <c r="CT83" s="9">
        <v>0.4</v>
      </c>
      <c r="CU83" s="9">
        <v>0.6</v>
      </c>
      <c r="CV83" s="9">
        <v>0.24</v>
      </c>
      <c r="CW83" s="9">
        <v>0.19</v>
      </c>
      <c r="CX83" s="9">
        <v>0.28999999999999998</v>
      </c>
      <c r="CY83" s="9">
        <v>0.24</v>
      </c>
      <c r="CZ83" s="9">
        <v>0.19</v>
      </c>
      <c r="DA83" s="9">
        <v>0.28999999999999998</v>
      </c>
      <c r="DB83" s="9">
        <f>MIN(Tabelle5897112140[[#This Row],[Durchschnittsauslastung durch Sommer WTT]:[Durchschnittsauslastung max Winter SFN]])</f>
        <v>0.19</v>
      </c>
      <c r="DC8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3" s="9">
        <f>MAX(Tabelle5897112140[[#This Row],[Durchschnittsauslastung durch Sommer WTT]:[Durchschnittsauslastung max Winter SFN]])</f>
        <v>0.6</v>
      </c>
      <c r="DE83" s="40">
        <f>Tabelle5897112140[[#This Row],[Durchschnittsauslastung min]]*Tabelle5897112140[[#This Row],[installierte Leistung MW min]]</f>
        <v>11.240399999999999</v>
      </c>
      <c r="DF83" s="40">
        <f>Tabelle5897112140[[#This Row],[Durchschnittsauslastung durch]]*Tabelle5897112140[[#This Row],[installierte Leistung MW durch]]</f>
        <v>24.656800000000004</v>
      </c>
      <c r="DG83" s="40">
        <f>Tabelle5897112140[[#This Row],[Durchschnittsauslastung max]]*Tabelle5897112140[[#This Row],[installierte Leistung MW max]]</f>
        <v>55.08</v>
      </c>
      <c r="DH83" s="46">
        <f>Tabelle5897112140[[#This Row],[Maximalauslastung min]]*Tabelle5897112140[[#This Row],[installierte Leistung MW min]]</f>
        <v>27.2136</v>
      </c>
      <c r="DI83" s="46">
        <f>Tabelle5897112140[[#This Row],[Maximalauslastung durch]]*Tabelle5897112140[[#This Row],[installierte Leistung MW durch]]</f>
        <v>38.494800000000005</v>
      </c>
      <c r="DJ83" s="19">
        <f>Tabelle5897112140[[#This Row],[Maximalauslastung max]]*Tabelle5897112140[[#This Row],[installierte Leistung MW durch]]</f>
        <v>42.268800000000006</v>
      </c>
      <c r="DK83" s="9">
        <v>0.46</v>
      </c>
      <c r="DL83" s="9">
        <v>0.51</v>
      </c>
      <c r="DM83" s="9">
        <v>0.56000000000000005</v>
      </c>
      <c r="DN83" s="1">
        <v>75.48</v>
      </c>
      <c r="DO83" s="1">
        <v>59.16</v>
      </c>
      <c r="DP83" s="1">
        <v>91.8</v>
      </c>
      <c r="DQ83" s="19"/>
      <c r="DR83" s="19"/>
      <c r="DW83" s="1">
        <v>1.1000000000000001</v>
      </c>
      <c r="DX83" s="1">
        <v>0.8</v>
      </c>
      <c r="DY83" s="1">
        <v>1.4</v>
      </c>
      <c r="EL83" s="1">
        <v>365</v>
      </c>
      <c r="EM83" s="1">
        <v>292</v>
      </c>
      <c r="EN83" s="1">
        <v>438</v>
      </c>
      <c r="EO83" s="11"/>
      <c r="EP83" s="11"/>
      <c r="EQ83" s="11"/>
      <c r="ER83" s="1">
        <v>365</v>
      </c>
      <c r="ES83" s="1">
        <v>292</v>
      </c>
      <c r="ET83" s="1">
        <v>438</v>
      </c>
      <c r="EV83" s="19"/>
      <c r="EW83" s="19"/>
      <c r="EX83" s="19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O83" s="1">
        <v>67</v>
      </c>
      <c r="FP83" s="1">
        <v>67</v>
      </c>
      <c r="FQ83" s="1">
        <v>67</v>
      </c>
      <c r="FR83" s="13" t="s">
        <v>806</v>
      </c>
      <c r="FS83" s="13" t="s">
        <v>806</v>
      </c>
      <c r="FT83" s="13" t="s">
        <v>806</v>
      </c>
      <c r="FU83" s="13"/>
      <c r="FV83" s="13" t="s">
        <v>806</v>
      </c>
      <c r="FW83" s="13" t="s">
        <v>806</v>
      </c>
      <c r="FX83" s="13" t="s">
        <v>806</v>
      </c>
      <c r="FY83" s="13" t="s">
        <v>806</v>
      </c>
      <c r="FZ83" s="13" t="s">
        <v>806</v>
      </c>
      <c r="GA83" s="13" t="s">
        <v>806</v>
      </c>
      <c r="GB83" s="13" t="s">
        <v>806</v>
      </c>
      <c r="GE83" s="13" t="s">
        <v>806</v>
      </c>
      <c r="GF83" s="13" t="s">
        <v>806</v>
      </c>
      <c r="GH83" s="13" t="s">
        <v>806</v>
      </c>
    </row>
    <row r="84" spans="1:190" ht="15" customHeight="1" x14ac:dyDescent="0.25">
      <c r="A84" s="1" t="s">
        <v>208</v>
      </c>
      <c r="B84" s="1" t="s">
        <v>651</v>
      </c>
      <c r="C84" s="1" t="s">
        <v>658</v>
      </c>
      <c r="D84" s="1" t="s">
        <v>680</v>
      </c>
      <c r="E84" s="1" t="s">
        <v>126</v>
      </c>
      <c r="F84" s="1">
        <v>0</v>
      </c>
      <c r="G84" s="1">
        <v>2025</v>
      </c>
      <c r="H84" s="1">
        <v>1</v>
      </c>
      <c r="I84" s="1">
        <v>0</v>
      </c>
      <c r="J84" s="1">
        <v>0</v>
      </c>
      <c r="K8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1.2063999999999999</v>
      </c>
      <c r="L8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13.596266666666667</v>
      </c>
      <c r="M8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43.991999999999997</v>
      </c>
      <c r="N84" s="19">
        <v>26.936</v>
      </c>
      <c r="O84" s="19">
        <v>13.8736</v>
      </c>
      <c r="P84" s="19">
        <v>43.991999999999997</v>
      </c>
      <c r="Q84" s="19">
        <v>0.76960000000000006</v>
      </c>
      <c r="R84" s="19">
        <v>0</v>
      </c>
      <c r="S84" s="19">
        <v>14.976000000000001</v>
      </c>
      <c r="T84" s="19">
        <v>6.9264000000000001</v>
      </c>
      <c r="U84" s="19">
        <v>1.2063999999999999</v>
      </c>
      <c r="V84" s="19">
        <v>14.976000000000001</v>
      </c>
      <c r="W84" s="19">
        <v>20.779199999999999</v>
      </c>
      <c r="X84" s="19">
        <v>10.2544</v>
      </c>
      <c r="Y84" s="19">
        <v>34.631999999999998</v>
      </c>
      <c r="Z84" s="19">
        <v>6.9264000000000001</v>
      </c>
      <c r="AA84" s="19">
        <v>1.2063999999999999</v>
      </c>
      <c r="AB84" s="19">
        <v>14.976000000000001</v>
      </c>
      <c r="AC84" s="19">
        <v>20.779199999999999</v>
      </c>
      <c r="AD84" s="19">
        <v>10.2544</v>
      </c>
      <c r="AE84" s="19">
        <v>34.631999999999998</v>
      </c>
      <c r="AF84" s="19">
        <v>26.936</v>
      </c>
      <c r="AG84" s="19">
        <v>13.8736</v>
      </c>
      <c r="AH84" s="19">
        <v>43.991999999999997</v>
      </c>
      <c r="AI84" s="19">
        <v>0.76960000000000006</v>
      </c>
      <c r="AJ84" s="19">
        <v>0</v>
      </c>
      <c r="AK84" s="19">
        <v>14.976000000000001</v>
      </c>
      <c r="AL84" s="19">
        <v>6.9264000000000001</v>
      </c>
      <c r="AM84" s="19">
        <v>1.2063999999999999</v>
      </c>
      <c r="AN84" s="19">
        <v>14.976000000000001</v>
      </c>
      <c r="AO84" s="19">
        <v>20.779199999999999</v>
      </c>
      <c r="AP84" s="19">
        <v>10.2544</v>
      </c>
      <c r="AQ84" s="19">
        <v>34.631999999999998</v>
      </c>
      <c r="AR84" s="19">
        <v>6.9264000000000001</v>
      </c>
      <c r="AS84" s="19">
        <v>1.2063999999999999</v>
      </c>
      <c r="AT84" s="19">
        <v>14.976000000000001</v>
      </c>
      <c r="AU84" s="19">
        <v>20.779199999999999</v>
      </c>
      <c r="AV84" s="19">
        <v>10.2544</v>
      </c>
      <c r="AW84" s="19">
        <v>34.631999999999998</v>
      </c>
      <c r="AX84" s="19">
        <v>26.936</v>
      </c>
      <c r="AY84" s="19">
        <v>13.8736</v>
      </c>
      <c r="AZ84" s="19">
        <v>43.991999999999997</v>
      </c>
      <c r="BA84" s="19">
        <v>0.76960000000000006</v>
      </c>
      <c r="BB84" s="19">
        <v>0</v>
      </c>
      <c r="BC84" s="19">
        <v>14.976000000000001</v>
      </c>
      <c r="BD84" s="19">
        <v>6.9264000000000001</v>
      </c>
      <c r="BE84" s="19">
        <v>1.2063999999999999</v>
      </c>
      <c r="BF84" s="19">
        <v>14.976000000000001</v>
      </c>
      <c r="BG84" s="19">
        <v>20.779199999999999</v>
      </c>
      <c r="BH84" s="19">
        <v>10.2544</v>
      </c>
      <c r="BI84" s="19">
        <v>34.631999999999998</v>
      </c>
      <c r="BJ84" s="19">
        <v>6.9264000000000001</v>
      </c>
      <c r="BK84" s="19">
        <v>1.2063999999999999</v>
      </c>
      <c r="BL84" s="19">
        <v>14.976000000000001</v>
      </c>
      <c r="BM84" s="19">
        <v>20.779199999999999</v>
      </c>
      <c r="BN84" s="19">
        <v>10.2544</v>
      </c>
      <c r="BO84" s="19">
        <v>34.631999999999998</v>
      </c>
      <c r="BP84" s="19"/>
      <c r="BQ8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14.109333333333334</v>
      </c>
      <c r="BS8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34.631999999999998</v>
      </c>
      <c r="BT84" s="11">
        <f>Tabelle5897112140[[#This Row],[Mindestauslastung min]]*Tabelle5897112140[[#This Row],[installierte Leistung MW min]]</f>
        <v>7.8416000000000006</v>
      </c>
      <c r="BU84" s="11">
        <f>Tabelle5897112140[[#This Row],[Mindestauslastung durch]]*Tabelle5897112140[[#This Row],[installierte Leistung MW durch]]</f>
        <v>11.543999999999999</v>
      </c>
      <c r="BV84" s="11">
        <f>Tabelle5897112140[[#This Row],[Mindestauslastung max]]*Tabelle5897112140[[#This Row],[installierte Leistung MW max]]</f>
        <v>15.912000000000001</v>
      </c>
      <c r="BW84" s="9">
        <v>0.13</v>
      </c>
      <c r="BX84" s="9">
        <v>0.15</v>
      </c>
      <c r="BY84" s="9">
        <v>0.17</v>
      </c>
      <c r="BZ84" s="9"/>
      <c r="CA84" s="9">
        <v>0.5</v>
      </c>
      <c r="CB84" s="9">
        <v>0.4</v>
      </c>
      <c r="CC84" s="9">
        <v>0.6</v>
      </c>
      <c r="CD84" s="9">
        <v>0.24</v>
      </c>
      <c r="CE84" s="9">
        <v>0.19</v>
      </c>
      <c r="CF84" s="9">
        <v>0.28999999999999998</v>
      </c>
      <c r="CG84" s="9">
        <v>0.24</v>
      </c>
      <c r="CH84" s="9">
        <v>0.19</v>
      </c>
      <c r="CI84" s="9">
        <v>0.28999999999999998</v>
      </c>
      <c r="CJ84" s="9">
        <v>0.5</v>
      </c>
      <c r="CK84" s="9">
        <v>0.4</v>
      </c>
      <c r="CL84" s="9">
        <v>0.6</v>
      </c>
      <c r="CM84" s="9">
        <v>0.24</v>
      </c>
      <c r="CN84" s="9">
        <v>0.19</v>
      </c>
      <c r="CO84" s="9">
        <v>0.28999999999999998</v>
      </c>
      <c r="CP84" s="9">
        <v>0.24</v>
      </c>
      <c r="CQ84" s="9">
        <v>0.19</v>
      </c>
      <c r="CR84" s="9">
        <v>0.28999999999999998</v>
      </c>
      <c r="CS84" s="9">
        <v>0.5</v>
      </c>
      <c r="CT84" s="9">
        <v>0.4</v>
      </c>
      <c r="CU84" s="9">
        <v>0.6</v>
      </c>
      <c r="CV84" s="9">
        <v>0.24</v>
      </c>
      <c r="CW84" s="9">
        <v>0.19</v>
      </c>
      <c r="CX84" s="9">
        <v>0.28999999999999998</v>
      </c>
      <c r="CY84" s="9">
        <v>0.24</v>
      </c>
      <c r="CZ84" s="9">
        <v>0.19</v>
      </c>
      <c r="DA84" s="9">
        <v>0.28999999999999998</v>
      </c>
      <c r="DB84" s="9">
        <f>MIN(Tabelle5897112140[[#This Row],[Durchschnittsauslastung durch Sommer WTT]:[Durchschnittsauslastung max Winter SFN]])</f>
        <v>0.19</v>
      </c>
      <c r="DC8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4" s="9">
        <f>MAX(Tabelle5897112140[[#This Row],[Durchschnittsauslastung durch Sommer WTT]:[Durchschnittsauslastung max Winter SFN]])</f>
        <v>0.6</v>
      </c>
      <c r="DE84" s="40">
        <f>Tabelle5897112140[[#This Row],[Durchschnittsauslastung min]]*Tabelle5897112140[[#This Row],[installierte Leistung MW min]]</f>
        <v>11.460800000000001</v>
      </c>
      <c r="DF84" s="40">
        <f>Tabelle5897112140[[#This Row],[Durchschnittsauslastung durch]]*Tabelle5897112140[[#This Row],[installierte Leistung MW durch]]</f>
        <v>25.140266666666669</v>
      </c>
      <c r="DG84" s="40">
        <f>Tabelle5897112140[[#This Row],[Durchschnittsauslastung max]]*Tabelle5897112140[[#This Row],[installierte Leistung MW max]]</f>
        <v>56.16</v>
      </c>
      <c r="DH84" s="46">
        <f>Tabelle5897112140[[#This Row],[Maximalauslastung min]]*Tabelle5897112140[[#This Row],[installierte Leistung MW min]]</f>
        <v>27.747200000000003</v>
      </c>
      <c r="DI84" s="46">
        <f>Tabelle5897112140[[#This Row],[Maximalauslastung durch]]*Tabelle5897112140[[#This Row],[installierte Leistung MW durch]]</f>
        <v>39.249600000000001</v>
      </c>
      <c r="DJ84" s="19">
        <f>Tabelle5897112140[[#This Row],[Maximalauslastung max]]*Tabelle5897112140[[#This Row],[installierte Leistung MW durch]]</f>
        <v>43.0976</v>
      </c>
      <c r="DK84" s="9">
        <v>0.46</v>
      </c>
      <c r="DL84" s="9">
        <v>0.51</v>
      </c>
      <c r="DM84" s="9">
        <v>0.56000000000000005</v>
      </c>
      <c r="DN84" s="1">
        <v>76.959999999999994</v>
      </c>
      <c r="DO84" s="1">
        <v>60.32</v>
      </c>
      <c r="DP84" s="1">
        <v>93.6</v>
      </c>
      <c r="DQ84" s="19"/>
      <c r="DR84" s="19"/>
      <c r="DW84" s="1">
        <v>1.1000000000000001</v>
      </c>
      <c r="DX84" s="1">
        <v>0.8</v>
      </c>
      <c r="DY84" s="1">
        <v>1.4</v>
      </c>
      <c r="EL84" s="1">
        <v>365</v>
      </c>
      <c r="EM84" s="1">
        <v>292</v>
      </c>
      <c r="EN84" s="1">
        <v>438</v>
      </c>
      <c r="EO84" s="11"/>
      <c r="EP84" s="11"/>
      <c r="EQ84" s="11"/>
      <c r="ER84" s="1">
        <v>365</v>
      </c>
      <c r="ES84" s="1">
        <v>292</v>
      </c>
      <c r="ET84" s="1">
        <v>438</v>
      </c>
      <c r="EV84" s="19"/>
      <c r="EW84" s="19"/>
      <c r="EX84" s="19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O84" s="1">
        <v>67</v>
      </c>
      <c r="FP84" s="1">
        <v>67</v>
      </c>
      <c r="FQ84" s="1">
        <v>67</v>
      </c>
      <c r="FR84" s="13" t="s">
        <v>806</v>
      </c>
      <c r="FS84" s="13" t="s">
        <v>806</v>
      </c>
      <c r="FT84" s="13" t="s">
        <v>806</v>
      </c>
      <c r="FU84" s="13"/>
      <c r="FV84" s="13" t="s">
        <v>806</v>
      </c>
      <c r="FW84" s="13" t="s">
        <v>806</v>
      </c>
      <c r="FX84" s="13" t="s">
        <v>806</v>
      </c>
      <c r="FY84" s="13" t="s">
        <v>806</v>
      </c>
      <c r="FZ84" s="13" t="s">
        <v>806</v>
      </c>
      <c r="GA84" s="13" t="s">
        <v>806</v>
      </c>
      <c r="GB84" s="13" t="s">
        <v>806</v>
      </c>
      <c r="GE84" s="13" t="s">
        <v>806</v>
      </c>
      <c r="GF84" s="13" t="s">
        <v>806</v>
      </c>
      <c r="GH84" s="13" t="s">
        <v>806</v>
      </c>
    </row>
    <row r="85" spans="1:190" ht="15" customHeight="1" x14ac:dyDescent="0.25">
      <c r="A85" s="1" t="s">
        <v>208</v>
      </c>
      <c r="B85" s="1" t="s">
        <v>651</v>
      </c>
      <c r="C85" s="1" t="s">
        <v>658</v>
      </c>
      <c r="D85" s="1" t="s">
        <v>680</v>
      </c>
      <c r="E85" s="1" t="s">
        <v>126</v>
      </c>
      <c r="F85" s="1">
        <v>0</v>
      </c>
      <c r="G85" s="1">
        <v>2030</v>
      </c>
      <c r="H85" s="1">
        <v>1</v>
      </c>
      <c r="I85" s="1">
        <v>0</v>
      </c>
      <c r="J85" s="1">
        <v>0</v>
      </c>
      <c r="K8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1.2296</v>
      </c>
      <c r="L8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13.857733333333336</v>
      </c>
      <c r="M8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44.838000000000001</v>
      </c>
      <c r="N85" s="19">
        <v>27.454000000000001</v>
      </c>
      <c r="O85" s="19">
        <v>14.140400000000001</v>
      </c>
      <c r="P85" s="19">
        <v>44.838000000000001</v>
      </c>
      <c r="Q85" s="19">
        <v>0.78439999999999999</v>
      </c>
      <c r="R85" s="19">
        <v>0</v>
      </c>
      <c r="S85" s="19">
        <v>15.264000000000001</v>
      </c>
      <c r="T85" s="19">
        <v>7.0596000000000005</v>
      </c>
      <c r="U85" s="19">
        <v>1.2296</v>
      </c>
      <c r="V85" s="19">
        <v>15.264000000000001</v>
      </c>
      <c r="W85" s="19">
        <v>21.178800000000003</v>
      </c>
      <c r="X85" s="19">
        <v>10.451599999999999</v>
      </c>
      <c r="Y85" s="19">
        <v>35.298000000000002</v>
      </c>
      <c r="Z85" s="19">
        <v>7.0596000000000005</v>
      </c>
      <c r="AA85" s="19">
        <v>1.2296</v>
      </c>
      <c r="AB85" s="19">
        <v>15.264000000000001</v>
      </c>
      <c r="AC85" s="19">
        <v>21.178800000000003</v>
      </c>
      <c r="AD85" s="19">
        <v>10.451599999999999</v>
      </c>
      <c r="AE85" s="19">
        <v>35.298000000000002</v>
      </c>
      <c r="AF85" s="19">
        <v>27.454000000000001</v>
      </c>
      <c r="AG85" s="19">
        <v>14.140400000000001</v>
      </c>
      <c r="AH85" s="19">
        <v>44.838000000000001</v>
      </c>
      <c r="AI85" s="19">
        <v>0.78439999999999999</v>
      </c>
      <c r="AJ85" s="19">
        <v>0</v>
      </c>
      <c r="AK85" s="19">
        <v>15.264000000000001</v>
      </c>
      <c r="AL85" s="19">
        <v>7.0596000000000005</v>
      </c>
      <c r="AM85" s="19">
        <v>1.2296</v>
      </c>
      <c r="AN85" s="19">
        <v>15.264000000000001</v>
      </c>
      <c r="AO85" s="19">
        <v>21.178800000000003</v>
      </c>
      <c r="AP85" s="19">
        <v>10.451599999999999</v>
      </c>
      <c r="AQ85" s="19">
        <v>35.298000000000002</v>
      </c>
      <c r="AR85" s="19">
        <v>7.0596000000000005</v>
      </c>
      <c r="AS85" s="19">
        <v>1.2296</v>
      </c>
      <c r="AT85" s="19">
        <v>15.264000000000001</v>
      </c>
      <c r="AU85" s="19">
        <v>21.178800000000003</v>
      </c>
      <c r="AV85" s="19">
        <v>10.451599999999999</v>
      </c>
      <c r="AW85" s="19">
        <v>35.298000000000002</v>
      </c>
      <c r="AX85" s="19">
        <v>27.454000000000001</v>
      </c>
      <c r="AY85" s="19">
        <v>14.140400000000001</v>
      </c>
      <c r="AZ85" s="19">
        <v>44.838000000000001</v>
      </c>
      <c r="BA85" s="19">
        <v>0.78439999999999999</v>
      </c>
      <c r="BB85" s="19">
        <v>0</v>
      </c>
      <c r="BC85" s="19">
        <v>15.264000000000001</v>
      </c>
      <c r="BD85" s="19">
        <v>7.0596000000000005</v>
      </c>
      <c r="BE85" s="19">
        <v>1.2296</v>
      </c>
      <c r="BF85" s="19">
        <v>15.264000000000001</v>
      </c>
      <c r="BG85" s="19">
        <v>21.178800000000003</v>
      </c>
      <c r="BH85" s="19">
        <v>10.451599999999999</v>
      </c>
      <c r="BI85" s="19">
        <v>35.298000000000002</v>
      </c>
      <c r="BJ85" s="19">
        <v>7.0596000000000005</v>
      </c>
      <c r="BK85" s="19">
        <v>1.2296</v>
      </c>
      <c r="BL85" s="19">
        <v>15.264000000000001</v>
      </c>
      <c r="BM85" s="19">
        <v>21.178800000000003</v>
      </c>
      <c r="BN85" s="19">
        <v>10.451599999999999</v>
      </c>
      <c r="BO85" s="19">
        <v>35.298000000000002</v>
      </c>
      <c r="BP85" s="19"/>
      <c r="BQ8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14.380666666666668</v>
      </c>
      <c r="BS8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35.298000000000002</v>
      </c>
      <c r="BT85" s="11">
        <f>Tabelle5897112140[[#This Row],[Mindestauslastung min]]*Tabelle5897112140[[#This Row],[installierte Leistung MW min]]</f>
        <v>7.9923999999999999</v>
      </c>
      <c r="BU85" s="11">
        <f>Tabelle5897112140[[#This Row],[Mindestauslastung durch]]*Tabelle5897112140[[#This Row],[installierte Leistung MW durch]]</f>
        <v>11.766</v>
      </c>
      <c r="BV85" s="11">
        <f>Tabelle5897112140[[#This Row],[Mindestauslastung max]]*Tabelle5897112140[[#This Row],[installierte Leistung MW max]]</f>
        <v>16.218000000000004</v>
      </c>
      <c r="BW85" s="9">
        <v>0.13</v>
      </c>
      <c r="BX85" s="9">
        <v>0.15</v>
      </c>
      <c r="BY85" s="9">
        <v>0.17</v>
      </c>
      <c r="BZ85" s="9"/>
      <c r="CA85" s="9">
        <v>0.5</v>
      </c>
      <c r="CB85" s="9">
        <v>0.4</v>
      </c>
      <c r="CC85" s="9">
        <v>0.6</v>
      </c>
      <c r="CD85" s="9">
        <v>0.24</v>
      </c>
      <c r="CE85" s="9">
        <v>0.19</v>
      </c>
      <c r="CF85" s="9">
        <v>0.28999999999999998</v>
      </c>
      <c r="CG85" s="9">
        <v>0.24</v>
      </c>
      <c r="CH85" s="9">
        <v>0.19</v>
      </c>
      <c r="CI85" s="9">
        <v>0.28999999999999998</v>
      </c>
      <c r="CJ85" s="9">
        <v>0.5</v>
      </c>
      <c r="CK85" s="9">
        <v>0.4</v>
      </c>
      <c r="CL85" s="9">
        <v>0.6</v>
      </c>
      <c r="CM85" s="9">
        <v>0.24</v>
      </c>
      <c r="CN85" s="9">
        <v>0.19</v>
      </c>
      <c r="CO85" s="9">
        <v>0.28999999999999998</v>
      </c>
      <c r="CP85" s="9">
        <v>0.24</v>
      </c>
      <c r="CQ85" s="9">
        <v>0.19</v>
      </c>
      <c r="CR85" s="9">
        <v>0.28999999999999998</v>
      </c>
      <c r="CS85" s="9">
        <v>0.5</v>
      </c>
      <c r="CT85" s="9">
        <v>0.4</v>
      </c>
      <c r="CU85" s="9">
        <v>0.6</v>
      </c>
      <c r="CV85" s="9">
        <v>0.24</v>
      </c>
      <c r="CW85" s="9">
        <v>0.19</v>
      </c>
      <c r="CX85" s="9">
        <v>0.28999999999999998</v>
      </c>
      <c r="CY85" s="9">
        <v>0.24</v>
      </c>
      <c r="CZ85" s="9">
        <v>0.19</v>
      </c>
      <c r="DA85" s="9">
        <v>0.28999999999999998</v>
      </c>
      <c r="DB85" s="9">
        <f>MIN(Tabelle5897112140[[#This Row],[Durchschnittsauslastung durch Sommer WTT]:[Durchschnittsauslastung max Winter SFN]])</f>
        <v>0.19</v>
      </c>
      <c r="DC8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5" s="9">
        <f>MAX(Tabelle5897112140[[#This Row],[Durchschnittsauslastung durch Sommer WTT]:[Durchschnittsauslastung max Winter SFN]])</f>
        <v>0.6</v>
      </c>
      <c r="DE85" s="40">
        <f>Tabelle5897112140[[#This Row],[Durchschnittsauslastung min]]*Tabelle5897112140[[#This Row],[installierte Leistung MW min]]</f>
        <v>11.681199999999999</v>
      </c>
      <c r="DF85" s="40">
        <f>Tabelle5897112140[[#This Row],[Durchschnittsauslastung durch]]*Tabelle5897112140[[#This Row],[installierte Leistung MW durch]]</f>
        <v>25.623733333333337</v>
      </c>
      <c r="DG85" s="40">
        <f>Tabelle5897112140[[#This Row],[Durchschnittsauslastung max]]*Tabelle5897112140[[#This Row],[installierte Leistung MW max]]</f>
        <v>57.24</v>
      </c>
      <c r="DH85" s="46">
        <f>Tabelle5897112140[[#This Row],[Maximalauslastung min]]*Tabelle5897112140[[#This Row],[installierte Leistung MW min]]</f>
        <v>28.280799999999999</v>
      </c>
      <c r="DI85" s="46">
        <f>Tabelle5897112140[[#This Row],[Maximalauslastung durch]]*Tabelle5897112140[[#This Row],[installierte Leistung MW durch]]</f>
        <v>40.004399999999997</v>
      </c>
      <c r="DJ85" s="19">
        <f>Tabelle5897112140[[#This Row],[Maximalauslastung max]]*Tabelle5897112140[[#This Row],[installierte Leistung MW durch]]</f>
        <v>43.926400000000001</v>
      </c>
      <c r="DK85" s="9">
        <v>0.46</v>
      </c>
      <c r="DL85" s="9">
        <v>0.51</v>
      </c>
      <c r="DM85" s="9">
        <v>0.56000000000000005</v>
      </c>
      <c r="DN85" s="1">
        <v>78.44</v>
      </c>
      <c r="DO85" s="1">
        <v>61.48</v>
      </c>
      <c r="DP85" s="1">
        <v>95.4</v>
      </c>
      <c r="DQ85" s="19"/>
      <c r="DR85" s="19"/>
      <c r="DW85" s="1">
        <v>1.1000000000000001</v>
      </c>
      <c r="DX85" s="1">
        <v>0.8</v>
      </c>
      <c r="DY85" s="1">
        <v>1.4</v>
      </c>
      <c r="EL85" s="1">
        <v>365</v>
      </c>
      <c r="EM85" s="1">
        <v>292</v>
      </c>
      <c r="EN85" s="1">
        <v>438</v>
      </c>
      <c r="EO85" s="11"/>
      <c r="EP85" s="11"/>
      <c r="EQ85" s="11"/>
      <c r="ER85" s="1">
        <v>365</v>
      </c>
      <c r="ES85" s="1">
        <v>292</v>
      </c>
      <c r="ET85" s="1">
        <v>438</v>
      </c>
      <c r="EV85" s="19"/>
      <c r="EW85" s="19"/>
      <c r="EX85" s="19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O85" s="1">
        <v>67</v>
      </c>
      <c r="FP85" s="1">
        <v>67</v>
      </c>
      <c r="FQ85" s="1">
        <v>67</v>
      </c>
      <c r="FR85" s="13" t="s">
        <v>806</v>
      </c>
      <c r="FS85" s="13" t="s">
        <v>806</v>
      </c>
      <c r="FT85" s="13" t="s">
        <v>806</v>
      </c>
      <c r="FU85" s="13"/>
      <c r="FV85" s="13" t="s">
        <v>806</v>
      </c>
      <c r="FW85" s="13" t="s">
        <v>806</v>
      </c>
      <c r="FX85" s="13" t="s">
        <v>806</v>
      </c>
      <c r="FY85" s="13" t="s">
        <v>806</v>
      </c>
      <c r="FZ85" s="13" t="s">
        <v>806</v>
      </c>
      <c r="GA85" s="13" t="s">
        <v>806</v>
      </c>
      <c r="GB85" s="13" t="s">
        <v>806</v>
      </c>
      <c r="GE85" s="13" t="s">
        <v>806</v>
      </c>
      <c r="GF85" s="13" t="s">
        <v>806</v>
      </c>
      <c r="GH85" s="13" t="s">
        <v>806</v>
      </c>
    </row>
    <row r="86" spans="1:190" ht="15" customHeight="1" x14ac:dyDescent="0.25">
      <c r="A86" s="1" t="s">
        <v>208</v>
      </c>
      <c r="B86" s="1" t="s">
        <v>651</v>
      </c>
      <c r="C86" s="1" t="s">
        <v>658</v>
      </c>
      <c r="D86" s="1" t="s">
        <v>680</v>
      </c>
      <c r="E86" s="1" t="s">
        <v>126</v>
      </c>
      <c r="F86" s="1">
        <v>0</v>
      </c>
      <c r="G86" s="1">
        <v>2035</v>
      </c>
      <c r="H86" s="1">
        <v>1</v>
      </c>
      <c r="I86" s="1">
        <v>0</v>
      </c>
      <c r="J86" s="1">
        <v>0</v>
      </c>
      <c r="K8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1.2644</v>
      </c>
      <c r="L8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14.249933333333335</v>
      </c>
      <c r="M8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46.106999999999999</v>
      </c>
      <c r="N86" s="19">
        <v>28.231000000000002</v>
      </c>
      <c r="O86" s="19">
        <v>14.540600000000001</v>
      </c>
      <c r="P86" s="19">
        <v>46.106999999999999</v>
      </c>
      <c r="Q86" s="19">
        <v>0.80660000000000009</v>
      </c>
      <c r="R86" s="19">
        <v>0</v>
      </c>
      <c r="S86" s="19">
        <v>15.696000000000002</v>
      </c>
      <c r="T86" s="19">
        <v>7.2594000000000003</v>
      </c>
      <c r="U86" s="19">
        <v>1.2644</v>
      </c>
      <c r="V86" s="19">
        <v>15.696000000000002</v>
      </c>
      <c r="W86" s="19">
        <v>21.778200000000002</v>
      </c>
      <c r="X86" s="19">
        <v>10.747400000000001</v>
      </c>
      <c r="Y86" s="19">
        <v>36.296999999999997</v>
      </c>
      <c r="Z86" s="19">
        <v>7.2594000000000003</v>
      </c>
      <c r="AA86" s="19">
        <v>1.2644</v>
      </c>
      <c r="AB86" s="19">
        <v>15.696000000000002</v>
      </c>
      <c r="AC86" s="19">
        <v>21.778200000000002</v>
      </c>
      <c r="AD86" s="19">
        <v>10.747400000000001</v>
      </c>
      <c r="AE86" s="19">
        <v>36.296999999999997</v>
      </c>
      <c r="AF86" s="19">
        <v>28.231000000000002</v>
      </c>
      <c r="AG86" s="19">
        <v>14.540600000000001</v>
      </c>
      <c r="AH86" s="19">
        <v>46.106999999999999</v>
      </c>
      <c r="AI86" s="19">
        <v>0.80660000000000009</v>
      </c>
      <c r="AJ86" s="19">
        <v>0</v>
      </c>
      <c r="AK86" s="19">
        <v>15.696000000000002</v>
      </c>
      <c r="AL86" s="19">
        <v>7.2594000000000003</v>
      </c>
      <c r="AM86" s="19">
        <v>1.2644</v>
      </c>
      <c r="AN86" s="19">
        <v>15.696000000000002</v>
      </c>
      <c r="AO86" s="19">
        <v>21.778200000000002</v>
      </c>
      <c r="AP86" s="19">
        <v>10.747400000000001</v>
      </c>
      <c r="AQ86" s="19">
        <v>36.296999999999997</v>
      </c>
      <c r="AR86" s="19">
        <v>7.2594000000000003</v>
      </c>
      <c r="AS86" s="19">
        <v>1.2644</v>
      </c>
      <c r="AT86" s="19">
        <v>15.696000000000002</v>
      </c>
      <c r="AU86" s="19">
        <v>21.778200000000002</v>
      </c>
      <c r="AV86" s="19">
        <v>10.747400000000001</v>
      </c>
      <c r="AW86" s="19">
        <v>36.296999999999997</v>
      </c>
      <c r="AX86" s="19">
        <v>28.231000000000002</v>
      </c>
      <c r="AY86" s="19">
        <v>14.540600000000001</v>
      </c>
      <c r="AZ86" s="19">
        <v>46.106999999999999</v>
      </c>
      <c r="BA86" s="19">
        <v>0.80660000000000009</v>
      </c>
      <c r="BB86" s="19">
        <v>0</v>
      </c>
      <c r="BC86" s="19">
        <v>15.696000000000002</v>
      </c>
      <c r="BD86" s="19">
        <v>7.2594000000000003</v>
      </c>
      <c r="BE86" s="19">
        <v>1.2644</v>
      </c>
      <c r="BF86" s="19">
        <v>15.696000000000002</v>
      </c>
      <c r="BG86" s="19">
        <v>21.778200000000002</v>
      </c>
      <c r="BH86" s="19">
        <v>10.747400000000001</v>
      </c>
      <c r="BI86" s="19">
        <v>36.296999999999997</v>
      </c>
      <c r="BJ86" s="19">
        <v>7.2594000000000003</v>
      </c>
      <c r="BK86" s="19">
        <v>1.2644</v>
      </c>
      <c r="BL86" s="19">
        <v>15.696000000000002</v>
      </c>
      <c r="BM86" s="19">
        <v>21.778200000000002</v>
      </c>
      <c r="BN86" s="19">
        <v>10.747400000000001</v>
      </c>
      <c r="BO86" s="19">
        <v>36.296999999999997</v>
      </c>
      <c r="BP86" s="19"/>
      <c r="BQ8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14.787666666666667</v>
      </c>
      <c r="BS8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36.296999999999997</v>
      </c>
      <c r="BT86" s="11">
        <f>Tabelle5897112140[[#This Row],[Mindestauslastung min]]*Tabelle5897112140[[#This Row],[installierte Leistung MW min]]</f>
        <v>8.2186000000000003</v>
      </c>
      <c r="BU86" s="11">
        <f>Tabelle5897112140[[#This Row],[Mindestauslastung durch]]*Tabelle5897112140[[#This Row],[installierte Leistung MW durch]]</f>
        <v>12.098999999999998</v>
      </c>
      <c r="BV86" s="11">
        <f>Tabelle5897112140[[#This Row],[Mindestauslastung max]]*Tabelle5897112140[[#This Row],[installierte Leistung MW max]]</f>
        <v>16.677</v>
      </c>
      <c r="BW86" s="9">
        <v>0.13</v>
      </c>
      <c r="BX86" s="9">
        <v>0.15</v>
      </c>
      <c r="BY86" s="9">
        <v>0.17</v>
      </c>
      <c r="BZ86" s="9"/>
      <c r="CA86" s="9">
        <v>0.5</v>
      </c>
      <c r="CB86" s="9">
        <v>0.4</v>
      </c>
      <c r="CC86" s="9">
        <v>0.6</v>
      </c>
      <c r="CD86" s="9">
        <v>0.24</v>
      </c>
      <c r="CE86" s="9">
        <v>0.19</v>
      </c>
      <c r="CF86" s="9">
        <v>0.28999999999999998</v>
      </c>
      <c r="CG86" s="9">
        <v>0.24</v>
      </c>
      <c r="CH86" s="9">
        <v>0.19</v>
      </c>
      <c r="CI86" s="9">
        <v>0.28999999999999998</v>
      </c>
      <c r="CJ86" s="9">
        <v>0.5</v>
      </c>
      <c r="CK86" s="9">
        <v>0.4</v>
      </c>
      <c r="CL86" s="9">
        <v>0.6</v>
      </c>
      <c r="CM86" s="9">
        <v>0.24</v>
      </c>
      <c r="CN86" s="9">
        <v>0.19</v>
      </c>
      <c r="CO86" s="9">
        <v>0.28999999999999998</v>
      </c>
      <c r="CP86" s="9">
        <v>0.24</v>
      </c>
      <c r="CQ86" s="9">
        <v>0.19</v>
      </c>
      <c r="CR86" s="9">
        <v>0.28999999999999998</v>
      </c>
      <c r="CS86" s="9">
        <v>0.5</v>
      </c>
      <c r="CT86" s="9">
        <v>0.4</v>
      </c>
      <c r="CU86" s="9">
        <v>0.6</v>
      </c>
      <c r="CV86" s="9">
        <v>0.24</v>
      </c>
      <c r="CW86" s="9">
        <v>0.19</v>
      </c>
      <c r="CX86" s="9">
        <v>0.28999999999999998</v>
      </c>
      <c r="CY86" s="9">
        <v>0.24</v>
      </c>
      <c r="CZ86" s="9">
        <v>0.19</v>
      </c>
      <c r="DA86" s="9">
        <v>0.28999999999999998</v>
      </c>
      <c r="DB86" s="9">
        <f>MIN(Tabelle5897112140[[#This Row],[Durchschnittsauslastung durch Sommer WTT]:[Durchschnittsauslastung max Winter SFN]])</f>
        <v>0.19</v>
      </c>
      <c r="DC8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6" s="9">
        <f>MAX(Tabelle5897112140[[#This Row],[Durchschnittsauslastung durch Sommer WTT]:[Durchschnittsauslastung max Winter SFN]])</f>
        <v>0.6</v>
      </c>
      <c r="DE86" s="40">
        <f>Tabelle5897112140[[#This Row],[Durchschnittsauslastung min]]*Tabelle5897112140[[#This Row],[installierte Leistung MW min]]</f>
        <v>12.011799999999999</v>
      </c>
      <c r="DF86" s="40">
        <f>Tabelle5897112140[[#This Row],[Durchschnittsauslastung durch]]*Tabelle5897112140[[#This Row],[installierte Leistung MW durch]]</f>
        <v>26.348933333333335</v>
      </c>
      <c r="DG86" s="40">
        <f>Tabelle5897112140[[#This Row],[Durchschnittsauslastung max]]*Tabelle5897112140[[#This Row],[installierte Leistung MW max]]</f>
        <v>58.859999999999992</v>
      </c>
      <c r="DH86" s="46">
        <f>Tabelle5897112140[[#This Row],[Maximalauslastung min]]*Tabelle5897112140[[#This Row],[installierte Leistung MW min]]</f>
        <v>29.081199999999999</v>
      </c>
      <c r="DI86" s="46">
        <f>Tabelle5897112140[[#This Row],[Maximalauslastung durch]]*Tabelle5897112140[[#This Row],[installierte Leistung MW durch]]</f>
        <v>41.136600000000001</v>
      </c>
      <c r="DJ86" s="19">
        <f>Tabelle5897112140[[#This Row],[Maximalauslastung max]]*Tabelle5897112140[[#This Row],[installierte Leistung MW durch]]</f>
        <v>45.169600000000003</v>
      </c>
      <c r="DK86" s="9">
        <v>0.46</v>
      </c>
      <c r="DL86" s="9">
        <v>0.51</v>
      </c>
      <c r="DM86" s="9">
        <v>0.56000000000000005</v>
      </c>
      <c r="DN86" s="1">
        <v>80.66</v>
      </c>
      <c r="DO86" s="1">
        <v>63.22</v>
      </c>
      <c r="DP86" s="1">
        <v>98.1</v>
      </c>
      <c r="DQ86" s="19"/>
      <c r="DR86" s="19"/>
      <c r="DW86" s="1">
        <v>1.1000000000000001</v>
      </c>
      <c r="DX86" s="1">
        <v>0.8</v>
      </c>
      <c r="DY86" s="1">
        <v>1.4</v>
      </c>
      <c r="EL86" s="1">
        <v>365</v>
      </c>
      <c r="EM86" s="1">
        <v>292</v>
      </c>
      <c r="EN86" s="1">
        <v>438</v>
      </c>
      <c r="EO86" s="11"/>
      <c r="EP86" s="11"/>
      <c r="EQ86" s="11"/>
      <c r="ER86" s="1">
        <v>365</v>
      </c>
      <c r="ES86" s="1">
        <v>292</v>
      </c>
      <c r="ET86" s="1">
        <v>438</v>
      </c>
      <c r="EV86" s="19"/>
      <c r="EW86" s="19"/>
      <c r="EX86" s="19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O86" s="1">
        <v>67</v>
      </c>
      <c r="FP86" s="1">
        <v>67</v>
      </c>
      <c r="FQ86" s="1">
        <v>67</v>
      </c>
      <c r="FR86" s="13" t="s">
        <v>806</v>
      </c>
      <c r="FS86" s="13" t="s">
        <v>806</v>
      </c>
      <c r="FT86" s="13" t="s">
        <v>806</v>
      </c>
      <c r="FU86" s="13"/>
      <c r="FV86" s="13" t="s">
        <v>806</v>
      </c>
      <c r="FW86" s="13" t="s">
        <v>806</v>
      </c>
      <c r="FX86" s="13" t="s">
        <v>806</v>
      </c>
      <c r="FY86" s="13" t="s">
        <v>806</v>
      </c>
      <c r="FZ86" s="13" t="s">
        <v>806</v>
      </c>
      <c r="GA86" s="13" t="s">
        <v>806</v>
      </c>
      <c r="GB86" s="13" t="s">
        <v>806</v>
      </c>
      <c r="GE86" s="13" t="s">
        <v>806</v>
      </c>
      <c r="GF86" s="13" t="s">
        <v>806</v>
      </c>
      <c r="GH86" s="13" t="s">
        <v>806</v>
      </c>
    </row>
    <row r="87" spans="1:190" ht="15" customHeight="1" x14ac:dyDescent="0.25">
      <c r="A87" s="1" t="s">
        <v>208</v>
      </c>
      <c r="B87" s="1" t="s">
        <v>651</v>
      </c>
      <c r="C87" s="1" t="s">
        <v>658</v>
      </c>
      <c r="D87" s="1" t="s">
        <v>680</v>
      </c>
      <c r="E87" s="1" t="s">
        <v>126</v>
      </c>
      <c r="F87" s="1">
        <v>0</v>
      </c>
      <c r="G87" s="1">
        <v>2040</v>
      </c>
      <c r="H87" s="1">
        <v>1</v>
      </c>
      <c r="I87" s="1">
        <v>0</v>
      </c>
      <c r="J87" s="1">
        <v>0</v>
      </c>
      <c r="K8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1.2876000000000001</v>
      </c>
      <c r="L8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14.511400000000002</v>
      </c>
      <c r="M8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46.953000000000003</v>
      </c>
      <c r="N87" s="19">
        <v>28.749000000000002</v>
      </c>
      <c r="O87" s="19">
        <v>14.807400000000001</v>
      </c>
      <c r="P87" s="19">
        <v>46.953000000000003</v>
      </c>
      <c r="Q87" s="19">
        <v>0.82140000000000002</v>
      </c>
      <c r="R87" s="19">
        <v>0</v>
      </c>
      <c r="S87" s="19">
        <v>15.984000000000002</v>
      </c>
      <c r="T87" s="19">
        <v>7.3926000000000007</v>
      </c>
      <c r="U87" s="19">
        <v>1.2876000000000001</v>
      </c>
      <c r="V87" s="19">
        <v>15.984000000000002</v>
      </c>
      <c r="W87" s="19">
        <v>22.177800000000001</v>
      </c>
      <c r="X87" s="19">
        <v>10.944600000000001</v>
      </c>
      <c r="Y87" s="19">
        <v>36.963000000000001</v>
      </c>
      <c r="Z87" s="19">
        <v>7.3926000000000007</v>
      </c>
      <c r="AA87" s="19">
        <v>1.2876000000000001</v>
      </c>
      <c r="AB87" s="19">
        <v>15.984000000000002</v>
      </c>
      <c r="AC87" s="19">
        <v>22.177800000000001</v>
      </c>
      <c r="AD87" s="19">
        <v>10.944600000000001</v>
      </c>
      <c r="AE87" s="19">
        <v>36.963000000000001</v>
      </c>
      <c r="AF87" s="19">
        <v>28.749000000000002</v>
      </c>
      <c r="AG87" s="19">
        <v>14.807400000000001</v>
      </c>
      <c r="AH87" s="19">
        <v>46.953000000000003</v>
      </c>
      <c r="AI87" s="19">
        <v>0.82140000000000002</v>
      </c>
      <c r="AJ87" s="19">
        <v>0</v>
      </c>
      <c r="AK87" s="19">
        <v>15.984000000000002</v>
      </c>
      <c r="AL87" s="19">
        <v>7.3926000000000007</v>
      </c>
      <c r="AM87" s="19">
        <v>1.2876000000000001</v>
      </c>
      <c r="AN87" s="19">
        <v>15.984000000000002</v>
      </c>
      <c r="AO87" s="19">
        <v>22.177800000000001</v>
      </c>
      <c r="AP87" s="19">
        <v>10.944600000000001</v>
      </c>
      <c r="AQ87" s="19">
        <v>36.963000000000001</v>
      </c>
      <c r="AR87" s="19">
        <v>7.3926000000000007</v>
      </c>
      <c r="AS87" s="19">
        <v>1.2876000000000001</v>
      </c>
      <c r="AT87" s="19">
        <v>15.984000000000002</v>
      </c>
      <c r="AU87" s="19">
        <v>22.177800000000001</v>
      </c>
      <c r="AV87" s="19">
        <v>10.944600000000001</v>
      </c>
      <c r="AW87" s="19">
        <v>36.963000000000001</v>
      </c>
      <c r="AX87" s="19">
        <v>28.749000000000002</v>
      </c>
      <c r="AY87" s="19">
        <v>14.807400000000001</v>
      </c>
      <c r="AZ87" s="19">
        <v>46.953000000000003</v>
      </c>
      <c r="BA87" s="19">
        <v>0.82140000000000002</v>
      </c>
      <c r="BB87" s="19">
        <v>0</v>
      </c>
      <c r="BC87" s="19">
        <v>15.984000000000002</v>
      </c>
      <c r="BD87" s="19">
        <v>7.3926000000000007</v>
      </c>
      <c r="BE87" s="19">
        <v>1.2876000000000001</v>
      </c>
      <c r="BF87" s="19">
        <v>15.984000000000002</v>
      </c>
      <c r="BG87" s="19">
        <v>22.177800000000001</v>
      </c>
      <c r="BH87" s="19">
        <v>10.944600000000001</v>
      </c>
      <c r="BI87" s="19">
        <v>36.963000000000001</v>
      </c>
      <c r="BJ87" s="19">
        <v>7.3926000000000007</v>
      </c>
      <c r="BK87" s="19">
        <v>1.2876000000000001</v>
      </c>
      <c r="BL87" s="19">
        <v>15.984000000000002</v>
      </c>
      <c r="BM87" s="19">
        <v>22.177800000000001</v>
      </c>
      <c r="BN87" s="19">
        <v>10.944600000000001</v>
      </c>
      <c r="BO87" s="19">
        <v>36.963000000000001</v>
      </c>
      <c r="BP87" s="19"/>
      <c r="BQ8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15.059000000000001</v>
      </c>
      <c r="BS8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36.963000000000001</v>
      </c>
      <c r="BT87" s="11">
        <f>Tabelle5897112140[[#This Row],[Mindestauslastung min]]*Tabelle5897112140[[#This Row],[installierte Leistung MW min]]</f>
        <v>8.3693999999999988</v>
      </c>
      <c r="BU87" s="11">
        <f>Tabelle5897112140[[#This Row],[Mindestauslastung durch]]*Tabelle5897112140[[#This Row],[installierte Leistung MW durch]]</f>
        <v>12.321</v>
      </c>
      <c r="BV87" s="11">
        <f>Tabelle5897112140[[#This Row],[Mindestauslastung max]]*Tabelle5897112140[[#This Row],[installierte Leistung MW max]]</f>
        <v>16.983000000000001</v>
      </c>
      <c r="BW87" s="9">
        <v>0.13</v>
      </c>
      <c r="BX87" s="9">
        <v>0.15</v>
      </c>
      <c r="BY87" s="9">
        <v>0.17</v>
      </c>
      <c r="BZ87" s="9"/>
      <c r="CA87" s="9">
        <v>0.5</v>
      </c>
      <c r="CB87" s="9">
        <v>0.4</v>
      </c>
      <c r="CC87" s="9">
        <v>0.6</v>
      </c>
      <c r="CD87" s="9">
        <v>0.24</v>
      </c>
      <c r="CE87" s="9">
        <v>0.19</v>
      </c>
      <c r="CF87" s="9">
        <v>0.28999999999999998</v>
      </c>
      <c r="CG87" s="9">
        <v>0.24</v>
      </c>
      <c r="CH87" s="9">
        <v>0.19</v>
      </c>
      <c r="CI87" s="9">
        <v>0.28999999999999998</v>
      </c>
      <c r="CJ87" s="9">
        <v>0.5</v>
      </c>
      <c r="CK87" s="9">
        <v>0.4</v>
      </c>
      <c r="CL87" s="9">
        <v>0.6</v>
      </c>
      <c r="CM87" s="9">
        <v>0.24</v>
      </c>
      <c r="CN87" s="9">
        <v>0.19</v>
      </c>
      <c r="CO87" s="9">
        <v>0.28999999999999998</v>
      </c>
      <c r="CP87" s="9">
        <v>0.24</v>
      </c>
      <c r="CQ87" s="9">
        <v>0.19</v>
      </c>
      <c r="CR87" s="9">
        <v>0.28999999999999998</v>
      </c>
      <c r="CS87" s="9">
        <v>0.5</v>
      </c>
      <c r="CT87" s="9">
        <v>0.4</v>
      </c>
      <c r="CU87" s="9">
        <v>0.6</v>
      </c>
      <c r="CV87" s="9">
        <v>0.24</v>
      </c>
      <c r="CW87" s="9">
        <v>0.19</v>
      </c>
      <c r="CX87" s="9">
        <v>0.28999999999999998</v>
      </c>
      <c r="CY87" s="9">
        <v>0.24</v>
      </c>
      <c r="CZ87" s="9">
        <v>0.19</v>
      </c>
      <c r="DA87" s="9">
        <v>0.28999999999999998</v>
      </c>
      <c r="DB87" s="9">
        <f>MIN(Tabelle5897112140[[#This Row],[Durchschnittsauslastung durch Sommer WTT]:[Durchschnittsauslastung max Winter SFN]])</f>
        <v>0.19</v>
      </c>
      <c r="DC8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7" s="9">
        <f>MAX(Tabelle5897112140[[#This Row],[Durchschnittsauslastung durch Sommer WTT]:[Durchschnittsauslastung max Winter SFN]])</f>
        <v>0.6</v>
      </c>
      <c r="DE87" s="40">
        <f>Tabelle5897112140[[#This Row],[Durchschnittsauslastung min]]*Tabelle5897112140[[#This Row],[installierte Leistung MW min]]</f>
        <v>12.232199999999999</v>
      </c>
      <c r="DF87" s="40">
        <f>Tabelle5897112140[[#This Row],[Durchschnittsauslastung durch]]*Tabelle5897112140[[#This Row],[installierte Leistung MW durch]]</f>
        <v>26.832400000000003</v>
      </c>
      <c r="DG87" s="40">
        <f>Tabelle5897112140[[#This Row],[Durchschnittsauslastung max]]*Tabelle5897112140[[#This Row],[installierte Leistung MW max]]</f>
        <v>59.94</v>
      </c>
      <c r="DH87" s="46">
        <f>Tabelle5897112140[[#This Row],[Maximalauslastung min]]*Tabelle5897112140[[#This Row],[installierte Leistung MW min]]</f>
        <v>29.614799999999999</v>
      </c>
      <c r="DI87" s="46">
        <f>Tabelle5897112140[[#This Row],[Maximalauslastung durch]]*Tabelle5897112140[[#This Row],[installierte Leistung MW durch]]</f>
        <v>41.891400000000004</v>
      </c>
      <c r="DJ87" s="19">
        <f>Tabelle5897112140[[#This Row],[Maximalauslastung max]]*Tabelle5897112140[[#This Row],[installierte Leistung MW durch]]</f>
        <v>45.998400000000004</v>
      </c>
      <c r="DK87" s="9">
        <v>0.46</v>
      </c>
      <c r="DL87" s="9">
        <v>0.51</v>
      </c>
      <c r="DM87" s="9">
        <v>0.56000000000000005</v>
      </c>
      <c r="DN87" s="1">
        <v>82.14</v>
      </c>
      <c r="DO87" s="1">
        <v>64.38</v>
      </c>
      <c r="DP87" s="1">
        <v>99.9</v>
      </c>
      <c r="DQ87" s="19"/>
      <c r="DR87" s="19"/>
      <c r="DW87" s="1">
        <v>1.1000000000000001</v>
      </c>
      <c r="DX87" s="1">
        <v>0.8</v>
      </c>
      <c r="DY87" s="1">
        <v>1.4</v>
      </c>
      <c r="EL87" s="1">
        <v>365</v>
      </c>
      <c r="EM87" s="1">
        <v>292</v>
      </c>
      <c r="EN87" s="1">
        <v>438</v>
      </c>
      <c r="EO87" s="11"/>
      <c r="EP87" s="11"/>
      <c r="EQ87" s="11"/>
      <c r="ER87" s="1">
        <v>365</v>
      </c>
      <c r="ES87" s="1">
        <v>292</v>
      </c>
      <c r="ET87" s="1">
        <v>438</v>
      </c>
      <c r="EV87" s="19"/>
      <c r="EW87" s="19"/>
      <c r="EX87" s="19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O87" s="1">
        <v>67</v>
      </c>
      <c r="FP87" s="1">
        <v>67</v>
      </c>
      <c r="FQ87" s="1">
        <v>67</v>
      </c>
      <c r="FR87" s="13" t="s">
        <v>806</v>
      </c>
      <c r="FS87" s="13" t="s">
        <v>806</v>
      </c>
      <c r="FT87" s="13" t="s">
        <v>806</v>
      </c>
      <c r="FU87" s="13"/>
      <c r="FV87" s="13" t="s">
        <v>806</v>
      </c>
      <c r="FW87" s="13" t="s">
        <v>806</v>
      </c>
      <c r="FX87" s="13" t="s">
        <v>806</v>
      </c>
      <c r="FY87" s="13" t="s">
        <v>806</v>
      </c>
      <c r="FZ87" s="13" t="s">
        <v>806</v>
      </c>
      <c r="GA87" s="13" t="s">
        <v>806</v>
      </c>
      <c r="GB87" s="13" t="s">
        <v>806</v>
      </c>
      <c r="GE87" s="13" t="s">
        <v>806</v>
      </c>
      <c r="GF87" s="13" t="s">
        <v>806</v>
      </c>
      <c r="GH87" s="13" t="s">
        <v>806</v>
      </c>
    </row>
    <row r="88" spans="1:190" ht="15" customHeight="1" x14ac:dyDescent="0.25">
      <c r="A88" s="1" t="s">
        <v>208</v>
      </c>
      <c r="B88" s="1" t="s">
        <v>651</v>
      </c>
      <c r="C88" s="1" t="s">
        <v>658</v>
      </c>
      <c r="D88" s="1" t="s">
        <v>680</v>
      </c>
      <c r="E88" s="1" t="s">
        <v>126</v>
      </c>
      <c r="F88" s="1">
        <v>0</v>
      </c>
      <c r="G88" s="1">
        <v>2045</v>
      </c>
      <c r="H88" s="1">
        <v>1</v>
      </c>
      <c r="I88" s="1">
        <v>0</v>
      </c>
      <c r="J88" s="1">
        <v>0</v>
      </c>
      <c r="K8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1.3223999999999998</v>
      </c>
      <c r="L8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14.903599999999999</v>
      </c>
      <c r="M8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48.221999999999994</v>
      </c>
      <c r="N88" s="19">
        <v>29.525999999999996</v>
      </c>
      <c r="O88" s="19">
        <v>15.207599999999999</v>
      </c>
      <c r="P88" s="19">
        <v>48.221999999999994</v>
      </c>
      <c r="Q88" s="19">
        <v>0.84359999999999991</v>
      </c>
      <c r="R88" s="19">
        <v>0</v>
      </c>
      <c r="S88" s="19">
        <v>16.416</v>
      </c>
      <c r="T88" s="19">
        <v>7.5923999999999996</v>
      </c>
      <c r="U88" s="19">
        <v>1.3223999999999998</v>
      </c>
      <c r="V88" s="19">
        <v>16.416</v>
      </c>
      <c r="W88" s="19">
        <v>22.777199999999997</v>
      </c>
      <c r="X88" s="19">
        <v>11.240399999999998</v>
      </c>
      <c r="Y88" s="19">
        <v>37.961999999999996</v>
      </c>
      <c r="Z88" s="19">
        <v>7.5923999999999996</v>
      </c>
      <c r="AA88" s="19">
        <v>1.3223999999999998</v>
      </c>
      <c r="AB88" s="19">
        <v>16.416</v>
      </c>
      <c r="AC88" s="19">
        <v>22.777199999999997</v>
      </c>
      <c r="AD88" s="19">
        <v>11.240399999999998</v>
      </c>
      <c r="AE88" s="19">
        <v>37.961999999999996</v>
      </c>
      <c r="AF88" s="19">
        <v>29.525999999999996</v>
      </c>
      <c r="AG88" s="19">
        <v>15.207599999999999</v>
      </c>
      <c r="AH88" s="19">
        <v>48.221999999999994</v>
      </c>
      <c r="AI88" s="19">
        <v>0.84359999999999991</v>
      </c>
      <c r="AJ88" s="19">
        <v>0</v>
      </c>
      <c r="AK88" s="19">
        <v>16.416</v>
      </c>
      <c r="AL88" s="19">
        <v>7.5923999999999996</v>
      </c>
      <c r="AM88" s="19">
        <v>1.3223999999999998</v>
      </c>
      <c r="AN88" s="19">
        <v>16.416</v>
      </c>
      <c r="AO88" s="19">
        <v>22.777199999999997</v>
      </c>
      <c r="AP88" s="19">
        <v>11.240399999999998</v>
      </c>
      <c r="AQ88" s="19">
        <v>37.961999999999996</v>
      </c>
      <c r="AR88" s="19">
        <v>7.5923999999999996</v>
      </c>
      <c r="AS88" s="19">
        <v>1.3223999999999998</v>
      </c>
      <c r="AT88" s="19">
        <v>16.416</v>
      </c>
      <c r="AU88" s="19">
        <v>22.777199999999997</v>
      </c>
      <c r="AV88" s="19">
        <v>11.240399999999998</v>
      </c>
      <c r="AW88" s="19">
        <v>37.961999999999996</v>
      </c>
      <c r="AX88" s="19">
        <v>29.525999999999996</v>
      </c>
      <c r="AY88" s="19">
        <v>15.207599999999999</v>
      </c>
      <c r="AZ88" s="19">
        <v>48.221999999999994</v>
      </c>
      <c r="BA88" s="19">
        <v>0.84359999999999991</v>
      </c>
      <c r="BB88" s="19">
        <v>0</v>
      </c>
      <c r="BC88" s="19">
        <v>16.416</v>
      </c>
      <c r="BD88" s="19">
        <v>7.5923999999999996</v>
      </c>
      <c r="BE88" s="19">
        <v>1.3223999999999998</v>
      </c>
      <c r="BF88" s="19">
        <v>16.416</v>
      </c>
      <c r="BG88" s="19">
        <v>22.777199999999997</v>
      </c>
      <c r="BH88" s="19">
        <v>11.240399999999998</v>
      </c>
      <c r="BI88" s="19">
        <v>37.961999999999996</v>
      </c>
      <c r="BJ88" s="19">
        <v>7.5923999999999996</v>
      </c>
      <c r="BK88" s="19">
        <v>1.3223999999999998</v>
      </c>
      <c r="BL88" s="19">
        <v>16.416</v>
      </c>
      <c r="BM88" s="19">
        <v>22.777199999999997</v>
      </c>
      <c r="BN88" s="19">
        <v>11.240399999999998</v>
      </c>
      <c r="BO88" s="19">
        <v>37.961999999999996</v>
      </c>
      <c r="BP88" s="19"/>
      <c r="BQ8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15.465999999999999</v>
      </c>
      <c r="BS8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37.961999999999996</v>
      </c>
      <c r="BT88" s="11">
        <f>Tabelle5897112140[[#This Row],[Mindestauslastung min]]*Tabelle5897112140[[#This Row],[installierte Leistung MW min]]</f>
        <v>8.595600000000001</v>
      </c>
      <c r="BU88" s="11">
        <f>Tabelle5897112140[[#This Row],[Mindestauslastung durch]]*Tabelle5897112140[[#This Row],[installierte Leistung MW durch]]</f>
        <v>12.654</v>
      </c>
      <c r="BV88" s="11">
        <f>Tabelle5897112140[[#This Row],[Mindestauslastung max]]*Tabelle5897112140[[#This Row],[installierte Leistung MW max]]</f>
        <v>17.442</v>
      </c>
      <c r="BW88" s="9">
        <v>0.13</v>
      </c>
      <c r="BX88" s="9">
        <v>0.15</v>
      </c>
      <c r="BY88" s="9">
        <v>0.17</v>
      </c>
      <c r="BZ88" s="9"/>
      <c r="CA88" s="9">
        <v>0.5</v>
      </c>
      <c r="CB88" s="9">
        <v>0.4</v>
      </c>
      <c r="CC88" s="9">
        <v>0.6</v>
      </c>
      <c r="CD88" s="9">
        <v>0.24</v>
      </c>
      <c r="CE88" s="9">
        <v>0.19</v>
      </c>
      <c r="CF88" s="9">
        <v>0.28999999999999998</v>
      </c>
      <c r="CG88" s="9">
        <v>0.24</v>
      </c>
      <c r="CH88" s="9">
        <v>0.19</v>
      </c>
      <c r="CI88" s="9">
        <v>0.28999999999999998</v>
      </c>
      <c r="CJ88" s="9">
        <v>0.5</v>
      </c>
      <c r="CK88" s="9">
        <v>0.4</v>
      </c>
      <c r="CL88" s="9">
        <v>0.6</v>
      </c>
      <c r="CM88" s="9">
        <v>0.24</v>
      </c>
      <c r="CN88" s="9">
        <v>0.19</v>
      </c>
      <c r="CO88" s="9">
        <v>0.28999999999999998</v>
      </c>
      <c r="CP88" s="9">
        <v>0.24</v>
      </c>
      <c r="CQ88" s="9">
        <v>0.19</v>
      </c>
      <c r="CR88" s="9">
        <v>0.28999999999999998</v>
      </c>
      <c r="CS88" s="9">
        <v>0.5</v>
      </c>
      <c r="CT88" s="9">
        <v>0.4</v>
      </c>
      <c r="CU88" s="9">
        <v>0.6</v>
      </c>
      <c r="CV88" s="9">
        <v>0.24</v>
      </c>
      <c r="CW88" s="9">
        <v>0.19</v>
      </c>
      <c r="CX88" s="9">
        <v>0.28999999999999998</v>
      </c>
      <c r="CY88" s="9">
        <v>0.24</v>
      </c>
      <c r="CZ88" s="9">
        <v>0.19</v>
      </c>
      <c r="DA88" s="9">
        <v>0.28999999999999998</v>
      </c>
      <c r="DB88" s="9">
        <f>MIN(Tabelle5897112140[[#This Row],[Durchschnittsauslastung durch Sommer WTT]:[Durchschnittsauslastung max Winter SFN]])</f>
        <v>0.19</v>
      </c>
      <c r="DC8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8" s="9">
        <f>MAX(Tabelle5897112140[[#This Row],[Durchschnittsauslastung durch Sommer WTT]:[Durchschnittsauslastung max Winter SFN]])</f>
        <v>0.6</v>
      </c>
      <c r="DE88" s="40">
        <f>Tabelle5897112140[[#This Row],[Durchschnittsauslastung min]]*Tabelle5897112140[[#This Row],[installierte Leistung MW min]]</f>
        <v>12.562800000000001</v>
      </c>
      <c r="DF88" s="40">
        <f>Tabelle5897112140[[#This Row],[Durchschnittsauslastung durch]]*Tabelle5897112140[[#This Row],[installierte Leistung MW durch]]</f>
        <v>27.557600000000004</v>
      </c>
      <c r="DG88" s="40">
        <f>Tabelle5897112140[[#This Row],[Durchschnittsauslastung max]]*Tabelle5897112140[[#This Row],[installierte Leistung MW max]]</f>
        <v>61.559999999999995</v>
      </c>
      <c r="DH88" s="46">
        <f>Tabelle5897112140[[#This Row],[Maximalauslastung min]]*Tabelle5897112140[[#This Row],[installierte Leistung MW min]]</f>
        <v>30.415200000000002</v>
      </c>
      <c r="DI88" s="46">
        <f>Tabelle5897112140[[#This Row],[Maximalauslastung durch]]*Tabelle5897112140[[#This Row],[installierte Leistung MW durch]]</f>
        <v>43.023600000000002</v>
      </c>
      <c r="DJ88" s="19">
        <f>Tabelle5897112140[[#This Row],[Maximalauslastung max]]*Tabelle5897112140[[#This Row],[installierte Leistung MW durch]]</f>
        <v>47.241600000000005</v>
      </c>
      <c r="DK88" s="9">
        <v>0.46</v>
      </c>
      <c r="DL88" s="9">
        <v>0.51</v>
      </c>
      <c r="DM88" s="9">
        <v>0.56000000000000005</v>
      </c>
      <c r="DN88" s="1">
        <v>84.36</v>
      </c>
      <c r="DO88" s="1">
        <v>66.12</v>
      </c>
      <c r="DP88" s="1">
        <v>102.6</v>
      </c>
      <c r="DQ88" s="19"/>
      <c r="DR88" s="19"/>
      <c r="DW88" s="1">
        <v>1.1000000000000001</v>
      </c>
      <c r="DX88" s="1">
        <v>0.8</v>
      </c>
      <c r="DY88" s="1">
        <v>1.4</v>
      </c>
      <c r="EL88" s="1">
        <v>365</v>
      </c>
      <c r="EM88" s="1">
        <v>292</v>
      </c>
      <c r="EN88" s="1">
        <v>438</v>
      </c>
      <c r="EO88" s="11"/>
      <c r="EP88" s="11"/>
      <c r="EQ88" s="11"/>
      <c r="ER88" s="1">
        <v>365</v>
      </c>
      <c r="ES88" s="1">
        <v>292</v>
      </c>
      <c r="ET88" s="1">
        <v>438</v>
      </c>
      <c r="EV88" s="19"/>
      <c r="EW88" s="19"/>
      <c r="EX88" s="19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O88" s="1">
        <v>67</v>
      </c>
      <c r="FP88" s="1">
        <v>67</v>
      </c>
      <c r="FQ88" s="1">
        <v>67</v>
      </c>
      <c r="FR88" s="13" t="s">
        <v>806</v>
      </c>
      <c r="FS88" s="13" t="s">
        <v>806</v>
      </c>
      <c r="FT88" s="13" t="s">
        <v>806</v>
      </c>
      <c r="FU88" s="13"/>
      <c r="FV88" s="13" t="s">
        <v>806</v>
      </c>
      <c r="FW88" s="13" t="s">
        <v>806</v>
      </c>
      <c r="FX88" s="13" t="s">
        <v>806</v>
      </c>
      <c r="FY88" s="13" t="s">
        <v>806</v>
      </c>
      <c r="FZ88" s="13" t="s">
        <v>806</v>
      </c>
      <c r="GA88" s="13" t="s">
        <v>806</v>
      </c>
      <c r="GB88" s="13" t="s">
        <v>806</v>
      </c>
      <c r="GE88" s="13" t="s">
        <v>806</v>
      </c>
      <c r="GF88" s="13" t="s">
        <v>806</v>
      </c>
      <c r="GH88" s="13" t="s">
        <v>806</v>
      </c>
    </row>
    <row r="89" spans="1:190" ht="15" customHeight="1" x14ac:dyDescent="0.25">
      <c r="A89" s="1" t="s">
        <v>208</v>
      </c>
      <c r="B89" s="1" t="s">
        <v>651</v>
      </c>
      <c r="C89" s="1" t="s">
        <v>658</v>
      </c>
      <c r="D89" s="1" t="s">
        <v>680</v>
      </c>
      <c r="E89" s="1" t="s">
        <v>126</v>
      </c>
      <c r="F89" s="1">
        <v>0</v>
      </c>
      <c r="G89" s="1">
        <v>2050</v>
      </c>
      <c r="H89" s="1">
        <v>1</v>
      </c>
      <c r="I89" s="1">
        <v>0</v>
      </c>
      <c r="J89" s="1">
        <v>0</v>
      </c>
      <c r="K8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1.3455999999999999</v>
      </c>
      <c r="L8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15.165066666666664</v>
      </c>
      <c r="M8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49.067999999999991</v>
      </c>
      <c r="N89" s="19">
        <v>30.043999999999997</v>
      </c>
      <c r="O89" s="19">
        <v>15.474399999999999</v>
      </c>
      <c r="P89" s="19">
        <v>49.067999999999991</v>
      </c>
      <c r="Q89" s="19">
        <v>0.85839999999999994</v>
      </c>
      <c r="R89" s="19">
        <v>0</v>
      </c>
      <c r="S89" s="19">
        <v>16.704000000000001</v>
      </c>
      <c r="T89" s="19">
        <v>7.7256</v>
      </c>
      <c r="U89" s="19">
        <v>1.3455999999999999</v>
      </c>
      <c r="V89" s="19">
        <v>16.704000000000001</v>
      </c>
      <c r="W89" s="19">
        <v>23.1768</v>
      </c>
      <c r="X89" s="19">
        <v>11.437599999999998</v>
      </c>
      <c r="Y89" s="19">
        <v>38.627999999999993</v>
      </c>
      <c r="Z89" s="19">
        <v>7.7256</v>
      </c>
      <c r="AA89" s="19">
        <v>1.3455999999999999</v>
      </c>
      <c r="AB89" s="19">
        <v>16.704000000000001</v>
      </c>
      <c r="AC89" s="19">
        <v>23.1768</v>
      </c>
      <c r="AD89" s="19">
        <v>11.437599999999998</v>
      </c>
      <c r="AE89" s="19">
        <v>38.627999999999993</v>
      </c>
      <c r="AF89" s="19">
        <v>30.043999999999997</v>
      </c>
      <c r="AG89" s="19">
        <v>15.474399999999999</v>
      </c>
      <c r="AH89" s="19">
        <v>49.067999999999991</v>
      </c>
      <c r="AI89" s="19">
        <v>0.85839999999999994</v>
      </c>
      <c r="AJ89" s="19">
        <v>0</v>
      </c>
      <c r="AK89" s="19">
        <v>16.704000000000001</v>
      </c>
      <c r="AL89" s="19">
        <v>7.7256</v>
      </c>
      <c r="AM89" s="19">
        <v>1.3455999999999999</v>
      </c>
      <c r="AN89" s="19">
        <v>16.704000000000001</v>
      </c>
      <c r="AO89" s="19">
        <v>23.1768</v>
      </c>
      <c r="AP89" s="19">
        <v>11.437599999999998</v>
      </c>
      <c r="AQ89" s="19">
        <v>38.627999999999993</v>
      </c>
      <c r="AR89" s="19">
        <v>7.7256</v>
      </c>
      <c r="AS89" s="19">
        <v>1.3455999999999999</v>
      </c>
      <c r="AT89" s="19">
        <v>16.704000000000001</v>
      </c>
      <c r="AU89" s="19">
        <v>23.1768</v>
      </c>
      <c r="AV89" s="19">
        <v>11.437599999999998</v>
      </c>
      <c r="AW89" s="19">
        <v>38.627999999999993</v>
      </c>
      <c r="AX89" s="19">
        <v>30.043999999999997</v>
      </c>
      <c r="AY89" s="19">
        <v>15.474399999999999</v>
      </c>
      <c r="AZ89" s="19">
        <v>49.067999999999991</v>
      </c>
      <c r="BA89" s="19">
        <v>0.85839999999999994</v>
      </c>
      <c r="BB89" s="19">
        <v>0</v>
      </c>
      <c r="BC89" s="19">
        <v>16.704000000000001</v>
      </c>
      <c r="BD89" s="19">
        <v>7.7256</v>
      </c>
      <c r="BE89" s="19">
        <v>1.3455999999999999</v>
      </c>
      <c r="BF89" s="19">
        <v>16.704000000000001</v>
      </c>
      <c r="BG89" s="19">
        <v>23.1768</v>
      </c>
      <c r="BH89" s="19">
        <v>11.437599999999998</v>
      </c>
      <c r="BI89" s="19">
        <v>38.627999999999993</v>
      </c>
      <c r="BJ89" s="19">
        <v>7.7256</v>
      </c>
      <c r="BK89" s="19">
        <v>1.3455999999999999</v>
      </c>
      <c r="BL89" s="19">
        <v>16.704000000000001</v>
      </c>
      <c r="BM89" s="19">
        <v>23.1768</v>
      </c>
      <c r="BN89" s="19">
        <v>11.437599999999998</v>
      </c>
      <c r="BO89" s="19">
        <v>38.627999999999993</v>
      </c>
      <c r="BP89" s="19"/>
      <c r="BQ8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15.737333333333336</v>
      </c>
      <c r="BS8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38.627999999999993</v>
      </c>
      <c r="BT89" s="11">
        <f>Tabelle5897112140[[#This Row],[Mindestauslastung min]]*Tabelle5897112140[[#This Row],[installierte Leistung MW min]]</f>
        <v>8.7464000000000013</v>
      </c>
      <c r="BU89" s="11">
        <f>Tabelle5897112140[[#This Row],[Mindestauslastung durch]]*Tabelle5897112140[[#This Row],[installierte Leistung MW durch]]</f>
        <v>12.875999999999999</v>
      </c>
      <c r="BV89" s="11">
        <f>Tabelle5897112140[[#This Row],[Mindestauslastung max]]*Tabelle5897112140[[#This Row],[installierte Leistung MW max]]</f>
        <v>17.748000000000001</v>
      </c>
      <c r="BW89" s="9">
        <v>0.13</v>
      </c>
      <c r="BX89" s="9">
        <v>0.15</v>
      </c>
      <c r="BY89" s="9">
        <v>0.17</v>
      </c>
      <c r="BZ89" s="9"/>
      <c r="CA89" s="9">
        <v>0.5</v>
      </c>
      <c r="CB89" s="9">
        <v>0.4</v>
      </c>
      <c r="CC89" s="9">
        <v>0.6</v>
      </c>
      <c r="CD89" s="9">
        <v>0.24</v>
      </c>
      <c r="CE89" s="9">
        <v>0.19</v>
      </c>
      <c r="CF89" s="9">
        <v>0.28999999999999998</v>
      </c>
      <c r="CG89" s="9">
        <v>0.24</v>
      </c>
      <c r="CH89" s="9">
        <v>0.19</v>
      </c>
      <c r="CI89" s="9">
        <v>0.28999999999999998</v>
      </c>
      <c r="CJ89" s="9">
        <v>0.5</v>
      </c>
      <c r="CK89" s="9">
        <v>0.4</v>
      </c>
      <c r="CL89" s="9">
        <v>0.6</v>
      </c>
      <c r="CM89" s="9">
        <v>0.24</v>
      </c>
      <c r="CN89" s="9">
        <v>0.19</v>
      </c>
      <c r="CO89" s="9">
        <v>0.28999999999999998</v>
      </c>
      <c r="CP89" s="9">
        <v>0.24</v>
      </c>
      <c r="CQ89" s="9">
        <v>0.19</v>
      </c>
      <c r="CR89" s="9">
        <v>0.28999999999999998</v>
      </c>
      <c r="CS89" s="9">
        <v>0.5</v>
      </c>
      <c r="CT89" s="9">
        <v>0.4</v>
      </c>
      <c r="CU89" s="9">
        <v>0.6</v>
      </c>
      <c r="CV89" s="9">
        <v>0.24</v>
      </c>
      <c r="CW89" s="9">
        <v>0.19</v>
      </c>
      <c r="CX89" s="9">
        <v>0.28999999999999998</v>
      </c>
      <c r="CY89" s="9">
        <v>0.24</v>
      </c>
      <c r="CZ89" s="9">
        <v>0.19</v>
      </c>
      <c r="DA89" s="9">
        <v>0.28999999999999998</v>
      </c>
      <c r="DB89" s="9">
        <f>MIN(Tabelle5897112140[[#This Row],[Durchschnittsauslastung durch Sommer WTT]:[Durchschnittsauslastung max Winter SFN]])</f>
        <v>0.19</v>
      </c>
      <c r="DC8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9" s="9">
        <f>MAX(Tabelle5897112140[[#This Row],[Durchschnittsauslastung durch Sommer WTT]:[Durchschnittsauslastung max Winter SFN]])</f>
        <v>0.6</v>
      </c>
      <c r="DE89" s="40">
        <f>Tabelle5897112140[[#This Row],[Durchschnittsauslastung min]]*Tabelle5897112140[[#This Row],[installierte Leistung MW min]]</f>
        <v>12.783200000000001</v>
      </c>
      <c r="DF89" s="40">
        <f>Tabelle5897112140[[#This Row],[Durchschnittsauslastung durch]]*Tabelle5897112140[[#This Row],[installierte Leistung MW durch]]</f>
        <v>28.041066666666673</v>
      </c>
      <c r="DG89" s="40">
        <f>Tabelle5897112140[[#This Row],[Durchschnittsauslastung max]]*Tabelle5897112140[[#This Row],[installierte Leistung MW max]]</f>
        <v>62.64</v>
      </c>
      <c r="DH89" s="46">
        <f>Tabelle5897112140[[#This Row],[Maximalauslastung min]]*Tabelle5897112140[[#This Row],[installierte Leistung MW min]]</f>
        <v>30.948800000000002</v>
      </c>
      <c r="DI89" s="46">
        <f>Tabelle5897112140[[#This Row],[Maximalauslastung durch]]*Tabelle5897112140[[#This Row],[installierte Leistung MW durch]]</f>
        <v>43.778400000000005</v>
      </c>
      <c r="DJ89" s="19">
        <f>Tabelle5897112140[[#This Row],[Maximalauslastung max]]*Tabelle5897112140[[#This Row],[installierte Leistung MW durch]]</f>
        <v>48.070400000000006</v>
      </c>
      <c r="DK89" s="9">
        <v>0.46</v>
      </c>
      <c r="DL89" s="9">
        <v>0.51</v>
      </c>
      <c r="DM89" s="9">
        <v>0.56000000000000005</v>
      </c>
      <c r="DN89" s="1">
        <v>85.84</v>
      </c>
      <c r="DO89" s="1">
        <v>67.28</v>
      </c>
      <c r="DP89" s="1">
        <v>104.4</v>
      </c>
      <c r="DQ89" s="19"/>
      <c r="DR89" s="19"/>
      <c r="DW89" s="1">
        <v>1.1000000000000001</v>
      </c>
      <c r="DX89" s="1">
        <v>0.8</v>
      </c>
      <c r="DY89" s="1">
        <v>1.4</v>
      </c>
      <c r="EL89" s="1">
        <v>365</v>
      </c>
      <c r="EM89" s="1">
        <v>292</v>
      </c>
      <c r="EN89" s="1">
        <v>438</v>
      </c>
      <c r="EO89" s="11"/>
      <c r="EP89" s="11"/>
      <c r="EQ89" s="11"/>
      <c r="ER89" s="1">
        <v>365</v>
      </c>
      <c r="ES89" s="1">
        <v>292</v>
      </c>
      <c r="ET89" s="1">
        <v>438</v>
      </c>
      <c r="EV89" s="19"/>
      <c r="EW89" s="19"/>
      <c r="EX89" s="19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O89" s="1">
        <v>67</v>
      </c>
      <c r="FP89" s="1">
        <v>67</v>
      </c>
      <c r="FQ89" s="1">
        <v>67</v>
      </c>
      <c r="FR89" s="13" t="s">
        <v>806</v>
      </c>
      <c r="FS89" s="13" t="s">
        <v>806</v>
      </c>
      <c r="FT89" s="13" t="s">
        <v>806</v>
      </c>
      <c r="FU89" s="13"/>
      <c r="FV89" s="13" t="s">
        <v>806</v>
      </c>
      <c r="FW89" s="13" t="s">
        <v>806</v>
      </c>
      <c r="FX89" s="13" t="s">
        <v>806</v>
      </c>
      <c r="FY89" s="13" t="s">
        <v>806</v>
      </c>
      <c r="FZ89" s="13" t="s">
        <v>806</v>
      </c>
      <c r="GA89" s="13" t="s">
        <v>806</v>
      </c>
      <c r="GB89" s="13" t="s">
        <v>806</v>
      </c>
      <c r="GE89" s="13" t="s">
        <v>806</v>
      </c>
      <c r="GF89" s="13" t="s">
        <v>806</v>
      </c>
      <c r="GH89" s="13" t="s">
        <v>806</v>
      </c>
    </row>
    <row r="90" spans="1:190" ht="15" customHeight="1" x14ac:dyDescent="0.25">
      <c r="A90" s="1" t="s">
        <v>535</v>
      </c>
      <c r="B90" s="1" t="s">
        <v>535</v>
      </c>
      <c r="C90" s="1" t="s">
        <v>660</v>
      </c>
      <c r="D90" s="1" t="s">
        <v>686</v>
      </c>
      <c r="E90" s="1" t="s">
        <v>127</v>
      </c>
      <c r="F90" s="1">
        <v>0</v>
      </c>
      <c r="G90" s="1">
        <v>2015</v>
      </c>
      <c r="H90" s="1">
        <v>1</v>
      </c>
      <c r="I90" s="1">
        <v>0</v>
      </c>
      <c r="J90" s="1">
        <v>0</v>
      </c>
      <c r="K9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0" s="19">
        <v>0</v>
      </c>
      <c r="O90" s="19">
        <v>0</v>
      </c>
      <c r="P90" s="19">
        <v>0</v>
      </c>
      <c r="Q90" s="19">
        <v>7.9539999999999997</v>
      </c>
      <c r="R90" s="19">
        <v>4.4400000000000004</v>
      </c>
      <c r="S90" s="19">
        <v>12.06</v>
      </c>
      <c r="T90" s="19">
        <v>0</v>
      </c>
      <c r="U90" s="19">
        <v>0</v>
      </c>
      <c r="V90" s="19">
        <v>0</v>
      </c>
      <c r="W90" s="19">
        <v>7.9539999999999997</v>
      </c>
      <c r="X90" s="19">
        <v>4.4400000000000004</v>
      </c>
      <c r="Y90" s="19">
        <v>12.06</v>
      </c>
      <c r="Z90" s="19">
        <v>0</v>
      </c>
      <c r="AA90" s="19">
        <v>0</v>
      </c>
      <c r="AB90" s="19">
        <v>0</v>
      </c>
      <c r="AC90" s="19">
        <v>7.9539999999999997</v>
      </c>
      <c r="AD90" s="19">
        <v>4.4400000000000004</v>
      </c>
      <c r="AE90" s="19">
        <v>12.06</v>
      </c>
      <c r="AF90" s="19">
        <v>3.1040000000000001</v>
      </c>
      <c r="AG90" s="19">
        <v>1.92</v>
      </c>
      <c r="AH90" s="19">
        <v>4.2880000000000003</v>
      </c>
      <c r="AI90" s="19">
        <v>4.8499999999999996</v>
      </c>
      <c r="AJ90" s="19">
        <v>2.52</v>
      </c>
      <c r="AK90" s="19">
        <v>7.7720000000000002</v>
      </c>
      <c r="AL90" s="19">
        <v>3.1040000000000001</v>
      </c>
      <c r="AM90" s="19">
        <v>1.92</v>
      </c>
      <c r="AN90" s="19">
        <v>4.2880000000000003</v>
      </c>
      <c r="AO90" s="19">
        <v>4.8499999999999996</v>
      </c>
      <c r="AP90" s="19">
        <v>2.52</v>
      </c>
      <c r="AQ90" s="19">
        <v>7.7720000000000002</v>
      </c>
      <c r="AR90" s="19">
        <v>1.746</v>
      </c>
      <c r="AS90" s="19">
        <v>1.08</v>
      </c>
      <c r="AT90" s="19">
        <v>2.4119999999999999</v>
      </c>
      <c r="AU90" s="19">
        <v>6.2079999999999993</v>
      </c>
      <c r="AV90" s="19">
        <v>3.36</v>
      </c>
      <c r="AW90" s="19">
        <v>9.6480000000000015</v>
      </c>
      <c r="AX90" s="19">
        <v>15.907999999999999</v>
      </c>
      <c r="AY90" s="19">
        <v>9.84</v>
      </c>
      <c r="AZ90" s="19">
        <v>21.975999999999999</v>
      </c>
      <c r="BA90" s="19">
        <v>0</v>
      </c>
      <c r="BB90" s="19">
        <v>0</v>
      </c>
      <c r="BC90" s="19">
        <v>0</v>
      </c>
      <c r="BD90" s="19">
        <v>15.907999999999999</v>
      </c>
      <c r="BE90" s="19">
        <v>9.84</v>
      </c>
      <c r="BF90" s="19">
        <v>21.975999999999999</v>
      </c>
      <c r="BG90" s="19">
        <v>0</v>
      </c>
      <c r="BH90" s="19">
        <v>0</v>
      </c>
      <c r="BI90" s="19">
        <v>0</v>
      </c>
      <c r="BJ90" s="19">
        <v>8.3419999999999987</v>
      </c>
      <c r="BK90" s="19">
        <v>5.16</v>
      </c>
      <c r="BL90" s="19">
        <v>11.523999999999999</v>
      </c>
      <c r="BM90" s="19">
        <v>0</v>
      </c>
      <c r="BN90" s="19">
        <v>0</v>
      </c>
      <c r="BO90" s="19">
        <v>0.53600000000000003</v>
      </c>
      <c r="BP90" s="19"/>
      <c r="BQ9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0" s="11">
        <f>Tabelle5897112140[[#This Row],[Mindestauslastung min]]*Tabelle5897112140[[#This Row],[installierte Leistung MW min]]</f>
        <v>0.15600000000000003</v>
      </c>
      <c r="BU90" s="11">
        <f>Tabelle5897112140[[#This Row],[Mindestauslastung durch]]*Tabelle5897112140[[#This Row],[installierte Leistung MW durch]]</f>
        <v>0.25219999999999998</v>
      </c>
      <c r="BV90" s="11">
        <f>Tabelle5897112140[[#This Row],[Mindestauslastung max]]*Tabelle5897112140[[#This Row],[installierte Leistung MW max]]</f>
        <v>0.34840000000000004</v>
      </c>
      <c r="BW90" s="9">
        <v>1.3000000000000001E-2</v>
      </c>
      <c r="BX90" s="9">
        <v>1.3000000000000001E-2</v>
      </c>
      <c r="BY90" s="9">
        <v>1.3000000000000001E-2</v>
      </c>
      <c r="BZ90" s="9"/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0.16</v>
      </c>
      <c r="CK90" s="9">
        <v>0.16</v>
      </c>
      <c r="CL90" s="9">
        <v>0.16</v>
      </c>
      <c r="CM90" s="9">
        <v>0.16</v>
      </c>
      <c r="CN90" s="9">
        <v>0.16</v>
      </c>
      <c r="CO90" s="9">
        <v>0.16</v>
      </c>
      <c r="CP90" s="9">
        <v>0.09</v>
      </c>
      <c r="CQ90" s="9">
        <v>0.09</v>
      </c>
      <c r="CR90" s="9">
        <v>0.09</v>
      </c>
      <c r="CS90" s="9">
        <v>0.82</v>
      </c>
      <c r="CT90" s="9">
        <v>0.82</v>
      </c>
      <c r="CU90" s="9">
        <v>0.82</v>
      </c>
      <c r="CV90" s="9">
        <v>0.82</v>
      </c>
      <c r="CW90" s="9">
        <v>0.82</v>
      </c>
      <c r="CX90" s="9">
        <v>0.82</v>
      </c>
      <c r="CY90" s="9">
        <v>0.43</v>
      </c>
      <c r="CZ90" s="9">
        <v>0.43</v>
      </c>
      <c r="DA90" s="9">
        <v>0.43</v>
      </c>
      <c r="DB90" s="9">
        <f>MIN(Tabelle5897112140[[#This Row],[Durchschnittsauslastung durch Sommer WTT]:[Durchschnittsauslastung max Winter SFN]])</f>
        <v>0</v>
      </c>
      <c r="DC9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0" s="9">
        <f>MAX(Tabelle5897112140[[#This Row],[Durchschnittsauslastung durch Sommer WTT]:[Durchschnittsauslastung max Winter SFN]])</f>
        <v>0.82</v>
      </c>
      <c r="DE90" s="40">
        <f>Tabelle5897112140[[#This Row],[Durchschnittsauslastung min]]*Tabelle5897112140[[#This Row],[installierte Leistung MW min]]</f>
        <v>0</v>
      </c>
      <c r="DF90" s="40">
        <f>Tabelle5897112140[[#This Row],[Durchschnittsauslastung durch]]*Tabelle5897112140[[#This Row],[installierte Leistung MW durch]]</f>
        <v>5.3457777777777773</v>
      </c>
      <c r="DG90" s="40">
        <f>Tabelle5897112140[[#This Row],[Durchschnittsauslastung max]]*Tabelle5897112140[[#This Row],[installierte Leistung MW max]]</f>
        <v>21.975999999999999</v>
      </c>
      <c r="DH90" s="46">
        <f>Tabelle5897112140[[#This Row],[Maximalauslastung min]]*Tabelle5897112140[[#This Row],[installierte Leistung MW min]]</f>
        <v>2.4000000000000028E-2</v>
      </c>
      <c r="DI90" s="46">
        <f>Tabelle5897112140[[#This Row],[Maximalauslastung durch]]*Tabelle5897112140[[#This Row],[installierte Leistung MW durch]]</f>
        <v>0.42680000000000001</v>
      </c>
      <c r="DJ90" s="19">
        <f>Tabelle5897112140[[#This Row],[Maximalauslastung max]]*Tabelle5897112140[[#This Row],[installierte Leistung MW durch]]</f>
        <v>0.81479999999999997</v>
      </c>
      <c r="DK90" s="9">
        <v>2.0000000000000022E-3</v>
      </c>
      <c r="DL90" s="9">
        <v>2.2000000000000002E-2</v>
      </c>
      <c r="DM90" s="9">
        <v>4.2000000000000003E-2</v>
      </c>
      <c r="DN90" s="1">
        <v>19.399999999999999</v>
      </c>
      <c r="DO90" s="1">
        <v>12</v>
      </c>
      <c r="DP90" s="1">
        <v>26.8</v>
      </c>
      <c r="DQ90" s="19"/>
      <c r="DR90" s="19"/>
      <c r="DW90" s="1">
        <v>2</v>
      </c>
      <c r="DX90" s="1">
        <v>1.6</v>
      </c>
      <c r="DY90" s="1">
        <v>2.4</v>
      </c>
      <c r="DZ90" s="1">
        <v>2</v>
      </c>
      <c r="EA90" s="1">
        <v>1.6</v>
      </c>
      <c r="EB90" s="1">
        <v>2.4</v>
      </c>
      <c r="EC90" s="1">
        <v>24</v>
      </c>
      <c r="EF90" s="1">
        <v>2.6</v>
      </c>
      <c r="EG90" s="1">
        <v>1.8</v>
      </c>
      <c r="EH90" s="1">
        <v>3.4</v>
      </c>
      <c r="EL90" s="1">
        <v>243</v>
      </c>
      <c r="EM90" s="1">
        <v>219</v>
      </c>
      <c r="EN90" s="1">
        <v>267</v>
      </c>
      <c r="EO90" s="11"/>
      <c r="EP90" s="11"/>
      <c r="EQ90" s="11"/>
      <c r="ER90" s="1">
        <v>243</v>
      </c>
      <c r="ES90" s="1">
        <v>219</v>
      </c>
      <c r="ET90" s="1">
        <v>267</v>
      </c>
      <c r="EV90" s="19"/>
      <c r="EW90" s="19"/>
      <c r="EX90" s="19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O90" s="1">
        <v>67</v>
      </c>
      <c r="FP90" s="1">
        <v>67</v>
      </c>
      <c r="FQ90" s="1">
        <v>67</v>
      </c>
      <c r="FR90" s="13" t="s">
        <v>806</v>
      </c>
      <c r="FS90" s="13" t="s">
        <v>806</v>
      </c>
      <c r="FT90" s="13" t="s">
        <v>806</v>
      </c>
      <c r="FU90" s="13"/>
      <c r="FV90" s="13" t="s">
        <v>806</v>
      </c>
      <c r="FW90" s="13" t="s">
        <v>806</v>
      </c>
      <c r="FX90" s="13" t="s">
        <v>806</v>
      </c>
      <c r="FY90" s="13" t="s">
        <v>806</v>
      </c>
      <c r="FZ90" s="13" t="s">
        <v>806</v>
      </c>
      <c r="GA90" s="13" t="s">
        <v>806</v>
      </c>
      <c r="GB90" s="13" t="s">
        <v>806</v>
      </c>
      <c r="GE90" s="13" t="s">
        <v>806</v>
      </c>
      <c r="GF90" s="13" t="s">
        <v>806</v>
      </c>
      <c r="GH90" s="13" t="s">
        <v>806</v>
      </c>
    </row>
    <row r="91" spans="1:190" ht="15" customHeight="1" x14ac:dyDescent="0.25">
      <c r="A91" s="1" t="s">
        <v>535</v>
      </c>
      <c r="B91" s="1" t="s">
        <v>535</v>
      </c>
      <c r="C91" s="1" t="s">
        <v>660</v>
      </c>
      <c r="D91" s="1" t="s">
        <v>686</v>
      </c>
      <c r="E91" s="1" t="s">
        <v>127</v>
      </c>
      <c r="F91" s="1">
        <v>0</v>
      </c>
      <c r="G91" s="1">
        <v>2020</v>
      </c>
      <c r="H91" s="1">
        <v>1</v>
      </c>
      <c r="I91" s="1">
        <v>0</v>
      </c>
      <c r="J91" s="1">
        <v>0</v>
      </c>
      <c r="K9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1" s="19">
        <v>0</v>
      </c>
      <c r="O91" s="19">
        <v>0</v>
      </c>
      <c r="P91" s="19">
        <v>0</v>
      </c>
      <c r="Q91" s="19">
        <v>7.9539999999999997</v>
      </c>
      <c r="R91" s="19">
        <v>4.4400000000000004</v>
      </c>
      <c r="S91" s="19">
        <v>12.06</v>
      </c>
      <c r="T91" s="19">
        <v>0</v>
      </c>
      <c r="U91" s="19">
        <v>0</v>
      </c>
      <c r="V91" s="19">
        <v>0</v>
      </c>
      <c r="W91" s="19">
        <v>7.9539999999999997</v>
      </c>
      <c r="X91" s="19">
        <v>4.4400000000000004</v>
      </c>
      <c r="Y91" s="19">
        <v>12.06</v>
      </c>
      <c r="Z91" s="19">
        <v>0</v>
      </c>
      <c r="AA91" s="19">
        <v>0</v>
      </c>
      <c r="AB91" s="19">
        <v>0</v>
      </c>
      <c r="AC91" s="19">
        <v>7.9539999999999997</v>
      </c>
      <c r="AD91" s="19">
        <v>4.4400000000000004</v>
      </c>
      <c r="AE91" s="19">
        <v>12.06</v>
      </c>
      <c r="AF91" s="19">
        <v>3.1040000000000001</v>
      </c>
      <c r="AG91" s="19">
        <v>1.92</v>
      </c>
      <c r="AH91" s="19">
        <v>4.2880000000000003</v>
      </c>
      <c r="AI91" s="19">
        <v>4.8499999999999996</v>
      </c>
      <c r="AJ91" s="19">
        <v>2.52</v>
      </c>
      <c r="AK91" s="19">
        <v>7.7720000000000002</v>
      </c>
      <c r="AL91" s="19">
        <v>3.1040000000000001</v>
      </c>
      <c r="AM91" s="19">
        <v>1.92</v>
      </c>
      <c r="AN91" s="19">
        <v>4.2880000000000003</v>
      </c>
      <c r="AO91" s="19">
        <v>4.8499999999999996</v>
      </c>
      <c r="AP91" s="19">
        <v>2.52</v>
      </c>
      <c r="AQ91" s="19">
        <v>7.7720000000000002</v>
      </c>
      <c r="AR91" s="19">
        <v>1.746</v>
      </c>
      <c r="AS91" s="19">
        <v>1.08</v>
      </c>
      <c r="AT91" s="19">
        <v>2.4119999999999999</v>
      </c>
      <c r="AU91" s="19">
        <v>6.2079999999999993</v>
      </c>
      <c r="AV91" s="19">
        <v>3.36</v>
      </c>
      <c r="AW91" s="19">
        <v>9.6480000000000015</v>
      </c>
      <c r="AX91" s="19">
        <v>15.907999999999999</v>
      </c>
      <c r="AY91" s="19">
        <v>9.84</v>
      </c>
      <c r="AZ91" s="19">
        <v>21.975999999999999</v>
      </c>
      <c r="BA91" s="19">
        <v>0</v>
      </c>
      <c r="BB91" s="19">
        <v>0</v>
      </c>
      <c r="BC91" s="19">
        <v>0</v>
      </c>
      <c r="BD91" s="19">
        <v>15.907999999999999</v>
      </c>
      <c r="BE91" s="19">
        <v>9.84</v>
      </c>
      <c r="BF91" s="19">
        <v>21.975999999999999</v>
      </c>
      <c r="BG91" s="19">
        <v>0</v>
      </c>
      <c r="BH91" s="19">
        <v>0</v>
      </c>
      <c r="BI91" s="19">
        <v>0</v>
      </c>
      <c r="BJ91" s="19">
        <v>8.3419999999999987</v>
      </c>
      <c r="BK91" s="19">
        <v>5.16</v>
      </c>
      <c r="BL91" s="19">
        <v>11.523999999999999</v>
      </c>
      <c r="BM91" s="19">
        <v>0</v>
      </c>
      <c r="BN91" s="19">
        <v>0</v>
      </c>
      <c r="BO91" s="19">
        <v>0.53600000000000003</v>
      </c>
      <c r="BP91" s="19"/>
      <c r="BQ9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1" s="11">
        <f>Tabelle5897112140[[#This Row],[Mindestauslastung min]]*Tabelle5897112140[[#This Row],[installierte Leistung MW min]]</f>
        <v>0</v>
      </c>
      <c r="BU91" s="11">
        <f>Tabelle5897112140[[#This Row],[Mindestauslastung durch]]*Tabelle5897112140[[#This Row],[installierte Leistung MW durch]]</f>
        <v>0</v>
      </c>
      <c r="BV91" s="11">
        <f>Tabelle5897112140[[#This Row],[Mindestauslastung max]]*Tabelle5897112140[[#This Row],[installierte Leistung MW max]]</f>
        <v>0</v>
      </c>
      <c r="BW91" s="9">
        <v>0</v>
      </c>
      <c r="BX91" s="9">
        <v>0</v>
      </c>
      <c r="BY91" s="9">
        <v>0</v>
      </c>
      <c r="BZ91" s="9"/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0.16</v>
      </c>
      <c r="CK91" s="9">
        <v>0.16</v>
      </c>
      <c r="CL91" s="9">
        <v>0.16</v>
      </c>
      <c r="CM91" s="9">
        <v>0.16</v>
      </c>
      <c r="CN91" s="9">
        <v>0.16</v>
      </c>
      <c r="CO91" s="9">
        <v>0.16</v>
      </c>
      <c r="CP91" s="9">
        <v>0.09</v>
      </c>
      <c r="CQ91" s="9">
        <v>0.09</v>
      </c>
      <c r="CR91" s="9">
        <v>0.09</v>
      </c>
      <c r="CS91" s="9">
        <v>0.82</v>
      </c>
      <c r="CT91" s="9">
        <v>0.82</v>
      </c>
      <c r="CU91" s="9">
        <v>0.82</v>
      </c>
      <c r="CV91" s="9">
        <v>0.82</v>
      </c>
      <c r="CW91" s="9">
        <v>0.82</v>
      </c>
      <c r="CX91" s="9">
        <v>0.82</v>
      </c>
      <c r="CY91" s="9">
        <v>0.43</v>
      </c>
      <c r="CZ91" s="9">
        <v>0.43</v>
      </c>
      <c r="DA91" s="9">
        <v>0.43</v>
      </c>
      <c r="DB91" s="9">
        <f>MIN(Tabelle5897112140[[#This Row],[Durchschnittsauslastung durch Sommer WTT]:[Durchschnittsauslastung max Winter SFN]])</f>
        <v>0</v>
      </c>
      <c r="DC9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1" s="9">
        <f>MAX(Tabelle5897112140[[#This Row],[Durchschnittsauslastung durch Sommer WTT]:[Durchschnittsauslastung max Winter SFN]])</f>
        <v>0.82</v>
      </c>
      <c r="DE91" s="40">
        <f>Tabelle5897112140[[#This Row],[Durchschnittsauslastung min]]*Tabelle5897112140[[#This Row],[installierte Leistung MW min]]</f>
        <v>0</v>
      </c>
      <c r="DF91" s="40">
        <f>Tabelle5897112140[[#This Row],[Durchschnittsauslastung durch]]*Tabelle5897112140[[#This Row],[installierte Leistung MW durch]]</f>
        <v>5.3457777777777773</v>
      </c>
      <c r="DG91" s="40">
        <f>Tabelle5897112140[[#This Row],[Durchschnittsauslastung max]]*Tabelle5897112140[[#This Row],[installierte Leistung MW max]]</f>
        <v>21.975999999999999</v>
      </c>
      <c r="DH91" s="46">
        <f>Tabelle5897112140[[#This Row],[Maximalauslastung min]]*Tabelle5897112140[[#This Row],[installierte Leistung MW min]]</f>
        <v>3.5999999999999996</v>
      </c>
      <c r="DI91" s="46">
        <f>Tabelle5897112140[[#This Row],[Maximalauslastung durch]]*Tabelle5897112140[[#This Row],[installierte Leistung MW durch]]</f>
        <v>6.4020000000000001</v>
      </c>
      <c r="DJ91" s="19">
        <f>Tabelle5897112140[[#This Row],[Maximalauslastung max]]*Tabelle5897112140[[#This Row],[installierte Leistung MW durch]]</f>
        <v>6.9839999999999991</v>
      </c>
      <c r="DK91" s="9">
        <v>0.3</v>
      </c>
      <c r="DL91" s="9">
        <v>0.33</v>
      </c>
      <c r="DM91" s="9">
        <v>0.36</v>
      </c>
      <c r="DN91" s="1">
        <v>19.399999999999999</v>
      </c>
      <c r="DO91" s="1">
        <v>12</v>
      </c>
      <c r="DP91" s="1">
        <v>26.8</v>
      </c>
      <c r="DQ91" s="19"/>
      <c r="DR91" s="19"/>
      <c r="DW91" s="1">
        <v>2</v>
      </c>
      <c r="DX91" s="1">
        <v>1.6</v>
      </c>
      <c r="DY91" s="1">
        <v>2.4</v>
      </c>
      <c r="DZ91" s="1">
        <v>2</v>
      </c>
      <c r="EA91" s="1">
        <v>1.6</v>
      </c>
      <c r="EB91" s="1">
        <v>2.4</v>
      </c>
      <c r="EC91" s="1">
        <v>24</v>
      </c>
      <c r="EF91" s="1">
        <v>2.6</v>
      </c>
      <c r="EG91" s="1">
        <v>1.8</v>
      </c>
      <c r="EH91" s="1">
        <v>3.4</v>
      </c>
      <c r="EL91" s="1">
        <v>243</v>
      </c>
      <c r="EM91" s="1">
        <v>219</v>
      </c>
      <c r="EN91" s="1">
        <v>267</v>
      </c>
      <c r="EO91" s="11"/>
      <c r="EP91" s="11"/>
      <c r="EQ91" s="11"/>
      <c r="ER91" s="1">
        <v>243</v>
      </c>
      <c r="ES91" s="1">
        <v>219</v>
      </c>
      <c r="ET91" s="1">
        <v>267</v>
      </c>
      <c r="EV91" s="19"/>
      <c r="EW91" s="19"/>
      <c r="EX91" s="19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O91" s="1">
        <v>67</v>
      </c>
      <c r="FP91" s="1">
        <v>67</v>
      </c>
      <c r="FQ91" s="1">
        <v>67</v>
      </c>
      <c r="FR91" s="13" t="s">
        <v>806</v>
      </c>
      <c r="FS91" s="13" t="s">
        <v>806</v>
      </c>
      <c r="FT91" s="13" t="s">
        <v>806</v>
      </c>
      <c r="FU91" s="13"/>
      <c r="FV91" s="13" t="s">
        <v>806</v>
      </c>
      <c r="FW91" s="13" t="s">
        <v>806</v>
      </c>
      <c r="FX91" s="13" t="s">
        <v>806</v>
      </c>
      <c r="FY91" s="13" t="s">
        <v>806</v>
      </c>
      <c r="FZ91" s="13" t="s">
        <v>806</v>
      </c>
      <c r="GA91" s="13" t="s">
        <v>806</v>
      </c>
      <c r="GB91" s="13" t="s">
        <v>806</v>
      </c>
      <c r="GE91" s="13" t="s">
        <v>806</v>
      </c>
      <c r="GF91" s="13" t="s">
        <v>806</v>
      </c>
      <c r="GH91" s="13" t="s">
        <v>806</v>
      </c>
    </row>
    <row r="92" spans="1:190" ht="15" customHeight="1" x14ac:dyDescent="0.25">
      <c r="A92" s="1" t="s">
        <v>535</v>
      </c>
      <c r="B92" s="1" t="s">
        <v>535</v>
      </c>
      <c r="C92" s="1" t="s">
        <v>660</v>
      </c>
      <c r="D92" s="1" t="s">
        <v>686</v>
      </c>
      <c r="E92" s="1" t="s">
        <v>127</v>
      </c>
      <c r="F92" s="1">
        <v>0</v>
      </c>
      <c r="G92" s="1">
        <v>2025</v>
      </c>
      <c r="H92" s="1">
        <v>1</v>
      </c>
      <c r="I92" s="1">
        <v>0</v>
      </c>
      <c r="J92" s="1">
        <v>0</v>
      </c>
      <c r="K9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2" s="19">
        <v>0</v>
      </c>
      <c r="O92" s="19">
        <v>0</v>
      </c>
      <c r="P92" s="19">
        <v>0</v>
      </c>
      <c r="Q92" s="19">
        <v>7.9539999999999997</v>
      </c>
      <c r="R92" s="19">
        <v>4.4400000000000004</v>
      </c>
      <c r="S92" s="19">
        <v>12.06</v>
      </c>
      <c r="T92" s="19">
        <v>0</v>
      </c>
      <c r="U92" s="19">
        <v>0</v>
      </c>
      <c r="V92" s="19">
        <v>0</v>
      </c>
      <c r="W92" s="19">
        <v>7.9539999999999997</v>
      </c>
      <c r="X92" s="19">
        <v>4.4400000000000004</v>
      </c>
      <c r="Y92" s="19">
        <v>12.06</v>
      </c>
      <c r="Z92" s="19">
        <v>0</v>
      </c>
      <c r="AA92" s="19">
        <v>0</v>
      </c>
      <c r="AB92" s="19">
        <v>0</v>
      </c>
      <c r="AC92" s="19">
        <v>7.9539999999999997</v>
      </c>
      <c r="AD92" s="19">
        <v>4.4400000000000004</v>
      </c>
      <c r="AE92" s="19">
        <v>12.06</v>
      </c>
      <c r="AF92" s="19">
        <v>3.1040000000000001</v>
      </c>
      <c r="AG92" s="19">
        <v>1.92</v>
      </c>
      <c r="AH92" s="19">
        <v>4.2880000000000003</v>
      </c>
      <c r="AI92" s="19">
        <v>4.8499999999999996</v>
      </c>
      <c r="AJ92" s="19">
        <v>2.52</v>
      </c>
      <c r="AK92" s="19">
        <v>7.7720000000000002</v>
      </c>
      <c r="AL92" s="19">
        <v>3.1040000000000001</v>
      </c>
      <c r="AM92" s="19">
        <v>1.92</v>
      </c>
      <c r="AN92" s="19">
        <v>4.2880000000000003</v>
      </c>
      <c r="AO92" s="19">
        <v>4.8499999999999996</v>
      </c>
      <c r="AP92" s="19">
        <v>2.52</v>
      </c>
      <c r="AQ92" s="19">
        <v>7.7720000000000002</v>
      </c>
      <c r="AR92" s="19">
        <v>1.746</v>
      </c>
      <c r="AS92" s="19">
        <v>1.08</v>
      </c>
      <c r="AT92" s="19">
        <v>2.4119999999999999</v>
      </c>
      <c r="AU92" s="19">
        <v>6.2079999999999993</v>
      </c>
      <c r="AV92" s="19">
        <v>3.36</v>
      </c>
      <c r="AW92" s="19">
        <v>9.6480000000000015</v>
      </c>
      <c r="AX92" s="19">
        <v>15.907999999999999</v>
      </c>
      <c r="AY92" s="19">
        <v>9.84</v>
      </c>
      <c r="AZ92" s="19">
        <v>21.975999999999999</v>
      </c>
      <c r="BA92" s="19">
        <v>0</v>
      </c>
      <c r="BB92" s="19">
        <v>0</v>
      </c>
      <c r="BC92" s="19">
        <v>0</v>
      </c>
      <c r="BD92" s="19">
        <v>15.907999999999999</v>
      </c>
      <c r="BE92" s="19">
        <v>9.84</v>
      </c>
      <c r="BF92" s="19">
        <v>21.975999999999999</v>
      </c>
      <c r="BG92" s="19">
        <v>0</v>
      </c>
      <c r="BH92" s="19">
        <v>0</v>
      </c>
      <c r="BI92" s="19">
        <v>0</v>
      </c>
      <c r="BJ92" s="19">
        <v>8.3419999999999987</v>
      </c>
      <c r="BK92" s="19">
        <v>5.16</v>
      </c>
      <c r="BL92" s="19">
        <v>11.523999999999999</v>
      </c>
      <c r="BM92" s="19">
        <v>0</v>
      </c>
      <c r="BN92" s="19">
        <v>0</v>
      </c>
      <c r="BO92" s="19">
        <v>0.53600000000000003</v>
      </c>
      <c r="BP92" s="19"/>
      <c r="BQ9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2" s="11">
        <f>Tabelle5897112140[[#This Row],[Mindestauslastung min]]*Tabelle5897112140[[#This Row],[installierte Leistung MW min]]</f>
        <v>0</v>
      </c>
      <c r="BU92" s="11">
        <f>Tabelle5897112140[[#This Row],[Mindestauslastung durch]]*Tabelle5897112140[[#This Row],[installierte Leistung MW durch]]</f>
        <v>0</v>
      </c>
      <c r="BV92" s="11">
        <f>Tabelle5897112140[[#This Row],[Mindestauslastung max]]*Tabelle5897112140[[#This Row],[installierte Leistung MW max]]</f>
        <v>0</v>
      </c>
      <c r="BW92" s="9">
        <v>0</v>
      </c>
      <c r="BX92" s="9">
        <v>0</v>
      </c>
      <c r="BY92" s="9">
        <v>0</v>
      </c>
      <c r="BZ92" s="9"/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9">
        <v>0</v>
      </c>
      <c r="CI92" s="9">
        <v>0</v>
      </c>
      <c r="CJ92" s="9">
        <v>0.16</v>
      </c>
      <c r="CK92" s="9">
        <v>0.16</v>
      </c>
      <c r="CL92" s="9">
        <v>0.16</v>
      </c>
      <c r="CM92" s="9">
        <v>0.16</v>
      </c>
      <c r="CN92" s="9">
        <v>0.16</v>
      </c>
      <c r="CO92" s="9">
        <v>0.16</v>
      </c>
      <c r="CP92" s="9">
        <v>0.09</v>
      </c>
      <c r="CQ92" s="9">
        <v>0.09</v>
      </c>
      <c r="CR92" s="9">
        <v>0.09</v>
      </c>
      <c r="CS92" s="9">
        <v>0.82</v>
      </c>
      <c r="CT92" s="9">
        <v>0.82</v>
      </c>
      <c r="CU92" s="9">
        <v>0.82</v>
      </c>
      <c r="CV92" s="9">
        <v>0.82</v>
      </c>
      <c r="CW92" s="9">
        <v>0.82</v>
      </c>
      <c r="CX92" s="9">
        <v>0.82</v>
      </c>
      <c r="CY92" s="9">
        <v>0.43</v>
      </c>
      <c r="CZ92" s="9">
        <v>0.43</v>
      </c>
      <c r="DA92" s="9">
        <v>0.43</v>
      </c>
      <c r="DB92" s="9">
        <f>MIN(Tabelle5897112140[[#This Row],[Durchschnittsauslastung durch Sommer WTT]:[Durchschnittsauslastung max Winter SFN]])</f>
        <v>0</v>
      </c>
      <c r="DC9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2" s="9">
        <f>MAX(Tabelle5897112140[[#This Row],[Durchschnittsauslastung durch Sommer WTT]:[Durchschnittsauslastung max Winter SFN]])</f>
        <v>0.82</v>
      </c>
      <c r="DE92" s="40">
        <f>Tabelle5897112140[[#This Row],[Durchschnittsauslastung min]]*Tabelle5897112140[[#This Row],[installierte Leistung MW min]]</f>
        <v>0</v>
      </c>
      <c r="DF92" s="40">
        <f>Tabelle5897112140[[#This Row],[Durchschnittsauslastung durch]]*Tabelle5897112140[[#This Row],[installierte Leistung MW durch]]</f>
        <v>5.3457777777777773</v>
      </c>
      <c r="DG92" s="40">
        <f>Tabelle5897112140[[#This Row],[Durchschnittsauslastung max]]*Tabelle5897112140[[#This Row],[installierte Leistung MW max]]</f>
        <v>21.975999999999999</v>
      </c>
      <c r="DH92" s="46">
        <f>Tabelle5897112140[[#This Row],[Maximalauslastung min]]*Tabelle5897112140[[#This Row],[installierte Leistung MW min]]</f>
        <v>3.5999999999999996</v>
      </c>
      <c r="DI92" s="46">
        <f>Tabelle5897112140[[#This Row],[Maximalauslastung durch]]*Tabelle5897112140[[#This Row],[installierte Leistung MW durch]]</f>
        <v>6.4020000000000001</v>
      </c>
      <c r="DJ92" s="19">
        <f>Tabelle5897112140[[#This Row],[Maximalauslastung max]]*Tabelle5897112140[[#This Row],[installierte Leistung MW durch]]</f>
        <v>6.9839999999999991</v>
      </c>
      <c r="DK92" s="9">
        <v>0.3</v>
      </c>
      <c r="DL92" s="9">
        <v>0.33</v>
      </c>
      <c r="DM92" s="9">
        <v>0.36</v>
      </c>
      <c r="DN92" s="1">
        <v>19.399999999999999</v>
      </c>
      <c r="DO92" s="1">
        <v>12</v>
      </c>
      <c r="DP92" s="1">
        <v>26.8</v>
      </c>
      <c r="DQ92" s="19"/>
      <c r="DR92" s="19"/>
      <c r="DW92" s="1">
        <v>2</v>
      </c>
      <c r="DX92" s="1">
        <v>1.6</v>
      </c>
      <c r="DY92" s="1">
        <v>2.4</v>
      </c>
      <c r="DZ92" s="1">
        <v>2</v>
      </c>
      <c r="EA92" s="1">
        <v>1.6</v>
      </c>
      <c r="EB92" s="1">
        <v>2.4</v>
      </c>
      <c r="EC92" s="1">
        <v>24</v>
      </c>
      <c r="EF92" s="1">
        <v>2.6</v>
      </c>
      <c r="EG92" s="1">
        <v>1.8</v>
      </c>
      <c r="EH92" s="1">
        <v>3.4</v>
      </c>
      <c r="EL92" s="1">
        <v>243</v>
      </c>
      <c r="EM92" s="1">
        <v>219</v>
      </c>
      <c r="EN92" s="1">
        <v>267</v>
      </c>
      <c r="EO92" s="11"/>
      <c r="EP92" s="11"/>
      <c r="EQ92" s="11"/>
      <c r="ER92" s="1">
        <v>243</v>
      </c>
      <c r="ES92" s="1">
        <v>219</v>
      </c>
      <c r="ET92" s="1">
        <v>267</v>
      </c>
      <c r="EV92" s="19"/>
      <c r="EW92" s="19"/>
      <c r="EX92" s="19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O92" s="1">
        <v>67</v>
      </c>
      <c r="FP92" s="1">
        <v>67</v>
      </c>
      <c r="FQ92" s="1">
        <v>67</v>
      </c>
      <c r="FR92" s="13" t="s">
        <v>806</v>
      </c>
      <c r="FS92" s="13" t="s">
        <v>806</v>
      </c>
      <c r="FT92" s="13" t="s">
        <v>806</v>
      </c>
      <c r="FU92" s="13"/>
      <c r="FV92" s="13" t="s">
        <v>806</v>
      </c>
      <c r="FW92" s="13" t="s">
        <v>806</v>
      </c>
      <c r="FX92" s="13" t="s">
        <v>806</v>
      </c>
      <c r="FY92" s="13" t="s">
        <v>806</v>
      </c>
      <c r="FZ92" s="13" t="s">
        <v>806</v>
      </c>
      <c r="GA92" s="13" t="s">
        <v>806</v>
      </c>
      <c r="GB92" s="13" t="s">
        <v>806</v>
      </c>
      <c r="GE92" s="13" t="s">
        <v>806</v>
      </c>
      <c r="GF92" s="13" t="s">
        <v>806</v>
      </c>
      <c r="GH92" s="13" t="s">
        <v>806</v>
      </c>
    </row>
    <row r="93" spans="1:190" ht="15" customHeight="1" x14ac:dyDescent="0.25">
      <c r="A93" s="1" t="s">
        <v>535</v>
      </c>
      <c r="B93" s="1" t="s">
        <v>535</v>
      </c>
      <c r="C93" s="1" t="s">
        <v>660</v>
      </c>
      <c r="D93" s="1" t="s">
        <v>686</v>
      </c>
      <c r="E93" s="1" t="s">
        <v>127</v>
      </c>
      <c r="F93" s="1">
        <v>0</v>
      </c>
      <c r="G93" s="1">
        <v>2030</v>
      </c>
      <c r="H93" s="1">
        <v>1</v>
      </c>
      <c r="I93" s="1">
        <v>0</v>
      </c>
      <c r="J93" s="1">
        <v>0</v>
      </c>
      <c r="K9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3" s="19">
        <v>0</v>
      </c>
      <c r="O93" s="19">
        <v>0</v>
      </c>
      <c r="P93" s="19">
        <v>0</v>
      </c>
      <c r="Q93" s="19">
        <v>7.9539999999999997</v>
      </c>
      <c r="R93" s="19">
        <v>4.4400000000000004</v>
      </c>
      <c r="S93" s="19">
        <v>12.06</v>
      </c>
      <c r="T93" s="19">
        <v>0</v>
      </c>
      <c r="U93" s="19">
        <v>0</v>
      </c>
      <c r="V93" s="19">
        <v>0</v>
      </c>
      <c r="W93" s="19">
        <v>7.9539999999999997</v>
      </c>
      <c r="X93" s="19">
        <v>4.4400000000000004</v>
      </c>
      <c r="Y93" s="19">
        <v>12.06</v>
      </c>
      <c r="Z93" s="19">
        <v>0</v>
      </c>
      <c r="AA93" s="19">
        <v>0</v>
      </c>
      <c r="AB93" s="19">
        <v>0</v>
      </c>
      <c r="AC93" s="19">
        <v>7.9539999999999997</v>
      </c>
      <c r="AD93" s="19">
        <v>4.4400000000000004</v>
      </c>
      <c r="AE93" s="19">
        <v>12.06</v>
      </c>
      <c r="AF93" s="19">
        <v>3.1040000000000001</v>
      </c>
      <c r="AG93" s="19">
        <v>1.92</v>
      </c>
      <c r="AH93" s="19">
        <v>4.2880000000000003</v>
      </c>
      <c r="AI93" s="19">
        <v>4.8499999999999996</v>
      </c>
      <c r="AJ93" s="19">
        <v>2.52</v>
      </c>
      <c r="AK93" s="19">
        <v>7.7720000000000002</v>
      </c>
      <c r="AL93" s="19">
        <v>3.1040000000000001</v>
      </c>
      <c r="AM93" s="19">
        <v>1.92</v>
      </c>
      <c r="AN93" s="19">
        <v>4.2880000000000003</v>
      </c>
      <c r="AO93" s="19">
        <v>4.8499999999999996</v>
      </c>
      <c r="AP93" s="19">
        <v>2.52</v>
      </c>
      <c r="AQ93" s="19">
        <v>7.7720000000000002</v>
      </c>
      <c r="AR93" s="19">
        <v>1.746</v>
      </c>
      <c r="AS93" s="19">
        <v>1.08</v>
      </c>
      <c r="AT93" s="19">
        <v>2.4119999999999999</v>
      </c>
      <c r="AU93" s="19">
        <v>6.2079999999999993</v>
      </c>
      <c r="AV93" s="19">
        <v>3.36</v>
      </c>
      <c r="AW93" s="19">
        <v>9.6480000000000015</v>
      </c>
      <c r="AX93" s="19">
        <v>15.907999999999999</v>
      </c>
      <c r="AY93" s="19">
        <v>9.84</v>
      </c>
      <c r="AZ93" s="19">
        <v>21.975999999999999</v>
      </c>
      <c r="BA93" s="19">
        <v>0</v>
      </c>
      <c r="BB93" s="19">
        <v>0</v>
      </c>
      <c r="BC93" s="19">
        <v>0</v>
      </c>
      <c r="BD93" s="19">
        <v>15.907999999999999</v>
      </c>
      <c r="BE93" s="19">
        <v>9.84</v>
      </c>
      <c r="BF93" s="19">
        <v>21.975999999999999</v>
      </c>
      <c r="BG93" s="19">
        <v>0</v>
      </c>
      <c r="BH93" s="19">
        <v>0</v>
      </c>
      <c r="BI93" s="19">
        <v>0</v>
      </c>
      <c r="BJ93" s="19">
        <v>8.3419999999999987</v>
      </c>
      <c r="BK93" s="19">
        <v>5.16</v>
      </c>
      <c r="BL93" s="19">
        <v>11.523999999999999</v>
      </c>
      <c r="BM93" s="19">
        <v>0</v>
      </c>
      <c r="BN93" s="19">
        <v>0</v>
      </c>
      <c r="BO93" s="19">
        <v>0.53600000000000003</v>
      </c>
      <c r="BP93" s="19"/>
      <c r="BQ9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3" s="11">
        <f>Tabelle5897112140[[#This Row],[Mindestauslastung min]]*Tabelle5897112140[[#This Row],[installierte Leistung MW min]]</f>
        <v>0</v>
      </c>
      <c r="BU93" s="11">
        <f>Tabelle5897112140[[#This Row],[Mindestauslastung durch]]*Tabelle5897112140[[#This Row],[installierte Leistung MW durch]]</f>
        <v>0</v>
      </c>
      <c r="BV93" s="11">
        <f>Tabelle5897112140[[#This Row],[Mindestauslastung max]]*Tabelle5897112140[[#This Row],[installierte Leistung MW max]]</f>
        <v>0</v>
      </c>
      <c r="BW93" s="9">
        <v>0</v>
      </c>
      <c r="BX93" s="9">
        <v>0</v>
      </c>
      <c r="BY93" s="9">
        <v>0</v>
      </c>
      <c r="BZ93" s="9"/>
      <c r="CA93" s="9">
        <v>0</v>
      </c>
      <c r="CB93" s="9">
        <v>0</v>
      </c>
      <c r="CC93" s="9">
        <v>0</v>
      </c>
      <c r="CD93" s="9">
        <v>0</v>
      </c>
      <c r="CE93" s="9">
        <v>0</v>
      </c>
      <c r="CF93" s="9">
        <v>0</v>
      </c>
      <c r="CG93" s="9">
        <v>0</v>
      </c>
      <c r="CH93" s="9">
        <v>0</v>
      </c>
      <c r="CI93" s="9">
        <v>0</v>
      </c>
      <c r="CJ93" s="9">
        <v>0.16</v>
      </c>
      <c r="CK93" s="9">
        <v>0.16</v>
      </c>
      <c r="CL93" s="9">
        <v>0.16</v>
      </c>
      <c r="CM93" s="9">
        <v>0.16</v>
      </c>
      <c r="CN93" s="9">
        <v>0.16</v>
      </c>
      <c r="CO93" s="9">
        <v>0.16</v>
      </c>
      <c r="CP93" s="9">
        <v>0.09</v>
      </c>
      <c r="CQ93" s="9">
        <v>0.09</v>
      </c>
      <c r="CR93" s="9">
        <v>0.09</v>
      </c>
      <c r="CS93" s="9">
        <v>0.82</v>
      </c>
      <c r="CT93" s="9">
        <v>0.82</v>
      </c>
      <c r="CU93" s="9">
        <v>0.82</v>
      </c>
      <c r="CV93" s="9">
        <v>0.82</v>
      </c>
      <c r="CW93" s="9">
        <v>0.82</v>
      </c>
      <c r="CX93" s="9">
        <v>0.82</v>
      </c>
      <c r="CY93" s="9">
        <v>0.43</v>
      </c>
      <c r="CZ93" s="9">
        <v>0.43</v>
      </c>
      <c r="DA93" s="9">
        <v>0.43</v>
      </c>
      <c r="DB93" s="9">
        <f>MIN(Tabelle5897112140[[#This Row],[Durchschnittsauslastung durch Sommer WTT]:[Durchschnittsauslastung max Winter SFN]])</f>
        <v>0</v>
      </c>
      <c r="DC9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3" s="9">
        <f>MAX(Tabelle5897112140[[#This Row],[Durchschnittsauslastung durch Sommer WTT]:[Durchschnittsauslastung max Winter SFN]])</f>
        <v>0.82</v>
      </c>
      <c r="DE93" s="40">
        <f>Tabelle5897112140[[#This Row],[Durchschnittsauslastung min]]*Tabelle5897112140[[#This Row],[installierte Leistung MW min]]</f>
        <v>0</v>
      </c>
      <c r="DF93" s="40">
        <f>Tabelle5897112140[[#This Row],[Durchschnittsauslastung durch]]*Tabelle5897112140[[#This Row],[installierte Leistung MW durch]]</f>
        <v>5.3457777777777773</v>
      </c>
      <c r="DG93" s="40">
        <f>Tabelle5897112140[[#This Row],[Durchschnittsauslastung max]]*Tabelle5897112140[[#This Row],[installierte Leistung MW max]]</f>
        <v>21.975999999999999</v>
      </c>
      <c r="DH93" s="46">
        <f>Tabelle5897112140[[#This Row],[Maximalauslastung min]]*Tabelle5897112140[[#This Row],[installierte Leistung MW min]]</f>
        <v>3.5999999999999996</v>
      </c>
      <c r="DI93" s="46">
        <f>Tabelle5897112140[[#This Row],[Maximalauslastung durch]]*Tabelle5897112140[[#This Row],[installierte Leistung MW durch]]</f>
        <v>6.4020000000000001</v>
      </c>
      <c r="DJ93" s="19">
        <f>Tabelle5897112140[[#This Row],[Maximalauslastung max]]*Tabelle5897112140[[#This Row],[installierte Leistung MW durch]]</f>
        <v>6.9839999999999991</v>
      </c>
      <c r="DK93" s="9">
        <v>0.3</v>
      </c>
      <c r="DL93" s="9">
        <v>0.33</v>
      </c>
      <c r="DM93" s="9">
        <v>0.36</v>
      </c>
      <c r="DN93" s="1">
        <v>19.399999999999999</v>
      </c>
      <c r="DO93" s="1">
        <v>12</v>
      </c>
      <c r="DP93" s="1">
        <v>26.8</v>
      </c>
      <c r="DQ93" s="19"/>
      <c r="DR93" s="19"/>
      <c r="DW93" s="1">
        <v>2</v>
      </c>
      <c r="DX93" s="1">
        <v>1.6</v>
      </c>
      <c r="DY93" s="1">
        <v>2.4</v>
      </c>
      <c r="DZ93" s="1">
        <v>2</v>
      </c>
      <c r="EA93" s="1">
        <v>1.6</v>
      </c>
      <c r="EB93" s="1">
        <v>2.4</v>
      </c>
      <c r="EC93" s="1">
        <v>24</v>
      </c>
      <c r="EF93" s="1">
        <v>2.6</v>
      </c>
      <c r="EG93" s="1">
        <v>1.8</v>
      </c>
      <c r="EH93" s="1">
        <v>3.4</v>
      </c>
      <c r="EL93" s="1">
        <v>243</v>
      </c>
      <c r="EM93" s="1">
        <v>219</v>
      </c>
      <c r="EN93" s="1">
        <v>267</v>
      </c>
      <c r="EO93" s="11"/>
      <c r="EP93" s="11"/>
      <c r="EQ93" s="11"/>
      <c r="ER93" s="1">
        <v>243</v>
      </c>
      <c r="ES93" s="1">
        <v>219</v>
      </c>
      <c r="ET93" s="1">
        <v>267</v>
      </c>
      <c r="EV93" s="19"/>
      <c r="EW93" s="19"/>
      <c r="EX93" s="19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O93" s="1">
        <v>67</v>
      </c>
      <c r="FP93" s="1">
        <v>67</v>
      </c>
      <c r="FQ93" s="1">
        <v>67</v>
      </c>
      <c r="FR93" s="13" t="s">
        <v>806</v>
      </c>
      <c r="FS93" s="13" t="s">
        <v>806</v>
      </c>
      <c r="FT93" s="13" t="s">
        <v>806</v>
      </c>
      <c r="FU93" s="13"/>
      <c r="FV93" s="13" t="s">
        <v>806</v>
      </c>
      <c r="FW93" s="13" t="s">
        <v>806</v>
      </c>
      <c r="FX93" s="13" t="s">
        <v>806</v>
      </c>
      <c r="FY93" s="13" t="s">
        <v>806</v>
      </c>
      <c r="FZ93" s="13" t="s">
        <v>806</v>
      </c>
      <c r="GA93" s="13" t="s">
        <v>806</v>
      </c>
      <c r="GB93" s="13" t="s">
        <v>806</v>
      </c>
      <c r="GE93" s="13" t="s">
        <v>806</v>
      </c>
      <c r="GF93" s="13" t="s">
        <v>806</v>
      </c>
      <c r="GH93" s="13" t="s">
        <v>806</v>
      </c>
    </row>
    <row r="94" spans="1:190" ht="15" customHeight="1" x14ac:dyDescent="0.25">
      <c r="A94" s="1" t="s">
        <v>535</v>
      </c>
      <c r="B94" s="1" t="s">
        <v>535</v>
      </c>
      <c r="C94" s="1" t="s">
        <v>660</v>
      </c>
      <c r="D94" s="1" t="s">
        <v>686</v>
      </c>
      <c r="E94" s="1" t="s">
        <v>127</v>
      </c>
      <c r="F94" s="1">
        <v>0</v>
      </c>
      <c r="G94" s="1">
        <v>2035</v>
      </c>
      <c r="H94" s="1">
        <v>1</v>
      </c>
      <c r="I94" s="1">
        <v>0</v>
      </c>
      <c r="J94" s="1">
        <v>0</v>
      </c>
      <c r="K9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4" s="19">
        <v>0</v>
      </c>
      <c r="O94" s="19">
        <v>0</v>
      </c>
      <c r="P94" s="19">
        <v>0</v>
      </c>
      <c r="Q94" s="19">
        <v>7.9539999999999997</v>
      </c>
      <c r="R94" s="19">
        <v>4.4400000000000004</v>
      </c>
      <c r="S94" s="19">
        <v>12.06</v>
      </c>
      <c r="T94" s="19">
        <v>0</v>
      </c>
      <c r="U94" s="19">
        <v>0</v>
      </c>
      <c r="V94" s="19">
        <v>0</v>
      </c>
      <c r="W94" s="19">
        <v>7.9539999999999997</v>
      </c>
      <c r="X94" s="19">
        <v>4.4400000000000004</v>
      </c>
      <c r="Y94" s="19">
        <v>12.06</v>
      </c>
      <c r="Z94" s="19">
        <v>0</v>
      </c>
      <c r="AA94" s="19">
        <v>0</v>
      </c>
      <c r="AB94" s="19">
        <v>0</v>
      </c>
      <c r="AC94" s="19">
        <v>7.9539999999999997</v>
      </c>
      <c r="AD94" s="19">
        <v>4.4400000000000004</v>
      </c>
      <c r="AE94" s="19">
        <v>12.06</v>
      </c>
      <c r="AF94" s="19">
        <v>3.1040000000000001</v>
      </c>
      <c r="AG94" s="19">
        <v>1.92</v>
      </c>
      <c r="AH94" s="19">
        <v>4.2880000000000003</v>
      </c>
      <c r="AI94" s="19">
        <v>4.8499999999999996</v>
      </c>
      <c r="AJ94" s="19">
        <v>2.52</v>
      </c>
      <c r="AK94" s="19">
        <v>7.7720000000000002</v>
      </c>
      <c r="AL94" s="19">
        <v>3.1040000000000001</v>
      </c>
      <c r="AM94" s="19">
        <v>1.92</v>
      </c>
      <c r="AN94" s="19">
        <v>4.2880000000000003</v>
      </c>
      <c r="AO94" s="19">
        <v>4.8499999999999996</v>
      </c>
      <c r="AP94" s="19">
        <v>2.52</v>
      </c>
      <c r="AQ94" s="19">
        <v>7.7720000000000002</v>
      </c>
      <c r="AR94" s="19">
        <v>1.746</v>
      </c>
      <c r="AS94" s="19">
        <v>1.08</v>
      </c>
      <c r="AT94" s="19">
        <v>2.4119999999999999</v>
      </c>
      <c r="AU94" s="19">
        <v>6.2079999999999993</v>
      </c>
      <c r="AV94" s="19">
        <v>3.36</v>
      </c>
      <c r="AW94" s="19">
        <v>9.6480000000000015</v>
      </c>
      <c r="AX94" s="19">
        <v>15.907999999999999</v>
      </c>
      <c r="AY94" s="19">
        <v>9.84</v>
      </c>
      <c r="AZ94" s="19">
        <v>21.975999999999999</v>
      </c>
      <c r="BA94" s="19">
        <v>0</v>
      </c>
      <c r="BB94" s="19">
        <v>0</v>
      </c>
      <c r="BC94" s="19">
        <v>0</v>
      </c>
      <c r="BD94" s="19">
        <v>15.907999999999999</v>
      </c>
      <c r="BE94" s="19">
        <v>9.84</v>
      </c>
      <c r="BF94" s="19">
        <v>21.975999999999999</v>
      </c>
      <c r="BG94" s="19">
        <v>0</v>
      </c>
      <c r="BH94" s="19">
        <v>0</v>
      </c>
      <c r="BI94" s="19">
        <v>0</v>
      </c>
      <c r="BJ94" s="19">
        <v>8.3419999999999987</v>
      </c>
      <c r="BK94" s="19">
        <v>5.16</v>
      </c>
      <c r="BL94" s="19">
        <v>11.523999999999999</v>
      </c>
      <c r="BM94" s="19">
        <v>0</v>
      </c>
      <c r="BN94" s="19">
        <v>0</v>
      </c>
      <c r="BO94" s="19">
        <v>0.53600000000000003</v>
      </c>
      <c r="BP94" s="19"/>
      <c r="BQ9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4" s="11">
        <f>Tabelle5897112140[[#This Row],[Mindestauslastung min]]*Tabelle5897112140[[#This Row],[installierte Leistung MW min]]</f>
        <v>0</v>
      </c>
      <c r="BU94" s="11">
        <f>Tabelle5897112140[[#This Row],[Mindestauslastung durch]]*Tabelle5897112140[[#This Row],[installierte Leistung MW durch]]</f>
        <v>0</v>
      </c>
      <c r="BV94" s="11">
        <f>Tabelle5897112140[[#This Row],[Mindestauslastung max]]*Tabelle5897112140[[#This Row],[installierte Leistung MW max]]</f>
        <v>0</v>
      </c>
      <c r="BW94" s="9">
        <v>0</v>
      </c>
      <c r="BX94" s="9">
        <v>0</v>
      </c>
      <c r="BY94" s="9">
        <v>0</v>
      </c>
      <c r="BZ94" s="9"/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0.16</v>
      </c>
      <c r="CK94" s="9">
        <v>0.16</v>
      </c>
      <c r="CL94" s="9">
        <v>0.16</v>
      </c>
      <c r="CM94" s="9">
        <v>0.16</v>
      </c>
      <c r="CN94" s="9">
        <v>0.16</v>
      </c>
      <c r="CO94" s="9">
        <v>0.16</v>
      </c>
      <c r="CP94" s="9">
        <v>0.09</v>
      </c>
      <c r="CQ94" s="9">
        <v>0.09</v>
      </c>
      <c r="CR94" s="9">
        <v>0.09</v>
      </c>
      <c r="CS94" s="9">
        <v>0.82</v>
      </c>
      <c r="CT94" s="9">
        <v>0.82</v>
      </c>
      <c r="CU94" s="9">
        <v>0.82</v>
      </c>
      <c r="CV94" s="9">
        <v>0.82</v>
      </c>
      <c r="CW94" s="9">
        <v>0.82</v>
      </c>
      <c r="CX94" s="9">
        <v>0.82</v>
      </c>
      <c r="CY94" s="9">
        <v>0.43</v>
      </c>
      <c r="CZ94" s="9">
        <v>0.43</v>
      </c>
      <c r="DA94" s="9">
        <v>0.43</v>
      </c>
      <c r="DB94" s="9">
        <f>MIN(Tabelle5897112140[[#This Row],[Durchschnittsauslastung durch Sommer WTT]:[Durchschnittsauslastung max Winter SFN]])</f>
        <v>0</v>
      </c>
      <c r="DC9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4" s="9">
        <f>MAX(Tabelle5897112140[[#This Row],[Durchschnittsauslastung durch Sommer WTT]:[Durchschnittsauslastung max Winter SFN]])</f>
        <v>0.82</v>
      </c>
      <c r="DE94" s="40">
        <f>Tabelle5897112140[[#This Row],[Durchschnittsauslastung min]]*Tabelle5897112140[[#This Row],[installierte Leistung MW min]]</f>
        <v>0</v>
      </c>
      <c r="DF94" s="40">
        <f>Tabelle5897112140[[#This Row],[Durchschnittsauslastung durch]]*Tabelle5897112140[[#This Row],[installierte Leistung MW durch]]</f>
        <v>5.3457777777777773</v>
      </c>
      <c r="DG94" s="40">
        <f>Tabelle5897112140[[#This Row],[Durchschnittsauslastung max]]*Tabelle5897112140[[#This Row],[installierte Leistung MW max]]</f>
        <v>21.975999999999999</v>
      </c>
      <c r="DH94" s="46">
        <f>Tabelle5897112140[[#This Row],[Maximalauslastung min]]*Tabelle5897112140[[#This Row],[installierte Leistung MW min]]</f>
        <v>3.5999999999999996</v>
      </c>
      <c r="DI94" s="46">
        <f>Tabelle5897112140[[#This Row],[Maximalauslastung durch]]*Tabelle5897112140[[#This Row],[installierte Leistung MW durch]]</f>
        <v>6.4020000000000001</v>
      </c>
      <c r="DJ94" s="19">
        <f>Tabelle5897112140[[#This Row],[Maximalauslastung max]]*Tabelle5897112140[[#This Row],[installierte Leistung MW durch]]</f>
        <v>6.9839999999999991</v>
      </c>
      <c r="DK94" s="9">
        <v>0.3</v>
      </c>
      <c r="DL94" s="9">
        <v>0.33</v>
      </c>
      <c r="DM94" s="9">
        <v>0.36</v>
      </c>
      <c r="DN94" s="1">
        <v>19.399999999999999</v>
      </c>
      <c r="DO94" s="1">
        <v>12</v>
      </c>
      <c r="DP94" s="1">
        <v>26.8</v>
      </c>
      <c r="DQ94" s="19"/>
      <c r="DR94" s="19"/>
      <c r="DW94" s="1">
        <v>2</v>
      </c>
      <c r="DX94" s="1">
        <v>1.6</v>
      </c>
      <c r="DY94" s="1">
        <v>2.4</v>
      </c>
      <c r="DZ94" s="1">
        <v>2</v>
      </c>
      <c r="EA94" s="1">
        <v>1.6</v>
      </c>
      <c r="EB94" s="1">
        <v>2.4</v>
      </c>
      <c r="EC94" s="1">
        <v>24</v>
      </c>
      <c r="EF94" s="1">
        <v>2.6</v>
      </c>
      <c r="EG94" s="1">
        <v>1.8</v>
      </c>
      <c r="EH94" s="1">
        <v>3.4</v>
      </c>
      <c r="EL94" s="1">
        <v>243</v>
      </c>
      <c r="EM94" s="1">
        <v>219</v>
      </c>
      <c r="EN94" s="1">
        <v>267</v>
      </c>
      <c r="EO94" s="11"/>
      <c r="EP94" s="11"/>
      <c r="EQ94" s="11"/>
      <c r="ER94" s="1">
        <v>243</v>
      </c>
      <c r="ES94" s="1">
        <v>219</v>
      </c>
      <c r="ET94" s="1">
        <v>267</v>
      </c>
      <c r="EV94" s="19"/>
      <c r="EW94" s="19"/>
      <c r="EX94" s="19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O94" s="1">
        <v>67</v>
      </c>
      <c r="FP94" s="1">
        <v>67</v>
      </c>
      <c r="FQ94" s="1">
        <v>67</v>
      </c>
      <c r="FR94" s="13" t="s">
        <v>806</v>
      </c>
      <c r="FS94" s="13" t="s">
        <v>806</v>
      </c>
      <c r="FT94" s="13" t="s">
        <v>806</v>
      </c>
      <c r="FU94" s="13"/>
      <c r="FV94" s="13" t="s">
        <v>806</v>
      </c>
      <c r="FW94" s="13" t="s">
        <v>806</v>
      </c>
      <c r="FX94" s="13" t="s">
        <v>806</v>
      </c>
      <c r="FY94" s="13" t="s">
        <v>806</v>
      </c>
      <c r="FZ94" s="13" t="s">
        <v>806</v>
      </c>
      <c r="GA94" s="13" t="s">
        <v>806</v>
      </c>
      <c r="GB94" s="13" t="s">
        <v>806</v>
      </c>
      <c r="GE94" s="13" t="s">
        <v>806</v>
      </c>
      <c r="GF94" s="13" t="s">
        <v>806</v>
      </c>
      <c r="GH94" s="13" t="s">
        <v>806</v>
      </c>
    </row>
    <row r="95" spans="1:190" ht="15" customHeight="1" x14ac:dyDescent="0.25">
      <c r="A95" s="1" t="s">
        <v>535</v>
      </c>
      <c r="B95" s="1" t="s">
        <v>535</v>
      </c>
      <c r="C95" s="1" t="s">
        <v>660</v>
      </c>
      <c r="D95" s="1" t="s">
        <v>686</v>
      </c>
      <c r="E95" s="1" t="s">
        <v>127</v>
      </c>
      <c r="F95" s="1">
        <v>0</v>
      </c>
      <c r="G95" s="1">
        <v>2040</v>
      </c>
      <c r="H95" s="1">
        <v>1</v>
      </c>
      <c r="I95" s="1">
        <v>0</v>
      </c>
      <c r="J95" s="1">
        <v>0</v>
      </c>
      <c r="K9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5" s="19">
        <v>0</v>
      </c>
      <c r="O95" s="19">
        <v>0</v>
      </c>
      <c r="P95" s="19">
        <v>0</v>
      </c>
      <c r="Q95" s="19">
        <v>7.9539999999999997</v>
      </c>
      <c r="R95" s="19">
        <v>4.4400000000000004</v>
      </c>
      <c r="S95" s="19">
        <v>12.06</v>
      </c>
      <c r="T95" s="19">
        <v>0</v>
      </c>
      <c r="U95" s="19">
        <v>0</v>
      </c>
      <c r="V95" s="19">
        <v>0</v>
      </c>
      <c r="W95" s="19">
        <v>7.9539999999999997</v>
      </c>
      <c r="X95" s="19">
        <v>4.4400000000000004</v>
      </c>
      <c r="Y95" s="19">
        <v>12.06</v>
      </c>
      <c r="Z95" s="19">
        <v>0</v>
      </c>
      <c r="AA95" s="19">
        <v>0</v>
      </c>
      <c r="AB95" s="19">
        <v>0</v>
      </c>
      <c r="AC95" s="19">
        <v>7.9539999999999997</v>
      </c>
      <c r="AD95" s="19">
        <v>4.4400000000000004</v>
      </c>
      <c r="AE95" s="19">
        <v>12.06</v>
      </c>
      <c r="AF95" s="19">
        <v>3.1040000000000001</v>
      </c>
      <c r="AG95" s="19">
        <v>1.92</v>
      </c>
      <c r="AH95" s="19">
        <v>4.2880000000000003</v>
      </c>
      <c r="AI95" s="19">
        <v>4.8499999999999996</v>
      </c>
      <c r="AJ95" s="19">
        <v>2.52</v>
      </c>
      <c r="AK95" s="19">
        <v>7.7720000000000002</v>
      </c>
      <c r="AL95" s="19">
        <v>3.1040000000000001</v>
      </c>
      <c r="AM95" s="19">
        <v>1.92</v>
      </c>
      <c r="AN95" s="19">
        <v>4.2880000000000003</v>
      </c>
      <c r="AO95" s="19">
        <v>4.8499999999999996</v>
      </c>
      <c r="AP95" s="19">
        <v>2.52</v>
      </c>
      <c r="AQ95" s="19">
        <v>7.7720000000000002</v>
      </c>
      <c r="AR95" s="19">
        <v>1.746</v>
      </c>
      <c r="AS95" s="19">
        <v>1.08</v>
      </c>
      <c r="AT95" s="19">
        <v>2.4119999999999999</v>
      </c>
      <c r="AU95" s="19">
        <v>6.2079999999999993</v>
      </c>
      <c r="AV95" s="19">
        <v>3.36</v>
      </c>
      <c r="AW95" s="19">
        <v>9.6480000000000015</v>
      </c>
      <c r="AX95" s="19">
        <v>15.907999999999999</v>
      </c>
      <c r="AY95" s="19">
        <v>9.84</v>
      </c>
      <c r="AZ95" s="19">
        <v>21.975999999999999</v>
      </c>
      <c r="BA95" s="19">
        <v>0</v>
      </c>
      <c r="BB95" s="19">
        <v>0</v>
      </c>
      <c r="BC95" s="19">
        <v>0</v>
      </c>
      <c r="BD95" s="19">
        <v>15.907999999999999</v>
      </c>
      <c r="BE95" s="19">
        <v>9.84</v>
      </c>
      <c r="BF95" s="19">
        <v>21.975999999999999</v>
      </c>
      <c r="BG95" s="19">
        <v>0</v>
      </c>
      <c r="BH95" s="19">
        <v>0</v>
      </c>
      <c r="BI95" s="19">
        <v>0</v>
      </c>
      <c r="BJ95" s="19">
        <v>8.3419999999999987</v>
      </c>
      <c r="BK95" s="19">
        <v>5.16</v>
      </c>
      <c r="BL95" s="19">
        <v>11.523999999999999</v>
      </c>
      <c r="BM95" s="19">
        <v>0</v>
      </c>
      <c r="BN95" s="19">
        <v>0</v>
      </c>
      <c r="BO95" s="19">
        <v>0.53600000000000003</v>
      </c>
      <c r="BP95" s="19"/>
      <c r="BQ9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5" s="11">
        <f>Tabelle5897112140[[#This Row],[Mindestauslastung min]]*Tabelle5897112140[[#This Row],[installierte Leistung MW min]]</f>
        <v>0</v>
      </c>
      <c r="BU95" s="11">
        <f>Tabelle5897112140[[#This Row],[Mindestauslastung durch]]*Tabelle5897112140[[#This Row],[installierte Leistung MW durch]]</f>
        <v>0</v>
      </c>
      <c r="BV95" s="11">
        <f>Tabelle5897112140[[#This Row],[Mindestauslastung max]]*Tabelle5897112140[[#This Row],[installierte Leistung MW max]]</f>
        <v>0</v>
      </c>
      <c r="BW95" s="9">
        <v>0</v>
      </c>
      <c r="BX95" s="9">
        <v>0</v>
      </c>
      <c r="BY95" s="9">
        <v>0</v>
      </c>
      <c r="BZ95" s="9"/>
      <c r="CA95" s="9">
        <v>0</v>
      </c>
      <c r="CB95" s="9">
        <v>0</v>
      </c>
      <c r="CC95" s="9">
        <v>0</v>
      </c>
      <c r="CD95" s="9">
        <v>0</v>
      </c>
      <c r="CE95" s="9">
        <v>0</v>
      </c>
      <c r="CF95" s="9">
        <v>0</v>
      </c>
      <c r="CG95" s="9">
        <v>0</v>
      </c>
      <c r="CH95" s="9">
        <v>0</v>
      </c>
      <c r="CI95" s="9">
        <v>0</v>
      </c>
      <c r="CJ95" s="9">
        <v>0.16</v>
      </c>
      <c r="CK95" s="9">
        <v>0.16</v>
      </c>
      <c r="CL95" s="9">
        <v>0.16</v>
      </c>
      <c r="CM95" s="9">
        <v>0.16</v>
      </c>
      <c r="CN95" s="9">
        <v>0.16</v>
      </c>
      <c r="CO95" s="9">
        <v>0.16</v>
      </c>
      <c r="CP95" s="9">
        <v>0.09</v>
      </c>
      <c r="CQ95" s="9">
        <v>0.09</v>
      </c>
      <c r="CR95" s="9">
        <v>0.09</v>
      </c>
      <c r="CS95" s="9">
        <v>0.82</v>
      </c>
      <c r="CT95" s="9">
        <v>0.82</v>
      </c>
      <c r="CU95" s="9">
        <v>0.82</v>
      </c>
      <c r="CV95" s="9">
        <v>0.82</v>
      </c>
      <c r="CW95" s="9">
        <v>0.82</v>
      </c>
      <c r="CX95" s="9">
        <v>0.82</v>
      </c>
      <c r="CY95" s="9">
        <v>0.43</v>
      </c>
      <c r="CZ95" s="9">
        <v>0.43</v>
      </c>
      <c r="DA95" s="9">
        <v>0.43</v>
      </c>
      <c r="DB95" s="9">
        <f>MIN(Tabelle5897112140[[#This Row],[Durchschnittsauslastung durch Sommer WTT]:[Durchschnittsauslastung max Winter SFN]])</f>
        <v>0</v>
      </c>
      <c r="DC9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5" s="9">
        <f>MAX(Tabelle5897112140[[#This Row],[Durchschnittsauslastung durch Sommer WTT]:[Durchschnittsauslastung max Winter SFN]])</f>
        <v>0.82</v>
      </c>
      <c r="DE95" s="40">
        <f>Tabelle5897112140[[#This Row],[Durchschnittsauslastung min]]*Tabelle5897112140[[#This Row],[installierte Leistung MW min]]</f>
        <v>0</v>
      </c>
      <c r="DF95" s="40">
        <f>Tabelle5897112140[[#This Row],[Durchschnittsauslastung durch]]*Tabelle5897112140[[#This Row],[installierte Leistung MW durch]]</f>
        <v>5.3457777777777773</v>
      </c>
      <c r="DG95" s="40">
        <f>Tabelle5897112140[[#This Row],[Durchschnittsauslastung max]]*Tabelle5897112140[[#This Row],[installierte Leistung MW max]]</f>
        <v>21.975999999999999</v>
      </c>
      <c r="DH95" s="46">
        <f>Tabelle5897112140[[#This Row],[Maximalauslastung min]]*Tabelle5897112140[[#This Row],[installierte Leistung MW min]]</f>
        <v>3.5999999999999996</v>
      </c>
      <c r="DI95" s="46">
        <f>Tabelle5897112140[[#This Row],[Maximalauslastung durch]]*Tabelle5897112140[[#This Row],[installierte Leistung MW durch]]</f>
        <v>6.4020000000000001</v>
      </c>
      <c r="DJ95" s="19">
        <f>Tabelle5897112140[[#This Row],[Maximalauslastung max]]*Tabelle5897112140[[#This Row],[installierte Leistung MW durch]]</f>
        <v>6.9839999999999991</v>
      </c>
      <c r="DK95" s="9">
        <v>0.3</v>
      </c>
      <c r="DL95" s="9">
        <v>0.33</v>
      </c>
      <c r="DM95" s="9">
        <v>0.36</v>
      </c>
      <c r="DN95" s="1">
        <v>19.399999999999999</v>
      </c>
      <c r="DO95" s="1">
        <v>12</v>
      </c>
      <c r="DP95" s="1">
        <v>26.8</v>
      </c>
      <c r="DQ95" s="19"/>
      <c r="DR95" s="19"/>
      <c r="DW95" s="1">
        <v>2</v>
      </c>
      <c r="DX95" s="1">
        <v>1.6</v>
      </c>
      <c r="DY95" s="1">
        <v>2.4</v>
      </c>
      <c r="DZ95" s="1">
        <v>2</v>
      </c>
      <c r="EA95" s="1">
        <v>1.6</v>
      </c>
      <c r="EB95" s="1">
        <v>2.4</v>
      </c>
      <c r="EC95" s="1">
        <v>24</v>
      </c>
      <c r="EF95" s="1">
        <v>2.6</v>
      </c>
      <c r="EG95" s="1">
        <v>1.8</v>
      </c>
      <c r="EH95" s="1">
        <v>3.4</v>
      </c>
      <c r="EL95" s="1">
        <v>243</v>
      </c>
      <c r="EM95" s="1">
        <v>219</v>
      </c>
      <c r="EN95" s="1">
        <v>267</v>
      </c>
      <c r="EO95" s="11"/>
      <c r="EP95" s="11"/>
      <c r="EQ95" s="11"/>
      <c r="ER95" s="1">
        <v>243</v>
      </c>
      <c r="ES95" s="1">
        <v>219</v>
      </c>
      <c r="ET95" s="1">
        <v>267</v>
      </c>
      <c r="EV95" s="19"/>
      <c r="EW95" s="19"/>
      <c r="EX95" s="19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O95" s="1">
        <v>67</v>
      </c>
      <c r="FP95" s="1">
        <v>67</v>
      </c>
      <c r="FQ95" s="1">
        <v>67</v>
      </c>
      <c r="FR95" s="13" t="s">
        <v>806</v>
      </c>
      <c r="FS95" s="13" t="s">
        <v>806</v>
      </c>
      <c r="FT95" s="13" t="s">
        <v>806</v>
      </c>
      <c r="FU95" s="13"/>
      <c r="FV95" s="13" t="s">
        <v>806</v>
      </c>
      <c r="FW95" s="13" t="s">
        <v>806</v>
      </c>
      <c r="FX95" s="13" t="s">
        <v>806</v>
      </c>
      <c r="FY95" s="13" t="s">
        <v>806</v>
      </c>
      <c r="FZ95" s="13" t="s">
        <v>806</v>
      </c>
      <c r="GA95" s="13" t="s">
        <v>806</v>
      </c>
      <c r="GB95" s="13" t="s">
        <v>806</v>
      </c>
      <c r="GE95" s="13" t="s">
        <v>806</v>
      </c>
      <c r="GF95" s="13" t="s">
        <v>806</v>
      </c>
      <c r="GH95" s="13" t="s">
        <v>806</v>
      </c>
    </row>
    <row r="96" spans="1:190" ht="15" customHeight="1" x14ac:dyDescent="0.25">
      <c r="A96" s="1" t="s">
        <v>535</v>
      </c>
      <c r="B96" s="1" t="s">
        <v>535</v>
      </c>
      <c r="C96" s="1" t="s">
        <v>660</v>
      </c>
      <c r="D96" s="1" t="s">
        <v>686</v>
      </c>
      <c r="E96" s="1" t="s">
        <v>127</v>
      </c>
      <c r="F96" s="1">
        <v>0</v>
      </c>
      <c r="G96" s="1">
        <v>2045</v>
      </c>
      <c r="H96" s="1">
        <v>1</v>
      </c>
      <c r="I96" s="1">
        <v>0</v>
      </c>
      <c r="J96" s="1">
        <v>0</v>
      </c>
      <c r="K9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6" s="19">
        <v>0</v>
      </c>
      <c r="O96" s="19">
        <v>0</v>
      </c>
      <c r="P96" s="19">
        <v>0</v>
      </c>
      <c r="Q96" s="19">
        <v>7.9539999999999997</v>
      </c>
      <c r="R96" s="19">
        <v>4.4400000000000004</v>
      </c>
      <c r="S96" s="19">
        <v>12.06</v>
      </c>
      <c r="T96" s="19">
        <v>0</v>
      </c>
      <c r="U96" s="19">
        <v>0</v>
      </c>
      <c r="V96" s="19">
        <v>0</v>
      </c>
      <c r="W96" s="19">
        <v>7.9539999999999997</v>
      </c>
      <c r="X96" s="19">
        <v>4.4400000000000004</v>
      </c>
      <c r="Y96" s="19">
        <v>12.06</v>
      </c>
      <c r="Z96" s="19">
        <v>0</v>
      </c>
      <c r="AA96" s="19">
        <v>0</v>
      </c>
      <c r="AB96" s="19">
        <v>0</v>
      </c>
      <c r="AC96" s="19">
        <v>7.9539999999999997</v>
      </c>
      <c r="AD96" s="19">
        <v>4.4400000000000004</v>
      </c>
      <c r="AE96" s="19">
        <v>12.06</v>
      </c>
      <c r="AF96" s="19">
        <v>3.1040000000000001</v>
      </c>
      <c r="AG96" s="19">
        <v>1.92</v>
      </c>
      <c r="AH96" s="19">
        <v>4.2880000000000003</v>
      </c>
      <c r="AI96" s="19">
        <v>4.8499999999999996</v>
      </c>
      <c r="AJ96" s="19">
        <v>2.52</v>
      </c>
      <c r="AK96" s="19">
        <v>7.7720000000000002</v>
      </c>
      <c r="AL96" s="19">
        <v>3.1040000000000001</v>
      </c>
      <c r="AM96" s="19">
        <v>1.92</v>
      </c>
      <c r="AN96" s="19">
        <v>4.2880000000000003</v>
      </c>
      <c r="AO96" s="19">
        <v>4.8499999999999996</v>
      </c>
      <c r="AP96" s="19">
        <v>2.52</v>
      </c>
      <c r="AQ96" s="19">
        <v>7.7720000000000002</v>
      </c>
      <c r="AR96" s="19">
        <v>1.746</v>
      </c>
      <c r="AS96" s="19">
        <v>1.08</v>
      </c>
      <c r="AT96" s="19">
        <v>2.4119999999999999</v>
      </c>
      <c r="AU96" s="19">
        <v>6.2079999999999993</v>
      </c>
      <c r="AV96" s="19">
        <v>3.36</v>
      </c>
      <c r="AW96" s="19">
        <v>9.6480000000000015</v>
      </c>
      <c r="AX96" s="19">
        <v>15.907999999999999</v>
      </c>
      <c r="AY96" s="19">
        <v>9.84</v>
      </c>
      <c r="AZ96" s="19">
        <v>21.975999999999999</v>
      </c>
      <c r="BA96" s="19">
        <v>0</v>
      </c>
      <c r="BB96" s="19">
        <v>0</v>
      </c>
      <c r="BC96" s="19">
        <v>0</v>
      </c>
      <c r="BD96" s="19">
        <v>15.907999999999999</v>
      </c>
      <c r="BE96" s="19">
        <v>9.84</v>
      </c>
      <c r="BF96" s="19">
        <v>21.975999999999999</v>
      </c>
      <c r="BG96" s="19">
        <v>0</v>
      </c>
      <c r="BH96" s="19">
        <v>0</v>
      </c>
      <c r="BI96" s="19">
        <v>0</v>
      </c>
      <c r="BJ96" s="19">
        <v>8.3419999999999987</v>
      </c>
      <c r="BK96" s="19">
        <v>5.16</v>
      </c>
      <c r="BL96" s="19">
        <v>11.523999999999999</v>
      </c>
      <c r="BM96" s="19">
        <v>0</v>
      </c>
      <c r="BN96" s="19">
        <v>0</v>
      </c>
      <c r="BO96" s="19">
        <v>0.53600000000000003</v>
      </c>
      <c r="BP96" s="19"/>
      <c r="BQ9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6" s="11">
        <f>Tabelle5897112140[[#This Row],[Mindestauslastung min]]*Tabelle5897112140[[#This Row],[installierte Leistung MW min]]</f>
        <v>0</v>
      </c>
      <c r="BU96" s="11">
        <f>Tabelle5897112140[[#This Row],[Mindestauslastung durch]]*Tabelle5897112140[[#This Row],[installierte Leistung MW durch]]</f>
        <v>0</v>
      </c>
      <c r="BV96" s="11">
        <f>Tabelle5897112140[[#This Row],[Mindestauslastung max]]*Tabelle5897112140[[#This Row],[installierte Leistung MW max]]</f>
        <v>0</v>
      </c>
      <c r="BW96" s="9">
        <v>0</v>
      </c>
      <c r="BX96" s="9">
        <v>0</v>
      </c>
      <c r="BY96" s="9">
        <v>0</v>
      </c>
      <c r="BZ96" s="9"/>
      <c r="CA96" s="9">
        <v>0</v>
      </c>
      <c r="CB96" s="9">
        <v>0</v>
      </c>
      <c r="CC96" s="9">
        <v>0</v>
      </c>
      <c r="CD96" s="9">
        <v>0</v>
      </c>
      <c r="CE96" s="9">
        <v>0</v>
      </c>
      <c r="CF96" s="9">
        <v>0</v>
      </c>
      <c r="CG96" s="9">
        <v>0</v>
      </c>
      <c r="CH96" s="9">
        <v>0</v>
      </c>
      <c r="CI96" s="9">
        <v>0</v>
      </c>
      <c r="CJ96" s="9">
        <v>0.16</v>
      </c>
      <c r="CK96" s="9">
        <v>0.16</v>
      </c>
      <c r="CL96" s="9">
        <v>0.16</v>
      </c>
      <c r="CM96" s="9">
        <v>0.16</v>
      </c>
      <c r="CN96" s="9">
        <v>0.16</v>
      </c>
      <c r="CO96" s="9">
        <v>0.16</v>
      </c>
      <c r="CP96" s="9">
        <v>0.09</v>
      </c>
      <c r="CQ96" s="9">
        <v>0.09</v>
      </c>
      <c r="CR96" s="9">
        <v>0.09</v>
      </c>
      <c r="CS96" s="9">
        <v>0.82</v>
      </c>
      <c r="CT96" s="9">
        <v>0.82</v>
      </c>
      <c r="CU96" s="9">
        <v>0.82</v>
      </c>
      <c r="CV96" s="9">
        <v>0.82</v>
      </c>
      <c r="CW96" s="9">
        <v>0.82</v>
      </c>
      <c r="CX96" s="9">
        <v>0.82</v>
      </c>
      <c r="CY96" s="9">
        <v>0.43</v>
      </c>
      <c r="CZ96" s="9">
        <v>0.43</v>
      </c>
      <c r="DA96" s="9">
        <v>0.43</v>
      </c>
      <c r="DB96" s="9">
        <f>MIN(Tabelle5897112140[[#This Row],[Durchschnittsauslastung durch Sommer WTT]:[Durchschnittsauslastung max Winter SFN]])</f>
        <v>0</v>
      </c>
      <c r="DC9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6" s="9">
        <f>MAX(Tabelle5897112140[[#This Row],[Durchschnittsauslastung durch Sommer WTT]:[Durchschnittsauslastung max Winter SFN]])</f>
        <v>0.82</v>
      </c>
      <c r="DE96" s="40">
        <f>Tabelle5897112140[[#This Row],[Durchschnittsauslastung min]]*Tabelle5897112140[[#This Row],[installierte Leistung MW min]]</f>
        <v>0</v>
      </c>
      <c r="DF96" s="40">
        <f>Tabelle5897112140[[#This Row],[Durchschnittsauslastung durch]]*Tabelle5897112140[[#This Row],[installierte Leistung MW durch]]</f>
        <v>5.3457777777777773</v>
      </c>
      <c r="DG96" s="40">
        <f>Tabelle5897112140[[#This Row],[Durchschnittsauslastung max]]*Tabelle5897112140[[#This Row],[installierte Leistung MW max]]</f>
        <v>21.975999999999999</v>
      </c>
      <c r="DH96" s="46">
        <f>Tabelle5897112140[[#This Row],[Maximalauslastung min]]*Tabelle5897112140[[#This Row],[installierte Leistung MW min]]</f>
        <v>3.5999999999999996</v>
      </c>
      <c r="DI96" s="46">
        <f>Tabelle5897112140[[#This Row],[Maximalauslastung durch]]*Tabelle5897112140[[#This Row],[installierte Leistung MW durch]]</f>
        <v>6.4020000000000001</v>
      </c>
      <c r="DJ96" s="19">
        <f>Tabelle5897112140[[#This Row],[Maximalauslastung max]]*Tabelle5897112140[[#This Row],[installierte Leistung MW durch]]</f>
        <v>6.9839999999999991</v>
      </c>
      <c r="DK96" s="9">
        <v>0.3</v>
      </c>
      <c r="DL96" s="9">
        <v>0.33</v>
      </c>
      <c r="DM96" s="9">
        <v>0.36</v>
      </c>
      <c r="DN96" s="1">
        <v>19.399999999999999</v>
      </c>
      <c r="DO96" s="1">
        <v>12</v>
      </c>
      <c r="DP96" s="1">
        <v>26.8</v>
      </c>
      <c r="DQ96" s="19"/>
      <c r="DR96" s="19"/>
      <c r="DW96" s="1">
        <v>2</v>
      </c>
      <c r="DX96" s="1">
        <v>1.6</v>
      </c>
      <c r="DY96" s="1">
        <v>2.4</v>
      </c>
      <c r="DZ96" s="1">
        <v>2</v>
      </c>
      <c r="EA96" s="1">
        <v>1.6</v>
      </c>
      <c r="EB96" s="1">
        <v>2.4</v>
      </c>
      <c r="EC96" s="1">
        <v>24</v>
      </c>
      <c r="EF96" s="1">
        <v>2.6</v>
      </c>
      <c r="EG96" s="1">
        <v>1.8</v>
      </c>
      <c r="EH96" s="1">
        <v>3.4</v>
      </c>
      <c r="EL96" s="1">
        <v>243</v>
      </c>
      <c r="EM96" s="1">
        <v>219</v>
      </c>
      <c r="EN96" s="1">
        <v>267</v>
      </c>
      <c r="EO96" s="11"/>
      <c r="EP96" s="11"/>
      <c r="EQ96" s="11"/>
      <c r="ER96" s="1">
        <v>243</v>
      </c>
      <c r="ES96" s="1">
        <v>219</v>
      </c>
      <c r="ET96" s="1">
        <v>267</v>
      </c>
      <c r="EV96" s="19"/>
      <c r="EW96" s="19"/>
      <c r="EX96" s="19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O96" s="1">
        <v>67</v>
      </c>
      <c r="FP96" s="1">
        <v>67</v>
      </c>
      <c r="FQ96" s="1">
        <v>67</v>
      </c>
      <c r="FR96" s="13" t="s">
        <v>806</v>
      </c>
      <c r="FS96" s="13" t="s">
        <v>806</v>
      </c>
      <c r="FT96" s="13" t="s">
        <v>806</v>
      </c>
      <c r="FU96" s="13"/>
      <c r="FV96" s="13" t="s">
        <v>806</v>
      </c>
      <c r="FW96" s="13" t="s">
        <v>806</v>
      </c>
      <c r="FX96" s="13" t="s">
        <v>806</v>
      </c>
      <c r="FY96" s="13" t="s">
        <v>806</v>
      </c>
      <c r="FZ96" s="13" t="s">
        <v>806</v>
      </c>
      <c r="GA96" s="13" t="s">
        <v>806</v>
      </c>
      <c r="GB96" s="13" t="s">
        <v>806</v>
      </c>
      <c r="GE96" s="13" t="s">
        <v>806</v>
      </c>
      <c r="GF96" s="13" t="s">
        <v>806</v>
      </c>
      <c r="GH96" s="13" t="s">
        <v>806</v>
      </c>
    </row>
    <row r="97" spans="1:190" ht="15" customHeight="1" x14ac:dyDescent="0.25">
      <c r="A97" s="1" t="s">
        <v>535</v>
      </c>
      <c r="B97" s="1" t="s">
        <v>535</v>
      </c>
      <c r="C97" s="1" t="s">
        <v>660</v>
      </c>
      <c r="D97" s="1" t="s">
        <v>686</v>
      </c>
      <c r="E97" s="1" t="s">
        <v>127</v>
      </c>
      <c r="F97" s="1">
        <v>0</v>
      </c>
      <c r="G97" s="1">
        <v>2050</v>
      </c>
      <c r="H97" s="1">
        <v>1</v>
      </c>
      <c r="I97" s="1">
        <v>0</v>
      </c>
      <c r="J97" s="1">
        <v>0</v>
      </c>
      <c r="K9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7" s="19">
        <v>0</v>
      </c>
      <c r="O97" s="19">
        <v>0</v>
      </c>
      <c r="P97" s="19">
        <v>0</v>
      </c>
      <c r="Q97" s="19">
        <v>7.9539999999999997</v>
      </c>
      <c r="R97" s="19">
        <v>4.4400000000000004</v>
      </c>
      <c r="S97" s="19">
        <v>12.06</v>
      </c>
      <c r="T97" s="19">
        <v>0</v>
      </c>
      <c r="U97" s="19">
        <v>0</v>
      </c>
      <c r="V97" s="19">
        <v>0</v>
      </c>
      <c r="W97" s="19">
        <v>7.9539999999999997</v>
      </c>
      <c r="X97" s="19">
        <v>4.4400000000000004</v>
      </c>
      <c r="Y97" s="19">
        <v>12.06</v>
      </c>
      <c r="Z97" s="19">
        <v>0</v>
      </c>
      <c r="AA97" s="19">
        <v>0</v>
      </c>
      <c r="AB97" s="19">
        <v>0</v>
      </c>
      <c r="AC97" s="19">
        <v>7.9539999999999997</v>
      </c>
      <c r="AD97" s="19">
        <v>4.4400000000000004</v>
      </c>
      <c r="AE97" s="19">
        <v>12.06</v>
      </c>
      <c r="AF97" s="19">
        <v>3.1040000000000001</v>
      </c>
      <c r="AG97" s="19">
        <v>1.92</v>
      </c>
      <c r="AH97" s="19">
        <v>4.2880000000000003</v>
      </c>
      <c r="AI97" s="19">
        <v>4.8499999999999996</v>
      </c>
      <c r="AJ97" s="19">
        <v>2.52</v>
      </c>
      <c r="AK97" s="19">
        <v>7.7720000000000002</v>
      </c>
      <c r="AL97" s="19">
        <v>3.1040000000000001</v>
      </c>
      <c r="AM97" s="19">
        <v>1.92</v>
      </c>
      <c r="AN97" s="19">
        <v>4.2880000000000003</v>
      </c>
      <c r="AO97" s="19">
        <v>4.8499999999999996</v>
      </c>
      <c r="AP97" s="19">
        <v>2.52</v>
      </c>
      <c r="AQ97" s="19">
        <v>7.7720000000000002</v>
      </c>
      <c r="AR97" s="19">
        <v>1.746</v>
      </c>
      <c r="AS97" s="19">
        <v>1.08</v>
      </c>
      <c r="AT97" s="19">
        <v>2.4119999999999999</v>
      </c>
      <c r="AU97" s="19">
        <v>6.2079999999999993</v>
      </c>
      <c r="AV97" s="19">
        <v>3.36</v>
      </c>
      <c r="AW97" s="19">
        <v>9.6480000000000015</v>
      </c>
      <c r="AX97" s="19">
        <v>15.907999999999999</v>
      </c>
      <c r="AY97" s="19">
        <v>9.84</v>
      </c>
      <c r="AZ97" s="19">
        <v>21.975999999999999</v>
      </c>
      <c r="BA97" s="19">
        <v>0</v>
      </c>
      <c r="BB97" s="19">
        <v>0</v>
      </c>
      <c r="BC97" s="19">
        <v>0</v>
      </c>
      <c r="BD97" s="19">
        <v>15.907999999999999</v>
      </c>
      <c r="BE97" s="19">
        <v>9.84</v>
      </c>
      <c r="BF97" s="19">
        <v>21.975999999999999</v>
      </c>
      <c r="BG97" s="19">
        <v>0</v>
      </c>
      <c r="BH97" s="19">
        <v>0</v>
      </c>
      <c r="BI97" s="19">
        <v>0</v>
      </c>
      <c r="BJ97" s="19">
        <v>8.3419999999999987</v>
      </c>
      <c r="BK97" s="19">
        <v>5.16</v>
      </c>
      <c r="BL97" s="19">
        <v>11.523999999999999</v>
      </c>
      <c r="BM97" s="19">
        <v>0</v>
      </c>
      <c r="BN97" s="19">
        <v>0</v>
      </c>
      <c r="BO97" s="19">
        <v>0.53600000000000003</v>
      </c>
      <c r="BP97" s="19"/>
      <c r="BQ9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7" s="11">
        <f>Tabelle5897112140[[#This Row],[Mindestauslastung min]]*Tabelle5897112140[[#This Row],[installierte Leistung MW min]]</f>
        <v>0</v>
      </c>
      <c r="BU97" s="11">
        <f>Tabelle5897112140[[#This Row],[Mindestauslastung durch]]*Tabelle5897112140[[#This Row],[installierte Leistung MW durch]]</f>
        <v>0</v>
      </c>
      <c r="BV97" s="11">
        <f>Tabelle5897112140[[#This Row],[Mindestauslastung max]]*Tabelle5897112140[[#This Row],[installierte Leistung MW max]]</f>
        <v>0</v>
      </c>
      <c r="BW97" s="9">
        <v>0</v>
      </c>
      <c r="BX97" s="9">
        <v>0</v>
      </c>
      <c r="BY97" s="9">
        <v>0</v>
      </c>
      <c r="BZ97" s="9"/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0.16</v>
      </c>
      <c r="CK97" s="9">
        <v>0.16</v>
      </c>
      <c r="CL97" s="9">
        <v>0.16</v>
      </c>
      <c r="CM97" s="9">
        <v>0.16</v>
      </c>
      <c r="CN97" s="9">
        <v>0.16</v>
      </c>
      <c r="CO97" s="9">
        <v>0.16</v>
      </c>
      <c r="CP97" s="9">
        <v>0.09</v>
      </c>
      <c r="CQ97" s="9">
        <v>0.09</v>
      </c>
      <c r="CR97" s="9">
        <v>0.09</v>
      </c>
      <c r="CS97" s="9">
        <v>0.82</v>
      </c>
      <c r="CT97" s="9">
        <v>0.82</v>
      </c>
      <c r="CU97" s="9">
        <v>0.82</v>
      </c>
      <c r="CV97" s="9">
        <v>0.82</v>
      </c>
      <c r="CW97" s="9">
        <v>0.82</v>
      </c>
      <c r="CX97" s="9">
        <v>0.82</v>
      </c>
      <c r="CY97" s="9">
        <v>0.43</v>
      </c>
      <c r="CZ97" s="9">
        <v>0.43</v>
      </c>
      <c r="DA97" s="9">
        <v>0.43</v>
      </c>
      <c r="DB97" s="9">
        <f>MIN(Tabelle5897112140[[#This Row],[Durchschnittsauslastung durch Sommer WTT]:[Durchschnittsauslastung max Winter SFN]])</f>
        <v>0</v>
      </c>
      <c r="DC9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7" s="9">
        <f>MAX(Tabelle5897112140[[#This Row],[Durchschnittsauslastung durch Sommer WTT]:[Durchschnittsauslastung max Winter SFN]])</f>
        <v>0.82</v>
      </c>
      <c r="DE97" s="40">
        <f>Tabelle5897112140[[#This Row],[Durchschnittsauslastung min]]*Tabelle5897112140[[#This Row],[installierte Leistung MW min]]</f>
        <v>0</v>
      </c>
      <c r="DF97" s="40">
        <f>Tabelle5897112140[[#This Row],[Durchschnittsauslastung durch]]*Tabelle5897112140[[#This Row],[installierte Leistung MW durch]]</f>
        <v>5.3457777777777773</v>
      </c>
      <c r="DG97" s="40">
        <f>Tabelle5897112140[[#This Row],[Durchschnittsauslastung max]]*Tabelle5897112140[[#This Row],[installierte Leistung MW max]]</f>
        <v>21.975999999999999</v>
      </c>
      <c r="DH97" s="46">
        <f>Tabelle5897112140[[#This Row],[Maximalauslastung min]]*Tabelle5897112140[[#This Row],[installierte Leistung MW min]]</f>
        <v>3.5999999999999996</v>
      </c>
      <c r="DI97" s="46">
        <f>Tabelle5897112140[[#This Row],[Maximalauslastung durch]]*Tabelle5897112140[[#This Row],[installierte Leistung MW durch]]</f>
        <v>6.4020000000000001</v>
      </c>
      <c r="DJ97" s="19">
        <f>Tabelle5897112140[[#This Row],[Maximalauslastung max]]*Tabelle5897112140[[#This Row],[installierte Leistung MW durch]]</f>
        <v>6.9839999999999991</v>
      </c>
      <c r="DK97" s="9">
        <v>0.3</v>
      </c>
      <c r="DL97" s="9">
        <v>0.33</v>
      </c>
      <c r="DM97" s="9">
        <v>0.36</v>
      </c>
      <c r="DN97" s="1">
        <v>19.399999999999999</v>
      </c>
      <c r="DO97" s="1">
        <v>12</v>
      </c>
      <c r="DP97" s="1">
        <v>26.8</v>
      </c>
      <c r="DQ97" s="19"/>
      <c r="DR97" s="19"/>
      <c r="DW97" s="1">
        <v>2</v>
      </c>
      <c r="DX97" s="1">
        <v>1.6</v>
      </c>
      <c r="DY97" s="1">
        <v>2.4</v>
      </c>
      <c r="DZ97" s="1">
        <v>2</v>
      </c>
      <c r="EA97" s="1">
        <v>1.6</v>
      </c>
      <c r="EB97" s="1">
        <v>2.4</v>
      </c>
      <c r="EC97" s="1">
        <v>24</v>
      </c>
      <c r="EF97" s="1">
        <v>2.6</v>
      </c>
      <c r="EG97" s="1">
        <v>1.8</v>
      </c>
      <c r="EH97" s="1">
        <v>3.4</v>
      </c>
      <c r="EL97" s="1">
        <v>243</v>
      </c>
      <c r="EM97" s="1">
        <v>219</v>
      </c>
      <c r="EN97" s="1">
        <v>267</v>
      </c>
      <c r="EO97" s="11"/>
      <c r="EP97" s="11"/>
      <c r="EQ97" s="11"/>
      <c r="ER97" s="1">
        <v>243</v>
      </c>
      <c r="ES97" s="1">
        <v>219</v>
      </c>
      <c r="ET97" s="1">
        <v>267</v>
      </c>
      <c r="EV97" s="19"/>
      <c r="EW97" s="19"/>
      <c r="EX97" s="19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O97" s="1">
        <v>67</v>
      </c>
      <c r="FP97" s="1">
        <v>67</v>
      </c>
      <c r="FQ97" s="1">
        <v>67</v>
      </c>
      <c r="FR97" s="13" t="s">
        <v>806</v>
      </c>
      <c r="FS97" s="13" t="s">
        <v>806</v>
      </c>
      <c r="FT97" s="13" t="s">
        <v>806</v>
      </c>
      <c r="FU97" s="13"/>
      <c r="FV97" s="13" t="s">
        <v>806</v>
      </c>
      <c r="FW97" s="13" t="s">
        <v>806</v>
      </c>
      <c r="FX97" s="13" t="s">
        <v>806</v>
      </c>
      <c r="FY97" s="13" t="s">
        <v>806</v>
      </c>
      <c r="FZ97" s="13" t="s">
        <v>806</v>
      </c>
      <c r="GA97" s="13" t="s">
        <v>806</v>
      </c>
      <c r="GB97" s="13" t="s">
        <v>806</v>
      </c>
      <c r="GE97" s="13" t="s">
        <v>806</v>
      </c>
      <c r="GF97" s="13" t="s">
        <v>806</v>
      </c>
      <c r="GH97" s="13" t="s">
        <v>806</v>
      </c>
    </row>
    <row r="98" spans="1:190" ht="12.75" customHeight="1" x14ac:dyDescent="0.25">
      <c r="A98" s="1" t="s">
        <v>362</v>
      </c>
      <c r="B98" s="1" t="s">
        <v>650</v>
      </c>
      <c r="C98" s="1" t="s">
        <v>659</v>
      </c>
      <c r="D98" s="1" t="s">
        <v>683</v>
      </c>
      <c r="E98" s="1" t="s">
        <v>127</v>
      </c>
      <c r="F98" s="1">
        <v>0</v>
      </c>
      <c r="G98" s="1">
        <v>2015</v>
      </c>
      <c r="H98" s="1">
        <v>1</v>
      </c>
      <c r="I98" s="1">
        <v>0</v>
      </c>
      <c r="J98" s="1">
        <v>0</v>
      </c>
      <c r="K9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12.376666666666667</v>
      </c>
      <c r="M9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71.599999999999994</v>
      </c>
      <c r="N98" s="19">
        <v>42.3</v>
      </c>
      <c r="O98" s="19">
        <v>20.6</v>
      </c>
      <c r="P98" s="19">
        <v>71.599999999999994</v>
      </c>
      <c r="Q98" s="19">
        <v>4.2300000000000004</v>
      </c>
      <c r="R98" s="19">
        <v>0</v>
      </c>
      <c r="S98" s="19">
        <v>28.64</v>
      </c>
      <c r="T98" s="19">
        <v>42.3</v>
      </c>
      <c r="U98" s="19">
        <v>20.6</v>
      </c>
      <c r="V98" s="19">
        <v>71.599999999999994</v>
      </c>
      <c r="W98" s="19">
        <v>4.2300000000000004</v>
      </c>
      <c r="X98" s="19">
        <v>0</v>
      </c>
      <c r="Y98" s="19">
        <v>28.64</v>
      </c>
      <c r="Z98" s="19">
        <v>5.64</v>
      </c>
      <c r="AA98" s="19">
        <v>0</v>
      </c>
      <c r="AB98" s="19">
        <v>16.11</v>
      </c>
      <c r="AC98" s="19">
        <v>40.89</v>
      </c>
      <c r="AD98" s="19">
        <v>21.63</v>
      </c>
      <c r="AE98" s="19">
        <v>64.44</v>
      </c>
      <c r="AF98" s="19">
        <v>9.8699999999999992</v>
      </c>
      <c r="AG98" s="19">
        <v>2.06</v>
      </c>
      <c r="AH98" s="19">
        <v>21.48</v>
      </c>
      <c r="AI98" s="19">
        <v>36.659999999999997</v>
      </c>
      <c r="AJ98" s="19">
        <v>18.54</v>
      </c>
      <c r="AK98" s="19">
        <v>60.86</v>
      </c>
      <c r="AL98" s="19">
        <v>9.8699999999999992</v>
      </c>
      <c r="AM98" s="19">
        <v>2.06</v>
      </c>
      <c r="AN98" s="19">
        <v>21.48</v>
      </c>
      <c r="AO98" s="19">
        <v>36.659999999999997</v>
      </c>
      <c r="AP98" s="19">
        <v>18.54</v>
      </c>
      <c r="AQ98" s="19">
        <v>60.86</v>
      </c>
      <c r="AR98" s="19">
        <v>1.41</v>
      </c>
      <c r="AS98" s="19">
        <v>0</v>
      </c>
      <c r="AT98" s="19">
        <v>10.74</v>
      </c>
      <c r="AU98" s="19">
        <v>45.12</v>
      </c>
      <c r="AV98" s="19">
        <v>24.72</v>
      </c>
      <c r="AW98" s="19">
        <v>64.44</v>
      </c>
      <c r="AX98" s="19">
        <v>0</v>
      </c>
      <c r="AY98" s="19">
        <v>0</v>
      </c>
      <c r="AZ98" s="19">
        <v>0</v>
      </c>
      <c r="BA98" s="19">
        <v>46.53</v>
      </c>
      <c r="BB98" s="19">
        <v>30.9</v>
      </c>
      <c r="BC98" s="19">
        <v>64.44</v>
      </c>
      <c r="BD98" s="19">
        <v>0</v>
      </c>
      <c r="BE98" s="19">
        <v>0</v>
      </c>
      <c r="BF98" s="19">
        <v>0</v>
      </c>
      <c r="BG98" s="19">
        <v>46.53</v>
      </c>
      <c r="BH98" s="19">
        <v>30.9</v>
      </c>
      <c r="BI98" s="19">
        <v>64.44</v>
      </c>
      <c r="BJ98" s="19">
        <v>0</v>
      </c>
      <c r="BK98" s="19">
        <v>0</v>
      </c>
      <c r="BL98" s="19">
        <v>0</v>
      </c>
      <c r="BM98" s="19">
        <v>46.53</v>
      </c>
      <c r="BN98" s="19">
        <v>30.9</v>
      </c>
      <c r="BO98" s="19">
        <v>64.44</v>
      </c>
      <c r="BP98" s="19"/>
      <c r="BQ9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34.153333333333336</v>
      </c>
      <c r="BS9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64.44</v>
      </c>
      <c r="BT98" s="11">
        <f>Tabelle5897112140[[#This Row],[Mindestauslastung min]]*Tabelle5897112140[[#This Row],[installierte Leistung MW min]]</f>
        <v>5.15</v>
      </c>
      <c r="BU98" s="11">
        <f>Tabelle5897112140[[#This Row],[Mindestauslastung durch]]*Tabelle5897112140[[#This Row],[installierte Leistung MW durch]]</f>
        <v>7.0500000000000007</v>
      </c>
      <c r="BV98" s="11">
        <f>Tabelle5897112140[[#This Row],[Mindestauslastung max]]*Tabelle5897112140[[#This Row],[installierte Leistung MW max]]</f>
        <v>8.9500000000000011</v>
      </c>
      <c r="BW98" s="9">
        <v>0.05</v>
      </c>
      <c r="BX98" s="9">
        <v>0.05</v>
      </c>
      <c r="BY98" s="9">
        <v>0.05</v>
      </c>
      <c r="BZ98" s="9"/>
      <c r="CA98" s="9">
        <v>0.3</v>
      </c>
      <c r="CB98" s="9">
        <v>0.2</v>
      </c>
      <c r="CC98" s="9">
        <v>0.4</v>
      </c>
      <c r="CD98" s="9">
        <v>0.3</v>
      </c>
      <c r="CE98" s="9">
        <v>0.2</v>
      </c>
      <c r="CF98" s="9">
        <v>0.4</v>
      </c>
      <c r="CG98" s="9">
        <v>0.04</v>
      </c>
      <c r="CH98" s="9">
        <v>0</v>
      </c>
      <c r="CI98" s="9">
        <v>0.09</v>
      </c>
      <c r="CJ98" s="9">
        <v>7.0000000000000007E-2</v>
      </c>
      <c r="CK98" s="9">
        <v>0.02</v>
      </c>
      <c r="CL98" s="9">
        <v>0.12</v>
      </c>
      <c r="CM98" s="9">
        <v>7.0000000000000007E-2</v>
      </c>
      <c r="CN98" s="9">
        <v>0.02</v>
      </c>
      <c r="CO98" s="9">
        <v>0.12</v>
      </c>
      <c r="CP98" s="9">
        <v>0.01</v>
      </c>
      <c r="CQ98" s="9">
        <v>0</v>
      </c>
      <c r="CR98" s="9">
        <v>0.06</v>
      </c>
      <c r="CS98" s="9">
        <v>0</v>
      </c>
      <c r="CT98" s="9">
        <v>0</v>
      </c>
      <c r="CU98" s="9">
        <v>0</v>
      </c>
      <c r="CV98" s="9">
        <v>0</v>
      </c>
      <c r="CW98" s="9">
        <v>0</v>
      </c>
      <c r="CX98" s="9">
        <v>0</v>
      </c>
      <c r="CY98" s="9">
        <v>0</v>
      </c>
      <c r="CZ98" s="9">
        <v>0</v>
      </c>
      <c r="DA98" s="9">
        <v>0</v>
      </c>
      <c r="DB98" s="9">
        <f>MIN(Tabelle5897112140[[#This Row],[Durchschnittsauslastung durch Sommer WTT]:[Durchschnittsauslastung max Winter SFN]])</f>
        <v>0</v>
      </c>
      <c r="DC9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98" s="9">
        <f>MAX(Tabelle5897112140[[#This Row],[Durchschnittsauslastung durch Sommer WTT]:[Durchschnittsauslastung max Winter SFN]])</f>
        <v>0.4</v>
      </c>
      <c r="DE98" s="40">
        <f>Tabelle5897112140[[#This Row],[Durchschnittsauslastung min]]*Tabelle5897112140[[#This Row],[installierte Leistung MW min]]</f>
        <v>0</v>
      </c>
      <c r="DF98" s="40">
        <f>Tabelle5897112140[[#This Row],[Durchschnittsauslastung durch]]*Tabelle5897112140[[#This Row],[installierte Leistung MW durch]]</f>
        <v>12.376666666666669</v>
      </c>
      <c r="DG98" s="40">
        <f>Tabelle5897112140[[#This Row],[Durchschnittsauslastung max]]*Tabelle5897112140[[#This Row],[installierte Leistung MW max]]</f>
        <v>71.600000000000009</v>
      </c>
      <c r="DH98" s="46">
        <f>Tabelle5897112140[[#This Row],[Maximalauslastung min]]*Tabelle5897112140[[#This Row],[installierte Leistung MW min]]</f>
        <v>47.38</v>
      </c>
      <c r="DI98" s="46">
        <f>Tabelle5897112140[[#This Row],[Maximalauslastung durch]]*Tabelle5897112140[[#This Row],[installierte Leistung MW durch]]</f>
        <v>71.91</v>
      </c>
      <c r="DJ98" s="19">
        <f>Tabelle5897112140[[#This Row],[Maximalauslastung max]]*Tabelle5897112140[[#This Row],[installierte Leistung MW durch]]</f>
        <v>78.960000000000008</v>
      </c>
      <c r="DK98" s="9">
        <v>0.46</v>
      </c>
      <c r="DL98" s="9">
        <v>0.51</v>
      </c>
      <c r="DM98" s="9">
        <v>0.56000000000000005</v>
      </c>
      <c r="DN98" s="1">
        <v>141</v>
      </c>
      <c r="DO98" s="1">
        <v>103</v>
      </c>
      <c r="DP98" s="1">
        <v>179</v>
      </c>
      <c r="DQ98" s="19"/>
      <c r="DR98" s="19"/>
      <c r="DW98" s="1">
        <v>0.11</v>
      </c>
      <c r="DX98" s="1">
        <v>3.9999999999999987E-2</v>
      </c>
      <c r="DY98" s="1">
        <v>0.18</v>
      </c>
      <c r="EL98" s="1">
        <v>365</v>
      </c>
      <c r="EM98" s="1">
        <v>292</v>
      </c>
      <c r="EN98" s="1">
        <v>438</v>
      </c>
      <c r="EO98" s="11"/>
      <c r="EP98" s="11"/>
      <c r="EQ98" s="11"/>
      <c r="ER98" s="1">
        <v>365</v>
      </c>
      <c r="ES98" s="1">
        <v>292</v>
      </c>
      <c r="ET98" s="1">
        <v>438</v>
      </c>
      <c r="EV98" s="19"/>
      <c r="EW98" s="19"/>
      <c r="EX98" s="19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O98" s="1">
        <v>67</v>
      </c>
      <c r="FP98" s="1">
        <v>67</v>
      </c>
      <c r="FQ98" s="1">
        <v>67</v>
      </c>
      <c r="FR98" s="13" t="s">
        <v>806</v>
      </c>
      <c r="FS98" s="13" t="s">
        <v>806</v>
      </c>
      <c r="FT98" s="13" t="s">
        <v>806</v>
      </c>
      <c r="FU98" s="13"/>
      <c r="FV98" s="13" t="s">
        <v>806</v>
      </c>
      <c r="FW98" s="13" t="s">
        <v>806</v>
      </c>
      <c r="FX98" s="13" t="s">
        <v>806</v>
      </c>
      <c r="FY98" s="13" t="s">
        <v>806</v>
      </c>
      <c r="FZ98" s="13" t="s">
        <v>806</v>
      </c>
      <c r="GA98" s="13" t="s">
        <v>806</v>
      </c>
      <c r="GB98" s="13" t="s">
        <v>806</v>
      </c>
      <c r="GE98" s="13" t="s">
        <v>806</v>
      </c>
      <c r="GF98" s="13" t="s">
        <v>806</v>
      </c>
      <c r="GH98" s="13" t="s">
        <v>806</v>
      </c>
    </row>
    <row r="99" spans="1:190" ht="12.75" customHeight="1" x14ac:dyDescent="0.25">
      <c r="A99" s="1" t="s">
        <v>362</v>
      </c>
      <c r="B99" s="1" t="s">
        <v>650</v>
      </c>
      <c r="C99" s="1" t="s">
        <v>659</v>
      </c>
      <c r="D99" s="1" t="s">
        <v>683</v>
      </c>
      <c r="E99" s="1" t="s">
        <v>127</v>
      </c>
      <c r="F99" s="1">
        <v>0</v>
      </c>
      <c r="G99" s="1">
        <v>2020</v>
      </c>
      <c r="H99" s="1">
        <v>1</v>
      </c>
      <c r="I99" s="1">
        <v>0</v>
      </c>
      <c r="J99" s="1">
        <v>0</v>
      </c>
      <c r="K9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14.233166666666667</v>
      </c>
      <c r="M9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82.339999999999989</v>
      </c>
      <c r="N99" s="19">
        <v>48.644999999999996</v>
      </c>
      <c r="O99" s="19">
        <v>23.69</v>
      </c>
      <c r="P99" s="19">
        <v>82.339999999999989</v>
      </c>
      <c r="Q99" s="19">
        <v>4.8645000000000005</v>
      </c>
      <c r="R99" s="19">
        <v>0</v>
      </c>
      <c r="S99" s="19">
        <v>32.936</v>
      </c>
      <c r="T99" s="19">
        <v>48.644999999999996</v>
      </c>
      <c r="U99" s="19">
        <v>23.69</v>
      </c>
      <c r="V99" s="19">
        <v>82.339999999999989</v>
      </c>
      <c r="W99" s="19">
        <v>4.8645000000000005</v>
      </c>
      <c r="X99" s="19">
        <v>0</v>
      </c>
      <c r="Y99" s="19">
        <v>32.936</v>
      </c>
      <c r="Z99" s="19">
        <v>6.4859999999999989</v>
      </c>
      <c r="AA99" s="19">
        <v>0</v>
      </c>
      <c r="AB99" s="19">
        <v>18.526499999999999</v>
      </c>
      <c r="AC99" s="19">
        <v>47.023499999999999</v>
      </c>
      <c r="AD99" s="19">
        <v>24.874499999999998</v>
      </c>
      <c r="AE99" s="19">
        <v>74.105999999999995</v>
      </c>
      <c r="AF99" s="19">
        <v>11.350499999999998</v>
      </c>
      <c r="AG99" s="19">
        <v>2.3689999999999998</v>
      </c>
      <c r="AH99" s="19">
        <v>24.701999999999998</v>
      </c>
      <c r="AI99" s="19">
        <v>42.158999999999992</v>
      </c>
      <c r="AJ99" s="19">
        <v>21.320999999999998</v>
      </c>
      <c r="AK99" s="19">
        <v>69.98899999999999</v>
      </c>
      <c r="AL99" s="19">
        <v>11.350499999999998</v>
      </c>
      <c r="AM99" s="19">
        <v>2.3689999999999998</v>
      </c>
      <c r="AN99" s="19">
        <v>24.701999999999998</v>
      </c>
      <c r="AO99" s="19">
        <v>42.158999999999992</v>
      </c>
      <c r="AP99" s="19">
        <v>21.320999999999998</v>
      </c>
      <c r="AQ99" s="19">
        <v>69.98899999999999</v>
      </c>
      <c r="AR99" s="19">
        <v>1.6214999999999997</v>
      </c>
      <c r="AS99" s="19">
        <v>0</v>
      </c>
      <c r="AT99" s="19">
        <v>12.350999999999999</v>
      </c>
      <c r="AU99" s="19">
        <v>51.887999999999991</v>
      </c>
      <c r="AV99" s="19">
        <v>28.427999999999997</v>
      </c>
      <c r="AW99" s="19">
        <v>74.105999999999995</v>
      </c>
      <c r="AX99" s="19">
        <v>0</v>
      </c>
      <c r="AY99" s="19">
        <v>0</v>
      </c>
      <c r="AZ99" s="19">
        <v>0</v>
      </c>
      <c r="BA99" s="19">
        <v>53.509499999999996</v>
      </c>
      <c r="BB99" s="19">
        <v>35.534999999999997</v>
      </c>
      <c r="BC99" s="19">
        <v>74.105999999999995</v>
      </c>
      <c r="BD99" s="19">
        <v>0</v>
      </c>
      <c r="BE99" s="19">
        <v>0</v>
      </c>
      <c r="BF99" s="19">
        <v>0</v>
      </c>
      <c r="BG99" s="19">
        <v>53.509499999999996</v>
      </c>
      <c r="BH99" s="19">
        <v>35.534999999999997</v>
      </c>
      <c r="BI99" s="19">
        <v>74.105999999999995</v>
      </c>
      <c r="BJ99" s="19">
        <v>0</v>
      </c>
      <c r="BK99" s="19">
        <v>0</v>
      </c>
      <c r="BL99" s="19">
        <v>0</v>
      </c>
      <c r="BM99" s="19">
        <v>53.509499999999996</v>
      </c>
      <c r="BN99" s="19">
        <v>35.534999999999997</v>
      </c>
      <c r="BO99" s="19">
        <v>74.105999999999995</v>
      </c>
      <c r="BP99" s="19"/>
      <c r="BQ9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39.276333333333326</v>
      </c>
      <c r="BS9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74.105999999999995</v>
      </c>
      <c r="BT99" s="11">
        <f>Tabelle5897112140[[#This Row],[Mindestauslastung min]]*Tabelle5897112140[[#This Row],[installierte Leistung MW min]]</f>
        <v>5.9225000000000003</v>
      </c>
      <c r="BU99" s="11">
        <f>Tabelle5897112140[[#This Row],[Mindestauslastung durch]]*Tabelle5897112140[[#This Row],[installierte Leistung MW durch]]</f>
        <v>8.1074999999999999</v>
      </c>
      <c r="BV99" s="11">
        <f>Tabelle5897112140[[#This Row],[Mindestauslastung max]]*Tabelle5897112140[[#This Row],[installierte Leistung MW max]]</f>
        <v>10.2925</v>
      </c>
      <c r="BW99" s="9">
        <v>0.05</v>
      </c>
      <c r="BX99" s="9">
        <v>0.05</v>
      </c>
      <c r="BY99" s="9">
        <v>0.05</v>
      </c>
      <c r="BZ99" s="9"/>
      <c r="CA99" s="9">
        <v>0.3</v>
      </c>
      <c r="CB99" s="9">
        <v>0.2</v>
      </c>
      <c r="CC99" s="9">
        <v>0.4</v>
      </c>
      <c r="CD99" s="9">
        <v>0.3</v>
      </c>
      <c r="CE99" s="9">
        <v>0.2</v>
      </c>
      <c r="CF99" s="9">
        <v>0.4</v>
      </c>
      <c r="CG99" s="9">
        <v>0.04</v>
      </c>
      <c r="CH99" s="9">
        <v>0</v>
      </c>
      <c r="CI99" s="9">
        <v>0.09</v>
      </c>
      <c r="CJ99" s="9">
        <v>7.0000000000000007E-2</v>
      </c>
      <c r="CK99" s="9">
        <v>0.02</v>
      </c>
      <c r="CL99" s="9">
        <v>0.12</v>
      </c>
      <c r="CM99" s="9">
        <v>7.0000000000000007E-2</v>
      </c>
      <c r="CN99" s="9">
        <v>0.02</v>
      </c>
      <c r="CO99" s="9">
        <v>0.12</v>
      </c>
      <c r="CP99" s="9">
        <v>0.01</v>
      </c>
      <c r="CQ99" s="9">
        <v>0</v>
      </c>
      <c r="CR99" s="9">
        <v>0.06</v>
      </c>
      <c r="CS99" s="9">
        <v>0</v>
      </c>
      <c r="CT99" s="9">
        <v>0</v>
      </c>
      <c r="CU99" s="9">
        <v>0</v>
      </c>
      <c r="CV99" s="9">
        <v>0</v>
      </c>
      <c r="CW99" s="9">
        <v>0</v>
      </c>
      <c r="CX99" s="9">
        <v>0</v>
      </c>
      <c r="CY99" s="9">
        <v>0</v>
      </c>
      <c r="CZ99" s="9">
        <v>0</v>
      </c>
      <c r="DA99" s="9">
        <v>0</v>
      </c>
      <c r="DB99" s="9">
        <f>MIN(Tabelle5897112140[[#This Row],[Durchschnittsauslastung durch Sommer WTT]:[Durchschnittsauslastung max Winter SFN]])</f>
        <v>0</v>
      </c>
      <c r="DC9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99" s="9">
        <f>MAX(Tabelle5897112140[[#This Row],[Durchschnittsauslastung durch Sommer WTT]:[Durchschnittsauslastung max Winter SFN]])</f>
        <v>0.4</v>
      </c>
      <c r="DE99" s="40">
        <f>Tabelle5897112140[[#This Row],[Durchschnittsauslastung min]]*Tabelle5897112140[[#This Row],[installierte Leistung MW min]]</f>
        <v>0</v>
      </c>
      <c r="DF99" s="40">
        <f>Tabelle5897112140[[#This Row],[Durchschnittsauslastung durch]]*Tabelle5897112140[[#This Row],[installierte Leistung MW durch]]</f>
        <v>14.233166666666669</v>
      </c>
      <c r="DG99" s="40">
        <f>Tabelle5897112140[[#This Row],[Durchschnittsauslastung max]]*Tabelle5897112140[[#This Row],[installierte Leistung MW max]]</f>
        <v>82.34</v>
      </c>
      <c r="DH99" s="46">
        <f>Tabelle5897112140[[#This Row],[Maximalauslastung min]]*Tabelle5897112140[[#This Row],[installierte Leistung MW min]]</f>
        <v>43.826500000000003</v>
      </c>
      <c r="DI99" s="46">
        <f>Tabelle5897112140[[#This Row],[Maximalauslastung durch]]*Tabelle5897112140[[#This Row],[installierte Leistung MW durch]]</f>
        <v>66.481499999999997</v>
      </c>
      <c r="DJ99" s="19">
        <f>Tabelle5897112140[[#This Row],[Maximalauslastung max]]*Tabelle5897112140[[#This Row],[installierte Leistung MW durch]]</f>
        <v>72.967500000000001</v>
      </c>
      <c r="DK99" s="9">
        <v>0.37</v>
      </c>
      <c r="DL99" s="9">
        <v>0.41</v>
      </c>
      <c r="DM99" s="9">
        <v>0.45</v>
      </c>
      <c r="DN99" s="1">
        <v>162.15</v>
      </c>
      <c r="DO99" s="1">
        <v>118.45</v>
      </c>
      <c r="DP99" s="1">
        <v>205.85</v>
      </c>
      <c r="DQ99" s="19"/>
      <c r="DR99" s="19"/>
      <c r="DW99" s="1">
        <v>0.11</v>
      </c>
      <c r="DX99" s="1">
        <v>3.9999999999999987E-2</v>
      </c>
      <c r="DY99" s="1">
        <v>0.18</v>
      </c>
      <c r="EL99" s="1">
        <v>365</v>
      </c>
      <c r="EM99" s="1">
        <v>292</v>
      </c>
      <c r="EN99" s="1">
        <v>438</v>
      </c>
      <c r="EO99" s="11"/>
      <c r="EP99" s="11"/>
      <c r="EQ99" s="11"/>
      <c r="ER99" s="1">
        <v>365</v>
      </c>
      <c r="ES99" s="1">
        <v>292</v>
      </c>
      <c r="ET99" s="1">
        <v>438</v>
      </c>
      <c r="EV99" s="19"/>
      <c r="EW99" s="19"/>
      <c r="EX99" s="19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O99" s="1">
        <v>67</v>
      </c>
      <c r="FP99" s="1">
        <v>67</v>
      </c>
      <c r="FQ99" s="1">
        <v>67</v>
      </c>
      <c r="FR99" s="13" t="s">
        <v>806</v>
      </c>
      <c r="FS99" s="13" t="s">
        <v>806</v>
      </c>
      <c r="FT99" s="13" t="s">
        <v>806</v>
      </c>
      <c r="FU99" s="13"/>
      <c r="FV99" s="13" t="s">
        <v>806</v>
      </c>
      <c r="FW99" s="13" t="s">
        <v>806</v>
      </c>
      <c r="FX99" s="13" t="s">
        <v>806</v>
      </c>
      <c r="FY99" s="13" t="s">
        <v>806</v>
      </c>
      <c r="FZ99" s="13" t="s">
        <v>806</v>
      </c>
      <c r="GA99" s="13" t="s">
        <v>806</v>
      </c>
      <c r="GB99" s="13" t="s">
        <v>806</v>
      </c>
      <c r="GE99" s="13" t="s">
        <v>806</v>
      </c>
      <c r="GF99" s="13" t="s">
        <v>806</v>
      </c>
      <c r="GH99" s="13" t="s">
        <v>806</v>
      </c>
    </row>
    <row r="100" spans="1:190" ht="12.75" customHeight="1" x14ac:dyDescent="0.25">
      <c r="A100" s="1" t="s">
        <v>362</v>
      </c>
      <c r="B100" s="1" t="s">
        <v>650</v>
      </c>
      <c r="C100" s="1" t="s">
        <v>659</v>
      </c>
      <c r="D100" s="1" t="s">
        <v>683</v>
      </c>
      <c r="E100" s="1" t="s">
        <v>127</v>
      </c>
      <c r="F100" s="1">
        <v>0</v>
      </c>
      <c r="G100" s="1">
        <v>2025</v>
      </c>
      <c r="H100" s="1">
        <v>1</v>
      </c>
      <c r="I100" s="1">
        <v>0</v>
      </c>
      <c r="J100" s="1">
        <v>0</v>
      </c>
      <c r="K10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16.337199999999999</v>
      </c>
      <c r="M10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94.512</v>
      </c>
      <c r="N100" s="19">
        <v>55.835999999999999</v>
      </c>
      <c r="O100" s="19">
        <v>27.192000000000004</v>
      </c>
      <c r="P100" s="19">
        <v>94.512</v>
      </c>
      <c r="Q100" s="19">
        <v>5.5836000000000006</v>
      </c>
      <c r="R100" s="19">
        <v>0</v>
      </c>
      <c r="S100" s="19">
        <v>37.8048</v>
      </c>
      <c r="T100" s="19">
        <v>55.835999999999999</v>
      </c>
      <c r="U100" s="19">
        <v>27.192000000000004</v>
      </c>
      <c r="V100" s="19">
        <v>94.512</v>
      </c>
      <c r="W100" s="19">
        <v>5.5836000000000006</v>
      </c>
      <c r="X100" s="19">
        <v>0</v>
      </c>
      <c r="Y100" s="19">
        <v>37.8048</v>
      </c>
      <c r="Z100" s="19">
        <v>7.4447999999999999</v>
      </c>
      <c r="AA100" s="19">
        <v>0</v>
      </c>
      <c r="AB100" s="19">
        <v>21.2652</v>
      </c>
      <c r="AC100" s="19">
        <v>53.974800000000002</v>
      </c>
      <c r="AD100" s="19">
        <v>28.551600000000001</v>
      </c>
      <c r="AE100" s="19">
        <v>85.0608</v>
      </c>
      <c r="AF100" s="19">
        <v>13.0284</v>
      </c>
      <c r="AG100" s="19">
        <v>2.7192000000000003</v>
      </c>
      <c r="AH100" s="19">
        <v>28.3536</v>
      </c>
      <c r="AI100" s="19">
        <v>48.391199999999998</v>
      </c>
      <c r="AJ100" s="19">
        <v>24.472799999999999</v>
      </c>
      <c r="AK100" s="19">
        <v>80.3352</v>
      </c>
      <c r="AL100" s="19">
        <v>13.0284</v>
      </c>
      <c r="AM100" s="19">
        <v>2.7192000000000003</v>
      </c>
      <c r="AN100" s="19">
        <v>28.3536</v>
      </c>
      <c r="AO100" s="19">
        <v>48.391199999999998</v>
      </c>
      <c r="AP100" s="19">
        <v>24.472799999999999</v>
      </c>
      <c r="AQ100" s="19">
        <v>80.3352</v>
      </c>
      <c r="AR100" s="19">
        <v>1.8612</v>
      </c>
      <c r="AS100" s="19">
        <v>0</v>
      </c>
      <c r="AT100" s="19">
        <v>14.1768</v>
      </c>
      <c r="AU100" s="19">
        <v>59.558399999999999</v>
      </c>
      <c r="AV100" s="19">
        <v>32.630400000000002</v>
      </c>
      <c r="AW100" s="19">
        <v>85.0608</v>
      </c>
      <c r="AX100" s="19">
        <v>0</v>
      </c>
      <c r="AY100" s="19">
        <v>0</v>
      </c>
      <c r="AZ100" s="19">
        <v>0</v>
      </c>
      <c r="BA100" s="19">
        <v>61.419600000000003</v>
      </c>
      <c r="BB100" s="19">
        <v>40.787999999999997</v>
      </c>
      <c r="BC100" s="19">
        <v>85.0608</v>
      </c>
      <c r="BD100" s="19">
        <v>0</v>
      </c>
      <c r="BE100" s="19">
        <v>0</v>
      </c>
      <c r="BF100" s="19">
        <v>0</v>
      </c>
      <c r="BG100" s="19">
        <v>61.419600000000003</v>
      </c>
      <c r="BH100" s="19">
        <v>40.787999999999997</v>
      </c>
      <c r="BI100" s="19">
        <v>85.0608</v>
      </c>
      <c r="BJ100" s="19">
        <v>0</v>
      </c>
      <c r="BK100" s="19">
        <v>0</v>
      </c>
      <c r="BL100" s="19">
        <v>0</v>
      </c>
      <c r="BM100" s="19">
        <v>61.419600000000003</v>
      </c>
      <c r="BN100" s="19">
        <v>40.787999999999997</v>
      </c>
      <c r="BO100" s="19">
        <v>85.0608</v>
      </c>
      <c r="BP100" s="19"/>
      <c r="BQ10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45.0824</v>
      </c>
      <c r="BS10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85.0608</v>
      </c>
      <c r="BT100" s="11">
        <f>Tabelle5897112140[[#This Row],[Mindestauslastung min]]*Tabelle5897112140[[#This Row],[installierte Leistung MW min]]</f>
        <v>6.7980000000000009</v>
      </c>
      <c r="BU100" s="11">
        <f>Tabelle5897112140[[#This Row],[Mindestauslastung durch]]*Tabelle5897112140[[#This Row],[installierte Leistung MW durch]]</f>
        <v>9.3060000000000009</v>
      </c>
      <c r="BV100" s="11">
        <f>Tabelle5897112140[[#This Row],[Mindestauslastung max]]*Tabelle5897112140[[#This Row],[installierte Leistung MW max]]</f>
        <v>11.814</v>
      </c>
      <c r="BW100" s="9">
        <v>0.05</v>
      </c>
      <c r="BX100" s="9">
        <v>0.05</v>
      </c>
      <c r="BY100" s="9">
        <v>0.05</v>
      </c>
      <c r="BZ100" s="9"/>
      <c r="CA100" s="9">
        <v>0.3</v>
      </c>
      <c r="CB100" s="9">
        <v>0.2</v>
      </c>
      <c r="CC100" s="9">
        <v>0.4</v>
      </c>
      <c r="CD100" s="9">
        <v>0.3</v>
      </c>
      <c r="CE100" s="9">
        <v>0.2</v>
      </c>
      <c r="CF100" s="9">
        <v>0.4</v>
      </c>
      <c r="CG100" s="9">
        <v>0.04</v>
      </c>
      <c r="CH100" s="9">
        <v>0</v>
      </c>
      <c r="CI100" s="9">
        <v>0.09</v>
      </c>
      <c r="CJ100" s="9">
        <v>7.0000000000000007E-2</v>
      </c>
      <c r="CK100" s="9">
        <v>0.02</v>
      </c>
      <c r="CL100" s="9">
        <v>0.12</v>
      </c>
      <c r="CM100" s="9">
        <v>7.0000000000000007E-2</v>
      </c>
      <c r="CN100" s="9">
        <v>0.02</v>
      </c>
      <c r="CO100" s="9">
        <v>0.12</v>
      </c>
      <c r="CP100" s="9">
        <v>0.01</v>
      </c>
      <c r="CQ100" s="9">
        <v>0</v>
      </c>
      <c r="CR100" s="9">
        <v>0.06</v>
      </c>
      <c r="CS100" s="9">
        <v>0</v>
      </c>
      <c r="CT100" s="9">
        <v>0</v>
      </c>
      <c r="CU100" s="9">
        <v>0</v>
      </c>
      <c r="CV100" s="9">
        <v>0</v>
      </c>
      <c r="CW100" s="9">
        <v>0</v>
      </c>
      <c r="CX100" s="9">
        <v>0</v>
      </c>
      <c r="CY100" s="9">
        <v>0</v>
      </c>
      <c r="CZ100" s="9">
        <v>0</v>
      </c>
      <c r="DA100" s="9">
        <v>0</v>
      </c>
      <c r="DB100" s="9">
        <f>MIN(Tabelle5897112140[[#This Row],[Durchschnittsauslastung durch Sommer WTT]:[Durchschnittsauslastung max Winter SFN]])</f>
        <v>0</v>
      </c>
      <c r="DC10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0" s="9">
        <f>MAX(Tabelle5897112140[[#This Row],[Durchschnittsauslastung durch Sommer WTT]:[Durchschnittsauslastung max Winter SFN]])</f>
        <v>0.4</v>
      </c>
      <c r="DE100" s="40">
        <f>Tabelle5897112140[[#This Row],[Durchschnittsauslastung min]]*Tabelle5897112140[[#This Row],[installierte Leistung MW min]]</f>
        <v>0</v>
      </c>
      <c r="DF100" s="40">
        <f>Tabelle5897112140[[#This Row],[Durchschnittsauslastung durch]]*Tabelle5897112140[[#This Row],[installierte Leistung MW durch]]</f>
        <v>16.337200000000003</v>
      </c>
      <c r="DG100" s="40">
        <f>Tabelle5897112140[[#This Row],[Durchschnittsauslastung max]]*Tabelle5897112140[[#This Row],[installierte Leistung MW max]]</f>
        <v>94.512</v>
      </c>
      <c r="DH100" s="46">
        <f>Tabelle5897112140[[#This Row],[Maximalauslastung min]]*Tabelle5897112140[[#This Row],[installierte Leistung MW min]]</f>
        <v>50.305199999999999</v>
      </c>
      <c r="DI100" s="46">
        <f>Tabelle5897112140[[#This Row],[Maximalauslastung durch]]*Tabelle5897112140[[#This Row],[installierte Leistung MW durch]]</f>
        <v>76.309200000000004</v>
      </c>
      <c r="DJ100" s="19">
        <f>Tabelle5897112140[[#This Row],[Maximalauslastung max]]*Tabelle5897112140[[#This Row],[installierte Leistung MW durch]]</f>
        <v>83.754000000000005</v>
      </c>
      <c r="DK100" s="9">
        <v>0.37</v>
      </c>
      <c r="DL100" s="9">
        <v>0.41</v>
      </c>
      <c r="DM100" s="9">
        <v>0.45</v>
      </c>
      <c r="DN100" s="1">
        <v>186.12</v>
      </c>
      <c r="DO100" s="1">
        <v>135.96</v>
      </c>
      <c r="DP100" s="1">
        <v>236.28</v>
      </c>
      <c r="DQ100" s="19"/>
      <c r="DR100" s="19"/>
      <c r="DW100" s="1">
        <v>0.11</v>
      </c>
      <c r="DX100" s="1">
        <v>3.9999999999999987E-2</v>
      </c>
      <c r="DY100" s="1">
        <v>0.18</v>
      </c>
      <c r="EL100" s="1">
        <v>365</v>
      </c>
      <c r="EM100" s="1">
        <v>292</v>
      </c>
      <c r="EN100" s="1">
        <v>438</v>
      </c>
      <c r="EO100" s="11"/>
      <c r="EP100" s="11"/>
      <c r="EQ100" s="11"/>
      <c r="ER100" s="1">
        <v>365</v>
      </c>
      <c r="ES100" s="1">
        <v>292</v>
      </c>
      <c r="ET100" s="1">
        <v>438</v>
      </c>
      <c r="EV100" s="19"/>
      <c r="EW100" s="19"/>
      <c r="EX100" s="19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O100" s="1">
        <v>67</v>
      </c>
      <c r="FP100" s="1">
        <v>67</v>
      </c>
      <c r="FQ100" s="1">
        <v>67</v>
      </c>
      <c r="FR100" s="13" t="s">
        <v>806</v>
      </c>
      <c r="FS100" s="13" t="s">
        <v>806</v>
      </c>
      <c r="FT100" s="13" t="s">
        <v>806</v>
      </c>
      <c r="FU100" s="13"/>
      <c r="FV100" s="13" t="s">
        <v>806</v>
      </c>
      <c r="FW100" s="13" t="s">
        <v>806</v>
      </c>
      <c r="FX100" s="13" t="s">
        <v>806</v>
      </c>
      <c r="FY100" s="13" t="s">
        <v>806</v>
      </c>
      <c r="FZ100" s="13" t="s">
        <v>806</v>
      </c>
      <c r="GA100" s="13" t="s">
        <v>806</v>
      </c>
      <c r="GB100" s="13" t="s">
        <v>806</v>
      </c>
      <c r="GE100" s="13" t="s">
        <v>806</v>
      </c>
      <c r="GF100" s="13" t="s">
        <v>806</v>
      </c>
      <c r="GH100" s="13" t="s">
        <v>806</v>
      </c>
    </row>
    <row r="101" spans="1:190" ht="12.75" customHeight="1" x14ac:dyDescent="0.25">
      <c r="A101" s="1" t="s">
        <v>362</v>
      </c>
      <c r="B101" s="1" t="s">
        <v>650</v>
      </c>
      <c r="C101" s="1" t="s">
        <v>659</v>
      </c>
      <c r="D101" s="1" t="s">
        <v>683</v>
      </c>
      <c r="E101" s="1" t="s">
        <v>127</v>
      </c>
      <c r="F101" s="1">
        <v>0</v>
      </c>
      <c r="G101" s="1">
        <v>2030</v>
      </c>
      <c r="H101" s="1">
        <v>1</v>
      </c>
      <c r="I101" s="1">
        <v>0</v>
      </c>
      <c r="J101" s="1">
        <v>0</v>
      </c>
      <c r="K10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18.936299999999999</v>
      </c>
      <c r="M10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109.54799999999999</v>
      </c>
      <c r="N101" s="19">
        <v>64.718999999999994</v>
      </c>
      <c r="O101" s="19">
        <v>31.518000000000004</v>
      </c>
      <c r="P101" s="19">
        <v>109.54799999999999</v>
      </c>
      <c r="Q101" s="19">
        <v>6.4719000000000007</v>
      </c>
      <c r="R101" s="19">
        <v>0</v>
      </c>
      <c r="S101" s="19">
        <v>43.819200000000002</v>
      </c>
      <c r="T101" s="19">
        <v>64.718999999999994</v>
      </c>
      <c r="U101" s="19">
        <v>31.518000000000004</v>
      </c>
      <c r="V101" s="19">
        <v>109.54799999999999</v>
      </c>
      <c r="W101" s="19">
        <v>6.4719000000000007</v>
      </c>
      <c r="X101" s="19">
        <v>0</v>
      </c>
      <c r="Y101" s="19">
        <v>43.819200000000002</v>
      </c>
      <c r="Z101" s="19">
        <v>8.6291999999999991</v>
      </c>
      <c r="AA101" s="19">
        <v>0</v>
      </c>
      <c r="AB101" s="19">
        <v>24.648299999999999</v>
      </c>
      <c r="AC101" s="19">
        <v>62.561700000000002</v>
      </c>
      <c r="AD101" s="19">
        <v>33.093899999999998</v>
      </c>
      <c r="AE101" s="19">
        <v>98.593199999999996</v>
      </c>
      <c r="AF101" s="19">
        <v>15.101099999999999</v>
      </c>
      <c r="AG101" s="19">
        <v>3.1518000000000002</v>
      </c>
      <c r="AH101" s="19">
        <v>32.864400000000003</v>
      </c>
      <c r="AI101" s="19">
        <v>56.089799999999997</v>
      </c>
      <c r="AJ101" s="19">
        <v>28.366199999999999</v>
      </c>
      <c r="AK101" s="19">
        <v>93.115800000000007</v>
      </c>
      <c r="AL101" s="19">
        <v>15.101099999999999</v>
      </c>
      <c r="AM101" s="19">
        <v>3.1518000000000002</v>
      </c>
      <c r="AN101" s="19">
        <v>32.864400000000003</v>
      </c>
      <c r="AO101" s="19">
        <v>56.089799999999997</v>
      </c>
      <c r="AP101" s="19">
        <v>28.366199999999999</v>
      </c>
      <c r="AQ101" s="19">
        <v>93.115800000000007</v>
      </c>
      <c r="AR101" s="19">
        <v>2.1572999999999998</v>
      </c>
      <c r="AS101" s="19">
        <v>0</v>
      </c>
      <c r="AT101" s="19">
        <v>16.432200000000002</v>
      </c>
      <c r="AU101" s="19">
        <v>69.033599999999993</v>
      </c>
      <c r="AV101" s="19">
        <v>37.821599999999997</v>
      </c>
      <c r="AW101" s="19">
        <v>98.593199999999996</v>
      </c>
      <c r="AX101" s="19">
        <v>0</v>
      </c>
      <c r="AY101" s="19">
        <v>0</v>
      </c>
      <c r="AZ101" s="19">
        <v>0</v>
      </c>
      <c r="BA101" s="19">
        <v>71.190899999999999</v>
      </c>
      <c r="BB101" s="19">
        <v>47.277000000000001</v>
      </c>
      <c r="BC101" s="19">
        <v>98.593199999999996</v>
      </c>
      <c r="BD101" s="19">
        <v>0</v>
      </c>
      <c r="BE101" s="19">
        <v>0</v>
      </c>
      <c r="BF101" s="19">
        <v>0</v>
      </c>
      <c r="BG101" s="19">
        <v>71.190899999999999</v>
      </c>
      <c r="BH101" s="19">
        <v>47.277000000000001</v>
      </c>
      <c r="BI101" s="19">
        <v>98.593199999999996</v>
      </c>
      <c r="BJ101" s="19">
        <v>0</v>
      </c>
      <c r="BK101" s="19">
        <v>0</v>
      </c>
      <c r="BL101" s="19">
        <v>0</v>
      </c>
      <c r="BM101" s="19">
        <v>71.190899999999999</v>
      </c>
      <c r="BN101" s="19">
        <v>47.277000000000001</v>
      </c>
      <c r="BO101" s="19">
        <v>98.593199999999996</v>
      </c>
      <c r="BP101" s="19"/>
      <c r="BQ10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52.254600000000003</v>
      </c>
      <c r="BS10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98.593199999999996</v>
      </c>
      <c r="BT101" s="11">
        <f>Tabelle5897112140[[#This Row],[Mindestauslastung min]]*Tabelle5897112140[[#This Row],[installierte Leistung MW min]]</f>
        <v>7.8795000000000002</v>
      </c>
      <c r="BU101" s="11">
        <f>Tabelle5897112140[[#This Row],[Mindestauslastung durch]]*Tabelle5897112140[[#This Row],[installierte Leistung MW durch]]</f>
        <v>10.7865</v>
      </c>
      <c r="BV101" s="11">
        <f>Tabelle5897112140[[#This Row],[Mindestauslastung max]]*Tabelle5897112140[[#This Row],[installierte Leistung MW max]]</f>
        <v>13.6935</v>
      </c>
      <c r="BW101" s="9">
        <v>0.05</v>
      </c>
      <c r="BX101" s="9">
        <v>0.05</v>
      </c>
      <c r="BY101" s="9">
        <v>0.05</v>
      </c>
      <c r="BZ101" s="9"/>
      <c r="CA101" s="9">
        <v>0.3</v>
      </c>
      <c r="CB101" s="9">
        <v>0.2</v>
      </c>
      <c r="CC101" s="9">
        <v>0.4</v>
      </c>
      <c r="CD101" s="9">
        <v>0.3</v>
      </c>
      <c r="CE101" s="9">
        <v>0.2</v>
      </c>
      <c r="CF101" s="9">
        <v>0.4</v>
      </c>
      <c r="CG101" s="9">
        <v>0.04</v>
      </c>
      <c r="CH101" s="9">
        <v>0</v>
      </c>
      <c r="CI101" s="9">
        <v>0.09</v>
      </c>
      <c r="CJ101" s="9">
        <v>7.0000000000000007E-2</v>
      </c>
      <c r="CK101" s="9">
        <v>0.02</v>
      </c>
      <c r="CL101" s="9">
        <v>0.12</v>
      </c>
      <c r="CM101" s="9">
        <v>7.0000000000000007E-2</v>
      </c>
      <c r="CN101" s="9">
        <v>0.02</v>
      </c>
      <c r="CO101" s="9">
        <v>0.12</v>
      </c>
      <c r="CP101" s="9">
        <v>0.01</v>
      </c>
      <c r="CQ101" s="9">
        <v>0</v>
      </c>
      <c r="CR101" s="9">
        <v>0.06</v>
      </c>
      <c r="CS101" s="9">
        <v>0</v>
      </c>
      <c r="CT101" s="9">
        <v>0</v>
      </c>
      <c r="CU101" s="9">
        <v>0</v>
      </c>
      <c r="CV101" s="9">
        <v>0</v>
      </c>
      <c r="CW101" s="9">
        <v>0</v>
      </c>
      <c r="CX101" s="9">
        <v>0</v>
      </c>
      <c r="CY101" s="9">
        <v>0</v>
      </c>
      <c r="CZ101" s="9">
        <v>0</v>
      </c>
      <c r="DA101" s="9">
        <v>0</v>
      </c>
      <c r="DB101" s="9">
        <f>MIN(Tabelle5897112140[[#This Row],[Durchschnittsauslastung durch Sommer WTT]:[Durchschnittsauslastung max Winter SFN]])</f>
        <v>0</v>
      </c>
      <c r="DC10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1" s="9">
        <f>MAX(Tabelle5897112140[[#This Row],[Durchschnittsauslastung durch Sommer WTT]:[Durchschnittsauslastung max Winter SFN]])</f>
        <v>0.4</v>
      </c>
      <c r="DE101" s="40">
        <f>Tabelle5897112140[[#This Row],[Durchschnittsauslastung min]]*Tabelle5897112140[[#This Row],[installierte Leistung MW min]]</f>
        <v>0</v>
      </c>
      <c r="DF101" s="40">
        <f>Tabelle5897112140[[#This Row],[Durchschnittsauslastung durch]]*Tabelle5897112140[[#This Row],[installierte Leistung MW durch]]</f>
        <v>18.936300000000003</v>
      </c>
      <c r="DG101" s="40">
        <f>Tabelle5897112140[[#This Row],[Durchschnittsauslastung max]]*Tabelle5897112140[[#This Row],[installierte Leistung MW max]]</f>
        <v>109.548</v>
      </c>
      <c r="DH101" s="46">
        <f>Tabelle5897112140[[#This Row],[Maximalauslastung min]]*Tabelle5897112140[[#This Row],[installierte Leistung MW min]]</f>
        <v>58.308300000000003</v>
      </c>
      <c r="DI101" s="46">
        <f>Tabelle5897112140[[#This Row],[Maximalauslastung durch]]*Tabelle5897112140[[#This Row],[installierte Leistung MW durch]]</f>
        <v>88.449299999999994</v>
      </c>
      <c r="DJ101" s="19">
        <f>Tabelle5897112140[[#This Row],[Maximalauslastung max]]*Tabelle5897112140[[#This Row],[installierte Leistung MW durch]]</f>
        <v>97.078499999999991</v>
      </c>
      <c r="DK101" s="9">
        <v>0.37</v>
      </c>
      <c r="DL101" s="9">
        <v>0.41</v>
      </c>
      <c r="DM101" s="9">
        <v>0.45</v>
      </c>
      <c r="DN101" s="1">
        <v>215.73</v>
      </c>
      <c r="DO101" s="1">
        <v>157.59</v>
      </c>
      <c r="DP101" s="1">
        <v>273.87</v>
      </c>
      <c r="DQ101" s="19"/>
      <c r="DR101" s="19"/>
      <c r="DW101" s="1">
        <v>0.11</v>
      </c>
      <c r="DX101" s="1">
        <v>3.9999999999999987E-2</v>
      </c>
      <c r="DY101" s="1">
        <v>0.18</v>
      </c>
      <c r="EL101" s="1">
        <v>365</v>
      </c>
      <c r="EM101" s="1">
        <v>292</v>
      </c>
      <c r="EN101" s="1">
        <v>438</v>
      </c>
      <c r="EO101" s="11"/>
      <c r="EP101" s="11"/>
      <c r="EQ101" s="11"/>
      <c r="ER101" s="1">
        <v>365</v>
      </c>
      <c r="ES101" s="1">
        <v>292</v>
      </c>
      <c r="ET101" s="1">
        <v>438</v>
      </c>
      <c r="EV101" s="19"/>
      <c r="EW101" s="19"/>
      <c r="EX101" s="19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O101" s="1">
        <v>67</v>
      </c>
      <c r="FP101" s="1">
        <v>67</v>
      </c>
      <c r="FQ101" s="1">
        <v>67</v>
      </c>
      <c r="FR101" s="13" t="s">
        <v>806</v>
      </c>
      <c r="FS101" s="13" t="s">
        <v>806</v>
      </c>
      <c r="FT101" s="13" t="s">
        <v>806</v>
      </c>
      <c r="FU101" s="13"/>
      <c r="FV101" s="13" t="s">
        <v>806</v>
      </c>
      <c r="FW101" s="13" t="s">
        <v>806</v>
      </c>
      <c r="FX101" s="13" t="s">
        <v>806</v>
      </c>
      <c r="FY101" s="13" t="s">
        <v>806</v>
      </c>
      <c r="FZ101" s="13" t="s">
        <v>806</v>
      </c>
      <c r="GA101" s="13" t="s">
        <v>806</v>
      </c>
      <c r="GB101" s="13" t="s">
        <v>806</v>
      </c>
      <c r="GE101" s="13" t="s">
        <v>806</v>
      </c>
      <c r="GF101" s="13" t="s">
        <v>806</v>
      </c>
      <c r="GH101" s="13" t="s">
        <v>806</v>
      </c>
    </row>
    <row r="102" spans="1:190" ht="12.75" customHeight="1" x14ac:dyDescent="0.25">
      <c r="A102" s="1" t="s">
        <v>362</v>
      </c>
      <c r="B102" s="1" t="s">
        <v>650</v>
      </c>
      <c r="C102" s="1" t="s">
        <v>659</v>
      </c>
      <c r="D102" s="1" t="s">
        <v>683</v>
      </c>
      <c r="E102" s="1" t="s">
        <v>127</v>
      </c>
      <c r="F102" s="1">
        <v>0</v>
      </c>
      <c r="G102" s="1">
        <v>2035</v>
      </c>
      <c r="H102" s="1">
        <v>1</v>
      </c>
      <c r="I102" s="1">
        <v>0</v>
      </c>
      <c r="J102" s="1">
        <v>0</v>
      </c>
      <c r="K10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22.030466666666669</v>
      </c>
      <c r="M10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127.44799999999999</v>
      </c>
      <c r="N102" s="19">
        <v>75.293999999999997</v>
      </c>
      <c r="O102" s="19">
        <v>36.668000000000006</v>
      </c>
      <c r="P102" s="19">
        <v>127.44799999999999</v>
      </c>
      <c r="Q102" s="19">
        <v>7.5294000000000008</v>
      </c>
      <c r="R102" s="19">
        <v>0</v>
      </c>
      <c r="S102" s="19">
        <v>50.979199999999999</v>
      </c>
      <c r="T102" s="19">
        <v>75.293999999999997</v>
      </c>
      <c r="U102" s="19">
        <v>36.668000000000006</v>
      </c>
      <c r="V102" s="19">
        <v>127.44799999999999</v>
      </c>
      <c r="W102" s="19">
        <v>7.5294000000000008</v>
      </c>
      <c r="X102" s="19">
        <v>0</v>
      </c>
      <c r="Y102" s="19">
        <v>50.979199999999999</v>
      </c>
      <c r="Z102" s="19">
        <v>10.039199999999999</v>
      </c>
      <c r="AA102" s="19">
        <v>0</v>
      </c>
      <c r="AB102" s="19">
        <v>28.675799999999999</v>
      </c>
      <c r="AC102" s="19">
        <v>72.784199999999998</v>
      </c>
      <c r="AD102" s="19">
        <v>38.501399999999997</v>
      </c>
      <c r="AE102" s="19">
        <v>114.7032</v>
      </c>
      <c r="AF102" s="19">
        <v>17.5686</v>
      </c>
      <c r="AG102" s="19">
        <v>3.6668000000000003</v>
      </c>
      <c r="AH102" s="19">
        <v>38.234400000000001</v>
      </c>
      <c r="AI102" s="19">
        <v>65.254799999999989</v>
      </c>
      <c r="AJ102" s="19">
        <v>33.001199999999997</v>
      </c>
      <c r="AK102" s="19">
        <v>108.3308</v>
      </c>
      <c r="AL102" s="19">
        <v>17.5686</v>
      </c>
      <c r="AM102" s="19">
        <v>3.6668000000000003</v>
      </c>
      <c r="AN102" s="19">
        <v>38.234400000000001</v>
      </c>
      <c r="AO102" s="19">
        <v>65.254799999999989</v>
      </c>
      <c r="AP102" s="19">
        <v>33.001199999999997</v>
      </c>
      <c r="AQ102" s="19">
        <v>108.3308</v>
      </c>
      <c r="AR102" s="19">
        <v>2.5097999999999998</v>
      </c>
      <c r="AS102" s="19">
        <v>0</v>
      </c>
      <c r="AT102" s="19">
        <v>19.1172</v>
      </c>
      <c r="AU102" s="19">
        <v>80.313599999999994</v>
      </c>
      <c r="AV102" s="19">
        <v>44.001599999999996</v>
      </c>
      <c r="AW102" s="19">
        <v>114.7032</v>
      </c>
      <c r="AX102" s="19">
        <v>0</v>
      </c>
      <c r="AY102" s="19">
        <v>0</v>
      </c>
      <c r="AZ102" s="19">
        <v>0</v>
      </c>
      <c r="BA102" s="19">
        <v>82.823400000000007</v>
      </c>
      <c r="BB102" s="19">
        <v>55.001999999999995</v>
      </c>
      <c r="BC102" s="19">
        <v>114.7032</v>
      </c>
      <c r="BD102" s="19">
        <v>0</v>
      </c>
      <c r="BE102" s="19">
        <v>0</v>
      </c>
      <c r="BF102" s="19">
        <v>0</v>
      </c>
      <c r="BG102" s="19">
        <v>82.823400000000007</v>
      </c>
      <c r="BH102" s="19">
        <v>55.001999999999995</v>
      </c>
      <c r="BI102" s="19">
        <v>114.7032</v>
      </c>
      <c r="BJ102" s="19">
        <v>0</v>
      </c>
      <c r="BK102" s="19">
        <v>0</v>
      </c>
      <c r="BL102" s="19">
        <v>0</v>
      </c>
      <c r="BM102" s="19">
        <v>82.823400000000007</v>
      </c>
      <c r="BN102" s="19">
        <v>55.001999999999995</v>
      </c>
      <c r="BO102" s="19">
        <v>114.7032</v>
      </c>
      <c r="BP102" s="19"/>
      <c r="BQ10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60.79293333333333</v>
      </c>
      <c r="BS10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114.7032</v>
      </c>
      <c r="BT102" s="11">
        <f>Tabelle5897112140[[#This Row],[Mindestauslastung min]]*Tabelle5897112140[[#This Row],[installierte Leistung MW min]]</f>
        <v>9.1669999999999998</v>
      </c>
      <c r="BU102" s="11">
        <f>Tabelle5897112140[[#This Row],[Mindestauslastung durch]]*Tabelle5897112140[[#This Row],[installierte Leistung MW durch]]</f>
        <v>12.548999999999999</v>
      </c>
      <c r="BV102" s="11">
        <f>Tabelle5897112140[[#This Row],[Mindestauslastung max]]*Tabelle5897112140[[#This Row],[installierte Leistung MW max]]</f>
        <v>15.931000000000001</v>
      </c>
      <c r="BW102" s="9">
        <v>0.05</v>
      </c>
      <c r="BX102" s="9">
        <v>0.05</v>
      </c>
      <c r="BY102" s="9">
        <v>0.05</v>
      </c>
      <c r="BZ102" s="9"/>
      <c r="CA102" s="9">
        <v>0.3</v>
      </c>
      <c r="CB102" s="9">
        <v>0.2</v>
      </c>
      <c r="CC102" s="9">
        <v>0.4</v>
      </c>
      <c r="CD102" s="9">
        <v>0.3</v>
      </c>
      <c r="CE102" s="9">
        <v>0.2</v>
      </c>
      <c r="CF102" s="9">
        <v>0.4</v>
      </c>
      <c r="CG102" s="9">
        <v>0.04</v>
      </c>
      <c r="CH102" s="9">
        <v>0</v>
      </c>
      <c r="CI102" s="9">
        <v>0.09</v>
      </c>
      <c r="CJ102" s="9">
        <v>7.0000000000000007E-2</v>
      </c>
      <c r="CK102" s="9">
        <v>0.02</v>
      </c>
      <c r="CL102" s="9">
        <v>0.12</v>
      </c>
      <c r="CM102" s="9">
        <v>7.0000000000000007E-2</v>
      </c>
      <c r="CN102" s="9">
        <v>0.02</v>
      </c>
      <c r="CO102" s="9">
        <v>0.12</v>
      </c>
      <c r="CP102" s="9">
        <v>0.01</v>
      </c>
      <c r="CQ102" s="9">
        <v>0</v>
      </c>
      <c r="CR102" s="9">
        <v>0.06</v>
      </c>
      <c r="CS102" s="9">
        <v>0</v>
      </c>
      <c r="CT102" s="9">
        <v>0</v>
      </c>
      <c r="CU102" s="9">
        <v>0</v>
      </c>
      <c r="CV102" s="9">
        <v>0</v>
      </c>
      <c r="CW102" s="9">
        <v>0</v>
      </c>
      <c r="CX102" s="9">
        <v>0</v>
      </c>
      <c r="CY102" s="9">
        <v>0</v>
      </c>
      <c r="CZ102" s="9">
        <v>0</v>
      </c>
      <c r="DA102" s="9">
        <v>0</v>
      </c>
      <c r="DB102" s="9">
        <f>MIN(Tabelle5897112140[[#This Row],[Durchschnittsauslastung durch Sommer WTT]:[Durchschnittsauslastung max Winter SFN]])</f>
        <v>0</v>
      </c>
      <c r="DC10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2" s="9">
        <f>MAX(Tabelle5897112140[[#This Row],[Durchschnittsauslastung durch Sommer WTT]:[Durchschnittsauslastung max Winter SFN]])</f>
        <v>0.4</v>
      </c>
      <c r="DE102" s="40">
        <f>Tabelle5897112140[[#This Row],[Durchschnittsauslastung min]]*Tabelle5897112140[[#This Row],[installierte Leistung MW min]]</f>
        <v>0</v>
      </c>
      <c r="DF102" s="40">
        <f>Tabelle5897112140[[#This Row],[Durchschnittsauslastung durch]]*Tabelle5897112140[[#This Row],[installierte Leistung MW durch]]</f>
        <v>22.030466666666669</v>
      </c>
      <c r="DG102" s="40">
        <f>Tabelle5897112140[[#This Row],[Durchschnittsauslastung max]]*Tabelle5897112140[[#This Row],[installierte Leistung MW max]]</f>
        <v>127.44800000000001</v>
      </c>
      <c r="DH102" s="46">
        <f>Tabelle5897112140[[#This Row],[Maximalauslastung min]]*Tabelle5897112140[[#This Row],[installierte Leistung MW min]]</f>
        <v>67.835800000000006</v>
      </c>
      <c r="DI102" s="46">
        <f>Tabelle5897112140[[#This Row],[Maximalauslastung durch]]*Tabelle5897112140[[#This Row],[installierte Leistung MW durch]]</f>
        <v>102.90179999999999</v>
      </c>
      <c r="DJ102" s="19">
        <f>Tabelle5897112140[[#This Row],[Maximalauslastung max]]*Tabelle5897112140[[#This Row],[installierte Leistung MW durch]]</f>
        <v>112.941</v>
      </c>
      <c r="DK102" s="9">
        <v>0.37</v>
      </c>
      <c r="DL102" s="9">
        <v>0.41</v>
      </c>
      <c r="DM102" s="9">
        <v>0.45</v>
      </c>
      <c r="DN102" s="1">
        <v>250.98</v>
      </c>
      <c r="DO102" s="1">
        <v>183.34</v>
      </c>
      <c r="DP102" s="1">
        <v>318.62</v>
      </c>
      <c r="DQ102" s="19"/>
      <c r="DR102" s="19"/>
      <c r="DW102" s="1">
        <v>0.11</v>
      </c>
      <c r="DX102" s="1">
        <v>3.9999999999999987E-2</v>
      </c>
      <c r="DY102" s="1">
        <v>0.18</v>
      </c>
      <c r="EL102" s="1">
        <v>365</v>
      </c>
      <c r="EM102" s="1">
        <v>292</v>
      </c>
      <c r="EN102" s="1">
        <v>438</v>
      </c>
      <c r="EO102" s="11"/>
      <c r="EP102" s="11"/>
      <c r="EQ102" s="11"/>
      <c r="ER102" s="1">
        <v>365</v>
      </c>
      <c r="ES102" s="1">
        <v>292</v>
      </c>
      <c r="ET102" s="1">
        <v>438</v>
      </c>
      <c r="EV102" s="19"/>
      <c r="EW102" s="19"/>
      <c r="EX102" s="19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O102" s="1">
        <v>67</v>
      </c>
      <c r="FP102" s="1">
        <v>67</v>
      </c>
      <c r="FQ102" s="1">
        <v>67</v>
      </c>
      <c r="FR102" s="13" t="s">
        <v>806</v>
      </c>
      <c r="FS102" s="13" t="s">
        <v>806</v>
      </c>
      <c r="FT102" s="13" t="s">
        <v>806</v>
      </c>
      <c r="FU102" s="13"/>
      <c r="FV102" s="13" t="s">
        <v>806</v>
      </c>
      <c r="FW102" s="13" t="s">
        <v>806</v>
      </c>
      <c r="FX102" s="13" t="s">
        <v>806</v>
      </c>
      <c r="FY102" s="13" t="s">
        <v>806</v>
      </c>
      <c r="FZ102" s="13" t="s">
        <v>806</v>
      </c>
      <c r="GA102" s="13" t="s">
        <v>806</v>
      </c>
      <c r="GB102" s="13" t="s">
        <v>806</v>
      </c>
      <c r="GE102" s="13" t="s">
        <v>806</v>
      </c>
      <c r="GF102" s="13" t="s">
        <v>806</v>
      </c>
      <c r="GH102" s="13" t="s">
        <v>806</v>
      </c>
    </row>
    <row r="103" spans="1:190" ht="12.75" customHeight="1" x14ac:dyDescent="0.25">
      <c r="A103" s="1" t="s">
        <v>362</v>
      </c>
      <c r="B103" s="1" t="s">
        <v>650</v>
      </c>
      <c r="C103" s="1" t="s">
        <v>659</v>
      </c>
      <c r="D103" s="1" t="s">
        <v>683</v>
      </c>
      <c r="E103" s="1" t="s">
        <v>127</v>
      </c>
      <c r="F103" s="1">
        <v>0</v>
      </c>
      <c r="G103" s="1">
        <v>2040</v>
      </c>
      <c r="H103" s="1">
        <v>1</v>
      </c>
      <c r="I103" s="1">
        <v>0</v>
      </c>
      <c r="J103" s="1">
        <v>0</v>
      </c>
      <c r="K10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25.743466666666663</v>
      </c>
      <c r="M10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148.928</v>
      </c>
      <c r="N103" s="19">
        <v>87.983999999999995</v>
      </c>
      <c r="O103" s="19">
        <v>42.848000000000006</v>
      </c>
      <c r="P103" s="19">
        <v>148.928</v>
      </c>
      <c r="Q103" s="19">
        <v>8.7984000000000009</v>
      </c>
      <c r="R103" s="19">
        <v>0</v>
      </c>
      <c r="S103" s="19">
        <v>59.571200000000005</v>
      </c>
      <c r="T103" s="19">
        <v>87.983999999999995</v>
      </c>
      <c r="U103" s="19">
        <v>42.848000000000006</v>
      </c>
      <c r="V103" s="19">
        <v>148.928</v>
      </c>
      <c r="W103" s="19">
        <v>8.7984000000000009</v>
      </c>
      <c r="X103" s="19">
        <v>0</v>
      </c>
      <c r="Y103" s="19">
        <v>59.571200000000005</v>
      </c>
      <c r="Z103" s="19">
        <v>11.731199999999999</v>
      </c>
      <c r="AA103" s="19">
        <v>0</v>
      </c>
      <c r="AB103" s="19">
        <v>33.508800000000001</v>
      </c>
      <c r="AC103" s="19">
        <v>85.051200000000009</v>
      </c>
      <c r="AD103" s="19">
        <v>44.990400000000001</v>
      </c>
      <c r="AE103" s="19">
        <v>134.0352</v>
      </c>
      <c r="AF103" s="19">
        <v>20.529599999999999</v>
      </c>
      <c r="AG103" s="19">
        <v>4.2848000000000006</v>
      </c>
      <c r="AH103" s="19">
        <v>44.678400000000003</v>
      </c>
      <c r="AI103" s="19">
        <v>76.252799999999993</v>
      </c>
      <c r="AJ103" s="19">
        <v>38.563200000000002</v>
      </c>
      <c r="AK103" s="19">
        <v>126.58880000000001</v>
      </c>
      <c r="AL103" s="19">
        <v>20.529599999999999</v>
      </c>
      <c r="AM103" s="19">
        <v>4.2848000000000006</v>
      </c>
      <c r="AN103" s="19">
        <v>44.678400000000003</v>
      </c>
      <c r="AO103" s="19">
        <v>76.252799999999993</v>
      </c>
      <c r="AP103" s="19">
        <v>38.563200000000002</v>
      </c>
      <c r="AQ103" s="19">
        <v>126.58880000000001</v>
      </c>
      <c r="AR103" s="19">
        <v>2.9327999999999999</v>
      </c>
      <c r="AS103" s="19">
        <v>0</v>
      </c>
      <c r="AT103" s="19">
        <v>22.339200000000002</v>
      </c>
      <c r="AU103" s="19">
        <v>93.849599999999995</v>
      </c>
      <c r="AV103" s="19">
        <v>51.4176</v>
      </c>
      <c r="AW103" s="19">
        <v>134.0352</v>
      </c>
      <c r="AX103" s="19">
        <v>0</v>
      </c>
      <c r="AY103" s="19">
        <v>0</v>
      </c>
      <c r="AZ103" s="19">
        <v>0</v>
      </c>
      <c r="BA103" s="19">
        <v>96.78240000000001</v>
      </c>
      <c r="BB103" s="19">
        <v>64.272000000000006</v>
      </c>
      <c r="BC103" s="19">
        <v>134.0352</v>
      </c>
      <c r="BD103" s="19">
        <v>0</v>
      </c>
      <c r="BE103" s="19">
        <v>0</v>
      </c>
      <c r="BF103" s="19">
        <v>0</v>
      </c>
      <c r="BG103" s="19">
        <v>96.78240000000001</v>
      </c>
      <c r="BH103" s="19">
        <v>64.272000000000006</v>
      </c>
      <c r="BI103" s="19">
        <v>134.0352</v>
      </c>
      <c r="BJ103" s="19">
        <v>0</v>
      </c>
      <c r="BK103" s="19">
        <v>0</v>
      </c>
      <c r="BL103" s="19">
        <v>0</v>
      </c>
      <c r="BM103" s="19">
        <v>96.78240000000001</v>
      </c>
      <c r="BN103" s="19">
        <v>64.272000000000006</v>
      </c>
      <c r="BO103" s="19">
        <v>134.0352</v>
      </c>
      <c r="BP103" s="19"/>
      <c r="BQ10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71.038933333333333</v>
      </c>
      <c r="BS10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134.0352</v>
      </c>
      <c r="BT103" s="11">
        <f>Tabelle5897112140[[#This Row],[Mindestauslastung min]]*Tabelle5897112140[[#This Row],[installierte Leistung MW min]]</f>
        <v>10.712000000000002</v>
      </c>
      <c r="BU103" s="11">
        <f>Tabelle5897112140[[#This Row],[Mindestauslastung durch]]*Tabelle5897112140[[#This Row],[installierte Leistung MW durch]]</f>
        <v>14.664</v>
      </c>
      <c r="BV103" s="11">
        <f>Tabelle5897112140[[#This Row],[Mindestauslastung max]]*Tabelle5897112140[[#This Row],[installierte Leistung MW max]]</f>
        <v>18.616</v>
      </c>
      <c r="BW103" s="9">
        <v>0.05</v>
      </c>
      <c r="BX103" s="9">
        <v>0.05</v>
      </c>
      <c r="BY103" s="9">
        <v>0.05</v>
      </c>
      <c r="BZ103" s="9"/>
      <c r="CA103" s="9">
        <v>0.3</v>
      </c>
      <c r="CB103" s="9">
        <v>0.2</v>
      </c>
      <c r="CC103" s="9">
        <v>0.4</v>
      </c>
      <c r="CD103" s="9">
        <v>0.3</v>
      </c>
      <c r="CE103" s="9">
        <v>0.2</v>
      </c>
      <c r="CF103" s="9">
        <v>0.4</v>
      </c>
      <c r="CG103" s="9">
        <v>0.04</v>
      </c>
      <c r="CH103" s="9">
        <v>0</v>
      </c>
      <c r="CI103" s="9">
        <v>0.09</v>
      </c>
      <c r="CJ103" s="9">
        <v>7.0000000000000007E-2</v>
      </c>
      <c r="CK103" s="9">
        <v>0.02</v>
      </c>
      <c r="CL103" s="9">
        <v>0.12</v>
      </c>
      <c r="CM103" s="9">
        <v>7.0000000000000007E-2</v>
      </c>
      <c r="CN103" s="9">
        <v>0.02</v>
      </c>
      <c r="CO103" s="9">
        <v>0.12</v>
      </c>
      <c r="CP103" s="9">
        <v>0.01</v>
      </c>
      <c r="CQ103" s="9">
        <v>0</v>
      </c>
      <c r="CR103" s="9">
        <v>0.06</v>
      </c>
      <c r="CS103" s="9">
        <v>0</v>
      </c>
      <c r="CT103" s="9">
        <v>0</v>
      </c>
      <c r="CU103" s="9">
        <v>0</v>
      </c>
      <c r="CV103" s="9">
        <v>0</v>
      </c>
      <c r="CW103" s="9">
        <v>0</v>
      </c>
      <c r="CX103" s="9">
        <v>0</v>
      </c>
      <c r="CY103" s="9">
        <v>0</v>
      </c>
      <c r="CZ103" s="9">
        <v>0</v>
      </c>
      <c r="DA103" s="9">
        <v>0</v>
      </c>
      <c r="DB103" s="9">
        <f>MIN(Tabelle5897112140[[#This Row],[Durchschnittsauslastung durch Sommer WTT]:[Durchschnittsauslastung max Winter SFN]])</f>
        <v>0</v>
      </c>
      <c r="DC10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3" s="9">
        <f>MAX(Tabelle5897112140[[#This Row],[Durchschnittsauslastung durch Sommer WTT]:[Durchschnittsauslastung max Winter SFN]])</f>
        <v>0.4</v>
      </c>
      <c r="DE103" s="40">
        <f>Tabelle5897112140[[#This Row],[Durchschnittsauslastung min]]*Tabelle5897112140[[#This Row],[installierte Leistung MW min]]</f>
        <v>0</v>
      </c>
      <c r="DF103" s="40">
        <f>Tabelle5897112140[[#This Row],[Durchschnittsauslastung durch]]*Tabelle5897112140[[#This Row],[installierte Leistung MW durch]]</f>
        <v>25.743466666666666</v>
      </c>
      <c r="DG103" s="40">
        <f>Tabelle5897112140[[#This Row],[Durchschnittsauslastung max]]*Tabelle5897112140[[#This Row],[installierte Leistung MW max]]</f>
        <v>148.928</v>
      </c>
      <c r="DH103" s="46">
        <f>Tabelle5897112140[[#This Row],[Maximalauslastung min]]*Tabelle5897112140[[#This Row],[installierte Leistung MW min]]</f>
        <v>79.268799999999999</v>
      </c>
      <c r="DI103" s="46">
        <f>Tabelle5897112140[[#This Row],[Maximalauslastung durch]]*Tabelle5897112140[[#This Row],[installierte Leistung MW durch]]</f>
        <v>120.24479999999998</v>
      </c>
      <c r="DJ103" s="19">
        <f>Tabelle5897112140[[#This Row],[Maximalauslastung max]]*Tabelle5897112140[[#This Row],[installierte Leistung MW durch]]</f>
        <v>131.976</v>
      </c>
      <c r="DK103" s="9">
        <v>0.37</v>
      </c>
      <c r="DL103" s="9">
        <v>0.41</v>
      </c>
      <c r="DM103" s="9">
        <v>0.45</v>
      </c>
      <c r="DN103" s="1">
        <v>293.27999999999997</v>
      </c>
      <c r="DO103" s="1">
        <v>214.24</v>
      </c>
      <c r="DP103" s="1">
        <v>372.32</v>
      </c>
      <c r="DQ103" s="19"/>
      <c r="DR103" s="19"/>
      <c r="DW103" s="1">
        <v>0.11</v>
      </c>
      <c r="DX103" s="1">
        <v>3.9999999999999987E-2</v>
      </c>
      <c r="DY103" s="1">
        <v>0.18</v>
      </c>
      <c r="EL103" s="1">
        <v>365</v>
      </c>
      <c r="EM103" s="1">
        <v>292</v>
      </c>
      <c r="EN103" s="1">
        <v>438</v>
      </c>
      <c r="EO103" s="11"/>
      <c r="EP103" s="11"/>
      <c r="EQ103" s="11"/>
      <c r="ER103" s="1">
        <v>365</v>
      </c>
      <c r="ES103" s="1">
        <v>292</v>
      </c>
      <c r="ET103" s="1">
        <v>438</v>
      </c>
      <c r="EV103" s="19"/>
      <c r="EW103" s="19"/>
      <c r="EX103" s="19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O103" s="1">
        <v>67</v>
      </c>
      <c r="FP103" s="1">
        <v>67</v>
      </c>
      <c r="FQ103" s="1">
        <v>67</v>
      </c>
      <c r="FR103" s="13" t="s">
        <v>806</v>
      </c>
      <c r="FS103" s="13" t="s">
        <v>806</v>
      </c>
      <c r="FT103" s="13" t="s">
        <v>806</v>
      </c>
      <c r="FU103" s="13"/>
      <c r="FV103" s="13" t="s">
        <v>806</v>
      </c>
      <c r="FW103" s="13" t="s">
        <v>806</v>
      </c>
      <c r="FX103" s="13" t="s">
        <v>806</v>
      </c>
      <c r="FY103" s="13" t="s">
        <v>806</v>
      </c>
      <c r="FZ103" s="13" t="s">
        <v>806</v>
      </c>
      <c r="GA103" s="13" t="s">
        <v>806</v>
      </c>
      <c r="GB103" s="13" t="s">
        <v>806</v>
      </c>
      <c r="GE103" s="13" t="s">
        <v>806</v>
      </c>
      <c r="GF103" s="13" t="s">
        <v>806</v>
      </c>
      <c r="GH103" s="13" t="s">
        <v>806</v>
      </c>
    </row>
    <row r="104" spans="1:190" ht="12.75" customHeight="1" x14ac:dyDescent="0.25">
      <c r="A104" s="1" t="s">
        <v>362</v>
      </c>
      <c r="B104" s="1" t="s">
        <v>650</v>
      </c>
      <c r="C104" s="1" t="s">
        <v>659</v>
      </c>
      <c r="D104" s="1" t="s">
        <v>683</v>
      </c>
      <c r="E104" s="1" t="s">
        <v>127</v>
      </c>
      <c r="F104" s="1">
        <v>0</v>
      </c>
      <c r="G104" s="1">
        <v>2045</v>
      </c>
      <c r="H104" s="1">
        <v>1</v>
      </c>
      <c r="I104" s="1">
        <v>0</v>
      </c>
      <c r="J104" s="1">
        <v>0</v>
      </c>
      <c r="K10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30.322833333333335</v>
      </c>
      <c r="M10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175.42</v>
      </c>
      <c r="N104" s="19">
        <v>103.63500000000001</v>
      </c>
      <c r="O104" s="19">
        <v>50.470000000000006</v>
      </c>
      <c r="P104" s="19">
        <v>175.42</v>
      </c>
      <c r="Q104" s="19">
        <v>10.363500000000002</v>
      </c>
      <c r="R104" s="19">
        <v>0</v>
      </c>
      <c r="S104" s="19">
        <v>70.168000000000006</v>
      </c>
      <c r="T104" s="19">
        <v>103.63500000000001</v>
      </c>
      <c r="U104" s="19">
        <v>50.470000000000006</v>
      </c>
      <c r="V104" s="19">
        <v>175.42</v>
      </c>
      <c r="W104" s="19">
        <v>10.363500000000002</v>
      </c>
      <c r="X104" s="19">
        <v>0</v>
      </c>
      <c r="Y104" s="19">
        <v>70.168000000000006</v>
      </c>
      <c r="Z104" s="19">
        <v>13.818</v>
      </c>
      <c r="AA104" s="19">
        <v>0</v>
      </c>
      <c r="AB104" s="19">
        <v>39.469500000000004</v>
      </c>
      <c r="AC104" s="19">
        <v>100.18050000000001</v>
      </c>
      <c r="AD104" s="19">
        <v>52.993500000000004</v>
      </c>
      <c r="AE104" s="19">
        <v>157.87800000000001</v>
      </c>
      <c r="AF104" s="19">
        <v>24.1815</v>
      </c>
      <c r="AG104" s="19">
        <v>5.0470000000000006</v>
      </c>
      <c r="AH104" s="19">
        <v>52.626000000000005</v>
      </c>
      <c r="AI104" s="19">
        <v>89.816999999999993</v>
      </c>
      <c r="AJ104" s="19">
        <v>45.423000000000002</v>
      </c>
      <c r="AK104" s="19">
        <v>149.107</v>
      </c>
      <c r="AL104" s="19">
        <v>24.1815</v>
      </c>
      <c r="AM104" s="19">
        <v>5.0470000000000006</v>
      </c>
      <c r="AN104" s="19">
        <v>52.626000000000005</v>
      </c>
      <c r="AO104" s="19">
        <v>89.816999999999993</v>
      </c>
      <c r="AP104" s="19">
        <v>45.423000000000002</v>
      </c>
      <c r="AQ104" s="19">
        <v>149.107</v>
      </c>
      <c r="AR104" s="19">
        <v>3.4544999999999999</v>
      </c>
      <c r="AS104" s="19">
        <v>0</v>
      </c>
      <c r="AT104" s="19">
        <v>26.313000000000002</v>
      </c>
      <c r="AU104" s="19">
        <v>110.544</v>
      </c>
      <c r="AV104" s="19">
        <v>60.564</v>
      </c>
      <c r="AW104" s="19">
        <v>157.87800000000001</v>
      </c>
      <c r="AX104" s="19">
        <v>0</v>
      </c>
      <c r="AY104" s="19">
        <v>0</v>
      </c>
      <c r="AZ104" s="19">
        <v>0</v>
      </c>
      <c r="BA104" s="19">
        <v>113.99850000000001</v>
      </c>
      <c r="BB104" s="19">
        <v>75.704999999999998</v>
      </c>
      <c r="BC104" s="19">
        <v>157.87800000000001</v>
      </c>
      <c r="BD104" s="19">
        <v>0</v>
      </c>
      <c r="BE104" s="19">
        <v>0</v>
      </c>
      <c r="BF104" s="19">
        <v>0</v>
      </c>
      <c r="BG104" s="19">
        <v>113.99850000000001</v>
      </c>
      <c r="BH104" s="19">
        <v>75.704999999999998</v>
      </c>
      <c r="BI104" s="19">
        <v>157.87800000000001</v>
      </c>
      <c r="BJ104" s="19">
        <v>0</v>
      </c>
      <c r="BK104" s="19">
        <v>0</v>
      </c>
      <c r="BL104" s="19">
        <v>0</v>
      </c>
      <c r="BM104" s="19">
        <v>113.99850000000001</v>
      </c>
      <c r="BN104" s="19">
        <v>75.704999999999998</v>
      </c>
      <c r="BO104" s="19">
        <v>157.87800000000001</v>
      </c>
      <c r="BP104" s="19"/>
      <c r="BQ10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83.675666666666672</v>
      </c>
      <c r="BS10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157.87800000000001</v>
      </c>
      <c r="BT104" s="11">
        <f>Tabelle5897112140[[#This Row],[Mindestauslastung min]]*Tabelle5897112140[[#This Row],[installierte Leistung MW min]]</f>
        <v>12.6175</v>
      </c>
      <c r="BU104" s="11">
        <f>Tabelle5897112140[[#This Row],[Mindestauslastung durch]]*Tabelle5897112140[[#This Row],[installierte Leistung MW durch]]</f>
        <v>17.272500000000001</v>
      </c>
      <c r="BV104" s="11">
        <f>Tabelle5897112140[[#This Row],[Mindestauslastung max]]*Tabelle5897112140[[#This Row],[installierte Leistung MW max]]</f>
        <v>21.927500000000002</v>
      </c>
      <c r="BW104" s="9">
        <v>0.05</v>
      </c>
      <c r="BX104" s="9">
        <v>0.05</v>
      </c>
      <c r="BY104" s="9">
        <v>0.05</v>
      </c>
      <c r="BZ104" s="9"/>
      <c r="CA104" s="9">
        <v>0.3</v>
      </c>
      <c r="CB104" s="9">
        <v>0.2</v>
      </c>
      <c r="CC104" s="9">
        <v>0.4</v>
      </c>
      <c r="CD104" s="9">
        <v>0.3</v>
      </c>
      <c r="CE104" s="9">
        <v>0.2</v>
      </c>
      <c r="CF104" s="9">
        <v>0.4</v>
      </c>
      <c r="CG104" s="9">
        <v>0.04</v>
      </c>
      <c r="CH104" s="9">
        <v>0</v>
      </c>
      <c r="CI104" s="9">
        <v>0.09</v>
      </c>
      <c r="CJ104" s="9">
        <v>7.0000000000000007E-2</v>
      </c>
      <c r="CK104" s="9">
        <v>0.02</v>
      </c>
      <c r="CL104" s="9">
        <v>0.12</v>
      </c>
      <c r="CM104" s="9">
        <v>7.0000000000000007E-2</v>
      </c>
      <c r="CN104" s="9">
        <v>0.02</v>
      </c>
      <c r="CO104" s="9">
        <v>0.12</v>
      </c>
      <c r="CP104" s="9">
        <v>0.01</v>
      </c>
      <c r="CQ104" s="9">
        <v>0</v>
      </c>
      <c r="CR104" s="9">
        <v>0.06</v>
      </c>
      <c r="CS104" s="9">
        <v>0</v>
      </c>
      <c r="CT104" s="9">
        <v>0</v>
      </c>
      <c r="CU104" s="9">
        <v>0</v>
      </c>
      <c r="CV104" s="9">
        <v>0</v>
      </c>
      <c r="CW104" s="9">
        <v>0</v>
      </c>
      <c r="CX104" s="9">
        <v>0</v>
      </c>
      <c r="CY104" s="9">
        <v>0</v>
      </c>
      <c r="CZ104" s="9">
        <v>0</v>
      </c>
      <c r="DA104" s="9">
        <v>0</v>
      </c>
      <c r="DB104" s="9">
        <f>MIN(Tabelle5897112140[[#This Row],[Durchschnittsauslastung durch Sommer WTT]:[Durchschnittsauslastung max Winter SFN]])</f>
        <v>0</v>
      </c>
      <c r="DC10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4" s="9">
        <f>MAX(Tabelle5897112140[[#This Row],[Durchschnittsauslastung durch Sommer WTT]:[Durchschnittsauslastung max Winter SFN]])</f>
        <v>0.4</v>
      </c>
      <c r="DE104" s="40">
        <f>Tabelle5897112140[[#This Row],[Durchschnittsauslastung min]]*Tabelle5897112140[[#This Row],[installierte Leistung MW min]]</f>
        <v>0</v>
      </c>
      <c r="DF104" s="40">
        <f>Tabelle5897112140[[#This Row],[Durchschnittsauslastung durch]]*Tabelle5897112140[[#This Row],[installierte Leistung MW durch]]</f>
        <v>30.322833333333335</v>
      </c>
      <c r="DG104" s="40">
        <f>Tabelle5897112140[[#This Row],[Durchschnittsauslastung max]]*Tabelle5897112140[[#This Row],[installierte Leistung MW max]]</f>
        <v>175.42000000000002</v>
      </c>
      <c r="DH104" s="46">
        <f>Tabelle5897112140[[#This Row],[Maximalauslastung min]]*Tabelle5897112140[[#This Row],[installierte Leistung MW min]]</f>
        <v>93.369500000000002</v>
      </c>
      <c r="DI104" s="46">
        <f>Tabelle5897112140[[#This Row],[Maximalauslastung durch]]*Tabelle5897112140[[#This Row],[installierte Leistung MW durch]]</f>
        <v>141.63449999999997</v>
      </c>
      <c r="DJ104" s="19">
        <f>Tabelle5897112140[[#This Row],[Maximalauslastung max]]*Tabelle5897112140[[#This Row],[installierte Leistung MW durch]]</f>
        <v>155.45249999999999</v>
      </c>
      <c r="DK104" s="9">
        <v>0.37</v>
      </c>
      <c r="DL104" s="9">
        <v>0.41</v>
      </c>
      <c r="DM104" s="9">
        <v>0.45</v>
      </c>
      <c r="DN104" s="1">
        <v>345.45</v>
      </c>
      <c r="DO104" s="1">
        <v>252.35</v>
      </c>
      <c r="DP104" s="1">
        <v>438.55</v>
      </c>
      <c r="DQ104" s="19"/>
      <c r="DR104" s="19"/>
      <c r="DW104" s="1">
        <v>0.11</v>
      </c>
      <c r="DX104" s="1">
        <v>3.9999999999999987E-2</v>
      </c>
      <c r="DY104" s="1">
        <v>0.18</v>
      </c>
      <c r="EL104" s="1">
        <v>365</v>
      </c>
      <c r="EM104" s="1">
        <v>292</v>
      </c>
      <c r="EN104" s="1">
        <v>438</v>
      </c>
      <c r="EO104" s="11"/>
      <c r="EP104" s="11"/>
      <c r="EQ104" s="11"/>
      <c r="ER104" s="1">
        <v>365</v>
      </c>
      <c r="ES104" s="1">
        <v>292</v>
      </c>
      <c r="ET104" s="1">
        <v>438</v>
      </c>
      <c r="EV104" s="19"/>
      <c r="EW104" s="19"/>
      <c r="EX104" s="19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O104" s="1">
        <v>67</v>
      </c>
      <c r="FP104" s="1">
        <v>67</v>
      </c>
      <c r="FQ104" s="1">
        <v>67</v>
      </c>
      <c r="FR104" s="13" t="s">
        <v>806</v>
      </c>
      <c r="FS104" s="13" t="s">
        <v>806</v>
      </c>
      <c r="FT104" s="13" t="s">
        <v>806</v>
      </c>
      <c r="FU104" s="13"/>
      <c r="FV104" s="13" t="s">
        <v>806</v>
      </c>
      <c r="FW104" s="13" t="s">
        <v>806</v>
      </c>
      <c r="FX104" s="13" t="s">
        <v>806</v>
      </c>
      <c r="FY104" s="13" t="s">
        <v>806</v>
      </c>
      <c r="FZ104" s="13" t="s">
        <v>806</v>
      </c>
      <c r="GA104" s="13" t="s">
        <v>806</v>
      </c>
      <c r="GB104" s="13" t="s">
        <v>806</v>
      </c>
      <c r="GE104" s="13" t="s">
        <v>806</v>
      </c>
      <c r="GF104" s="13" t="s">
        <v>806</v>
      </c>
      <c r="GH104" s="13" t="s">
        <v>806</v>
      </c>
    </row>
    <row r="105" spans="1:190" ht="12.75" customHeight="1" x14ac:dyDescent="0.25">
      <c r="A105" s="1" t="s">
        <v>362</v>
      </c>
      <c r="B105" s="1" t="s">
        <v>650</v>
      </c>
      <c r="C105" s="1" t="s">
        <v>659</v>
      </c>
      <c r="D105" s="1" t="s">
        <v>683</v>
      </c>
      <c r="E105" s="1" t="s">
        <v>127</v>
      </c>
      <c r="F105" s="1">
        <v>0</v>
      </c>
      <c r="G105" s="1">
        <v>2050</v>
      </c>
      <c r="H105" s="1">
        <v>1</v>
      </c>
      <c r="I105" s="1">
        <v>0</v>
      </c>
      <c r="J105" s="1">
        <v>0</v>
      </c>
      <c r="K10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35.892333333333326</v>
      </c>
      <c r="M10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207.64</v>
      </c>
      <c r="N105" s="19">
        <v>122.66999999999999</v>
      </c>
      <c r="O105" s="19">
        <v>59.74</v>
      </c>
      <c r="P105" s="19">
        <v>207.64</v>
      </c>
      <c r="Q105" s="19">
        <v>12.267000000000001</v>
      </c>
      <c r="R105" s="19">
        <v>0</v>
      </c>
      <c r="S105" s="19">
        <v>83.055999999999997</v>
      </c>
      <c r="T105" s="19">
        <v>122.66999999999999</v>
      </c>
      <c r="U105" s="19">
        <v>59.74</v>
      </c>
      <c r="V105" s="19">
        <v>207.64</v>
      </c>
      <c r="W105" s="19">
        <v>12.267000000000001</v>
      </c>
      <c r="X105" s="19">
        <v>0</v>
      </c>
      <c r="Y105" s="19">
        <v>83.055999999999997</v>
      </c>
      <c r="Z105" s="19">
        <v>16.355999999999998</v>
      </c>
      <c r="AA105" s="19">
        <v>0</v>
      </c>
      <c r="AB105" s="19">
        <v>46.718999999999994</v>
      </c>
      <c r="AC105" s="19">
        <v>118.581</v>
      </c>
      <c r="AD105" s="19">
        <v>62.726999999999997</v>
      </c>
      <c r="AE105" s="19">
        <v>186.87599999999998</v>
      </c>
      <c r="AF105" s="19">
        <v>28.622999999999998</v>
      </c>
      <c r="AG105" s="19">
        <v>5.9740000000000002</v>
      </c>
      <c r="AH105" s="19">
        <v>62.292000000000002</v>
      </c>
      <c r="AI105" s="19">
        <v>106.31399999999999</v>
      </c>
      <c r="AJ105" s="19">
        <v>53.765999999999998</v>
      </c>
      <c r="AK105" s="19">
        <v>176.494</v>
      </c>
      <c r="AL105" s="19">
        <v>28.622999999999998</v>
      </c>
      <c r="AM105" s="19">
        <v>5.9740000000000002</v>
      </c>
      <c r="AN105" s="19">
        <v>62.292000000000002</v>
      </c>
      <c r="AO105" s="19">
        <v>106.31399999999999</v>
      </c>
      <c r="AP105" s="19">
        <v>53.765999999999998</v>
      </c>
      <c r="AQ105" s="19">
        <v>176.494</v>
      </c>
      <c r="AR105" s="19">
        <v>4.0889999999999995</v>
      </c>
      <c r="AS105" s="19">
        <v>0</v>
      </c>
      <c r="AT105" s="19">
        <v>31.146000000000001</v>
      </c>
      <c r="AU105" s="19">
        <v>130.84799999999998</v>
      </c>
      <c r="AV105" s="19">
        <v>71.687999999999988</v>
      </c>
      <c r="AW105" s="19">
        <v>186.87599999999998</v>
      </c>
      <c r="AX105" s="19">
        <v>0</v>
      </c>
      <c r="AY105" s="19">
        <v>0</v>
      </c>
      <c r="AZ105" s="19">
        <v>0</v>
      </c>
      <c r="BA105" s="19">
        <v>134.93700000000001</v>
      </c>
      <c r="BB105" s="19">
        <v>89.61</v>
      </c>
      <c r="BC105" s="19">
        <v>186.87599999999998</v>
      </c>
      <c r="BD105" s="19">
        <v>0</v>
      </c>
      <c r="BE105" s="19">
        <v>0</v>
      </c>
      <c r="BF105" s="19">
        <v>0</v>
      </c>
      <c r="BG105" s="19">
        <v>134.93700000000001</v>
      </c>
      <c r="BH105" s="19">
        <v>89.61</v>
      </c>
      <c r="BI105" s="19">
        <v>186.87599999999998</v>
      </c>
      <c r="BJ105" s="19">
        <v>0</v>
      </c>
      <c r="BK105" s="19">
        <v>0</v>
      </c>
      <c r="BL105" s="19">
        <v>0</v>
      </c>
      <c r="BM105" s="19">
        <v>134.93700000000001</v>
      </c>
      <c r="BN105" s="19">
        <v>89.61</v>
      </c>
      <c r="BO105" s="19">
        <v>186.87599999999998</v>
      </c>
      <c r="BP105" s="19"/>
      <c r="BQ10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99.044666666666672</v>
      </c>
      <c r="BS10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186.87599999999998</v>
      </c>
      <c r="BT105" s="11">
        <f>Tabelle5897112140[[#This Row],[Mindestauslastung min]]*Tabelle5897112140[[#This Row],[installierte Leistung MW min]]</f>
        <v>14.935</v>
      </c>
      <c r="BU105" s="11">
        <f>Tabelle5897112140[[#This Row],[Mindestauslastung durch]]*Tabelle5897112140[[#This Row],[installierte Leistung MW durch]]</f>
        <v>20.445</v>
      </c>
      <c r="BV105" s="11">
        <f>Tabelle5897112140[[#This Row],[Mindestauslastung max]]*Tabelle5897112140[[#This Row],[installierte Leistung MW max]]</f>
        <v>25.955000000000002</v>
      </c>
      <c r="BW105" s="9">
        <v>0.05</v>
      </c>
      <c r="BX105" s="9">
        <v>0.05</v>
      </c>
      <c r="BY105" s="9">
        <v>0.05</v>
      </c>
      <c r="BZ105" s="9"/>
      <c r="CA105" s="9">
        <v>0.3</v>
      </c>
      <c r="CB105" s="9">
        <v>0.2</v>
      </c>
      <c r="CC105" s="9">
        <v>0.4</v>
      </c>
      <c r="CD105" s="9">
        <v>0.3</v>
      </c>
      <c r="CE105" s="9">
        <v>0.2</v>
      </c>
      <c r="CF105" s="9">
        <v>0.4</v>
      </c>
      <c r="CG105" s="9">
        <v>0.04</v>
      </c>
      <c r="CH105" s="9">
        <v>0</v>
      </c>
      <c r="CI105" s="9">
        <v>0.09</v>
      </c>
      <c r="CJ105" s="9">
        <v>7.0000000000000007E-2</v>
      </c>
      <c r="CK105" s="9">
        <v>0.02</v>
      </c>
      <c r="CL105" s="9">
        <v>0.12</v>
      </c>
      <c r="CM105" s="9">
        <v>7.0000000000000007E-2</v>
      </c>
      <c r="CN105" s="9">
        <v>0.02</v>
      </c>
      <c r="CO105" s="9">
        <v>0.12</v>
      </c>
      <c r="CP105" s="9">
        <v>0.01</v>
      </c>
      <c r="CQ105" s="9">
        <v>0</v>
      </c>
      <c r="CR105" s="9">
        <v>0.06</v>
      </c>
      <c r="CS105" s="9">
        <v>0</v>
      </c>
      <c r="CT105" s="9">
        <v>0</v>
      </c>
      <c r="CU105" s="9">
        <v>0</v>
      </c>
      <c r="CV105" s="9">
        <v>0</v>
      </c>
      <c r="CW105" s="9">
        <v>0</v>
      </c>
      <c r="CX105" s="9">
        <v>0</v>
      </c>
      <c r="CY105" s="9">
        <v>0</v>
      </c>
      <c r="CZ105" s="9">
        <v>0</v>
      </c>
      <c r="DA105" s="9">
        <v>0</v>
      </c>
      <c r="DB105" s="9">
        <f>MIN(Tabelle5897112140[[#This Row],[Durchschnittsauslastung durch Sommer WTT]:[Durchschnittsauslastung max Winter SFN]])</f>
        <v>0</v>
      </c>
      <c r="DC10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5" s="9">
        <f>MAX(Tabelle5897112140[[#This Row],[Durchschnittsauslastung durch Sommer WTT]:[Durchschnittsauslastung max Winter SFN]])</f>
        <v>0.4</v>
      </c>
      <c r="DE105" s="40">
        <f>Tabelle5897112140[[#This Row],[Durchschnittsauslastung min]]*Tabelle5897112140[[#This Row],[installierte Leistung MW min]]</f>
        <v>0</v>
      </c>
      <c r="DF105" s="40">
        <f>Tabelle5897112140[[#This Row],[Durchschnittsauslastung durch]]*Tabelle5897112140[[#This Row],[installierte Leistung MW durch]]</f>
        <v>35.892333333333333</v>
      </c>
      <c r="DG105" s="40">
        <f>Tabelle5897112140[[#This Row],[Durchschnittsauslastung max]]*Tabelle5897112140[[#This Row],[installierte Leistung MW max]]</f>
        <v>207.64000000000001</v>
      </c>
      <c r="DH105" s="46">
        <f>Tabelle5897112140[[#This Row],[Maximalauslastung min]]*Tabelle5897112140[[#This Row],[installierte Leistung MW min]]</f>
        <v>110.51899999999999</v>
      </c>
      <c r="DI105" s="46">
        <f>Tabelle5897112140[[#This Row],[Maximalauslastung durch]]*Tabelle5897112140[[#This Row],[installierte Leistung MW durch]]</f>
        <v>167.64899999999997</v>
      </c>
      <c r="DJ105" s="19">
        <f>Tabelle5897112140[[#This Row],[Maximalauslastung max]]*Tabelle5897112140[[#This Row],[installierte Leistung MW durch]]</f>
        <v>184.005</v>
      </c>
      <c r="DK105" s="9">
        <v>0.37</v>
      </c>
      <c r="DL105" s="9">
        <v>0.41</v>
      </c>
      <c r="DM105" s="9">
        <v>0.45</v>
      </c>
      <c r="DN105" s="1">
        <v>408.9</v>
      </c>
      <c r="DO105" s="1">
        <v>298.7</v>
      </c>
      <c r="DP105" s="1">
        <v>519.1</v>
      </c>
      <c r="DQ105" s="19"/>
      <c r="DR105" s="19"/>
      <c r="DW105" s="1">
        <v>0.11</v>
      </c>
      <c r="DX105" s="1">
        <v>3.9999999999999987E-2</v>
      </c>
      <c r="DY105" s="1">
        <v>0.18</v>
      </c>
      <c r="EL105" s="1">
        <v>365</v>
      </c>
      <c r="EM105" s="1">
        <v>292</v>
      </c>
      <c r="EN105" s="1">
        <v>438</v>
      </c>
      <c r="EO105" s="11"/>
      <c r="EP105" s="11"/>
      <c r="EQ105" s="11"/>
      <c r="ER105" s="1">
        <v>365</v>
      </c>
      <c r="ES105" s="1">
        <v>292</v>
      </c>
      <c r="ET105" s="1">
        <v>438</v>
      </c>
      <c r="EV105" s="19"/>
      <c r="EW105" s="19"/>
      <c r="EX105" s="19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O105" s="1">
        <v>67</v>
      </c>
      <c r="FP105" s="1">
        <v>67</v>
      </c>
      <c r="FQ105" s="1">
        <v>67</v>
      </c>
      <c r="FR105" s="13" t="s">
        <v>806</v>
      </c>
      <c r="FS105" s="13" t="s">
        <v>806</v>
      </c>
      <c r="FT105" s="13" t="s">
        <v>806</v>
      </c>
      <c r="FU105" s="13"/>
      <c r="FV105" s="13" t="s">
        <v>806</v>
      </c>
      <c r="FW105" s="13" t="s">
        <v>806</v>
      </c>
      <c r="FX105" s="13" t="s">
        <v>806</v>
      </c>
      <c r="FY105" s="13" t="s">
        <v>806</v>
      </c>
      <c r="FZ105" s="13" t="s">
        <v>806</v>
      </c>
      <c r="GA105" s="13" t="s">
        <v>806</v>
      </c>
      <c r="GB105" s="13" t="s">
        <v>806</v>
      </c>
      <c r="GE105" s="13" t="s">
        <v>806</v>
      </c>
      <c r="GF105" s="13" t="s">
        <v>806</v>
      </c>
      <c r="GH105" s="13" t="s">
        <v>806</v>
      </c>
    </row>
    <row r="106" spans="1:190" ht="12.75" customHeight="1" x14ac:dyDescent="0.25">
      <c r="A106" s="1" t="s">
        <v>373</v>
      </c>
      <c r="B106" s="1" t="s">
        <v>747</v>
      </c>
      <c r="C106" s="1" t="s">
        <v>659</v>
      </c>
      <c r="D106" s="1" t="s">
        <v>684</v>
      </c>
      <c r="E106" s="1" t="s">
        <v>127</v>
      </c>
      <c r="F106" s="1">
        <v>0</v>
      </c>
      <c r="G106" s="1">
        <v>2015</v>
      </c>
      <c r="H106" s="1">
        <v>1</v>
      </c>
      <c r="I106" s="1">
        <v>0</v>
      </c>
      <c r="J106" s="1">
        <v>0</v>
      </c>
      <c r="K10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177.84</v>
      </c>
      <c r="L10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285.13333333333338</v>
      </c>
      <c r="M10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388.7</v>
      </c>
      <c r="N106" s="19">
        <v>305.5</v>
      </c>
      <c r="O106" s="19">
        <v>222.3</v>
      </c>
      <c r="P106" s="19">
        <v>388.7</v>
      </c>
      <c r="Q106" s="19">
        <v>164.5</v>
      </c>
      <c r="R106" s="19">
        <v>119.7</v>
      </c>
      <c r="S106" s="19">
        <v>209.3</v>
      </c>
      <c r="T106" s="19">
        <v>305.5</v>
      </c>
      <c r="U106" s="19">
        <v>222.3</v>
      </c>
      <c r="V106" s="19">
        <v>388.7</v>
      </c>
      <c r="W106" s="19">
        <v>164.5</v>
      </c>
      <c r="X106" s="19">
        <v>119.7</v>
      </c>
      <c r="Y106" s="19">
        <v>209.3</v>
      </c>
      <c r="Z106" s="19">
        <v>244.4</v>
      </c>
      <c r="AA106" s="19">
        <v>177.84</v>
      </c>
      <c r="AB106" s="19">
        <v>310.95999999999998</v>
      </c>
      <c r="AC106" s="19">
        <v>225.6</v>
      </c>
      <c r="AD106" s="19">
        <v>164.16</v>
      </c>
      <c r="AE106" s="19">
        <v>287.04000000000002</v>
      </c>
      <c r="AF106" s="19">
        <v>305.5</v>
      </c>
      <c r="AG106" s="19">
        <v>222.3</v>
      </c>
      <c r="AH106" s="19">
        <v>388.7</v>
      </c>
      <c r="AI106" s="19">
        <v>164.5</v>
      </c>
      <c r="AJ106" s="19">
        <v>119.7</v>
      </c>
      <c r="AK106" s="19">
        <v>209.3</v>
      </c>
      <c r="AL106" s="19">
        <v>305.5</v>
      </c>
      <c r="AM106" s="19">
        <v>222.3</v>
      </c>
      <c r="AN106" s="19">
        <v>388.7</v>
      </c>
      <c r="AO106" s="19">
        <v>164.5</v>
      </c>
      <c r="AP106" s="19">
        <v>119.7</v>
      </c>
      <c r="AQ106" s="19">
        <v>209.3</v>
      </c>
      <c r="AR106" s="19">
        <v>244.4</v>
      </c>
      <c r="AS106" s="19">
        <v>177.84</v>
      </c>
      <c r="AT106" s="19">
        <v>310.95999999999998</v>
      </c>
      <c r="AU106" s="19">
        <v>225.6</v>
      </c>
      <c r="AV106" s="19">
        <v>164.16</v>
      </c>
      <c r="AW106" s="19">
        <v>287.04000000000002</v>
      </c>
      <c r="AX106" s="19">
        <v>305.5</v>
      </c>
      <c r="AY106" s="19">
        <v>222.3</v>
      </c>
      <c r="AZ106" s="19">
        <v>388.7</v>
      </c>
      <c r="BA106" s="19">
        <v>164.5</v>
      </c>
      <c r="BB106" s="19">
        <v>119.7</v>
      </c>
      <c r="BC106" s="19">
        <v>209.3</v>
      </c>
      <c r="BD106" s="19">
        <v>305.5</v>
      </c>
      <c r="BE106" s="19">
        <v>222.3</v>
      </c>
      <c r="BF106" s="19">
        <v>388.7</v>
      </c>
      <c r="BG106" s="19">
        <v>164.5</v>
      </c>
      <c r="BH106" s="19">
        <v>119.7</v>
      </c>
      <c r="BI106" s="19">
        <v>209.3</v>
      </c>
      <c r="BJ106" s="19">
        <v>244.4</v>
      </c>
      <c r="BK106" s="19">
        <v>177.84</v>
      </c>
      <c r="BL106" s="19">
        <v>310.95999999999998</v>
      </c>
      <c r="BM106" s="19">
        <v>225.6</v>
      </c>
      <c r="BN106" s="19">
        <v>164.16</v>
      </c>
      <c r="BO106" s="19">
        <v>287.04000000000002</v>
      </c>
      <c r="BP106" s="19"/>
      <c r="BQ10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119.7</v>
      </c>
      <c r="BR10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184.86666666666667</v>
      </c>
      <c r="BS10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287.04000000000002</v>
      </c>
      <c r="BT106" s="11">
        <f>Tabelle5897112140[[#This Row],[Mindestauslastung min]]*Tabelle5897112140[[#This Row],[installierte Leistung MW min]]</f>
        <v>17.100000000000001</v>
      </c>
      <c r="BU106" s="11">
        <f>Tabelle5897112140[[#This Row],[Mindestauslastung durch]]*Tabelle5897112140[[#This Row],[installierte Leistung MW durch]]</f>
        <v>23.5</v>
      </c>
      <c r="BV106" s="11">
        <f>Tabelle5897112140[[#This Row],[Mindestauslastung max]]*Tabelle5897112140[[#This Row],[installierte Leistung MW max]]</f>
        <v>29.900000000000002</v>
      </c>
      <c r="BW106" s="9">
        <v>0.05</v>
      </c>
      <c r="BX106" s="9">
        <v>0.05</v>
      </c>
      <c r="BY106" s="9">
        <v>0.05</v>
      </c>
      <c r="BZ106" s="9"/>
      <c r="CA106" s="9">
        <v>0.65</v>
      </c>
      <c r="CB106" s="9">
        <v>0.65</v>
      </c>
      <c r="CC106" s="9">
        <v>0.65</v>
      </c>
      <c r="CD106" s="9">
        <v>0.65</v>
      </c>
      <c r="CE106" s="9">
        <v>0.65</v>
      </c>
      <c r="CF106" s="9">
        <v>0.65</v>
      </c>
      <c r="CG106" s="9">
        <v>0.52</v>
      </c>
      <c r="CH106" s="9">
        <v>0.52</v>
      </c>
      <c r="CI106" s="9">
        <v>0.52</v>
      </c>
      <c r="CJ106" s="9">
        <v>0.65</v>
      </c>
      <c r="CK106" s="9">
        <v>0.65</v>
      </c>
      <c r="CL106" s="9">
        <v>0.65</v>
      </c>
      <c r="CM106" s="9">
        <v>0.65</v>
      </c>
      <c r="CN106" s="9">
        <v>0.65</v>
      </c>
      <c r="CO106" s="9">
        <v>0.65</v>
      </c>
      <c r="CP106" s="9">
        <v>0.52</v>
      </c>
      <c r="CQ106" s="9">
        <v>0.52</v>
      </c>
      <c r="CR106" s="9">
        <v>0.52</v>
      </c>
      <c r="CS106" s="9">
        <v>0.65</v>
      </c>
      <c r="CT106" s="9">
        <v>0.65</v>
      </c>
      <c r="CU106" s="9">
        <v>0.65</v>
      </c>
      <c r="CV106" s="9">
        <v>0.65</v>
      </c>
      <c r="CW106" s="9">
        <v>0.65</v>
      </c>
      <c r="CX106" s="9">
        <v>0.65</v>
      </c>
      <c r="CY106" s="9">
        <v>0.52</v>
      </c>
      <c r="CZ106" s="9">
        <v>0.52</v>
      </c>
      <c r="DA106" s="9">
        <v>0.52</v>
      </c>
      <c r="DB106" s="9">
        <f>MIN(Tabelle5897112140[[#This Row],[Durchschnittsauslastung durch Sommer WTT]:[Durchschnittsauslastung max Winter SFN]])</f>
        <v>0.52</v>
      </c>
      <c r="DC10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6" s="9">
        <f>MAX(Tabelle5897112140[[#This Row],[Durchschnittsauslastung durch Sommer WTT]:[Durchschnittsauslastung max Winter SFN]])</f>
        <v>0.65</v>
      </c>
      <c r="DE106" s="40">
        <f>Tabelle5897112140[[#This Row],[Durchschnittsauslastung min]]*Tabelle5897112140[[#This Row],[installierte Leistung MW min]]</f>
        <v>177.84</v>
      </c>
      <c r="DF106" s="40">
        <f>Tabelle5897112140[[#This Row],[Durchschnittsauslastung durch]]*Tabelle5897112140[[#This Row],[installierte Leistung MW durch]]</f>
        <v>285.13333333333338</v>
      </c>
      <c r="DG106" s="40">
        <f>Tabelle5897112140[[#This Row],[Durchschnittsauslastung max]]*Tabelle5897112140[[#This Row],[installierte Leistung MW max]]</f>
        <v>388.7</v>
      </c>
      <c r="DH106" s="46">
        <f>Tabelle5897112140[[#This Row],[Maximalauslastung min]]*Tabelle5897112140[[#This Row],[installierte Leistung MW min]]</f>
        <v>126.53999999999999</v>
      </c>
      <c r="DI106" s="46">
        <f>Tabelle5897112140[[#This Row],[Maximalauslastung durch]]*Tabelle5897112140[[#This Row],[installierte Leistung MW durch]]</f>
        <v>192.7</v>
      </c>
      <c r="DJ106" s="19">
        <f>Tabelle5897112140[[#This Row],[Maximalauslastung max]]*Tabelle5897112140[[#This Row],[installierte Leistung MW durch]]</f>
        <v>211.5</v>
      </c>
      <c r="DK106" s="9">
        <v>0.37</v>
      </c>
      <c r="DL106" s="9">
        <v>0.41</v>
      </c>
      <c r="DM106" s="9">
        <v>0.45</v>
      </c>
      <c r="DN106" s="1">
        <v>470</v>
      </c>
      <c r="DO106" s="1">
        <v>342</v>
      </c>
      <c r="DP106" s="1">
        <v>598</v>
      </c>
      <c r="DQ106" s="19"/>
      <c r="DR106" s="19"/>
      <c r="DW106" s="1">
        <v>1.1375</v>
      </c>
      <c r="DX106" s="1">
        <v>1</v>
      </c>
      <c r="DY106" s="1">
        <v>1.9</v>
      </c>
      <c r="EL106" s="1">
        <v>365</v>
      </c>
      <c r="EM106" s="1">
        <v>292</v>
      </c>
      <c r="EN106" s="1">
        <v>438</v>
      </c>
      <c r="EO106" s="11"/>
      <c r="EP106" s="11"/>
      <c r="EQ106" s="11"/>
      <c r="ER106" s="1">
        <v>365</v>
      </c>
      <c r="ES106" s="1">
        <v>292</v>
      </c>
      <c r="ET106" s="1">
        <v>438</v>
      </c>
      <c r="EV106" s="19"/>
      <c r="EW106" s="19"/>
      <c r="EX106" s="19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O106" s="1">
        <v>67</v>
      </c>
      <c r="FP106" s="1">
        <v>67</v>
      </c>
      <c r="FQ106" s="1">
        <v>67</v>
      </c>
      <c r="FR106" s="13" t="s">
        <v>806</v>
      </c>
      <c r="FS106" s="13" t="s">
        <v>806</v>
      </c>
      <c r="FT106" s="13" t="s">
        <v>806</v>
      </c>
      <c r="FU106" s="13"/>
      <c r="FV106" s="13" t="s">
        <v>806</v>
      </c>
      <c r="FW106" s="13" t="s">
        <v>806</v>
      </c>
      <c r="FX106" s="13" t="s">
        <v>806</v>
      </c>
      <c r="FY106" s="13" t="s">
        <v>806</v>
      </c>
      <c r="FZ106" s="13" t="s">
        <v>806</v>
      </c>
      <c r="GA106" s="13" t="s">
        <v>806</v>
      </c>
      <c r="GB106" s="13" t="s">
        <v>806</v>
      </c>
      <c r="GE106" s="13" t="s">
        <v>806</v>
      </c>
      <c r="GF106" s="13" t="s">
        <v>806</v>
      </c>
      <c r="GH106" s="13" t="s">
        <v>806</v>
      </c>
    </row>
    <row r="107" spans="1:190" ht="12.75" customHeight="1" x14ac:dyDescent="0.25">
      <c r="A107" s="1" t="s">
        <v>373</v>
      </c>
      <c r="B107" s="1" t="s">
        <v>747</v>
      </c>
      <c r="C107" s="1" t="s">
        <v>659</v>
      </c>
      <c r="D107" s="1" t="s">
        <v>684</v>
      </c>
      <c r="E107" s="1" t="s">
        <v>127</v>
      </c>
      <c r="F107" s="1">
        <v>0</v>
      </c>
      <c r="G107" s="1">
        <v>2020</v>
      </c>
      <c r="H107" s="1">
        <v>1</v>
      </c>
      <c r="I107" s="1">
        <v>0</v>
      </c>
      <c r="J107" s="1">
        <v>0</v>
      </c>
      <c r="K10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204.51599999999999</v>
      </c>
      <c r="L10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327.90333333333331</v>
      </c>
      <c r="M10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447.00499999999994</v>
      </c>
      <c r="N107" s="19">
        <v>351.32499999999999</v>
      </c>
      <c r="O107" s="19">
        <v>255.64499999999998</v>
      </c>
      <c r="P107" s="19">
        <v>447.00499999999994</v>
      </c>
      <c r="Q107" s="19">
        <v>189.17499999999998</v>
      </c>
      <c r="R107" s="19">
        <v>137.655</v>
      </c>
      <c r="S107" s="19">
        <v>240.69499999999999</v>
      </c>
      <c r="T107" s="19">
        <v>351.32499999999999</v>
      </c>
      <c r="U107" s="19">
        <v>255.64499999999998</v>
      </c>
      <c r="V107" s="19">
        <v>447.00499999999994</v>
      </c>
      <c r="W107" s="19">
        <v>189.17499999999998</v>
      </c>
      <c r="X107" s="19">
        <v>137.655</v>
      </c>
      <c r="Y107" s="19">
        <v>240.69499999999999</v>
      </c>
      <c r="Z107" s="19">
        <v>281.06</v>
      </c>
      <c r="AA107" s="19">
        <v>204.51599999999999</v>
      </c>
      <c r="AB107" s="19">
        <v>357.60399999999993</v>
      </c>
      <c r="AC107" s="19">
        <v>259.44</v>
      </c>
      <c r="AD107" s="19">
        <v>188.78399999999999</v>
      </c>
      <c r="AE107" s="19">
        <v>330.096</v>
      </c>
      <c r="AF107" s="19">
        <v>351.32499999999999</v>
      </c>
      <c r="AG107" s="19">
        <v>255.64499999999998</v>
      </c>
      <c r="AH107" s="19">
        <v>447.00499999999994</v>
      </c>
      <c r="AI107" s="19">
        <v>189.17499999999998</v>
      </c>
      <c r="AJ107" s="19">
        <v>137.655</v>
      </c>
      <c r="AK107" s="19">
        <v>240.69499999999999</v>
      </c>
      <c r="AL107" s="19">
        <v>351.32499999999999</v>
      </c>
      <c r="AM107" s="19">
        <v>255.64499999999998</v>
      </c>
      <c r="AN107" s="19">
        <v>447.00499999999994</v>
      </c>
      <c r="AO107" s="19">
        <v>189.17499999999998</v>
      </c>
      <c r="AP107" s="19">
        <v>137.655</v>
      </c>
      <c r="AQ107" s="19">
        <v>240.69499999999999</v>
      </c>
      <c r="AR107" s="19">
        <v>281.06</v>
      </c>
      <c r="AS107" s="19">
        <v>204.51599999999999</v>
      </c>
      <c r="AT107" s="19">
        <v>357.60399999999993</v>
      </c>
      <c r="AU107" s="19">
        <v>259.44</v>
      </c>
      <c r="AV107" s="19">
        <v>188.78399999999999</v>
      </c>
      <c r="AW107" s="19">
        <v>330.096</v>
      </c>
      <c r="AX107" s="19">
        <v>351.32499999999999</v>
      </c>
      <c r="AY107" s="19">
        <v>255.64499999999998</v>
      </c>
      <c r="AZ107" s="19">
        <v>447.00499999999994</v>
      </c>
      <c r="BA107" s="19">
        <v>189.17499999999998</v>
      </c>
      <c r="BB107" s="19">
        <v>137.655</v>
      </c>
      <c r="BC107" s="19">
        <v>240.69499999999999</v>
      </c>
      <c r="BD107" s="19">
        <v>351.32499999999999</v>
      </c>
      <c r="BE107" s="19">
        <v>255.64499999999998</v>
      </c>
      <c r="BF107" s="19">
        <v>447.00499999999994</v>
      </c>
      <c r="BG107" s="19">
        <v>189.17499999999998</v>
      </c>
      <c r="BH107" s="19">
        <v>137.655</v>
      </c>
      <c r="BI107" s="19">
        <v>240.69499999999999</v>
      </c>
      <c r="BJ107" s="19">
        <v>281.06</v>
      </c>
      <c r="BK107" s="19">
        <v>204.51599999999999</v>
      </c>
      <c r="BL107" s="19">
        <v>357.60399999999993</v>
      </c>
      <c r="BM107" s="19">
        <v>259.44</v>
      </c>
      <c r="BN107" s="19">
        <v>188.78399999999999</v>
      </c>
      <c r="BO107" s="19">
        <v>330.096</v>
      </c>
      <c r="BP107" s="19"/>
      <c r="BQ10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137.655</v>
      </c>
      <c r="BR10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212.59666666666666</v>
      </c>
      <c r="BS10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330.096</v>
      </c>
      <c r="BT107" s="11">
        <f>Tabelle5897112140[[#This Row],[Mindestauslastung min]]*Tabelle5897112140[[#This Row],[installierte Leistung MW min]]</f>
        <v>19.665000000000003</v>
      </c>
      <c r="BU107" s="11">
        <f>Tabelle5897112140[[#This Row],[Mindestauslastung durch]]*Tabelle5897112140[[#This Row],[installierte Leistung MW durch]]</f>
        <v>27.025000000000002</v>
      </c>
      <c r="BV107" s="11">
        <f>Tabelle5897112140[[#This Row],[Mindestauslastung max]]*Tabelle5897112140[[#This Row],[installierte Leistung MW max]]</f>
        <v>34.385000000000005</v>
      </c>
      <c r="BW107" s="9">
        <v>0.05</v>
      </c>
      <c r="BX107" s="9">
        <v>0.05</v>
      </c>
      <c r="BY107" s="9">
        <v>0.05</v>
      </c>
      <c r="BZ107" s="9"/>
      <c r="CA107" s="9">
        <v>0.65</v>
      </c>
      <c r="CB107" s="9">
        <v>0.65</v>
      </c>
      <c r="CC107" s="9">
        <v>0.65</v>
      </c>
      <c r="CD107" s="9">
        <v>0.65</v>
      </c>
      <c r="CE107" s="9">
        <v>0.65</v>
      </c>
      <c r="CF107" s="9">
        <v>0.65</v>
      </c>
      <c r="CG107" s="9">
        <v>0.52</v>
      </c>
      <c r="CH107" s="9">
        <v>0.52</v>
      </c>
      <c r="CI107" s="9">
        <v>0.52</v>
      </c>
      <c r="CJ107" s="9">
        <v>0.65</v>
      </c>
      <c r="CK107" s="9">
        <v>0.65</v>
      </c>
      <c r="CL107" s="9">
        <v>0.65</v>
      </c>
      <c r="CM107" s="9">
        <v>0.65</v>
      </c>
      <c r="CN107" s="9">
        <v>0.65</v>
      </c>
      <c r="CO107" s="9">
        <v>0.65</v>
      </c>
      <c r="CP107" s="9">
        <v>0.52</v>
      </c>
      <c r="CQ107" s="9">
        <v>0.52</v>
      </c>
      <c r="CR107" s="9">
        <v>0.52</v>
      </c>
      <c r="CS107" s="9">
        <v>0.65</v>
      </c>
      <c r="CT107" s="9">
        <v>0.65</v>
      </c>
      <c r="CU107" s="9">
        <v>0.65</v>
      </c>
      <c r="CV107" s="9">
        <v>0.65</v>
      </c>
      <c r="CW107" s="9">
        <v>0.65</v>
      </c>
      <c r="CX107" s="9">
        <v>0.65</v>
      </c>
      <c r="CY107" s="9">
        <v>0.52</v>
      </c>
      <c r="CZ107" s="9">
        <v>0.52</v>
      </c>
      <c r="DA107" s="9">
        <v>0.52</v>
      </c>
      <c r="DB107" s="9">
        <f>MIN(Tabelle5897112140[[#This Row],[Durchschnittsauslastung durch Sommer WTT]:[Durchschnittsauslastung max Winter SFN]])</f>
        <v>0.52</v>
      </c>
      <c r="DC10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7" s="9">
        <f>MAX(Tabelle5897112140[[#This Row],[Durchschnittsauslastung durch Sommer WTT]:[Durchschnittsauslastung max Winter SFN]])</f>
        <v>0.65</v>
      </c>
      <c r="DE107" s="40">
        <f>Tabelle5897112140[[#This Row],[Durchschnittsauslastung min]]*Tabelle5897112140[[#This Row],[installierte Leistung MW min]]</f>
        <v>204.51600000000002</v>
      </c>
      <c r="DF107" s="40">
        <f>Tabelle5897112140[[#This Row],[Durchschnittsauslastung durch]]*Tabelle5897112140[[#This Row],[installierte Leistung MW durch]]</f>
        <v>327.90333333333342</v>
      </c>
      <c r="DG107" s="40">
        <f>Tabelle5897112140[[#This Row],[Durchschnittsauslastung max]]*Tabelle5897112140[[#This Row],[installierte Leistung MW max]]</f>
        <v>447.00500000000005</v>
      </c>
      <c r="DH107" s="46">
        <f>Tabelle5897112140[[#This Row],[Maximalauslastung min]]*Tabelle5897112140[[#This Row],[installierte Leistung MW min]]</f>
        <v>0</v>
      </c>
      <c r="DI107" s="46">
        <f>Tabelle5897112140[[#This Row],[Maximalauslastung durch]]*Tabelle5897112140[[#This Row],[installierte Leistung MW durch]]</f>
        <v>0</v>
      </c>
      <c r="DJ107" s="19">
        <f>Tabelle5897112140[[#This Row],[Maximalauslastung max]]*Tabelle5897112140[[#This Row],[installierte Leistung MW durch]]</f>
        <v>0</v>
      </c>
      <c r="DK107" s="9">
        <v>0</v>
      </c>
      <c r="DL107" s="9">
        <v>0</v>
      </c>
      <c r="DM107" s="9">
        <v>0</v>
      </c>
      <c r="DN107" s="1">
        <v>540.5</v>
      </c>
      <c r="DO107" s="1">
        <v>393.3</v>
      </c>
      <c r="DP107" s="1">
        <v>687.7</v>
      </c>
      <c r="DQ107" s="19"/>
      <c r="DR107" s="19"/>
      <c r="DW107" s="1">
        <v>1.1375</v>
      </c>
      <c r="DX107" s="1">
        <v>1</v>
      </c>
      <c r="DY107" s="1">
        <v>1.9</v>
      </c>
      <c r="EL107" s="1">
        <v>365</v>
      </c>
      <c r="EM107" s="1">
        <v>292</v>
      </c>
      <c r="EN107" s="1">
        <v>438</v>
      </c>
      <c r="EO107" s="11"/>
      <c r="EP107" s="11"/>
      <c r="EQ107" s="11"/>
      <c r="ER107" s="1">
        <v>365</v>
      </c>
      <c r="ES107" s="1">
        <v>292</v>
      </c>
      <c r="ET107" s="1">
        <v>438</v>
      </c>
      <c r="EV107" s="19"/>
      <c r="EW107" s="19"/>
      <c r="EX107" s="19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O107" s="1">
        <v>67</v>
      </c>
      <c r="FP107" s="1">
        <v>67</v>
      </c>
      <c r="FQ107" s="1">
        <v>67</v>
      </c>
      <c r="FR107" s="13" t="s">
        <v>806</v>
      </c>
      <c r="FS107" s="13" t="s">
        <v>806</v>
      </c>
      <c r="FT107" s="13" t="s">
        <v>806</v>
      </c>
      <c r="FU107" s="13"/>
      <c r="FV107" s="13" t="s">
        <v>806</v>
      </c>
      <c r="FW107" s="13" t="s">
        <v>806</v>
      </c>
      <c r="FX107" s="13" t="s">
        <v>806</v>
      </c>
      <c r="FY107" s="13" t="s">
        <v>806</v>
      </c>
      <c r="FZ107" s="13" t="s">
        <v>806</v>
      </c>
      <c r="GA107" s="13" t="s">
        <v>806</v>
      </c>
      <c r="GB107" s="13" t="s">
        <v>806</v>
      </c>
      <c r="GE107" s="13" t="s">
        <v>806</v>
      </c>
      <c r="GF107" s="13" t="s">
        <v>806</v>
      </c>
      <c r="GH107" s="13" t="s">
        <v>806</v>
      </c>
    </row>
    <row r="108" spans="1:190" ht="12.75" customHeight="1" x14ac:dyDescent="0.25">
      <c r="A108" s="1" t="s">
        <v>373</v>
      </c>
      <c r="B108" s="1" t="s">
        <v>747</v>
      </c>
      <c r="C108" s="1" t="s">
        <v>659</v>
      </c>
      <c r="D108" s="1" t="s">
        <v>684</v>
      </c>
      <c r="E108" s="1" t="s">
        <v>127</v>
      </c>
      <c r="F108" s="1">
        <v>0</v>
      </c>
      <c r="G108" s="1">
        <v>2025</v>
      </c>
      <c r="H108" s="1">
        <v>1</v>
      </c>
      <c r="I108" s="1">
        <v>0</v>
      </c>
      <c r="J108" s="1">
        <v>0</v>
      </c>
      <c r="K10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234.74880000000002</v>
      </c>
      <c r="L10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376.37599999999998</v>
      </c>
      <c r="M10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513.08400000000006</v>
      </c>
      <c r="N108" s="19">
        <v>403.26</v>
      </c>
      <c r="O108" s="19">
        <v>293.43600000000004</v>
      </c>
      <c r="P108" s="19">
        <v>513.08400000000006</v>
      </c>
      <c r="Q108" s="19">
        <v>217.14000000000001</v>
      </c>
      <c r="R108" s="19">
        <v>158.00400000000002</v>
      </c>
      <c r="S108" s="19">
        <v>276.27600000000001</v>
      </c>
      <c r="T108" s="19">
        <v>403.26</v>
      </c>
      <c r="U108" s="19">
        <v>293.43600000000004</v>
      </c>
      <c r="V108" s="19">
        <v>513.08400000000006</v>
      </c>
      <c r="W108" s="19">
        <v>217.14000000000001</v>
      </c>
      <c r="X108" s="19">
        <v>158.00400000000002</v>
      </c>
      <c r="Y108" s="19">
        <v>276.27600000000001</v>
      </c>
      <c r="Z108" s="19">
        <v>322.608</v>
      </c>
      <c r="AA108" s="19">
        <v>234.74880000000002</v>
      </c>
      <c r="AB108" s="19">
        <v>410.46719999999999</v>
      </c>
      <c r="AC108" s="19">
        <v>297.79200000000003</v>
      </c>
      <c r="AD108" s="19">
        <v>216.69120000000001</v>
      </c>
      <c r="AE108" s="19">
        <v>378.89280000000002</v>
      </c>
      <c r="AF108" s="19">
        <v>403.26</v>
      </c>
      <c r="AG108" s="19">
        <v>293.43600000000004</v>
      </c>
      <c r="AH108" s="19">
        <v>513.08400000000006</v>
      </c>
      <c r="AI108" s="19">
        <v>217.14000000000001</v>
      </c>
      <c r="AJ108" s="19">
        <v>158.00400000000002</v>
      </c>
      <c r="AK108" s="19">
        <v>276.27600000000001</v>
      </c>
      <c r="AL108" s="19">
        <v>403.26</v>
      </c>
      <c r="AM108" s="19">
        <v>293.43600000000004</v>
      </c>
      <c r="AN108" s="19">
        <v>513.08400000000006</v>
      </c>
      <c r="AO108" s="19">
        <v>217.14000000000001</v>
      </c>
      <c r="AP108" s="19">
        <v>158.00400000000002</v>
      </c>
      <c r="AQ108" s="19">
        <v>276.27600000000001</v>
      </c>
      <c r="AR108" s="19">
        <v>322.608</v>
      </c>
      <c r="AS108" s="19">
        <v>234.74880000000002</v>
      </c>
      <c r="AT108" s="19">
        <v>410.46719999999999</v>
      </c>
      <c r="AU108" s="19">
        <v>297.79200000000003</v>
      </c>
      <c r="AV108" s="19">
        <v>216.69120000000001</v>
      </c>
      <c r="AW108" s="19">
        <v>378.89280000000002</v>
      </c>
      <c r="AX108" s="19">
        <v>403.26</v>
      </c>
      <c r="AY108" s="19">
        <v>293.43600000000004</v>
      </c>
      <c r="AZ108" s="19">
        <v>513.08400000000006</v>
      </c>
      <c r="BA108" s="19">
        <v>217.14000000000001</v>
      </c>
      <c r="BB108" s="19">
        <v>158.00400000000002</v>
      </c>
      <c r="BC108" s="19">
        <v>276.27600000000001</v>
      </c>
      <c r="BD108" s="19">
        <v>403.26</v>
      </c>
      <c r="BE108" s="19">
        <v>293.43600000000004</v>
      </c>
      <c r="BF108" s="19">
        <v>513.08400000000006</v>
      </c>
      <c r="BG108" s="19">
        <v>217.14000000000001</v>
      </c>
      <c r="BH108" s="19">
        <v>158.00400000000002</v>
      </c>
      <c r="BI108" s="19">
        <v>276.27600000000001</v>
      </c>
      <c r="BJ108" s="19">
        <v>322.608</v>
      </c>
      <c r="BK108" s="19">
        <v>234.74880000000002</v>
      </c>
      <c r="BL108" s="19">
        <v>410.46719999999999</v>
      </c>
      <c r="BM108" s="19">
        <v>297.79200000000003</v>
      </c>
      <c r="BN108" s="19">
        <v>216.69120000000001</v>
      </c>
      <c r="BO108" s="19">
        <v>378.89280000000002</v>
      </c>
      <c r="BP108" s="19"/>
      <c r="BQ10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158.00400000000002</v>
      </c>
      <c r="BR10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244.02400000000003</v>
      </c>
      <c r="BS10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378.89280000000002</v>
      </c>
      <c r="BT108" s="11">
        <f>Tabelle5897112140[[#This Row],[Mindestauslastung min]]*Tabelle5897112140[[#This Row],[installierte Leistung MW min]]</f>
        <v>22.572000000000003</v>
      </c>
      <c r="BU108" s="11">
        <f>Tabelle5897112140[[#This Row],[Mindestauslastung durch]]*Tabelle5897112140[[#This Row],[installierte Leistung MW durch]]</f>
        <v>31.02</v>
      </c>
      <c r="BV108" s="11">
        <f>Tabelle5897112140[[#This Row],[Mindestauslastung max]]*Tabelle5897112140[[#This Row],[installierte Leistung MW max]]</f>
        <v>39.468000000000004</v>
      </c>
      <c r="BW108" s="9">
        <v>0.05</v>
      </c>
      <c r="BX108" s="9">
        <v>0.05</v>
      </c>
      <c r="BY108" s="9">
        <v>0.05</v>
      </c>
      <c r="BZ108" s="9"/>
      <c r="CA108" s="9">
        <v>0.65</v>
      </c>
      <c r="CB108" s="9">
        <v>0.65</v>
      </c>
      <c r="CC108" s="9">
        <v>0.65</v>
      </c>
      <c r="CD108" s="9">
        <v>0.65</v>
      </c>
      <c r="CE108" s="9">
        <v>0.65</v>
      </c>
      <c r="CF108" s="9">
        <v>0.65</v>
      </c>
      <c r="CG108" s="9">
        <v>0.52</v>
      </c>
      <c r="CH108" s="9">
        <v>0.52</v>
      </c>
      <c r="CI108" s="9">
        <v>0.52</v>
      </c>
      <c r="CJ108" s="9">
        <v>0.65</v>
      </c>
      <c r="CK108" s="9">
        <v>0.65</v>
      </c>
      <c r="CL108" s="9">
        <v>0.65</v>
      </c>
      <c r="CM108" s="9">
        <v>0.65</v>
      </c>
      <c r="CN108" s="9">
        <v>0.65</v>
      </c>
      <c r="CO108" s="9">
        <v>0.65</v>
      </c>
      <c r="CP108" s="9">
        <v>0.52</v>
      </c>
      <c r="CQ108" s="9">
        <v>0.52</v>
      </c>
      <c r="CR108" s="9">
        <v>0.52</v>
      </c>
      <c r="CS108" s="9">
        <v>0.65</v>
      </c>
      <c r="CT108" s="9">
        <v>0.65</v>
      </c>
      <c r="CU108" s="9">
        <v>0.65</v>
      </c>
      <c r="CV108" s="9">
        <v>0.65</v>
      </c>
      <c r="CW108" s="9">
        <v>0.65</v>
      </c>
      <c r="CX108" s="9">
        <v>0.65</v>
      </c>
      <c r="CY108" s="9">
        <v>0.52</v>
      </c>
      <c r="CZ108" s="9">
        <v>0.52</v>
      </c>
      <c r="DA108" s="9">
        <v>0.52</v>
      </c>
      <c r="DB108" s="9">
        <f>MIN(Tabelle5897112140[[#This Row],[Durchschnittsauslastung durch Sommer WTT]:[Durchschnittsauslastung max Winter SFN]])</f>
        <v>0.52</v>
      </c>
      <c r="DC10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8" s="9">
        <f>MAX(Tabelle5897112140[[#This Row],[Durchschnittsauslastung durch Sommer WTT]:[Durchschnittsauslastung max Winter SFN]])</f>
        <v>0.65</v>
      </c>
      <c r="DE108" s="40">
        <f>Tabelle5897112140[[#This Row],[Durchschnittsauslastung min]]*Tabelle5897112140[[#This Row],[installierte Leistung MW min]]</f>
        <v>234.74880000000002</v>
      </c>
      <c r="DF108" s="40">
        <f>Tabelle5897112140[[#This Row],[Durchschnittsauslastung durch]]*Tabelle5897112140[[#This Row],[installierte Leistung MW durch]]</f>
        <v>376.37600000000009</v>
      </c>
      <c r="DG108" s="40">
        <f>Tabelle5897112140[[#This Row],[Durchschnittsauslastung max]]*Tabelle5897112140[[#This Row],[installierte Leistung MW max]]</f>
        <v>513.08400000000006</v>
      </c>
      <c r="DH108" s="46">
        <f>Tabelle5897112140[[#This Row],[Maximalauslastung min]]*Tabelle5897112140[[#This Row],[installierte Leistung MW min]]</f>
        <v>0</v>
      </c>
      <c r="DI108" s="46">
        <f>Tabelle5897112140[[#This Row],[Maximalauslastung durch]]*Tabelle5897112140[[#This Row],[installierte Leistung MW durch]]</f>
        <v>0</v>
      </c>
      <c r="DJ108" s="19">
        <f>Tabelle5897112140[[#This Row],[Maximalauslastung max]]*Tabelle5897112140[[#This Row],[installierte Leistung MW durch]]</f>
        <v>0</v>
      </c>
      <c r="DK108" s="9">
        <v>0</v>
      </c>
      <c r="DL108" s="9">
        <v>0</v>
      </c>
      <c r="DM108" s="9">
        <v>0</v>
      </c>
      <c r="DN108" s="1">
        <v>620.4</v>
      </c>
      <c r="DO108" s="1">
        <v>451.44</v>
      </c>
      <c r="DP108" s="1">
        <v>789.36</v>
      </c>
      <c r="DQ108" s="19"/>
      <c r="DR108" s="19"/>
      <c r="DW108" s="1">
        <v>1.1375</v>
      </c>
      <c r="DX108" s="1">
        <v>1</v>
      </c>
      <c r="DY108" s="1">
        <v>1.9</v>
      </c>
      <c r="EL108" s="1">
        <v>365</v>
      </c>
      <c r="EM108" s="1">
        <v>292</v>
      </c>
      <c r="EN108" s="1">
        <v>438</v>
      </c>
      <c r="EO108" s="11"/>
      <c r="EP108" s="11"/>
      <c r="EQ108" s="11"/>
      <c r="ER108" s="1">
        <v>365</v>
      </c>
      <c r="ES108" s="1">
        <v>292</v>
      </c>
      <c r="ET108" s="1">
        <v>438</v>
      </c>
      <c r="EV108" s="19"/>
      <c r="EW108" s="19"/>
      <c r="EX108" s="19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O108" s="1">
        <v>67</v>
      </c>
      <c r="FP108" s="1">
        <v>67</v>
      </c>
      <c r="FQ108" s="1">
        <v>67</v>
      </c>
      <c r="FR108" s="13" t="s">
        <v>806</v>
      </c>
      <c r="FS108" s="13" t="s">
        <v>806</v>
      </c>
      <c r="FT108" s="13" t="s">
        <v>806</v>
      </c>
      <c r="FU108" s="13"/>
      <c r="FV108" s="13" t="s">
        <v>806</v>
      </c>
      <c r="FW108" s="13" t="s">
        <v>806</v>
      </c>
      <c r="FX108" s="13" t="s">
        <v>806</v>
      </c>
      <c r="FY108" s="13" t="s">
        <v>806</v>
      </c>
      <c r="FZ108" s="13" t="s">
        <v>806</v>
      </c>
      <c r="GA108" s="13" t="s">
        <v>806</v>
      </c>
      <c r="GB108" s="13" t="s">
        <v>806</v>
      </c>
      <c r="GE108" s="13" t="s">
        <v>806</v>
      </c>
      <c r="GF108" s="13" t="s">
        <v>806</v>
      </c>
      <c r="GH108" s="13" t="s">
        <v>806</v>
      </c>
    </row>
    <row r="109" spans="1:190" ht="12.75" customHeight="1" x14ac:dyDescent="0.25">
      <c r="A109" s="1" t="s">
        <v>373</v>
      </c>
      <c r="B109" s="1" t="s">
        <v>747</v>
      </c>
      <c r="C109" s="1" t="s">
        <v>659</v>
      </c>
      <c r="D109" s="1" t="s">
        <v>684</v>
      </c>
      <c r="E109" s="1" t="s">
        <v>127</v>
      </c>
      <c r="F109" s="1">
        <v>0</v>
      </c>
      <c r="G109" s="1">
        <v>2030</v>
      </c>
      <c r="H109" s="1">
        <v>1</v>
      </c>
      <c r="I109" s="1">
        <v>0</v>
      </c>
      <c r="J109" s="1">
        <v>0</v>
      </c>
      <c r="K10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272.09520000000003</v>
      </c>
      <c r="L10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436.25400000000002</v>
      </c>
      <c r="M10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594.71100000000001</v>
      </c>
      <c r="N109" s="19">
        <v>467.41500000000002</v>
      </c>
      <c r="O109" s="19">
        <v>340.11900000000003</v>
      </c>
      <c r="P109" s="19">
        <v>594.71100000000001</v>
      </c>
      <c r="Q109" s="19">
        <v>251.685</v>
      </c>
      <c r="R109" s="19">
        <v>183.14100000000002</v>
      </c>
      <c r="S109" s="19">
        <v>320.22900000000004</v>
      </c>
      <c r="T109" s="19">
        <v>467.41500000000002</v>
      </c>
      <c r="U109" s="19">
        <v>340.11900000000003</v>
      </c>
      <c r="V109" s="19">
        <v>594.71100000000001</v>
      </c>
      <c r="W109" s="19">
        <v>251.685</v>
      </c>
      <c r="X109" s="19">
        <v>183.14100000000002</v>
      </c>
      <c r="Y109" s="19">
        <v>320.22900000000004</v>
      </c>
      <c r="Z109" s="19">
        <v>373.93200000000002</v>
      </c>
      <c r="AA109" s="19">
        <v>272.09520000000003</v>
      </c>
      <c r="AB109" s="19">
        <v>475.7688</v>
      </c>
      <c r="AC109" s="19">
        <v>345.16800000000001</v>
      </c>
      <c r="AD109" s="19">
        <v>251.16479999999999</v>
      </c>
      <c r="AE109" s="19">
        <v>439.17120000000006</v>
      </c>
      <c r="AF109" s="19">
        <v>467.41500000000002</v>
      </c>
      <c r="AG109" s="19">
        <v>340.11900000000003</v>
      </c>
      <c r="AH109" s="19">
        <v>594.71100000000001</v>
      </c>
      <c r="AI109" s="19">
        <v>251.685</v>
      </c>
      <c r="AJ109" s="19">
        <v>183.14100000000002</v>
      </c>
      <c r="AK109" s="19">
        <v>320.22900000000004</v>
      </c>
      <c r="AL109" s="19">
        <v>467.41500000000002</v>
      </c>
      <c r="AM109" s="19">
        <v>340.11900000000003</v>
      </c>
      <c r="AN109" s="19">
        <v>594.71100000000001</v>
      </c>
      <c r="AO109" s="19">
        <v>251.685</v>
      </c>
      <c r="AP109" s="19">
        <v>183.14100000000002</v>
      </c>
      <c r="AQ109" s="19">
        <v>320.22900000000004</v>
      </c>
      <c r="AR109" s="19">
        <v>373.93200000000002</v>
      </c>
      <c r="AS109" s="19">
        <v>272.09520000000003</v>
      </c>
      <c r="AT109" s="19">
        <v>475.7688</v>
      </c>
      <c r="AU109" s="19">
        <v>345.16800000000001</v>
      </c>
      <c r="AV109" s="19">
        <v>251.16479999999999</v>
      </c>
      <c r="AW109" s="19">
        <v>439.17120000000006</v>
      </c>
      <c r="AX109" s="19">
        <v>467.41500000000002</v>
      </c>
      <c r="AY109" s="19">
        <v>340.11900000000003</v>
      </c>
      <c r="AZ109" s="19">
        <v>594.71100000000001</v>
      </c>
      <c r="BA109" s="19">
        <v>251.685</v>
      </c>
      <c r="BB109" s="19">
        <v>183.14100000000002</v>
      </c>
      <c r="BC109" s="19">
        <v>320.22900000000004</v>
      </c>
      <c r="BD109" s="19">
        <v>467.41500000000002</v>
      </c>
      <c r="BE109" s="19">
        <v>340.11900000000003</v>
      </c>
      <c r="BF109" s="19">
        <v>594.71100000000001</v>
      </c>
      <c r="BG109" s="19">
        <v>251.685</v>
      </c>
      <c r="BH109" s="19">
        <v>183.14100000000002</v>
      </c>
      <c r="BI109" s="19">
        <v>320.22900000000004</v>
      </c>
      <c r="BJ109" s="19">
        <v>373.93200000000002</v>
      </c>
      <c r="BK109" s="19">
        <v>272.09520000000003</v>
      </c>
      <c r="BL109" s="19">
        <v>475.7688</v>
      </c>
      <c r="BM109" s="19">
        <v>345.16800000000001</v>
      </c>
      <c r="BN109" s="19">
        <v>251.16479999999999</v>
      </c>
      <c r="BO109" s="19">
        <v>439.17120000000006</v>
      </c>
      <c r="BP109" s="19"/>
      <c r="BQ10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183.14100000000002</v>
      </c>
      <c r="BR10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282.846</v>
      </c>
      <c r="BS10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439.17120000000006</v>
      </c>
      <c r="BT109" s="11">
        <f>Tabelle5897112140[[#This Row],[Mindestauslastung min]]*Tabelle5897112140[[#This Row],[installierte Leistung MW min]]</f>
        <v>26.163</v>
      </c>
      <c r="BU109" s="11">
        <f>Tabelle5897112140[[#This Row],[Mindestauslastung durch]]*Tabelle5897112140[[#This Row],[installierte Leistung MW durch]]</f>
        <v>35.955000000000005</v>
      </c>
      <c r="BV109" s="11">
        <f>Tabelle5897112140[[#This Row],[Mindestauslastung max]]*Tabelle5897112140[[#This Row],[installierte Leistung MW max]]</f>
        <v>45.747000000000007</v>
      </c>
      <c r="BW109" s="9">
        <v>0.05</v>
      </c>
      <c r="BX109" s="9">
        <v>0.05</v>
      </c>
      <c r="BY109" s="9">
        <v>0.05</v>
      </c>
      <c r="BZ109" s="9"/>
      <c r="CA109" s="9">
        <v>0.65</v>
      </c>
      <c r="CB109" s="9">
        <v>0.65</v>
      </c>
      <c r="CC109" s="9">
        <v>0.65</v>
      </c>
      <c r="CD109" s="9">
        <v>0.65</v>
      </c>
      <c r="CE109" s="9">
        <v>0.65</v>
      </c>
      <c r="CF109" s="9">
        <v>0.65</v>
      </c>
      <c r="CG109" s="9">
        <v>0.52</v>
      </c>
      <c r="CH109" s="9">
        <v>0.52</v>
      </c>
      <c r="CI109" s="9">
        <v>0.52</v>
      </c>
      <c r="CJ109" s="9">
        <v>0.65</v>
      </c>
      <c r="CK109" s="9">
        <v>0.65</v>
      </c>
      <c r="CL109" s="9">
        <v>0.65</v>
      </c>
      <c r="CM109" s="9">
        <v>0.65</v>
      </c>
      <c r="CN109" s="9">
        <v>0.65</v>
      </c>
      <c r="CO109" s="9">
        <v>0.65</v>
      </c>
      <c r="CP109" s="9">
        <v>0.52</v>
      </c>
      <c r="CQ109" s="9">
        <v>0.52</v>
      </c>
      <c r="CR109" s="9">
        <v>0.52</v>
      </c>
      <c r="CS109" s="9">
        <v>0.65</v>
      </c>
      <c r="CT109" s="9">
        <v>0.65</v>
      </c>
      <c r="CU109" s="9">
        <v>0.65</v>
      </c>
      <c r="CV109" s="9">
        <v>0.65</v>
      </c>
      <c r="CW109" s="9">
        <v>0.65</v>
      </c>
      <c r="CX109" s="9">
        <v>0.65</v>
      </c>
      <c r="CY109" s="9">
        <v>0.52</v>
      </c>
      <c r="CZ109" s="9">
        <v>0.52</v>
      </c>
      <c r="DA109" s="9">
        <v>0.52</v>
      </c>
      <c r="DB109" s="9">
        <f>MIN(Tabelle5897112140[[#This Row],[Durchschnittsauslastung durch Sommer WTT]:[Durchschnittsauslastung max Winter SFN]])</f>
        <v>0.52</v>
      </c>
      <c r="DC10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9" s="9">
        <f>MAX(Tabelle5897112140[[#This Row],[Durchschnittsauslastung durch Sommer WTT]:[Durchschnittsauslastung max Winter SFN]])</f>
        <v>0.65</v>
      </c>
      <c r="DE109" s="40">
        <f>Tabelle5897112140[[#This Row],[Durchschnittsauslastung min]]*Tabelle5897112140[[#This Row],[installierte Leistung MW min]]</f>
        <v>272.09519999999998</v>
      </c>
      <c r="DF109" s="40">
        <f>Tabelle5897112140[[#This Row],[Durchschnittsauslastung durch]]*Tabelle5897112140[[#This Row],[installierte Leistung MW durch]]</f>
        <v>436.25400000000013</v>
      </c>
      <c r="DG109" s="40">
        <f>Tabelle5897112140[[#This Row],[Durchschnittsauslastung max]]*Tabelle5897112140[[#This Row],[installierte Leistung MW max]]</f>
        <v>594.71100000000001</v>
      </c>
      <c r="DH109" s="46">
        <f>Tabelle5897112140[[#This Row],[Maximalauslastung min]]*Tabelle5897112140[[#This Row],[installierte Leistung MW min]]</f>
        <v>0</v>
      </c>
      <c r="DI109" s="46">
        <f>Tabelle5897112140[[#This Row],[Maximalauslastung durch]]*Tabelle5897112140[[#This Row],[installierte Leistung MW durch]]</f>
        <v>0</v>
      </c>
      <c r="DJ109" s="19">
        <f>Tabelle5897112140[[#This Row],[Maximalauslastung max]]*Tabelle5897112140[[#This Row],[installierte Leistung MW durch]]</f>
        <v>0</v>
      </c>
      <c r="DK109" s="9">
        <v>0</v>
      </c>
      <c r="DL109" s="9">
        <v>0</v>
      </c>
      <c r="DM109" s="9">
        <v>0</v>
      </c>
      <c r="DN109" s="1">
        <v>719.1</v>
      </c>
      <c r="DO109" s="1">
        <v>523.26</v>
      </c>
      <c r="DP109" s="1">
        <v>914.94</v>
      </c>
      <c r="DQ109" s="19"/>
      <c r="DR109" s="19"/>
      <c r="DW109" s="1">
        <v>1.1375</v>
      </c>
      <c r="DX109" s="1">
        <v>1</v>
      </c>
      <c r="DY109" s="1">
        <v>1.9</v>
      </c>
      <c r="EL109" s="1">
        <v>365</v>
      </c>
      <c r="EM109" s="1">
        <v>292</v>
      </c>
      <c r="EN109" s="1">
        <v>438</v>
      </c>
      <c r="EO109" s="11"/>
      <c r="EP109" s="11"/>
      <c r="EQ109" s="11"/>
      <c r="ER109" s="1">
        <v>365</v>
      </c>
      <c r="ES109" s="1">
        <v>292</v>
      </c>
      <c r="ET109" s="1">
        <v>438</v>
      </c>
      <c r="EV109" s="19"/>
      <c r="EW109" s="19"/>
      <c r="EX109" s="19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O109" s="1">
        <v>67</v>
      </c>
      <c r="FP109" s="1">
        <v>67</v>
      </c>
      <c r="FQ109" s="1">
        <v>67</v>
      </c>
      <c r="FR109" s="13" t="s">
        <v>806</v>
      </c>
      <c r="FS109" s="13" t="s">
        <v>806</v>
      </c>
      <c r="FT109" s="13" t="s">
        <v>806</v>
      </c>
      <c r="FU109" s="13"/>
      <c r="FV109" s="13" t="s">
        <v>806</v>
      </c>
      <c r="FW109" s="13" t="s">
        <v>806</v>
      </c>
      <c r="FX109" s="13" t="s">
        <v>806</v>
      </c>
      <c r="FY109" s="13" t="s">
        <v>806</v>
      </c>
      <c r="FZ109" s="13" t="s">
        <v>806</v>
      </c>
      <c r="GA109" s="13" t="s">
        <v>806</v>
      </c>
      <c r="GB109" s="13" t="s">
        <v>806</v>
      </c>
      <c r="GE109" s="13" t="s">
        <v>806</v>
      </c>
      <c r="GF109" s="13" t="s">
        <v>806</v>
      </c>
      <c r="GH109" s="13" t="s">
        <v>806</v>
      </c>
    </row>
    <row r="110" spans="1:190" ht="12.75" customHeight="1" x14ac:dyDescent="0.25">
      <c r="A110" s="1" t="s">
        <v>373</v>
      </c>
      <c r="B110" s="1" t="s">
        <v>747</v>
      </c>
      <c r="C110" s="1" t="s">
        <v>659</v>
      </c>
      <c r="D110" s="1" t="s">
        <v>684</v>
      </c>
      <c r="E110" s="1" t="s">
        <v>127</v>
      </c>
      <c r="F110" s="1">
        <v>0</v>
      </c>
      <c r="G110" s="1">
        <v>2035</v>
      </c>
      <c r="H110" s="1">
        <v>1</v>
      </c>
      <c r="I110" s="1">
        <v>0</v>
      </c>
      <c r="J110" s="1">
        <v>0</v>
      </c>
      <c r="K1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316.55520000000001</v>
      </c>
      <c r="L1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507.53733333333338</v>
      </c>
      <c r="M1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691.88599999999997</v>
      </c>
      <c r="N110" s="19">
        <v>543.79</v>
      </c>
      <c r="O110" s="19">
        <v>395.69400000000002</v>
      </c>
      <c r="P110" s="19">
        <v>691.88599999999997</v>
      </c>
      <c r="Q110" s="19">
        <v>292.81</v>
      </c>
      <c r="R110" s="19">
        <v>213.066</v>
      </c>
      <c r="S110" s="19">
        <v>372.55400000000003</v>
      </c>
      <c r="T110" s="19">
        <v>543.79</v>
      </c>
      <c r="U110" s="19">
        <v>395.69400000000002</v>
      </c>
      <c r="V110" s="19">
        <v>691.88599999999997</v>
      </c>
      <c r="W110" s="19">
        <v>292.81</v>
      </c>
      <c r="X110" s="19">
        <v>213.066</v>
      </c>
      <c r="Y110" s="19">
        <v>372.55400000000003</v>
      </c>
      <c r="Z110" s="19">
        <v>435.03200000000004</v>
      </c>
      <c r="AA110" s="19">
        <v>316.55520000000001</v>
      </c>
      <c r="AB110" s="19">
        <v>553.50879999999995</v>
      </c>
      <c r="AC110" s="19">
        <v>401.56799999999998</v>
      </c>
      <c r="AD110" s="19">
        <v>292.20479999999998</v>
      </c>
      <c r="AE110" s="19">
        <v>510.93120000000005</v>
      </c>
      <c r="AF110" s="19">
        <v>543.79</v>
      </c>
      <c r="AG110" s="19">
        <v>395.69400000000002</v>
      </c>
      <c r="AH110" s="19">
        <v>691.88599999999997</v>
      </c>
      <c r="AI110" s="19">
        <v>292.81</v>
      </c>
      <c r="AJ110" s="19">
        <v>213.066</v>
      </c>
      <c r="AK110" s="19">
        <v>372.55400000000003</v>
      </c>
      <c r="AL110" s="19">
        <v>543.79</v>
      </c>
      <c r="AM110" s="19">
        <v>395.69400000000002</v>
      </c>
      <c r="AN110" s="19">
        <v>691.88599999999997</v>
      </c>
      <c r="AO110" s="19">
        <v>292.81</v>
      </c>
      <c r="AP110" s="19">
        <v>213.066</v>
      </c>
      <c r="AQ110" s="19">
        <v>372.55400000000003</v>
      </c>
      <c r="AR110" s="19">
        <v>435.03200000000004</v>
      </c>
      <c r="AS110" s="19">
        <v>316.55520000000001</v>
      </c>
      <c r="AT110" s="19">
        <v>553.50879999999995</v>
      </c>
      <c r="AU110" s="19">
        <v>401.56799999999998</v>
      </c>
      <c r="AV110" s="19">
        <v>292.20479999999998</v>
      </c>
      <c r="AW110" s="19">
        <v>510.93120000000005</v>
      </c>
      <c r="AX110" s="19">
        <v>543.79</v>
      </c>
      <c r="AY110" s="19">
        <v>395.69400000000002</v>
      </c>
      <c r="AZ110" s="19">
        <v>691.88599999999997</v>
      </c>
      <c r="BA110" s="19">
        <v>292.81</v>
      </c>
      <c r="BB110" s="19">
        <v>213.066</v>
      </c>
      <c r="BC110" s="19">
        <v>372.55400000000003</v>
      </c>
      <c r="BD110" s="19">
        <v>543.79</v>
      </c>
      <c r="BE110" s="19">
        <v>395.69400000000002</v>
      </c>
      <c r="BF110" s="19">
        <v>691.88599999999997</v>
      </c>
      <c r="BG110" s="19">
        <v>292.81</v>
      </c>
      <c r="BH110" s="19">
        <v>213.066</v>
      </c>
      <c r="BI110" s="19">
        <v>372.55400000000003</v>
      </c>
      <c r="BJ110" s="19">
        <v>435.03200000000004</v>
      </c>
      <c r="BK110" s="19">
        <v>316.55520000000001</v>
      </c>
      <c r="BL110" s="19">
        <v>553.50879999999995</v>
      </c>
      <c r="BM110" s="19">
        <v>401.56799999999998</v>
      </c>
      <c r="BN110" s="19">
        <v>292.20479999999998</v>
      </c>
      <c r="BO110" s="19">
        <v>510.93120000000005</v>
      </c>
      <c r="BP110" s="19"/>
      <c r="BQ1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213.066</v>
      </c>
      <c r="BR1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329.0626666666667</v>
      </c>
      <c r="BS1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510.93120000000005</v>
      </c>
      <c r="BT110" s="11">
        <f>Tabelle5897112140[[#This Row],[Mindestauslastung min]]*Tabelle5897112140[[#This Row],[installierte Leistung MW min]]</f>
        <v>30.438000000000002</v>
      </c>
      <c r="BU110" s="11">
        <f>Tabelle5897112140[[#This Row],[Mindestauslastung durch]]*Tabelle5897112140[[#This Row],[installierte Leistung MW durch]]</f>
        <v>41.830000000000005</v>
      </c>
      <c r="BV110" s="11">
        <f>Tabelle5897112140[[#This Row],[Mindestauslastung max]]*Tabelle5897112140[[#This Row],[installierte Leistung MW max]]</f>
        <v>53.222000000000008</v>
      </c>
      <c r="BW110" s="9">
        <v>0.05</v>
      </c>
      <c r="BX110" s="9">
        <v>0.05</v>
      </c>
      <c r="BY110" s="9">
        <v>0.05</v>
      </c>
      <c r="BZ110" s="9"/>
      <c r="CA110" s="9">
        <v>0.65</v>
      </c>
      <c r="CB110" s="9">
        <v>0.65</v>
      </c>
      <c r="CC110" s="9">
        <v>0.65</v>
      </c>
      <c r="CD110" s="9">
        <v>0.65</v>
      </c>
      <c r="CE110" s="9">
        <v>0.65</v>
      </c>
      <c r="CF110" s="9">
        <v>0.65</v>
      </c>
      <c r="CG110" s="9">
        <v>0.52</v>
      </c>
      <c r="CH110" s="9">
        <v>0.52</v>
      </c>
      <c r="CI110" s="9">
        <v>0.52</v>
      </c>
      <c r="CJ110" s="9">
        <v>0.65</v>
      </c>
      <c r="CK110" s="9">
        <v>0.65</v>
      </c>
      <c r="CL110" s="9">
        <v>0.65</v>
      </c>
      <c r="CM110" s="9">
        <v>0.65</v>
      </c>
      <c r="CN110" s="9">
        <v>0.65</v>
      </c>
      <c r="CO110" s="9">
        <v>0.65</v>
      </c>
      <c r="CP110" s="9">
        <v>0.52</v>
      </c>
      <c r="CQ110" s="9">
        <v>0.52</v>
      </c>
      <c r="CR110" s="9">
        <v>0.52</v>
      </c>
      <c r="CS110" s="9">
        <v>0.65</v>
      </c>
      <c r="CT110" s="9">
        <v>0.65</v>
      </c>
      <c r="CU110" s="9">
        <v>0.65</v>
      </c>
      <c r="CV110" s="9">
        <v>0.65</v>
      </c>
      <c r="CW110" s="9">
        <v>0.65</v>
      </c>
      <c r="CX110" s="9">
        <v>0.65</v>
      </c>
      <c r="CY110" s="9">
        <v>0.52</v>
      </c>
      <c r="CZ110" s="9">
        <v>0.52</v>
      </c>
      <c r="DA110" s="9">
        <v>0.52</v>
      </c>
      <c r="DB110" s="9">
        <f>MIN(Tabelle5897112140[[#This Row],[Durchschnittsauslastung durch Sommer WTT]:[Durchschnittsauslastung max Winter SFN]])</f>
        <v>0.52</v>
      </c>
      <c r="DC1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0" s="9">
        <f>MAX(Tabelle5897112140[[#This Row],[Durchschnittsauslastung durch Sommer WTT]:[Durchschnittsauslastung max Winter SFN]])</f>
        <v>0.65</v>
      </c>
      <c r="DE110" s="40">
        <f>Tabelle5897112140[[#This Row],[Durchschnittsauslastung min]]*Tabelle5897112140[[#This Row],[installierte Leistung MW min]]</f>
        <v>316.55520000000001</v>
      </c>
      <c r="DF110" s="40">
        <f>Tabelle5897112140[[#This Row],[Durchschnittsauslastung durch]]*Tabelle5897112140[[#This Row],[installierte Leistung MW durch]]</f>
        <v>507.53733333333344</v>
      </c>
      <c r="DG110" s="40">
        <f>Tabelle5897112140[[#This Row],[Durchschnittsauslastung max]]*Tabelle5897112140[[#This Row],[installierte Leistung MW max]]</f>
        <v>691.88600000000008</v>
      </c>
      <c r="DH110" s="46">
        <f>Tabelle5897112140[[#This Row],[Maximalauslastung min]]*Tabelle5897112140[[#This Row],[installierte Leistung MW min]]</f>
        <v>0</v>
      </c>
      <c r="DI110" s="46">
        <f>Tabelle5897112140[[#This Row],[Maximalauslastung durch]]*Tabelle5897112140[[#This Row],[installierte Leistung MW durch]]</f>
        <v>0</v>
      </c>
      <c r="DJ110" s="19">
        <f>Tabelle5897112140[[#This Row],[Maximalauslastung max]]*Tabelle5897112140[[#This Row],[installierte Leistung MW durch]]</f>
        <v>0</v>
      </c>
      <c r="DK110" s="9">
        <v>0</v>
      </c>
      <c r="DL110" s="9">
        <v>0</v>
      </c>
      <c r="DM110" s="9">
        <v>0</v>
      </c>
      <c r="DN110" s="1">
        <v>836.6</v>
      </c>
      <c r="DO110" s="1">
        <v>608.76</v>
      </c>
      <c r="DP110" s="1">
        <v>1064.44</v>
      </c>
      <c r="DQ110" s="19"/>
      <c r="DR110" s="19"/>
      <c r="DW110" s="1">
        <v>1.1375</v>
      </c>
      <c r="DX110" s="1">
        <v>1</v>
      </c>
      <c r="DY110" s="1">
        <v>1.9</v>
      </c>
      <c r="EL110" s="1">
        <v>365</v>
      </c>
      <c r="EM110" s="1">
        <v>292</v>
      </c>
      <c r="EN110" s="1">
        <v>438</v>
      </c>
      <c r="EO110" s="11"/>
      <c r="EP110" s="11"/>
      <c r="EQ110" s="11"/>
      <c r="ER110" s="1">
        <v>365</v>
      </c>
      <c r="ES110" s="1">
        <v>292</v>
      </c>
      <c r="ET110" s="1">
        <v>438</v>
      </c>
      <c r="EV110" s="19"/>
      <c r="EW110" s="19"/>
      <c r="EX110" s="19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O110" s="1">
        <v>67</v>
      </c>
      <c r="FP110" s="1">
        <v>67</v>
      </c>
      <c r="FQ110" s="1">
        <v>67</v>
      </c>
      <c r="FR110" s="13" t="s">
        <v>806</v>
      </c>
      <c r="FS110" s="13" t="s">
        <v>806</v>
      </c>
      <c r="FT110" s="13" t="s">
        <v>806</v>
      </c>
      <c r="FU110" s="13"/>
      <c r="FV110" s="13" t="s">
        <v>806</v>
      </c>
      <c r="FW110" s="13" t="s">
        <v>806</v>
      </c>
      <c r="FX110" s="13" t="s">
        <v>806</v>
      </c>
      <c r="FY110" s="13" t="s">
        <v>806</v>
      </c>
      <c r="FZ110" s="13" t="s">
        <v>806</v>
      </c>
      <c r="GA110" s="13" t="s">
        <v>806</v>
      </c>
      <c r="GB110" s="13" t="s">
        <v>806</v>
      </c>
      <c r="GE110" s="13" t="s">
        <v>806</v>
      </c>
      <c r="GF110" s="13" t="s">
        <v>806</v>
      </c>
      <c r="GH110" s="13" t="s">
        <v>806</v>
      </c>
    </row>
    <row r="111" spans="1:190" ht="12.75" customHeight="1" x14ac:dyDescent="0.25">
      <c r="A111" s="1" t="s">
        <v>373</v>
      </c>
      <c r="B111" s="1" t="s">
        <v>747</v>
      </c>
      <c r="C111" s="1" t="s">
        <v>659</v>
      </c>
      <c r="D111" s="1" t="s">
        <v>684</v>
      </c>
      <c r="E111" s="1" t="s">
        <v>127</v>
      </c>
      <c r="F111" s="1">
        <v>0</v>
      </c>
      <c r="G111" s="1">
        <v>2040</v>
      </c>
      <c r="H111" s="1">
        <v>1</v>
      </c>
      <c r="I111" s="1">
        <v>0</v>
      </c>
      <c r="J111" s="1">
        <v>0</v>
      </c>
      <c r="K1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369.90720000000005</v>
      </c>
      <c r="L1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593.0773333333334</v>
      </c>
      <c r="M1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808.49599999999998</v>
      </c>
      <c r="N111" s="19">
        <v>635.44000000000005</v>
      </c>
      <c r="O111" s="19">
        <v>462.38400000000001</v>
      </c>
      <c r="P111" s="19">
        <v>808.49599999999998</v>
      </c>
      <c r="Q111" s="19">
        <v>342.16</v>
      </c>
      <c r="R111" s="19">
        <v>248.97600000000003</v>
      </c>
      <c r="S111" s="19">
        <v>435.34400000000005</v>
      </c>
      <c r="T111" s="19">
        <v>635.44000000000005</v>
      </c>
      <c r="U111" s="19">
        <v>462.38400000000001</v>
      </c>
      <c r="V111" s="19">
        <v>808.49599999999998</v>
      </c>
      <c r="W111" s="19">
        <v>342.16</v>
      </c>
      <c r="X111" s="19">
        <v>248.97600000000003</v>
      </c>
      <c r="Y111" s="19">
        <v>435.34400000000005</v>
      </c>
      <c r="Z111" s="19">
        <v>508.35200000000003</v>
      </c>
      <c r="AA111" s="19">
        <v>369.90720000000005</v>
      </c>
      <c r="AB111" s="19">
        <v>646.79679999999996</v>
      </c>
      <c r="AC111" s="19">
        <v>469.24799999999999</v>
      </c>
      <c r="AD111" s="19">
        <v>341.45280000000002</v>
      </c>
      <c r="AE111" s="19">
        <v>597.04320000000007</v>
      </c>
      <c r="AF111" s="19">
        <v>635.44000000000005</v>
      </c>
      <c r="AG111" s="19">
        <v>462.38400000000001</v>
      </c>
      <c r="AH111" s="19">
        <v>808.49599999999998</v>
      </c>
      <c r="AI111" s="19">
        <v>342.16</v>
      </c>
      <c r="AJ111" s="19">
        <v>248.97600000000003</v>
      </c>
      <c r="AK111" s="19">
        <v>435.34400000000005</v>
      </c>
      <c r="AL111" s="19">
        <v>635.44000000000005</v>
      </c>
      <c r="AM111" s="19">
        <v>462.38400000000001</v>
      </c>
      <c r="AN111" s="19">
        <v>808.49599999999998</v>
      </c>
      <c r="AO111" s="19">
        <v>342.16</v>
      </c>
      <c r="AP111" s="19">
        <v>248.97600000000003</v>
      </c>
      <c r="AQ111" s="19">
        <v>435.34400000000005</v>
      </c>
      <c r="AR111" s="19">
        <v>508.35200000000003</v>
      </c>
      <c r="AS111" s="19">
        <v>369.90720000000005</v>
      </c>
      <c r="AT111" s="19">
        <v>646.79679999999996</v>
      </c>
      <c r="AU111" s="19">
        <v>469.24799999999999</v>
      </c>
      <c r="AV111" s="19">
        <v>341.45280000000002</v>
      </c>
      <c r="AW111" s="19">
        <v>597.04320000000007</v>
      </c>
      <c r="AX111" s="19">
        <v>635.44000000000005</v>
      </c>
      <c r="AY111" s="19">
        <v>462.38400000000001</v>
      </c>
      <c r="AZ111" s="19">
        <v>808.49599999999998</v>
      </c>
      <c r="BA111" s="19">
        <v>342.16</v>
      </c>
      <c r="BB111" s="19">
        <v>248.97600000000003</v>
      </c>
      <c r="BC111" s="19">
        <v>435.34400000000005</v>
      </c>
      <c r="BD111" s="19">
        <v>635.44000000000005</v>
      </c>
      <c r="BE111" s="19">
        <v>462.38400000000001</v>
      </c>
      <c r="BF111" s="19">
        <v>808.49599999999998</v>
      </c>
      <c r="BG111" s="19">
        <v>342.16</v>
      </c>
      <c r="BH111" s="19">
        <v>248.97600000000003</v>
      </c>
      <c r="BI111" s="19">
        <v>435.34400000000005</v>
      </c>
      <c r="BJ111" s="19">
        <v>508.35200000000003</v>
      </c>
      <c r="BK111" s="19">
        <v>369.90720000000005</v>
      </c>
      <c r="BL111" s="19">
        <v>646.79679999999996</v>
      </c>
      <c r="BM111" s="19">
        <v>469.24799999999999</v>
      </c>
      <c r="BN111" s="19">
        <v>341.45280000000002</v>
      </c>
      <c r="BO111" s="19">
        <v>597.04320000000007</v>
      </c>
      <c r="BP111" s="19"/>
      <c r="BQ1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248.97600000000003</v>
      </c>
      <c r="BR1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384.52266666666662</v>
      </c>
      <c r="BS1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597.04320000000007</v>
      </c>
      <c r="BT111" s="11">
        <f>Tabelle5897112140[[#This Row],[Mindestauslastung min]]*Tabelle5897112140[[#This Row],[installierte Leistung MW min]]</f>
        <v>35.568000000000005</v>
      </c>
      <c r="BU111" s="11">
        <f>Tabelle5897112140[[#This Row],[Mindestauslastung durch]]*Tabelle5897112140[[#This Row],[installierte Leistung MW durch]]</f>
        <v>48.88</v>
      </c>
      <c r="BV111" s="11">
        <f>Tabelle5897112140[[#This Row],[Mindestauslastung max]]*Tabelle5897112140[[#This Row],[installierte Leistung MW max]]</f>
        <v>62.192</v>
      </c>
      <c r="BW111" s="9">
        <v>0.05</v>
      </c>
      <c r="BX111" s="9">
        <v>0.05</v>
      </c>
      <c r="BY111" s="9">
        <v>0.05</v>
      </c>
      <c r="BZ111" s="9"/>
      <c r="CA111" s="9">
        <v>0.65</v>
      </c>
      <c r="CB111" s="9">
        <v>0.65</v>
      </c>
      <c r="CC111" s="9">
        <v>0.65</v>
      </c>
      <c r="CD111" s="9">
        <v>0.65</v>
      </c>
      <c r="CE111" s="9">
        <v>0.65</v>
      </c>
      <c r="CF111" s="9">
        <v>0.65</v>
      </c>
      <c r="CG111" s="9">
        <v>0.52</v>
      </c>
      <c r="CH111" s="9">
        <v>0.52</v>
      </c>
      <c r="CI111" s="9">
        <v>0.52</v>
      </c>
      <c r="CJ111" s="9">
        <v>0.65</v>
      </c>
      <c r="CK111" s="9">
        <v>0.65</v>
      </c>
      <c r="CL111" s="9">
        <v>0.65</v>
      </c>
      <c r="CM111" s="9">
        <v>0.65</v>
      </c>
      <c r="CN111" s="9">
        <v>0.65</v>
      </c>
      <c r="CO111" s="9">
        <v>0.65</v>
      </c>
      <c r="CP111" s="9">
        <v>0.52</v>
      </c>
      <c r="CQ111" s="9">
        <v>0.52</v>
      </c>
      <c r="CR111" s="9">
        <v>0.52</v>
      </c>
      <c r="CS111" s="9">
        <v>0.65</v>
      </c>
      <c r="CT111" s="9">
        <v>0.65</v>
      </c>
      <c r="CU111" s="9">
        <v>0.65</v>
      </c>
      <c r="CV111" s="9">
        <v>0.65</v>
      </c>
      <c r="CW111" s="9">
        <v>0.65</v>
      </c>
      <c r="CX111" s="9">
        <v>0.65</v>
      </c>
      <c r="CY111" s="9">
        <v>0.52</v>
      </c>
      <c r="CZ111" s="9">
        <v>0.52</v>
      </c>
      <c r="DA111" s="9">
        <v>0.52</v>
      </c>
      <c r="DB111" s="9">
        <f>MIN(Tabelle5897112140[[#This Row],[Durchschnittsauslastung durch Sommer WTT]:[Durchschnittsauslastung max Winter SFN]])</f>
        <v>0.52</v>
      </c>
      <c r="DC1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1" s="9">
        <f>MAX(Tabelle5897112140[[#This Row],[Durchschnittsauslastung durch Sommer WTT]:[Durchschnittsauslastung max Winter SFN]])</f>
        <v>0.65</v>
      </c>
      <c r="DE111" s="40">
        <f>Tabelle5897112140[[#This Row],[Durchschnittsauslastung min]]*Tabelle5897112140[[#This Row],[installierte Leistung MW min]]</f>
        <v>369.90720000000005</v>
      </c>
      <c r="DF111" s="40">
        <f>Tabelle5897112140[[#This Row],[Durchschnittsauslastung durch]]*Tabelle5897112140[[#This Row],[installierte Leistung MW durch]]</f>
        <v>593.07733333333351</v>
      </c>
      <c r="DG111" s="40">
        <f>Tabelle5897112140[[#This Row],[Durchschnittsauslastung max]]*Tabelle5897112140[[#This Row],[installierte Leistung MW max]]</f>
        <v>808.49599999999998</v>
      </c>
      <c r="DH111" s="46">
        <f>Tabelle5897112140[[#This Row],[Maximalauslastung min]]*Tabelle5897112140[[#This Row],[installierte Leistung MW min]]</f>
        <v>0</v>
      </c>
      <c r="DI111" s="46">
        <f>Tabelle5897112140[[#This Row],[Maximalauslastung durch]]*Tabelle5897112140[[#This Row],[installierte Leistung MW durch]]</f>
        <v>0</v>
      </c>
      <c r="DJ111" s="19">
        <f>Tabelle5897112140[[#This Row],[Maximalauslastung max]]*Tabelle5897112140[[#This Row],[installierte Leistung MW durch]]</f>
        <v>0</v>
      </c>
      <c r="DK111" s="9">
        <v>0</v>
      </c>
      <c r="DL111" s="9">
        <v>0</v>
      </c>
      <c r="DM111" s="9">
        <v>0</v>
      </c>
      <c r="DN111" s="1">
        <v>977.6</v>
      </c>
      <c r="DO111" s="1">
        <v>711.36</v>
      </c>
      <c r="DP111" s="1">
        <v>1243.8399999999999</v>
      </c>
      <c r="DQ111" s="19"/>
      <c r="DR111" s="19"/>
      <c r="DW111" s="1">
        <v>1.1375</v>
      </c>
      <c r="DX111" s="1">
        <v>1</v>
      </c>
      <c r="DY111" s="1">
        <v>1.9</v>
      </c>
      <c r="EL111" s="1">
        <v>365</v>
      </c>
      <c r="EM111" s="1">
        <v>292</v>
      </c>
      <c r="EN111" s="1">
        <v>438</v>
      </c>
      <c r="EO111" s="11"/>
      <c r="EP111" s="11"/>
      <c r="EQ111" s="11"/>
      <c r="ER111" s="1">
        <v>365</v>
      </c>
      <c r="ES111" s="1">
        <v>292</v>
      </c>
      <c r="ET111" s="1">
        <v>438</v>
      </c>
      <c r="EV111" s="19"/>
      <c r="EW111" s="19"/>
      <c r="EX111" s="19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O111" s="1">
        <v>67</v>
      </c>
      <c r="FP111" s="1">
        <v>67</v>
      </c>
      <c r="FQ111" s="1">
        <v>67</v>
      </c>
      <c r="FR111" s="13" t="s">
        <v>806</v>
      </c>
      <c r="FS111" s="13" t="s">
        <v>806</v>
      </c>
      <c r="FT111" s="13" t="s">
        <v>806</v>
      </c>
      <c r="FU111" s="13"/>
      <c r="FV111" s="13" t="s">
        <v>806</v>
      </c>
      <c r="FW111" s="13" t="s">
        <v>806</v>
      </c>
      <c r="FX111" s="13" t="s">
        <v>806</v>
      </c>
      <c r="FY111" s="13" t="s">
        <v>806</v>
      </c>
      <c r="FZ111" s="13" t="s">
        <v>806</v>
      </c>
      <c r="GA111" s="13" t="s">
        <v>806</v>
      </c>
      <c r="GB111" s="13" t="s">
        <v>806</v>
      </c>
      <c r="GE111" s="13" t="s">
        <v>806</v>
      </c>
      <c r="GF111" s="13" t="s">
        <v>806</v>
      </c>
      <c r="GH111" s="13" t="s">
        <v>806</v>
      </c>
    </row>
    <row r="112" spans="1:190" ht="12.75" customHeight="1" x14ac:dyDescent="0.25">
      <c r="A112" s="1" t="s">
        <v>373</v>
      </c>
      <c r="B112" s="1" t="s">
        <v>747</v>
      </c>
      <c r="C112" s="1" t="s">
        <v>659</v>
      </c>
      <c r="D112" s="1" t="s">
        <v>684</v>
      </c>
      <c r="E112" s="1" t="s">
        <v>127</v>
      </c>
      <c r="F112" s="1">
        <v>0</v>
      </c>
      <c r="G112" s="1">
        <v>2045</v>
      </c>
      <c r="H112" s="1">
        <v>1</v>
      </c>
      <c r="I112" s="1">
        <v>0</v>
      </c>
      <c r="J112" s="1">
        <v>0</v>
      </c>
      <c r="K1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435.70800000000003</v>
      </c>
      <c r="L1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698.57666666666671</v>
      </c>
      <c r="M1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952.31500000000005</v>
      </c>
      <c r="N112" s="19">
        <v>748.47500000000002</v>
      </c>
      <c r="O112" s="19">
        <v>544.6350000000001</v>
      </c>
      <c r="P112" s="19">
        <v>952.31500000000005</v>
      </c>
      <c r="Q112" s="19">
        <v>403.02500000000003</v>
      </c>
      <c r="R112" s="19">
        <v>293.26500000000004</v>
      </c>
      <c r="S112" s="19">
        <v>512.78500000000008</v>
      </c>
      <c r="T112" s="19">
        <v>748.47500000000002</v>
      </c>
      <c r="U112" s="19">
        <v>544.6350000000001</v>
      </c>
      <c r="V112" s="19">
        <v>952.31500000000005</v>
      </c>
      <c r="W112" s="19">
        <v>403.02500000000003</v>
      </c>
      <c r="X112" s="19">
        <v>293.26500000000004</v>
      </c>
      <c r="Y112" s="19">
        <v>512.78500000000008</v>
      </c>
      <c r="Z112" s="19">
        <v>598.78000000000009</v>
      </c>
      <c r="AA112" s="19">
        <v>435.70800000000003</v>
      </c>
      <c r="AB112" s="19">
        <v>761.85199999999998</v>
      </c>
      <c r="AC112" s="19">
        <v>552.72</v>
      </c>
      <c r="AD112" s="19">
        <v>402.19200000000001</v>
      </c>
      <c r="AE112" s="19">
        <v>703.24800000000005</v>
      </c>
      <c r="AF112" s="19">
        <v>748.47500000000002</v>
      </c>
      <c r="AG112" s="19">
        <v>544.6350000000001</v>
      </c>
      <c r="AH112" s="19">
        <v>952.31500000000005</v>
      </c>
      <c r="AI112" s="19">
        <v>403.02500000000003</v>
      </c>
      <c r="AJ112" s="19">
        <v>293.26500000000004</v>
      </c>
      <c r="AK112" s="19">
        <v>512.78500000000008</v>
      </c>
      <c r="AL112" s="19">
        <v>748.47500000000002</v>
      </c>
      <c r="AM112" s="19">
        <v>544.6350000000001</v>
      </c>
      <c r="AN112" s="19">
        <v>952.31500000000005</v>
      </c>
      <c r="AO112" s="19">
        <v>403.02500000000003</v>
      </c>
      <c r="AP112" s="19">
        <v>293.26500000000004</v>
      </c>
      <c r="AQ112" s="19">
        <v>512.78500000000008</v>
      </c>
      <c r="AR112" s="19">
        <v>598.78000000000009</v>
      </c>
      <c r="AS112" s="19">
        <v>435.70800000000003</v>
      </c>
      <c r="AT112" s="19">
        <v>761.85199999999998</v>
      </c>
      <c r="AU112" s="19">
        <v>552.72</v>
      </c>
      <c r="AV112" s="19">
        <v>402.19200000000001</v>
      </c>
      <c r="AW112" s="19">
        <v>703.24800000000005</v>
      </c>
      <c r="AX112" s="19">
        <v>748.47500000000002</v>
      </c>
      <c r="AY112" s="19">
        <v>544.6350000000001</v>
      </c>
      <c r="AZ112" s="19">
        <v>952.31500000000005</v>
      </c>
      <c r="BA112" s="19">
        <v>403.02500000000003</v>
      </c>
      <c r="BB112" s="19">
        <v>293.26500000000004</v>
      </c>
      <c r="BC112" s="19">
        <v>512.78500000000008</v>
      </c>
      <c r="BD112" s="19">
        <v>748.47500000000002</v>
      </c>
      <c r="BE112" s="19">
        <v>544.6350000000001</v>
      </c>
      <c r="BF112" s="19">
        <v>952.31500000000005</v>
      </c>
      <c r="BG112" s="19">
        <v>403.02500000000003</v>
      </c>
      <c r="BH112" s="19">
        <v>293.26500000000004</v>
      </c>
      <c r="BI112" s="19">
        <v>512.78500000000008</v>
      </c>
      <c r="BJ112" s="19">
        <v>598.78000000000009</v>
      </c>
      <c r="BK112" s="19">
        <v>435.70800000000003</v>
      </c>
      <c r="BL112" s="19">
        <v>761.85199999999998</v>
      </c>
      <c r="BM112" s="19">
        <v>552.72</v>
      </c>
      <c r="BN112" s="19">
        <v>402.19200000000001</v>
      </c>
      <c r="BO112" s="19">
        <v>703.24800000000005</v>
      </c>
      <c r="BP112" s="19"/>
      <c r="BQ1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293.26500000000004</v>
      </c>
      <c r="BR1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452.9233333333334</v>
      </c>
      <c r="BS1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703.24800000000005</v>
      </c>
      <c r="BT112" s="11">
        <f>Tabelle5897112140[[#This Row],[Mindestauslastung min]]*Tabelle5897112140[[#This Row],[installierte Leistung MW min]]</f>
        <v>41.895000000000003</v>
      </c>
      <c r="BU112" s="11">
        <f>Tabelle5897112140[[#This Row],[Mindestauslastung durch]]*Tabelle5897112140[[#This Row],[installierte Leistung MW durch]]</f>
        <v>57.575000000000003</v>
      </c>
      <c r="BV112" s="11">
        <f>Tabelle5897112140[[#This Row],[Mindestauslastung max]]*Tabelle5897112140[[#This Row],[installierte Leistung MW max]]</f>
        <v>73.254999999999995</v>
      </c>
      <c r="BW112" s="9">
        <v>0.05</v>
      </c>
      <c r="BX112" s="9">
        <v>0.05</v>
      </c>
      <c r="BY112" s="9">
        <v>0.05</v>
      </c>
      <c r="BZ112" s="9"/>
      <c r="CA112" s="9">
        <v>0.65</v>
      </c>
      <c r="CB112" s="9">
        <v>0.65</v>
      </c>
      <c r="CC112" s="9">
        <v>0.65</v>
      </c>
      <c r="CD112" s="9">
        <v>0.65</v>
      </c>
      <c r="CE112" s="9">
        <v>0.65</v>
      </c>
      <c r="CF112" s="9">
        <v>0.65</v>
      </c>
      <c r="CG112" s="9">
        <v>0.52</v>
      </c>
      <c r="CH112" s="9">
        <v>0.52</v>
      </c>
      <c r="CI112" s="9">
        <v>0.52</v>
      </c>
      <c r="CJ112" s="9">
        <v>0.65</v>
      </c>
      <c r="CK112" s="9">
        <v>0.65</v>
      </c>
      <c r="CL112" s="9">
        <v>0.65</v>
      </c>
      <c r="CM112" s="9">
        <v>0.65</v>
      </c>
      <c r="CN112" s="9">
        <v>0.65</v>
      </c>
      <c r="CO112" s="9">
        <v>0.65</v>
      </c>
      <c r="CP112" s="9">
        <v>0.52</v>
      </c>
      <c r="CQ112" s="9">
        <v>0.52</v>
      </c>
      <c r="CR112" s="9">
        <v>0.52</v>
      </c>
      <c r="CS112" s="9">
        <v>0.65</v>
      </c>
      <c r="CT112" s="9">
        <v>0.65</v>
      </c>
      <c r="CU112" s="9">
        <v>0.65</v>
      </c>
      <c r="CV112" s="9">
        <v>0.65</v>
      </c>
      <c r="CW112" s="9">
        <v>0.65</v>
      </c>
      <c r="CX112" s="9">
        <v>0.65</v>
      </c>
      <c r="CY112" s="9">
        <v>0.52</v>
      </c>
      <c r="CZ112" s="9">
        <v>0.52</v>
      </c>
      <c r="DA112" s="9">
        <v>0.52</v>
      </c>
      <c r="DB112" s="9">
        <f>MIN(Tabelle5897112140[[#This Row],[Durchschnittsauslastung durch Sommer WTT]:[Durchschnittsauslastung max Winter SFN]])</f>
        <v>0.52</v>
      </c>
      <c r="DC1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2" s="9">
        <f>MAX(Tabelle5897112140[[#This Row],[Durchschnittsauslastung durch Sommer WTT]:[Durchschnittsauslastung max Winter SFN]])</f>
        <v>0.65</v>
      </c>
      <c r="DE112" s="40">
        <f>Tabelle5897112140[[#This Row],[Durchschnittsauslastung min]]*Tabelle5897112140[[#This Row],[installierte Leistung MW min]]</f>
        <v>435.70800000000003</v>
      </c>
      <c r="DF112" s="40">
        <f>Tabelle5897112140[[#This Row],[Durchschnittsauslastung durch]]*Tabelle5897112140[[#This Row],[installierte Leistung MW durch]]</f>
        <v>698.57666666666682</v>
      </c>
      <c r="DG112" s="40">
        <f>Tabelle5897112140[[#This Row],[Durchschnittsauslastung max]]*Tabelle5897112140[[#This Row],[installierte Leistung MW max]]</f>
        <v>952.31499999999994</v>
      </c>
      <c r="DH112" s="46">
        <f>Tabelle5897112140[[#This Row],[Maximalauslastung min]]*Tabelle5897112140[[#This Row],[installierte Leistung MW min]]</f>
        <v>0</v>
      </c>
      <c r="DI112" s="46">
        <f>Tabelle5897112140[[#This Row],[Maximalauslastung durch]]*Tabelle5897112140[[#This Row],[installierte Leistung MW durch]]</f>
        <v>0</v>
      </c>
      <c r="DJ112" s="19">
        <f>Tabelle5897112140[[#This Row],[Maximalauslastung max]]*Tabelle5897112140[[#This Row],[installierte Leistung MW durch]]</f>
        <v>0</v>
      </c>
      <c r="DK112" s="9">
        <v>0</v>
      </c>
      <c r="DL112" s="9">
        <v>0</v>
      </c>
      <c r="DM112" s="9">
        <v>0</v>
      </c>
      <c r="DN112" s="1">
        <v>1151.5</v>
      </c>
      <c r="DO112" s="1">
        <v>837.9</v>
      </c>
      <c r="DP112" s="1">
        <v>1465.1</v>
      </c>
      <c r="DQ112" s="19"/>
      <c r="DR112" s="19"/>
      <c r="DW112" s="1">
        <v>1.1375</v>
      </c>
      <c r="DX112" s="1">
        <v>1</v>
      </c>
      <c r="DY112" s="1">
        <v>1.9</v>
      </c>
      <c r="EL112" s="1">
        <v>365</v>
      </c>
      <c r="EM112" s="1">
        <v>292</v>
      </c>
      <c r="EN112" s="1">
        <v>438</v>
      </c>
      <c r="EO112" s="11"/>
      <c r="EP112" s="11"/>
      <c r="EQ112" s="11"/>
      <c r="ER112" s="1">
        <v>365</v>
      </c>
      <c r="ES112" s="1">
        <v>292</v>
      </c>
      <c r="ET112" s="1">
        <v>438</v>
      </c>
      <c r="EV112" s="19"/>
      <c r="EW112" s="19"/>
      <c r="EX112" s="19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O112" s="1">
        <v>67</v>
      </c>
      <c r="FP112" s="1">
        <v>67</v>
      </c>
      <c r="FQ112" s="1">
        <v>67</v>
      </c>
      <c r="FR112" s="13" t="s">
        <v>806</v>
      </c>
      <c r="FS112" s="13" t="s">
        <v>806</v>
      </c>
      <c r="FT112" s="13" t="s">
        <v>806</v>
      </c>
      <c r="FU112" s="13"/>
      <c r="FV112" s="13" t="s">
        <v>806</v>
      </c>
      <c r="FW112" s="13" t="s">
        <v>806</v>
      </c>
      <c r="FX112" s="13" t="s">
        <v>806</v>
      </c>
      <c r="FY112" s="13" t="s">
        <v>806</v>
      </c>
      <c r="FZ112" s="13" t="s">
        <v>806</v>
      </c>
      <c r="GA112" s="13" t="s">
        <v>806</v>
      </c>
      <c r="GB112" s="13" t="s">
        <v>806</v>
      </c>
      <c r="GE112" s="13" t="s">
        <v>806</v>
      </c>
      <c r="GF112" s="13" t="s">
        <v>806</v>
      </c>
      <c r="GH112" s="13" t="s">
        <v>806</v>
      </c>
    </row>
    <row r="113" spans="1:190" ht="12.75" customHeight="1" x14ac:dyDescent="0.25">
      <c r="A113" s="1" t="s">
        <v>373</v>
      </c>
      <c r="B113" s="1" t="s">
        <v>747</v>
      </c>
      <c r="C113" s="1" t="s">
        <v>659</v>
      </c>
      <c r="D113" s="1" t="s">
        <v>684</v>
      </c>
      <c r="E113" s="1" t="s">
        <v>127</v>
      </c>
      <c r="F113" s="1">
        <v>0</v>
      </c>
      <c r="G113" s="1">
        <v>2050</v>
      </c>
      <c r="H113" s="1">
        <v>1</v>
      </c>
      <c r="I113" s="1">
        <v>0</v>
      </c>
      <c r="J113" s="1">
        <v>0</v>
      </c>
      <c r="K1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515.73599999999999</v>
      </c>
      <c r="L1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826.88666666666666</v>
      </c>
      <c r="M1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1127.23</v>
      </c>
      <c r="N113" s="19">
        <v>885.94999999999993</v>
      </c>
      <c r="O113" s="19">
        <v>644.66999999999996</v>
      </c>
      <c r="P113" s="19">
        <v>1127.23</v>
      </c>
      <c r="Q113" s="19">
        <v>477.05</v>
      </c>
      <c r="R113" s="19">
        <v>347.13</v>
      </c>
      <c r="S113" s="19">
        <v>606.97</v>
      </c>
      <c r="T113" s="19">
        <v>885.94999999999993</v>
      </c>
      <c r="U113" s="19">
        <v>644.66999999999996</v>
      </c>
      <c r="V113" s="19">
        <v>1127.23</v>
      </c>
      <c r="W113" s="19">
        <v>477.05</v>
      </c>
      <c r="X113" s="19">
        <v>347.13</v>
      </c>
      <c r="Y113" s="19">
        <v>606.97</v>
      </c>
      <c r="Z113" s="19">
        <v>708.76</v>
      </c>
      <c r="AA113" s="19">
        <v>515.73599999999999</v>
      </c>
      <c r="AB113" s="19">
        <v>901.78399999999988</v>
      </c>
      <c r="AC113" s="19">
        <v>654.24</v>
      </c>
      <c r="AD113" s="19">
        <v>476.06399999999996</v>
      </c>
      <c r="AE113" s="19">
        <v>832.41600000000005</v>
      </c>
      <c r="AF113" s="19">
        <v>885.94999999999993</v>
      </c>
      <c r="AG113" s="19">
        <v>644.66999999999996</v>
      </c>
      <c r="AH113" s="19">
        <v>1127.23</v>
      </c>
      <c r="AI113" s="19">
        <v>477.05</v>
      </c>
      <c r="AJ113" s="19">
        <v>347.13</v>
      </c>
      <c r="AK113" s="19">
        <v>606.97</v>
      </c>
      <c r="AL113" s="19">
        <v>885.94999999999993</v>
      </c>
      <c r="AM113" s="19">
        <v>644.66999999999996</v>
      </c>
      <c r="AN113" s="19">
        <v>1127.23</v>
      </c>
      <c r="AO113" s="19">
        <v>477.05</v>
      </c>
      <c r="AP113" s="19">
        <v>347.13</v>
      </c>
      <c r="AQ113" s="19">
        <v>606.97</v>
      </c>
      <c r="AR113" s="19">
        <v>708.76</v>
      </c>
      <c r="AS113" s="19">
        <v>515.73599999999999</v>
      </c>
      <c r="AT113" s="19">
        <v>901.78399999999988</v>
      </c>
      <c r="AU113" s="19">
        <v>654.24</v>
      </c>
      <c r="AV113" s="19">
        <v>476.06399999999996</v>
      </c>
      <c r="AW113" s="19">
        <v>832.41600000000005</v>
      </c>
      <c r="AX113" s="19">
        <v>885.94999999999993</v>
      </c>
      <c r="AY113" s="19">
        <v>644.66999999999996</v>
      </c>
      <c r="AZ113" s="19">
        <v>1127.23</v>
      </c>
      <c r="BA113" s="19">
        <v>477.05</v>
      </c>
      <c r="BB113" s="19">
        <v>347.13</v>
      </c>
      <c r="BC113" s="19">
        <v>606.97</v>
      </c>
      <c r="BD113" s="19">
        <v>885.94999999999993</v>
      </c>
      <c r="BE113" s="19">
        <v>644.66999999999996</v>
      </c>
      <c r="BF113" s="19">
        <v>1127.23</v>
      </c>
      <c r="BG113" s="19">
        <v>477.05</v>
      </c>
      <c r="BH113" s="19">
        <v>347.13</v>
      </c>
      <c r="BI113" s="19">
        <v>606.97</v>
      </c>
      <c r="BJ113" s="19">
        <v>708.76</v>
      </c>
      <c r="BK113" s="19">
        <v>515.73599999999999</v>
      </c>
      <c r="BL113" s="19">
        <v>901.78399999999988</v>
      </c>
      <c r="BM113" s="19">
        <v>654.24</v>
      </c>
      <c r="BN113" s="19">
        <v>476.06399999999996</v>
      </c>
      <c r="BO113" s="19">
        <v>832.41600000000005</v>
      </c>
      <c r="BP113" s="19"/>
      <c r="BQ1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347.13</v>
      </c>
      <c r="BR1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536.11333333333334</v>
      </c>
      <c r="BS1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832.41600000000005</v>
      </c>
      <c r="BT113" s="11">
        <f>Tabelle5897112140[[#This Row],[Mindestauslastung min]]*Tabelle5897112140[[#This Row],[installierte Leistung MW min]]</f>
        <v>49.59</v>
      </c>
      <c r="BU113" s="11">
        <f>Tabelle5897112140[[#This Row],[Mindestauslastung durch]]*Tabelle5897112140[[#This Row],[installierte Leistung MW durch]]</f>
        <v>68.150000000000006</v>
      </c>
      <c r="BV113" s="11">
        <f>Tabelle5897112140[[#This Row],[Mindestauslastung max]]*Tabelle5897112140[[#This Row],[installierte Leistung MW max]]</f>
        <v>86.710000000000008</v>
      </c>
      <c r="BW113" s="9">
        <v>0.05</v>
      </c>
      <c r="BX113" s="9">
        <v>0.05</v>
      </c>
      <c r="BY113" s="9">
        <v>0.05</v>
      </c>
      <c r="BZ113" s="9"/>
      <c r="CA113" s="9">
        <v>0.65</v>
      </c>
      <c r="CB113" s="9">
        <v>0.65</v>
      </c>
      <c r="CC113" s="9">
        <v>0.65</v>
      </c>
      <c r="CD113" s="9">
        <v>0.65</v>
      </c>
      <c r="CE113" s="9">
        <v>0.65</v>
      </c>
      <c r="CF113" s="9">
        <v>0.65</v>
      </c>
      <c r="CG113" s="9">
        <v>0.52</v>
      </c>
      <c r="CH113" s="9">
        <v>0.52</v>
      </c>
      <c r="CI113" s="9">
        <v>0.52</v>
      </c>
      <c r="CJ113" s="9">
        <v>0.65</v>
      </c>
      <c r="CK113" s="9">
        <v>0.65</v>
      </c>
      <c r="CL113" s="9">
        <v>0.65</v>
      </c>
      <c r="CM113" s="9">
        <v>0.65</v>
      </c>
      <c r="CN113" s="9">
        <v>0.65</v>
      </c>
      <c r="CO113" s="9">
        <v>0.65</v>
      </c>
      <c r="CP113" s="9">
        <v>0.52</v>
      </c>
      <c r="CQ113" s="9">
        <v>0.52</v>
      </c>
      <c r="CR113" s="9">
        <v>0.52</v>
      </c>
      <c r="CS113" s="9">
        <v>0.65</v>
      </c>
      <c r="CT113" s="9">
        <v>0.65</v>
      </c>
      <c r="CU113" s="9">
        <v>0.65</v>
      </c>
      <c r="CV113" s="9">
        <v>0.65</v>
      </c>
      <c r="CW113" s="9">
        <v>0.65</v>
      </c>
      <c r="CX113" s="9">
        <v>0.65</v>
      </c>
      <c r="CY113" s="9">
        <v>0.52</v>
      </c>
      <c r="CZ113" s="9">
        <v>0.52</v>
      </c>
      <c r="DA113" s="9">
        <v>0.52</v>
      </c>
      <c r="DB113" s="9">
        <f>MIN(Tabelle5897112140[[#This Row],[Durchschnittsauslastung durch Sommer WTT]:[Durchschnittsauslastung max Winter SFN]])</f>
        <v>0.52</v>
      </c>
      <c r="DC1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3" s="9">
        <f>MAX(Tabelle5897112140[[#This Row],[Durchschnittsauslastung durch Sommer WTT]:[Durchschnittsauslastung max Winter SFN]])</f>
        <v>0.65</v>
      </c>
      <c r="DE113" s="40">
        <f>Tabelle5897112140[[#This Row],[Durchschnittsauslastung min]]*Tabelle5897112140[[#This Row],[installierte Leistung MW min]]</f>
        <v>515.73599999999999</v>
      </c>
      <c r="DF113" s="40">
        <f>Tabelle5897112140[[#This Row],[Durchschnittsauslastung durch]]*Tabelle5897112140[[#This Row],[installierte Leistung MW durch]]</f>
        <v>826.88666666666688</v>
      </c>
      <c r="DG113" s="40">
        <f>Tabelle5897112140[[#This Row],[Durchschnittsauslastung max]]*Tabelle5897112140[[#This Row],[installierte Leistung MW max]]</f>
        <v>1127.23</v>
      </c>
      <c r="DH113" s="46">
        <f>Tabelle5897112140[[#This Row],[Maximalauslastung min]]*Tabelle5897112140[[#This Row],[installierte Leistung MW min]]</f>
        <v>0</v>
      </c>
      <c r="DI113" s="46">
        <f>Tabelle5897112140[[#This Row],[Maximalauslastung durch]]*Tabelle5897112140[[#This Row],[installierte Leistung MW durch]]</f>
        <v>0</v>
      </c>
      <c r="DJ113" s="19">
        <f>Tabelle5897112140[[#This Row],[Maximalauslastung max]]*Tabelle5897112140[[#This Row],[installierte Leistung MW durch]]</f>
        <v>0</v>
      </c>
      <c r="DK113" s="9">
        <v>0</v>
      </c>
      <c r="DL113" s="9">
        <v>0</v>
      </c>
      <c r="DM113" s="9">
        <v>0</v>
      </c>
      <c r="DN113" s="1">
        <v>1363</v>
      </c>
      <c r="DO113" s="1">
        <v>991.8</v>
      </c>
      <c r="DP113" s="1">
        <v>1734.2</v>
      </c>
      <c r="DQ113" s="19"/>
      <c r="DR113" s="19"/>
      <c r="DW113" s="1">
        <v>1.1375</v>
      </c>
      <c r="DX113" s="1">
        <v>1</v>
      </c>
      <c r="DY113" s="1">
        <v>1.9</v>
      </c>
      <c r="EL113" s="1">
        <v>365</v>
      </c>
      <c r="EM113" s="1">
        <v>292</v>
      </c>
      <c r="EN113" s="1">
        <v>438</v>
      </c>
      <c r="EO113" s="11"/>
      <c r="EP113" s="11"/>
      <c r="EQ113" s="11"/>
      <c r="ER113" s="1">
        <v>365</v>
      </c>
      <c r="ES113" s="1">
        <v>292</v>
      </c>
      <c r="ET113" s="1">
        <v>438</v>
      </c>
      <c r="EV113" s="19"/>
      <c r="EW113" s="19"/>
      <c r="EX113" s="19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O113" s="1">
        <v>67</v>
      </c>
      <c r="FP113" s="1">
        <v>67</v>
      </c>
      <c r="FQ113" s="1">
        <v>67</v>
      </c>
      <c r="FR113" s="13" t="s">
        <v>806</v>
      </c>
      <c r="FS113" s="13" t="s">
        <v>806</v>
      </c>
      <c r="FT113" s="13" t="s">
        <v>806</v>
      </c>
      <c r="FU113" s="13"/>
      <c r="FV113" s="13" t="s">
        <v>806</v>
      </c>
      <c r="FW113" s="13" t="s">
        <v>806</v>
      </c>
      <c r="FX113" s="13" t="s">
        <v>806</v>
      </c>
      <c r="FY113" s="13" t="s">
        <v>806</v>
      </c>
      <c r="FZ113" s="13" t="s">
        <v>806</v>
      </c>
      <c r="GA113" s="13" t="s">
        <v>806</v>
      </c>
      <c r="GB113" s="13" t="s">
        <v>806</v>
      </c>
      <c r="GE113" s="13" t="s">
        <v>806</v>
      </c>
      <c r="GF113" s="13" t="s">
        <v>806</v>
      </c>
      <c r="GH113" s="13" t="s">
        <v>806</v>
      </c>
    </row>
    <row r="114" spans="1:190" ht="12.75" customHeight="1" x14ac:dyDescent="0.25">
      <c r="A114" s="1" t="s">
        <v>208</v>
      </c>
      <c r="B114" s="1" t="s">
        <v>651</v>
      </c>
      <c r="C114" s="1" t="s">
        <v>659</v>
      </c>
      <c r="D114" s="1" t="s">
        <v>685</v>
      </c>
      <c r="E114" s="1" t="s">
        <v>127</v>
      </c>
      <c r="F114" s="1">
        <v>0</v>
      </c>
      <c r="G114" s="1">
        <v>2015</v>
      </c>
      <c r="H114" s="1">
        <v>1</v>
      </c>
      <c r="I114" s="1">
        <v>0</v>
      </c>
      <c r="J114" s="1">
        <v>0</v>
      </c>
      <c r="K1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13.5</v>
      </c>
      <c r="L1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33.733333333333334</v>
      </c>
      <c r="M1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60.9</v>
      </c>
      <c r="N114" s="19">
        <v>35.200000000000003</v>
      </c>
      <c r="O114" s="19">
        <v>16.5</v>
      </c>
      <c r="P114" s="19">
        <v>60.9</v>
      </c>
      <c r="Q114" s="19">
        <v>0</v>
      </c>
      <c r="R114" s="19">
        <v>0</v>
      </c>
      <c r="S114" s="19">
        <v>0</v>
      </c>
      <c r="T114" s="19">
        <v>35.200000000000003</v>
      </c>
      <c r="U114" s="19">
        <v>16.5</v>
      </c>
      <c r="V114" s="19">
        <v>60.9</v>
      </c>
      <c r="W114" s="19">
        <v>0</v>
      </c>
      <c r="X114" s="19">
        <v>0</v>
      </c>
      <c r="Y114" s="19">
        <v>0</v>
      </c>
      <c r="Z114" s="19">
        <v>30.8</v>
      </c>
      <c r="AA114" s="19">
        <v>13.5</v>
      </c>
      <c r="AB114" s="19">
        <v>55.1</v>
      </c>
      <c r="AC114" s="19">
        <v>0</v>
      </c>
      <c r="AD114" s="19">
        <v>0</v>
      </c>
      <c r="AE114" s="19">
        <v>0</v>
      </c>
      <c r="AF114" s="19">
        <v>35.200000000000003</v>
      </c>
      <c r="AG114" s="19">
        <v>16.5</v>
      </c>
      <c r="AH114" s="19">
        <v>60.9</v>
      </c>
      <c r="AI114" s="19">
        <v>0</v>
      </c>
      <c r="AJ114" s="19">
        <v>0</v>
      </c>
      <c r="AK114" s="19">
        <v>0</v>
      </c>
      <c r="AL114" s="19">
        <v>35.200000000000003</v>
      </c>
      <c r="AM114" s="19">
        <v>16.5</v>
      </c>
      <c r="AN114" s="19">
        <v>60.9</v>
      </c>
      <c r="AO114" s="19">
        <v>0</v>
      </c>
      <c r="AP114" s="19">
        <v>0</v>
      </c>
      <c r="AQ114" s="19">
        <v>0</v>
      </c>
      <c r="AR114" s="19">
        <v>30.8</v>
      </c>
      <c r="AS114" s="19">
        <v>13.5</v>
      </c>
      <c r="AT114" s="19">
        <v>55.1</v>
      </c>
      <c r="AU114" s="19">
        <v>0</v>
      </c>
      <c r="AV114" s="19">
        <v>0</v>
      </c>
      <c r="AW114" s="19">
        <v>0</v>
      </c>
      <c r="AX114" s="19">
        <v>35.200000000000003</v>
      </c>
      <c r="AY114" s="19">
        <v>16.5</v>
      </c>
      <c r="AZ114" s="19">
        <v>60.9</v>
      </c>
      <c r="BA114" s="19">
        <v>0</v>
      </c>
      <c r="BB114" s="19">
        <v>0</v>
      </c>
      <c r="BC114" s="19">
        <v>0</v>
      </c>
      <c r="BD114" s="19">
        <v>35.200000000000003</v>
      </c>
      <c r="BE114" s="19">
        <v>16.5</v>
      </c>
      <c r="BF114" s="19">
        <v>60.9</v>
      </c>
      <c r="BG114" s="19">
        <v>0</v>
      </c>
      <c r="BH114" s="19">
        <v>0</v>
      </c>
      <c r="BI114" s="19">
        <v>0</v>
      </c>
      <c r="BJ114" s="19">
        <v>30.8</v>
      </c>
      <c r="BK114" s="19">
        <v>13.5</v>
      </c>
      <c r="BL114" s="19">
        <v>55.1</v>
      </c>
      <c r="BM114" s="19">
        <v>0</v>
      </c>
      <c r="BN114" s="19">
        <v>0</v>
      </c>
      <c r="BO114" s="19">
        <v>0</v>
      </c>
      <c r="BP114" s="19"/>
      <c r="BQ1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4" s="11">
        <f>Tabelle5897112140[[#This Row],[Mindestauslastung min]]*Tabelle5897112140[[#This Row],[installierte Leistung MW min]]</f>
        <v>3.75</v>
      </c>
      <c r="BU114" s="11">
        <f>Tabelle5897112140[[#This Row],[Mindestauslastung durch]]*Tabelle5897112140[[#This Row],[installierte Leistung MW durch]]</f>
        <v>5.5</v>
      </c>
      <c r="BV114" s="11">
        <f>Tabelle5897112140[[#This Row],[Mindestauslastung max]]*Tabelle5897112140[[#This Row],[installierte Leistung MW max]]</f>
        <v>7.25</v>
      </c>
      <c r="BW114" s="9">
        <v>0.05</v>
      </c>
      <c r="BX114" s="9">
        <v>0.05</v>
      </c>
      <c r="BY114" s="9">
        <v>0.05</v>
      </c>
      <c r="BZ114" s="9"/>
      <c r="CA114" s="9">
        <v>0.32</v>
      </c>
      <c r="CB114" s="9">
        <v>0.22</v>
      </c>
      <c r="CC114" s="9">
        <v>0.42</v>
      </c>
      <c r="CD114" s="9">
        <v>0.32</v>
      </c>
      <c r="CE114" s="9">
        <v>0.22</v>
      </c>
      <c r="CF114" s="9">
        <v>0.42</v>
      </c>
      <c r="CG114" s="9">
        <v>0.28000000000000003</v>
      </c>
      <c r="CH114" s="9">
        <v>0.18</v>
      </c>
      <c r="CI114" s="9">
        <v>0.38</v>
      </c>
      <c r="CJ114" s="9">
        <v>0.32</v>
      </c>
      <c r="CK114" s="9">
        <v>0.22</v>
      </c>
      <c r="CL114" s="9">
        <v>0.42</v>
      </c>
      <c r="CM114" s="9">
        <v>0.32</v>
      </c>
      <c r="CN114" s="9">
        <v>0.22</v>
      </c>
      <c r="CO114" s="9">
        <v>0.42</v>
      </c>
      <c r="CP114" s="9">
        <v>0.28000000000000003</v>
      </c>
      <c r="CQ114" s="9">
        <v>0.18</v>
      </c>
      <c r="CR114" s="9">
        <v>0.38</v>
      </c>
      <c r="CS114" s="9">
        <v>0.32</v>
      </c>
      <c r="CT114" s="9">
        <v>0.22</v>
      </c>
      <c r="CU114" s="9">
        <v>0.42</v>
      </c>
      <c r="CV114" s="9">
        <v>0.32</v>
      </c>
      <c r="CW114" s="9">
        <v>0.22</v>
      </c>
      <c r="CX114" s="9">
        <v>0.42</v>
      </c>
      <c r="CY114" s="9">
        <v>0.28000000000000003</v>
      </c>
      <c r="CZ114" s="9">
        <v>0.18</v>
      </c>
      <c r="DA114" s="9">
        <v>0.38</v>
      </c>
      <c r="DB114" s="9">
        <f>MIN(Tabelle5897112140[[#This Row],[Durchschnittsauslastung durch Sommer WTT]:[Durchschnittsauslastung max Winter SFN]])</f>
        <v>0.18</v>
      </c>
      <c r="DC1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4" s="9">
        <f>MAX(Tabelle5897112140[[#This Row],[Durchschnittsauslastung durch Sommer WTT]:[Durchschnittsauslastung max Winter SFN]])</f>
        <v>0.42</v>
      </c>
      <c r="DE114" s="40">
        <f>Tabelle5897112140[[#This Row],[Durchschnittsauslastung min]]*Tabelle5897112140[[#This Row],[installierte Leistung MW min]]</f>
        <v>13.5</v>
      </c>
      <c r="DF114" s="40">
        <f>Tabelle5897112140[[#This Row],[Durchschnittsauslastung durch]]*Tabelle5897112140[[#This Row],[installierte Leistung MW durch]]</f>
        <v>33.733333333333334</v>
      </c>
      <c r="DG114" s="40">
        <f>Tabelle5897112140[[#This Row],[Durchschnittsauslastung max]]*Tabelle5897112140[[#This Row],[installierte Leistung MW max]]</f>
        <v>60.9</v>
      </c>
      <c r="DH114" s="46">
        <f>Tabelle5897112140[[#This Row],[Maximalauslastung min]]*Tabelle5897112140[[#This Row],[installierte Leistung MW min]]</f>
        <v>0</v>
      </c>
      <c r="DI114" s="46">
        <f>Tabelle5897112140[[#This Row],[Maximalauslastung durch]]*Tabelle5897112140[[#This Row],[installierte Leistung MW durch]]</f>
        <v>0</v>
      </c>
      <c r="DJ114" s="19">
        <f>Tabelle5897112140[[#This Row],[Maximalauslastung max]]*Tabelle5897112140[[#This Row],[installierte Leistung MW durch]]</f>
        <v>0</v>
      </c>
      <c r="DK114" s="9">
        <v>0</v>
      </c>
      <c r="DL114" s="9">
        <v>0</v>
      </c>
      <c r="DM114" s="9">
        <v>0</v>
      </c>
      <c r="DN114" s="1">
        <v>110</v>
      </c>
      <c r="DO114" s="1">
        <v>75</v>
      </c>
      <c r="DP114" s="1">
        <v>145</v>
      </c>
      <c r="DQ114" s="19"/>
      <c r="DR114" s="19"/>
      <c r="DW114" s="1">
        <v>0.5</v>
      </c>
      <c r="DX114" s="1">
        <v>0.4</v>
      </c>
      <c r="DY114" s="1">
        <v>0.6</v>
      </c>
      <c r="EL114" s="1">
        <v>365</v>
      </c>
      <c r="EM114" s="1">
        <v>292</v>
      </c>
      <c r="EN114" s="1">
        <v>438</v>
      </c>
      <c r="EO114" s="11"/>
      <c r="EP114" s="11"/>
      <c r="EQ114" s="11"/>
      <c r="ER114" s="1">
        <v>365</v>
      </c>
      <c r="ES114" s="1">
        <v>292</v>
      </c>
      <c r="ET114" s="1">
        <v>438</v>
      </c>
      <c r="EV114" s="19"/>
      <c r="EW114" s="19"/>
      <c r="EX114" s="19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O114" s="1">
        <v>67</v>
      </c>
      <c r="FP114" s="1">
        <v>67</v>
      </c>
      <c r="FQ114" s="1">
        <v>67</v>
      </c>
      <c r="FR114" s="13" t="s">
        <v>806</v>
      </c>
      <c r="FS114" s="13" t="s">
        <v>806</v>
      </c>
      <c r="FT114" s="13" t="s">
        <v>806</v>
      </c>
      <c r="FU114" s="13"/>
      <c r="FV114" s="13" t="s">
        <v>806</v>
      </c>
      <c r="FW114" s="13" t="s">
        <v>806</v>
      </c>
      <c r="FX114" s="13" t="s">
        <v>806</v>
      </c>
      <c r="FY114" s="13" t="s">
        <v>806</v>
      </c>
      <c r="FZ114" s="13" t="s">
        <v>806</v>
      </c>
      <c r="GA114" s="13" t="s">
        <v>806</v>
      </c>
      <c r="GB114" s="13" t="s">
        <v>806</v>
      </c>
      <c r="GE114" s="13" t="s">
        <v>806</v>
      </c>
      <c r="GF114" s="13" t="s">
        <v>806</v>
      </c>
      <c r="GH114" s="13" t="s">
        <v>806</v>
      </c>
    </row>
    <row r="115" spans="1:190" ht="12.75" customHeight="1" x14ac:dyDescent="0.25">
      <c r="A115" s="1" t="s">
        <v>208</v>
      </c>
      <c r="B115" s="1" t="s">
        <v>651</v>
      </c>
      <c r="C115" s="1" t="s">
        <v>659</v>
      </c>
      <c r="D115" s="1" t="s">
        <v>685</v>
      </c>
      <c r="E115" s="1" t="s">
        <v>127</v>
      </c>
      <c r="F115" s="1">
        <v>0</v>
      </c>
      <c r="G115" s="1">
        <v>2020</v>
      </c>
      <c r="H115" s="1">
        <v>1</v>
      </c>
      <c r="I115" s="1">
        <v>0</v>
      </c>
      <c r="J115" s="1">
        <v>0</v>
      </c>
      <c r="K1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15.524999999999999</v>
      </c>
      <c r="L1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38.793333333333329</v>
      </c>
      <c r="M1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70.034999999999997</v>
      </c>
      <c r="N115" s="19">
        <v>40.479999999999997</v>
      </c>
      <c r="O115" s="19">
        <v>18.974999999999998</v>
      </c>
      <c r="P115" s="19">
        <v>70.034999999999997</v>
      </c>
      <c r="Q115" s="19">
        <v>0</v>
      </c>
      <c r="R115" s="19">
        <v>0</v>
      </c>
      <c r="S115" s="19">
        <v>0</v>
      </c>
      <c r="T115" s="19">
        <v>40.479999999999997</v>
      </c>
      <c r="U115" s="19">
        <v>18.974999999999998</v>
      </c>
      <c r="V115" s="19">
        <v>70.034999999999997</v>
      </c>
      <c r="W115" s="19">
        <v>0</v>
      </c>
      <c r="X115" s="19">
        <v>0</v>
      </c>
      <c r="Y115" s="19">
        <v>0</v>
      </c>
      <c r="Z115" s="19">
        <v>35.419999999999995</v>
      </c>
      <c r="AA115" s="19">
        <v>15.524999999999999</v>
      </c>
      <c r="AB115" s="19">
        <v>63.364999999999995</v>
      </c>
      <c r="AC115" s="19">
        <v>0</v>
      </c>
      <c r="AD115" s="19">
        <v>0</v>
      </c>
      <c r="AE115" s="19">
        <v>0</v>
      </c>
      <c r="AF115" s="19">
        <v>40.479999999999997</v>
      </c>
      <c r="AG115" s="19">
        <v>18.974999999999998</v>
      </c>
      <c r="AH115" s="19">
        <v>70.034999999999997</v>
      </c>
      <c r="AI115" s="19">
        <v>0</v>
      </c>
      <c r="AJ115" s="19">
        <v>0</v>
      </c>
      <c r="AK115" s="19">
        <v>0</v>
      </c>
      <c r="AL115" s="19">
        <v>40.479999999999997</v>
      </c>
      <c r="AM115" s="19">
        <v>18.974999999999998</v>
      </c>
      <c r="AN115" s="19">
        <v>70.034999999999997</v>
      </c>
      <c r="AO115" s="19">
        <v>0</v>
      </c>
      <c r="AP115" s="19">
        <v>0</v>
      </c>
      <c r="AQ115" s="19">
        <v>0</v>
      </c>
      <c r="AR115" s="19">
        <v>35.419999999999995</v>
      </c>
      <c r="AS115" s="19">
        <v>15.524999999999999</v>
      </c>
      <c r="AT115" s="19">
        <v>63.364999999999995</v>
      </c>
      <c r="AU115" s="19">
        <v>0</v>
      </c>
      <c r="AV115" s="19">
        <v>0</v>
      </c>
      <c r="AW115" s="19">
        <v>0</v>
      </c>
      <c r="AX115" s="19">
        <v>40.479999999999997</v>
      </c>
      <c r="AY115" s="19">
        <v>18.974999999999998</v>
      </c>
      <c r="AZ115" s="19">
        <v>70.034999999999997</v>
      </c>
      <c r="BA115" s="19">
        <v>0</v>
      </c>
      <c r="BB115" s="19">
        <v>0</v>
      </c>
      <c r="BC115" s="19">
        <v>0</v>
      </c>
      <c r="BD115" s="19">
        <v>40.479999999999997</v>
      </c>
      <c r="BE115" s="19">
        <v>18.974999999999998</v>
      </c>
      <c r="BF115" s="19">
        <v>70.034999999999997</v>
      </c>
      <c r="BG115" s="19">
        <v>0</v>
      </c>
      <c r="BH115" s="19">
        <v>0</v>
      </c>
      <c r="BI115" s="19">
        <v>0</v>
      </c>
      <c r="BJ115" s="19">
        <v>35.419999999999995</v>
      </c>
      <c r="BK115" s="19">
        <v>15.524999999999999</v>
      </c>
      <c r="BL115" s="19">
        <v>63.364999999999995</v>
      </c>
      <c r="BM115" s="19">
        <v>0</v>
      </c>
      <c r="BN115" s="19">
        <v>0</v>
      </c>
      <c r="BO115" s="19">
        <v>0</v>
      </c>
      <c r="BP115" s="19"/>
      <c r="BQ1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5" s="11">
        <f>Tabelle5897112140[[#This Row],[Mindestauslastung min]]*Tabelle5897112140[[#This Row],[installierte Leistung MW min]]</f>
        <v>4.3125</v>
      </c>
      <c r="BU115" s="11">
        <f>Tabelle5897112140[[#This Row],[Mindestauslastung durch]]*Tabelle5897112140[[#This Row],[installierte Leistung MW durch]]</f>
        <v>6.3250000000000002</v>
      </c>
      <c r="BV115" s="11">
        <f>Tabelle5897112140[[#This Row],[Mindestauslastung max]]*Tabelle5897112140[[#This Row],[installierte Leistung MW max]]</f>
        <v>8.3375000000000004</v>
      </c>
      <c r="BW115" s="9">
        <v>0.05</v>
      </c>
      <c r="BX115" s="9">
        <v>0.05</v>
      </c>
      <c r="BY115" s="9">
        <v>0.05</v>
      </c>
      <c r="BZ115" s="9"/>
      <c r="CA115" s="9">
        <v>0.32</v>
      </c>
      <c r="CB115" s="9">
        <v>0.22</v>
      </c>
      <c r="CC115" s="9">
        <v>0.42</v>
      </c>
      <c r="CD115" s="9">
        <v>0.32</v>
      </c>
      <c r="CE115" s="9">
        <v>0.22</v>
      </c>
      <c r="CF115" s="9">
        <v>0.42</v>
      </c>
      <c r="CG115" s="9">
        <v>0.28000000000000003</v>
      </c>
      <c r="CH115" s="9">
        <v>0.18</v>
      </c>
      <c r="CI115" s="9">
        <v>0.38</v>
      </c>
      <c r="CJ115" s="9">
        <v>0.32</v>
      </c>
      <c r="CK115" s="9">
        <v>0.22</v>
      </c>
      <c r="CL115" s="9">
        <v>0.42</v>
      </c>
      <c r="CM115" s="9">
        <v>0.32</v>
      </c>
      <c r="CN115" s="9">
        <v>0.22</v>
      </c>
      <c r="CO115" s="9">
        <v>0.42</v>
      </c>
      <c r="CP115" s="9">
        <v>0.28000000000000003</v>
      </c>
      <c r="CQ115" s="9">
        <v>0.18</v>
      </c>
      <c r="CR115" s="9">
        <v>0.38</v>
      </c>
      <c r="CS115" s="9">
        <v>0.32</v>
      </c>
      <c r="CT115" s="9">
        <v>0.22</v>
      </c>
      <c r="CU115" s="9">
        <v>0.42</v>
      </c>
      <c r="CV115" s="9">
        <v>0.32</v>
      </c>
      <c r="CW115" s="9">
        <v>0.22</v>
      </c>
      <c r="CX115" s="9">
        <v>0.42</v>
      </c>
      <c r="CY115" s="9">
        <v>0.28000000000000003</v>
      </c>
      <c r="CZ115" s="9">
        <v>0.18</v>
      </c>
      <c r="DA115" s="9">
        <v>0.38</v>
      </c>
      <c r="DB115" s="9">
        <f>MIN(Tabelle5897112140[[#This Row],[Durchschnittsauslastung durch Sommer WTT]:[Durchschnittsauslastung max Winter SFN]])</f>
        <v>0.18</v>
      </c>
      <c r="DC1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5" s="9">
        <f>MAX(Tabelle5897112140[[#This Row],[Durchschnittsauslastung durch Sommer WTT]:[Durchschnittsauslastung max Winter SFN]])</f>
        <v>0.42</v>
      </c>
      <c r="DE115" s="40">
        <f>Tabelle5897112140[[#This Row],[Durchschnittsauslastung min]]*Tabelle5897112140[[#This Row],[installierte Leistung MW min]]</f>
        <v>15.524999999999999</v>
      </c>
      <c r="DF115" s="40">
        <f>Tabelle5897112140[[#This Row],[Durchschnittsauslastung durch]]*Tabelle5897112140[[#This Row],[installierte Leistung MW durch]]</f>
        <v>38.793333333333329</v>
      </c>
      <c r="DG115" s="40">
        <f>Tabelle5897112140[[#This Row],[Durchschnittsauslastung max]]*Tabelle5897112140[[#This Row],[installierte Leistung MW max]]</f>
        <v>70.034999999999997</v>
      </c>
      <c r="DH115" s="46">
        <f>Tabelle5897112140[[#This Row],[Maximalauslastung min]]*Tabelle5897112140[[#This Row],[installierte Leistung MW min]]</f>
        <v>0.17250000000000018</v>
      </c>
      <c r="DI115" s="46">
        <f>Tabelle5897112140[[#This Row],[Maximalauslastung durch]]*Tabelle5897112140[[#This Row],[installierte Leistung MW durch]]</f>
        <v>2.7830000000000004</v>
      </c>
      <c r="DJ115" s="19">
        <f>Tabelle5897112140[[#This Row],[Maximalauslastung max]]*Tabelle5897112140[[#This Row],[installierte Leistung MW durch]]</f>
        <v>5.3130000000000006</v>
      </c>
      <c r="DK115" s="9">
        <v>2.0000000000000022E-3</v>
      </c>
      <c r="DL115" s="9">
        <v>2.2000000000000002E-2</v>
      </c>
      <c r="DM115" s="9">
        <v>4.2000000000000003E-2</v>
      </c>
      <c r="DN115" s="1">
        <v>126.5</v>
      </c>
      <c r="DO115" s="1">
        <v>86.25</v>
      </c>
      <c r="DP115" s="1">
        <v>166.75</v>
      </c>
      <c r="DQ115" s="19"/>
      <c r="DR115" s="19"/>
      <c r="DW115" s="1">
        <v>0.5</v>
      </c>
      <c r="DX115" s="1">
        <v>0.4</v>
      </c>
      <c r="DY115" s="1">
        <v>0.6</v>
      </c>
      <c r="EL115" s="1">
        <v>365</v>
      </c>
      <c r="EM115" s="1">
        <v>292</v>
      </c>
      <c r="EN115" s="1">
        <v>438</v>
      </c>
      <c r="EO115" s="11"/>
      <c r="EP115" s="11"/>
      <c r="EQ115" s="11"/>
      <c r="ER115" s="1">
        <v>365</v>
      </c>
      <c r="ES115" s="1">
        <v>292</v>
      </c>
      <c r="ET115" s="1">
        <v>438</v>
      </c>
      <c r="EV115" s="19"/>
      <c r="EW115" s="19"/>
      <c r="EX115" s="19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O115" s="1">
        <v>67</v>
      </c>
      <c r="FP115" s="1">
        <v>67</v>
      </c>
      <c r="FQ115" s="1">
        <v>67</v>
      </c>
      <c r="FR115" s="13" t="s">
        <v>806</v>
      </c>
      <c r="FS115" s="13" t="s">
        <v>806</v>
      </c>
      <c r="FT115" s="13" t="s">
        <v>806</v>
      </c>
      <c r="FU115" s="13"/>
      <c r="FV115" s="13" t="s">
        <v>806</v>
      </c>
      <c r="FW115" s="13" t="s">
        <v>806</v>
      </c>
      <c r="FX115" s="13" t="s">
        <v>806</v>
      </c>
      <c r="FY115" s="13" t="s">
        <v>806</v>
      </c>
      <c r="FZ115" s="13" t="s">
        <v>806</v>
      </c>
      <c r="GA115" s="13" t="s">
        <v>806</v>
      </c>
      <c r="GB115" s="13" t="s">
        <v>806</v>
      </c>
      <c r="GE115" s="13" t="s">
        <v>806</v>
      </c>
      <c r="GF115" s="13" t="s">
        <v>806</v>
      </c>
      <c r="GH115" s="13" t="s">
        <v>806</v>
      </c>
    </row>
    <row r="116" spans="1:190" ht="12.75" customHeight="1" x14ac:dyDescent="0.25">
      <c r="A116" s="1" t="s">
        <v>208</v>
      </c>
      <c r="B116" s="1" t="s">
        <v>651</v>
      </c>
      <c r="C116" s="1" t="s">
        <v>659</v>
      </c>
      <c r="D116" s="1" t="s">
        <v>685</v>
      </c>
      <c r="E116" s="1" t="s">
        <v>127</v>
      </c>
      <c r="F116" s="1">
        <v>0</v>
      </c>
      <c r="G116" s="1">
        <v>2025</v>
      </c>
      <c r="H116" s="1">
        <v>1</v>
      </c>
      <c r="I116" s="1">
        <v>0</v>
      </c>
      <c r="J116" s="1">
        <v>0</v>
      </c>
      <c r="K1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17.82</v>
      </c>
      <c r="L1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44.527999999999999</v>
      </c>
      <c r="M1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80.388000000000005</v>
      </c>
      <c r="N116" s="19">
        <v>46.464000000000006</v>
      </c>
      <c r="O116" s="19">
        <v>21.78</v>
      </c>
      <c r="P116" s="19">
        <v>80.388000000000005</v>
      </c>
      <c r="Q116" s="19">
        <v>0</v>
      </c>
      <c r="R116" s="19">
        <v>0</v>
      </c>
      <c r="S116" s="19">
        <v>0</v>
      </c>
      <c r="T116" s="19">
        <v>46.464000000000006</v>
      </c>
      <c r="U116" s="19">
        <v>21.78</v>
      </c>
      <c r="V116" s="19">
        <v>80.388000000000005</v>
      </c>
      <c r="W116" s="19">
        <v>0</v>
      </c>
      <c r="X116" s="19">
        <v>0</v>
      </c>
      <c r="Y116" s="19">
        <v>0</v>
      </c>
      <c r="Z116" s="19">
        <v>40.656000000000006</v>
      </c>
      <c r="AA116" s="19">
        <v>17.82</v>
      </c>
      <c r="AB116" s="19">
        <v>72.731999999999999</v>
      </c>
      <c r="AC116" s="19">
        <v>0</v>
      </c>
      <c r="AD116" s="19">
        <v>0</v>
      </c>
      <c r="AE116" s="19">
        <v>0</v>
      </c>
      <c r="AF116" s="19">
        <v>46.464000000000006</v>
      </c>
      <c r="AG116" s="19">
        <v>21.78</v>
      </c>
      <c r="AH116" s="19">
        <v>80.388000000000005</v>
      </c>
      <c r="AI116" s="19">
        <v>0</v>
      </c>
      <c r="AJ116" s="19">
        <v>0</v>
      </c>
      <c r="AK116" s="19">
        <v>0</v>
      </c>
      <c r="AL116" s="19">
        <v>46.464000000000006</v>
      </c>
      <c r="AM116" s="19">
        <v>21.78</v>
      </c>
      <c r="AN116" s="19">
        <v>80.388000000000005</v>
      </c>
      <c r="AO116" s="19">
        <v>0</v>
      </c>
      <c r="AP116" s="19">
        <v>0</v>
      </c>
      <c r="AQ116" s="19">
        <v>0</v>
      </c>
      <c r="AR116" s="19">
        <v>40.656000000000006</v>
      </c>
      <c r="AS116" s="19">
        <v>17.82</v>
      </c>
      <c r="AT116" s="19">
        <v>72.731999999999999</v>
      </c>
      <c r="AU116" s="19">
        <v>0</v>
      </c>
      <c r="AV116" s="19">
        <v>0</v>
      </c>
      <c r="AW116" s="19">
        <v>0</v>
      </c>
      <c r="AX116" s="19">
        <v>46.464000000000006</v>
      </c>
      <c r="AY116" s="19">
        <v>21.78</v>
      </c>
      <c r="AZ116" s="19">
        <v>80.388000000000005</v>
      </c>
      <c r="BA116" s="19">
        <v>0</v>
      </c>
      <c r="BB116" s="19">
        <v>0</v>
      </c>
      <c r="BC116" s="19">
        <v>0</v>
      </c>
      <c r="BD116" s="19">
        <v>46.464000000000006</v>
      </c>
      <c r="BE116" s="19">
        <v>21.78</v>
      </c>
      <c r="BF116" s="19">
        <v>80.388000000000005</v>
      </c>
      <c r="BG116" s="19">
        <v>0</v>
      </c>
      <c r="BH116" s="19">
        <v>0</v>
      </c>
      <c r="BI116" s="19">
        <v>0</v>
      </c>
      <c r="BJ116" s="19">
        <v>40.656000000000006</v>
      </c>
      <c r="BK116" s="19">
        <v>17.82</v>
      </c>
      <c r="BL116" s="19">
        <v>72.731999999999999</v>
      </c>
      <c r="BM116" s="19">
        <v>0</v>
      </c>
      <c r="BN116" s="19">
        <v>0</v>
      </c>
      <c r="BO116" s="19">
        <v>0</v>
      </c>
      <c r="BP116" s="19"/>
      <c r="BQ1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6" s="11">
        <f>Tabelle5897112140[[#This Row],[Mindestauslastung min]]*Tabelle5897112140[[#This Row],[installierte Leistung MW min]]</f>
        <v>4.95</v>
      </c>
      <c r="BU116" s="11">
        <f>Tabelle5897112140[[#This Row],[Mindestauslastung durch]]*Tabelle5897112140[[#This Row],[installierte Leistung MW durch]]</f>
        <v>7.26</v>
      </c>
      <c r="BV116" s="11">
        <f>Tabelle5897112140[[#This Row],[Mindestauslastung max]]*Tabelle5897112140[[#This Row],[installierte Leistung MW max]]</f>
        <v>9.57</v>
      </c>
      <c r="BW116" s="9">
        <v>0.05</v>
      </c>
      <c r="BX116" s="9">
        <v>0.05</v>
      </c>
      <c r="BY116" s="9">
        <v>0.05</v>
      </c>
      <c r="BZ116" s="9"/>
      <c r="CA116" s="9">
        <v>0.32</v>
      </c>
      <c r="CB116" s="9">
        <v>0.22</v>
      </c>
      <c r="CC116" s="9">
        <v>0.42</v>
      </c>
      <c r="CD116" s="9">
        <v>0.32</v>
      </c>
      <c r="CE116" s="9">
        <v>0.22</v>
      </c>
      <c r="CF116" s="9">
        <v>0.42</v>
      </c>
      <c r="CG116" s="9">
        <v>0.28000000000000003</v>
      </c>
      <c r="CH116" s="9">
        <v>0.18</v>
      </c>
      <c r="CI116" s="9">
        <v>0.38</v>
      </c>
      <c r="CJ116" s="9">
        <v>0.32</v>
      </c>
      <c r="CK116" s="9">
        <v>0.22</v>
      </c>
      <c r="CL116" s="9">
        <v>0.42</v>
      </c>
      <c r="CM116" s="9">
        <v>0.32</v>
      </c>
      <c r="CN116" s="9">
        <v>0.22</v>
      </c>
      <c r="CO116" s="9">
        <v>0.42</v>
      </c>
      <c r="CP116" s="9">
        <v>0.28000000000000003</v>
      </c>
      <c r="CQ116" s="9">
        <v>0.18</v>
      </c>
      <c r="CR116" s="9">
        <v>0.38</v>
      </c>
      <c r="CS116" s="9">
        <v>0.32</v>
      </c>
      <c r="CT116" s="9">
        <v>0.22</v>
      </c>
      <c r="CU116" s="9">
        <v>0.42</v>
      </c>
      <c r="CV116" s="9">
        <v>0.32</v>
      </c>
      <c r="CW116" s="9">
        <v>0.22</v>
      </c>
      <c r="CX116" s="9">
        <v>0.42</v>
      </c>
      <c r="CY116" s="9">
        <v>0.28000000000000003</v>
      </c>
      <c r="CZ116" s="9">
        <v>0.18</v>
      </c>
      <c r="DA116" s="9">
        <v>0.38</v>
      </c>
      <c r="DB116" s="9">
        <f>MIN(Tabelle5897112140[[#This Row],[Durchschnittsauslastung durch Sommer WTT]:[Durchschnittsauslastung max Winter SFN]])</f>
        <v>0.18</v>
      </c>
      <c r="DC1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6" s="9">
        <f>MAX(Tabelle5897112140[[#This Row],[Durchschnittsauslastung durch Sommer WTT]:[Durchschnittsauslastung max Winter SFN]])</f>
        <v>0.42</v>
      </c>
      <c r="DE116" s="40">
        <f>Tabelle5897112140[[#This Row],[Durchschnittsauslastung min]]*Tabelle5897112140[[#This Row],[installierte Leistung MW min]]</f>
        <v>17.82</v>
      </c>
      <c r="DF116" s="40">
        <f>Tabelle5897112140[[#This Row],[Durchschnittsauslastung durch]]*Tabelle5897112140[[#This Row],[installierte Leistung MW durch]]</f>
        <v>44.527999999999992</v>
      </c>
      <c r="DG116" s="40">
        <f>Tabelle5897112140[[#This Row],[Durchschnittsauslastung max]]*Tabelle5897112140[[#This Row],[installierte Leistung MW max]]</f>
        <v>80.388000000000005</v>
      </c>
      <c r="DH116" s="46">
        <f>Tabelle5897112140[[#This Row],[Maximalauslastung min]]*Tabelle5897112140[[#This Row],[installierte Leistung MW min]]</f>
        <v>0.19800000000000023</v>
      </c>
      <c r="DI116" s="46">
        <f>Tabelle5897112140[[#This Row],[Maximalauslastung durch]]*Tabelle5897112140[[#This Row],[installierte Leistung MW durch]]</f>
        <v>3.1943999999999999</v>
      </c>
      <c r="DJ116" s="19">
        <f>Tabelle5897112140[[#This Row],[Maximalauslastung max]]*Tabelle5897112140[[#This Row],[installierte Leistung MW durch]]</f>
        <v>6.0983999999999998</v>
      </c>
      <c r="DK116" s="9">
        <v>2.0000000000000022E-3</v>
      </c>
      <c r="DL116" s="9">
        <v>2.2000000000000002E-2</v>
      </c>
      <c r="DM116" s="9">
        <v>4.2000000000000003E-2</v>
      </c>
      <c r="DN116" s="1">
        <v>145.19999999999999</v>
      </c>
      <c r="DO116" s="1">
        <v>99</v>
      </c>
      <c r="DP116" s="1">
        <v>191.4</v>
      </c>
      <c r="DQ116" s="19"/>
      <c r="DR116" s="19"/>
      <c r="DW116" s="1">
        <v>0.5</v>
      </c>
      <c r="DX116" s="1">
        <v>0.4</v>
      </c>
      <c r="DY116" s="1">
        <v>0.6</v>
      </c>
      <c r="EL116" s="1">
        <v>365</v>
      </c>
      <c r="EM116" s="1">
        <v>292</v>
      </c>
      <c r="EN116" s="1">
        <v>438</v>
      </c>
      <c r="EO116" s="11"/>
      <c r="EP116" s="11"/>
      <c r="EQ116" s="11"/>
      <c r="ER116" s="1">
        <v>365</v>
      </c>
      <c r="ES116" s="1">
        <v>292</v>
      </c>
      <c r="ET116" s="1">
        <v>438</v>
      </c>
      <c r="EV116" s="19"/>
      <c r="EW116" s="19"/>
      <c r="EX116" s="19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O116" s="1">
        <v>67</v>
      </c>
      <c r="FP116" s="1">
        <v>67</v>
      </c>
      <c r="FQ116" s="1">
        <v>67</v>
      </c>
      <c r="FR116" s="13" t="s">
        <v>806</v>
      </c>
      <c r="FS116" s="13" t="s">
        <v>806</v>
      </c>
      <c r="FT116" s="13" t="s">
        <v>806</v>
      </c>
      <c r="FU116" s="13"/>
      <c r="FV116" s="13" t="s">
        <v>806</v>
      </c>
      <c r="FW116" s="13" t="s">
        <v>806</v>
      </c>
      <c r="FX116" s="13" t="s">
        <v>806</v>
      </c>
      <c r="FY116" s="13" t="s">
        <v>806</v>
      </c>
      <c r="FZ116" s="13" t="s">
        <v>806</v>
      </c>
      <c r="GA116" s="13" t="s">
        <v>806</v>
      </c>
      <c r="GB116" s="13" t="s">
        <v>806</v>
      </c>
      <c r="GE116" s="13" t="s">
        <v>806</v>
      </c>
      <c r="GF116" s="13" t="s">
        <v>806</v>
      </c>
      <c r="GH116" s="13" t="s">
        <v>806</v>
      </c>
    </row>
    <row r="117" spans="1:190" ht="12.75" customHeight="1" x14ac:dyDescent="0.25">
      <c r="A117" s="1" t="s">
        <v>208</v>
      </c>
      <c r="B117" s="1" t="s">
        <v>651</v>
      </c>
      <c r="C117" s="1" t="s">
        <v>659</v>
      </c>
      <c r="D117" s="1" t="s">
        <v>685</v>
      </c>
      <c r="E117" s="1" t="s">
        <v>127</v>
      </c>
      <c r="F117" s="1">
        <v>0</v>
      </c>
      <c r="G117" s="1">
        <v>2030</v>
      </c>
      <c r="H117" s="1">
        <v>1</v>
      </c>
      <c r="I117" s="1">
        <v>0</v>
      </c>
      <c r="J117" s="1">
        <v>0</v>
      </c>
      <c r="K1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20.655000000000001</v>
      </c>
      <c r="L1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51.612000000000002</v>
      </c>
      <c r="M1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93.176999999999992</v>
      </c>
      <c r="N117" s="19">
        <v>53.856000000000009</v>
      </c>
      <c r="O117" s="19">
        <v>25.245000000000001</v>
      </c>
      <c r="P117" s="19">
        <v>93.176999999999992</v>
      </c>
      <c r="Q117" s="19">
        <v>0</v>
      </c>
      <c r="R117" s="19">
        <v>0</v>
      </c>
      <c r="S117" s="19">
        <v>0</v>
      </c>
      <c r="T117" s="19">
        <v>53.856000000000009</v>
      </c>
      <c r="U117" s="19">
        <v>25.245000000000001</v>
      </c>
      <c r="V117" s="19">
        <v>93.176999999999992</v>
      </c>
      <c r="W117" s="19">
        <v>0</v>
      </c>
      <c r="X117" s="19">
        <v>0</v>
      </c>
      <c r="Y117" s="19">
        <v>0</v>
      </c>
      <c r="Z117" s="19">
        <v>47.124000000000002</v>
      </c>
      <c r="AA117" s="19">
        <v>20.655000000000001</v>
      </c>
      <c r="AB117" s="19">
        <v>84.302999999999997</v>
      </c>
      <c r="AC117" s="19">
        <v>0</v>
      </c>
      <c r="AD117" s="19">
        <v>0</v>
      </c>
      <c r="AE117" s="19">
        <v>0</v>
      </c>
      <c r="AF117" s="19">
        <v>53.856000000000009</v>
      </c>
      <c r="AG117" s="19">
        <v>25.245000000000001</v>
      </c>
      <c r="AH117" s="19">
        <v>93.176999999999992</v>
      </c>
      <c r="AI117" s="19">
        <v>0</v>
      </c>
      <c r="AJ117" s="19">
        <v>0</v>
      </c>
      <c r="AK117" s="19">
        <v>0</v>
      </c>
      <c r="AL117" s="19">
        <v>53.856000000000009</v>
      </c>
      <c r="AM117" s="19">
        <v>25.245000000000001</v>
      </c>
      <c r="AN117" s="19">
        <v>93.176999999999992</v>
      </c>
      <c r="AO117" s="19">
        <v>0</v>
      </c>
      <c r="AP117" s="19">
        <v>0</v>
      </c>
      <c r="AQ117" s="19">
        <v>0</v>
      </c>
      <c r="AR117" s="19">
        <v>47.124000000000002</v>
      </c>
      <c r="AS117" s="19">
        <v>20.655000000000001</v>
      </c>
      <c r="AT117" s="19">
        <v>84.302999999999997</v>
      </c>
      <c r="AU117" s="19">
        <v>0</v>
      </c>
      <c r="AV117" s="19">
        <v>0</v>
      </c>
      <c r="AW117" s="19">
        <v>0</v>
      </c>
      <c r="AX117" s="19">
        <v>53.856000000000009</v>
      </c>
      <c r="AY117" s="19">
        <v>25.245000000000001</v>
      </c>
      <c r="AZ117" s="19">
        <v>93.176999999999992</v>
      </c>
      <c r="BA117" s="19">
        <v>0</v>
      </c>
      <c r="BB117" s="19">
        <v>0</v>
      </c>
      <c r="BC117" s="19">
        <v>0</v>
      </c>
      <c r="BD117" s="19">
        <v>53.856000000000009</v>
      </c>
      <c r="BE117" s="19">
        <v>25.245000000000001</v>
      </c>
      <c r="BF117" s="19">
        <v>93.176999999999992</v>
      </c>
      <c r="BG117" s="19">
        <v>0</v>
      </c>
      <c r="BH117" s="19">
        <v>0</v>
      </c>
      <c r="BI117" s="19">
        <v>0</v>
      </c>
      <c r="BJ117" s="19">
        <v>47.124000000000002</v>
      </c>
      <c r="BK117" s="19">
        <v>20.655000000000001</v>
      </c>
      <c r="BL117" s="19">
        <v>84.302999999999997</v>
      </c>
      <c r="BM117" s="19">
        <v>0</v>
      </c>
      <c r="BN117" s="19">
        <v>0</v>
      </c>
      <c r="BO117" s="19">
        <v>0</v>
      </c>
      <c r="BP117" s="19"/>
      <c r="BQ1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7" s="11">
        <f>Tabelle5897112140[[#This Row],[Mindestauslastung min]]*Tabelle5897112140[[#This Row],[installierte Leistung MW min]]</f>
        <v>5.7375000000000007</v>
      </c>
      <c r="BU117" s="11">
        <f>Tabelle5897112140[[#This Row],[Mindestauslastung durch]]*Tabelle5897112140[[#This Row],[installierte Leistung MW durch]]</f>
        <v>8.4150000000000009</v>
      </c>
      <c r="BV117" s="11">
        <f>Tabelle5897112140[[#This Row],[Mindestauslastung max]]*Tabelle5897112140[[#This Row],[installierte Leistung MW max]]</f>
        <v>11.092500000000001</v>
      </c>
      <c r="BW117" s="9">
        <v>0.05</v>
      </c>
      <c r="BX117" s="9">
        <v>0.05</v>
      </c>
      <c r="BY117" s="9">
        <v>0.05</v>
      </c>
      <c r="BZ117" s="9"/>
      <c r="CA117" s="9">
        <v>0.32</v>
      </c>
      <c r="CB117" s="9">
        <v>0.22</v>
      </c>
      <c r="CC117" s="9">
        <v>0.42</v>
      </c>
      <c r="CD117" s="9">
        <v>0.32</v>
      </c>
      <c r="CE117" s="9">
        <v>0.22</v>
      </c>
      <c r="CF117" s="9">
        <v>0.42</v>
      </c>
      <c r="CG117" s="9">
        <v>0.28000000000000003</v>
      </c>
      <c r="CH117" s="9">
        <v>0.18</v>
      </c>
      <c r="CI117" s="9">
        <v>0.38</v>
      </c>
      <c r="CJ117" s="9">
        <v>0.32</v>
      </c>
      <c r="CK117" s="9">
        <v>0.22</v>
      </c>
      <c r="CL117" s="9">
        <v>0.42</v>
      </c>
      <c r="CM117" s="9">
        <v>0.32</v>
      </c>
      <c r="CN117" s="9">
        <v>0.22</v>
      </c>
      <c r="CO117" s="9">
        <v>0.42</v>
      </c>
      <c r="CP117" s="9">
        <v>0.28000000000000003</v>
      </c>
      <c r="CQ117" s="9">
        <v>0.18</v>
      </c>
      <c r="CR117" s="9">
        <v>0.38</v>
      </c>
      <c r="CS117" s="9">
        <v>0.32</v>
      </c>
      <c r="CT117" s="9">
        <v>0.22</v>
      </c>
      <c r="CU117" s="9">
        <v>0.42</v>
      </c>
      <c r="CV117" s="9">
        <v>0.32</v>
      </c>
      <c r="CW117" s="9">
        <v>0.22</v>
      </c>
      <c r="CX117" s="9">
        <v>0.42</v>
      </c>
      <c r="CY117" s="9">
        <v>0.28000000000000003</v>
      </c>
      <c r="CZ117" s="9">
        <v>0.18</v>
      </c>
      <c r="DA117" s="9">
        <v>0.38</v>
      </c>
      <c r="DB117" s="9">
        <f>MIN(Tabelle5897112140[[#This Row],[Durchschnittsauslastung durch Sommer WTT]:[Durchschnittsauslastung max Winter SFN]])</f>
        <v>0.18</v>
      </c>
      <c r="DC1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7" s="9">
        <f>MAX(Tabelle5897112140[[#This Row],[Durchschnittsauslastung durch Sommer WTT]:[Durchschnittsauslastung max Winter SFN]])</f>
        <v>0.42</v>
      </c>
      <c r="DE117" s="40">
        <f>Tabelle5897112140[[#This Row],[Durchschnittsauslastung min]]*Tabelle5897112140[[#This Row],[installierte Leistung MW min]]</f>
        <v>20.654999999999998</v>
      </c>
      <c r="DF117" s="40">
        <f>Tabelle5897112140[[#This Row],[Durchschnittsauslastung durch]]*Tabelle5897112140[[#This Row],[installierte Leistung MW durch]]</f>
        <v>51.612000000000002</v>
      </c>
      <c r="DG117" s="40">
        <f>Tabelle5897112140[[#This Row],[Durchschnittsauslastung max]]*Tabelle5897112140[[#This Row],[installierte Leistung MW max]]</f>
        <v>93.176999999999992</v>
      </c>
      <c r="DH117" s="46">
        <f>Tabelle5897112140[[#This Row],[Maximalauslastung min]]*Tabelle5897112140[[#This Row],[installierte Leistung MW min]]</f>
        <v>0.22950000000000026</v>
      </c>
      <c r="DI117" s="46">
        <f>Tabelle5897112140[[#This Row],[Maximalauslastung durch]]*Tabelle5897112140[[#This Row],[installierte Leistung MW durch]]</f>
        <v>3.7026000000000008</v>
      </c>
      <c r="DJ117" s="19">
        <f>Tabelle5897112140[[#This Row],[Maximalauslastung max]]*Tabelle5897112140[[#This Row],[installierte Leistung MW durch]]</f>
        <v>7.0686000000000009</v>
      </c>
      <c r="DK117" s="9">
        <v>2.0000000000000022E-3</v>
      </c>
      <c r="DL117" s="9">
        <v>2.2000000000000002E-2</v>
      </c>
      <c r="DM117" s="9">
        <v>4.2000000000000003E-2</v>
      </c>
      <c r="DN117" s="1">
        <v>168.3</v>
      </c>
      <c r="DO117" s="1">
        <v>114.75</v>
      </c>
      <c r="DP117" s="1">
        <v>221.85</v>
      </c>
      <c r="DQ117" s="19"/>
      <c r="DR117" s="19"/>
      <c r="DW117" s="1">
        <v>0.5</v>
      </c>
      <c r="DX117" s="1">
        <v>0.4</v>
      </c>
      <c r="DY117" s="1">
        <v>0.6</v>
      </c>
      <c r="EL117" s="1">
        <v>365</v>
      </c>
      <c r="EM117" s="1">
        <v>292</v>
      </c>
      <c r="EN117" s="1">
        <v>438</v>
      </c>
      <c r="EO117" s="11"/>
      <c r="EP117" s="11"/>
      <c r="EQ117" s="11"/>
      <c r="ER117" s="1">
        <v>365</v>
      </c>
      <c r="ES117" s="1">
        <v>292</v>
      </c>
      <c r="ET117" s="1">
        <v>438</v>
      </c>
      <c r="EV117" s="19"/>
      <c r="EW117" s="19"/>
      <c r="EX117" s="19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O117" s="1">
        <v>67</v>
      </c>
      <c r="FP117" s="1">
        <v>67</v>
      </c>
      <c r="FQ117" s="1">
        <v>67</v>
      </c>
      <c r="FR117" s="13" t="s">
        <v>806</v>
      </c>
      <c r="FS117" s="13" t="s">
        <v>806</v>
      </c>
      <c r="FT117" s="13" t="s">
        <v>806</v>
      </c>
      <c r="FU117" s="13"/>
      <c r="FV117" s="13" t="s">
        <v>806</v>
      </c>
      <c r="FW117" s="13" t="s">
        <v>806</v>
      </c>
      <c r="FX117" s="13" t="s">
        <v>806</v>
      </c>
      <c r="FY117" s="13" t="s">
        <v>806</v>
      </c>
      <c r="FZ117" s="13" t="s">
        <v>806</v>
      </c>
      <c r="GA117" s="13" t="s">
        <v>806</v>
      </c>
      <c r="GB117" s="13" t="s">
        <v>806</v>
      </c>
      <c r="GE117" s="13" t="s">
        <v>806</v>
      </c>
      <c r="GF117" s="13" t="s">
        <v>806</v>
      </c>
      <c r="GH117" s="13" t="s">
        <v>806</v>
      </c>
    </row>
    <row r="118" spans="1:190" ht="12.75" customHeight="1" x14ac:dyDescent="0.25">
      <c r="A118" s="1" t="s">
        <v>208</v>
      </c>
      <c r="B118" s="1" t="s">
        <v>651</v>
      </c>
      <c r="C118" s="1" t="s">
        <v>659</v>
      </c>
      <c r="D118" s="1" t="s">
        <v>685</v>
      </c>
      <c r="E118" s="1" t="s">
        <v>127</v>
      </c>
      <c r="F118" s="1">
        <v>0</v>
      </c>
      <c r="G118" s="1">
        <v>2035</v>
      </c>
      <c r="H118" s="1">
        <v>1</v>
      </c>
      <c r="I118" s="1">
        <v>0</v>
      </c>
      <c r="J118" s="1">
        <v>0</v>
      </c>
      <c r="K1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24.03</v>
      </c>
      <c r="L1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60.045333333333332</v>
      </c>
      <c r="M1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108.402</v>
      </c>
      <c r="N118" s="19">
        <v>62.656000000000006</v>
      </c>
      <c r="O118" s="19">
        <v>29.37</v>
      </c>
      <c r="P118" s="19">
        <v>108.402</v>
      </c>
      <c r="Q118" s="19">
        <v>0</v>
      </c>
      <c r="R118" s="19">
        <v>0</v>
      </c>
      <c r="S118" s="19">
        <v>0</v>
      </c>
      <c r="T118" s="19">
        <v>62.656000000000006</v>
      </c>
      <c r="U118" s="19">
        <v>29.37</v>
      </c>
      <c r="V118" s="19">
        <v>108.402</v>
      </c>
      <c r="W118" s="19">
        <v>0</v>
      </c>
      <c r="X118" s="19">
        <v>0</v>
      </c>
      <c r="Y118" s="19">
        <v>0</v>
      </c>
      <c r="Z118" s="19">
        <v>54.824000000000005</v>
      </c>
      <c r="AA118" s="19">
        <v>24.03</v>
      </c>
      <c r="AB118" s="19">
        <v>98.078000000000003</v>
      </c>
      <c r="AC118" s="19">
        <v>0</v>
      </c>
      <c r="AD118" s="19">
        <v>0</v>
      </c>
      <c r="AE118" s="19">
        <v>0</v>
      </c>
      <c r="AF118" s="19">
        <v>62.656000000000006</v>
      </c>
      <c r="AG118" s="19">
        <v>29.37</v>
      </c>
      <c r="AH118" s="19">
        <v>108.402</v>
      </c>
      <c r="AI118" s="19">
        <v>0</v>
      </c>
      <c r="AJ118" s="19">
        <v>0</v>
      </c>
      <c r="AK118" s="19">
        <v>0</v>
      </c>
      <c r="AL118" s="19">
        <v>62.656000000000006</v>
      </c>
      <c r="AM118" s="19">
        <v>29.37</v>
      </c>
      <c r="AN118" s="19">
        <v>108.402</v>
      </c>
      <c r="AO118" s="19">
        <v>0</v>
      </c>
      <c r="AP118" s="19">
        <v>0</v>
      </c>
      <c r="AQ118" s="19">
        <v>0</v>
      </c>
      <c r="AR118" s="19">
        <v>54.824000000000005</v>
      </c>
      <c r="AS118" s="19">
        <v>24.03</v>
      </c>
      <c r="AT118" s="19">
        <v>98.078000000000003</v>
      </c>
      <c r="AU118" s="19">
        <v>0</v>
      </c>
      <c r="AV118" s="19">
        <v>0</v>
      </c>
      <c r="AW118" s="19">
        <v>0</v>
      </c>
      <c r="AX118" s="19">
        <v>62.656000000000006</v>
      </c>
      <c r="AY118" s="19">
        <v>29.37</v>
      </c>
      <c r="AZ118" s="19">
        <v>108.402</v>
      </c>
      <c r="BA118" s="19">
        <v>0</v>
      </c>
      <c r="BB118" s="19">
        <v>0</v>
      </c>
      <c r="BC118" s="19">
        <v>0</v>
      </c>
      <c r="BD118" s="19">
        <v>62.656000000000006</v>
      </c>
      <c r="BE118" s="19">
        <v>29.37</v>
      </c>
      <c r="BF118" s="19">
        <v>108.402</v>
      </c>
      <c r="BG118" s="19">
        <v>0</v>
      </c>
      <c r="BH118" s="19">
        <v>0</v>
      </c>
      <c r="BI118" s="19">
        <v>0</v>
      </c>
      <c r="BJ118" s="19">
        <v>54.824000000000005</v>
      </c>
      <c r="BK118" s="19">
        <v>24.03</v>
      </c>
      <c r="BL118" s="19">
        <v>98.078000000000003</v>
      </c>
      <c r="BM118" s="19">
        <v>0</v>
      </c>
      <c r="BN118" s="19">
        <v>0</v>
      </c>
      <c r="BO118" s="19">
        <v>0</v>
      </c>
      <c r="BP118" s="19"/>
      <c r="BQ1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8" s="11">
        <f>Tabelle5897112140[[#This Row],[Mindestauslastung min]]*Tabelle5897112140[[#This Row],[installierte Leistung MW min]]</f>
        <v>6.6750000000000007</v>
      </c>
      <c r="BU118" s="11">
        <f>Tabelle5897112140[[#This Row],[Mindestauslastung durch]]*Tabelle5897112140[[#This Row],[installierte Leistung MW durch]]</f>
        <v>9.7900000000000009</v>
      </c>
      <c r="BV118" s="11">
        <f>Tabelle5897112140[[#This Row],[Mindestauslastung max]]*Tabelle5897112140[[#This Row],[installierte Leistung MW max]]</f>
        <v>12.905000000000001</v>
      </c>
      <c r="BW118" s="9">
        <v>0.05</v>
      </c>
      <c r="BX118" s="9">
        <v>0.05</v>
      </c>
      <c r="BY118" s="9">
        <v>0.05</v>
      </c>
      <c r="BZ118" s="9"/>
      <c r="CA118" s="9">
        <v>0.32</v>
      </c>
      <c r="CB118" s="9">
        <v>0.22</v>
      </c>
      <c r="CC118" s="9">
        <v>0.42</v>
      </c>
      <c r="CD118" s="9">
        <v>0.32</v>
      </c>
      <c r="CE118" s="9">
        <v>0.22</v>
      </c>
      <c r="CF118" s="9">
        <v>0.42</v>
      </c>
      <c r="CG118" s="9">
        <v>0.28000000000000003</v>
      </c>
      <c r="CH118" s="9">
        <v>0.18</v>
      </c>
      <c r="CI118" s="9">
        <v>0.38</v>
      </c>
      <c r="CJ118" s="9">
        <v>0.32</v>
      </c>
      <c r="CK118" s="9">
        <v>0.22</v>
      </c>
      <c r="CL118" s="9">
        <v>0.42</v>
      </c>
      <c r="CM118" s="9">
        <v>0.32</v>
      </c>
      <c r="CN118" s="9">
        <v>0.22</v>
      </c>
      <c r="CO118" s="9">
        <v>0.42</v>
      </c>
      <c r="CP118" s="9">
        <v>0.28000000000000003</v>
      </c>
      <c r="CQ118" s="9">
        <v>0.18</v>
      </c>
      <c r="CR118" s="9">
        <v>0.38</v>
      </c>
      <c r="CS118" s="9">
        <v>0.32</v>
      </c>
      <c r="CT118" s="9">
        <v>0.22</v>
      </c>
      <c r="CU118" s="9">
        <v>0.42</v>
      </c>
      <c r="CV118" s="9">
        <v>0.32</v>
      </c>
      <c r="CW118" s="9">
        <v>0.22</v>
      </c>
      <c r="CX118" s="9">
        <v>0.42</v>
      </c>
      <c r="CY118" s="9">
        <v>0.28000000000000003</v>
      </c>
      <c r="CZ118" s="9">
        <v>0.18</v>
      </c>
      <c r="DA118" s="9">
        <v>0.38</v>
      </c>
      <c r="DB118" s="9">
        <f>MIN(Tabelle5897112140[[#This Row],[Durchschnittsauslastung durch Sommer WTT]:[Durchschnittsauslastung max Winter SFN]])</f>
        <v>0.18</v>
      </c>
      <c r="DC1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8" s="9">
        <f>MAX(Tabelle5897112140[[#This Row],[Durchschnittsauslastung durch Sommer WTT]:[Durchschnittsauslastung max Winter SFN]])</f>
        <v>0.42</v>
      </c>
      <c r="DE118" s="40">
        <f>Tabelle5897112140[[#This Row],[Durchschnittsauslastung min]]*Tabelle5897112140[[#This Row],[installierte Leistung MW min]]</f>
        <v>24.029999999999998</v>
      </c>
      <c r="DF118" s="40">
        <f>Tabelle5897112140[[#This Row],[Durchschnittsauslastung durch]]*Tabelle5897112140[[#This Row],[installierte Leistung MW durch]]</f>
        <v>60.045333333333332</v>
      </c>
      <c r="DG118" s="40">
        <f>Tabelle5897112140[[#This Row],[Durchschnittsauslastung max]]*Tabelle5897112140[[#This Row],[installierte Leistung MW max]]</f>
        <v>108.402</v>
      </c>
      <c r="DH118" s="46">
        <f>Tabelle5897112140[[#This Row],[Maximalauslastung min]]*Tabelle5897112140[[#This Row],[installierte Leistung MW min]]</f>
        <v>0.26700000000000029</v>
      </c>
      <c r="DI118" s="46">
        <f>Tabelle5897112140[[#This Row],[Maximalauslastung durch]]*Tabelle5897112140[[#This Row],[installierte Leistung MW durch]]</f>
        <v>4.3076000000000008</v>
      </c>
      <c r="DJ118" s="19">
        <f>Tabelle5897112140[[#This Row],[Maximalauslastung max]]*Tabelle5897112140[[#This Row],[installierte Leistung MW durch]]</f>
        <v>8.2236000000000011</v>
      </c>
      <c r="DK118" s="9">
        <v>2.0000000000000022E-3</v>
      </c>
      <c r="DL118" s="9">
        <v>2.2000000000000002E-2</v>
      </c>
      <c r="DM118" s="9">
        <v>4.2000000000000003E-2</v>
      </c>
      <c r="DN118" s="1">
        <v>195.8</v>
      </c>
      <c r="DO118" s="1">
        <v>133.5</v>
      </c>
      <c r="DP118" s="1">
        <v>258.10000000000002</v>
      </c>
      <c r="DQ118" s="19"/>
      <c r="DR118" s="19"/>
      <c r="DW118" s="1">
        <v>0.5</v>
      </c>
      <c r="DX118" s="1">
        <v>0.4</v>
      </c>
      <c r="DY118" s="1">
        <v>0.6</v>
      </c>
      <c r="EL118" s="1">
        <v>365</v>
      </c>
      <c r="EM118" s="1">
        <v>292</v>
      </c>
      <c r="EN118" s="1">
        <v>438</v>
      </c>
      <c r="EO118" s="11"/>
      <c r="EP118" s="11"/>
      <c r="EQ118" s="11"/>
      <c r="ER118" s="1">
        <v>365</v>
      </c>
      <c r="ES118" s="1">
        <v>292</v>
      </c>
      <c r="ET118" s="1">
        <v>438</v>
      </c>
      <c r="EV118" s="19"/>
      <c r="EW118" s="19"/>
      <c r="EX118" s="19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O118" s="1">
        <v>67</v>
      </c>
      <c r="FP118" s="1">
        <v>67</v>
      </c>
      <c r="FQ118" s="1">
        <v>67</v>
      </c>
      <c r="FR118" s="13" t="s">
        <v>806</v>
      </c>
      <c r="FS118" s="13" t="s">
        <v>806</v>
      </c>
      <c r="FT118" s="13" t="s">
        <v>806</v>
      </c>
      <c r="FU118" s="13"/>
      <c r="FV118" s="13" t="s">
        <v>806</v>
      </c>
      <c r="FW118" s="13" t="s">
        <v>806</v>
      </c>
      <c r="FX118" s="13" t="s">
        <v>806</v>
      </c>
      <c r="FY118" s="13" t="s">
        <v>806</v>
      </c>
      <c r="FZ118" s="13" t="s">
        <v>806</v>
      </c>
      <c r="GA118" s="13" t="s">
        <v>806</v>
      </c>
      <c r="GB118" s="13" t="s">
        <v>806</v>
      </c>
      <c r="GE118" s="13" t="s">
        <v>806</v>
      </c>
      <c r="GF118" s="13" t="s">
        <v>806</v>
      </c>
      <c r="GH118" s="13" t="s">
        <v>806</v>
      </c>
    </row>
    <row r="119" spans="1:190" ht="12.75" customHeight="1" x14ac:dyDescent="0.25">
      <c r="A119" s="1" t="s">
        <v>208</v>
      </c>
      <c r="B119" s="1" t="s">
        <v>651</v>
      </c>
      <c r="C119" s="1" t="s">
        <v>659</v>
      </c>
      <c r="D119" s="1" t="s">
        <v>685</v>
      </c>
      <c r="E119" s="1" t="s">
        <v>127</v>
      </c>
      <c r="F119" s="1">
        <v>0</v>
      </c>
      <c r="G119" s="1">
        <v>2040</v>
      </c>
      <c r="H119" s="1">
        <v>1</v>
      </c>
      <c r="I119" s="1">
        <v>0</v>
      </c>
      <c r="J119" s="1">
        <v>0</v>
      </c>
      <c r="K1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28.080000000000002</v>
      </c>
      <c r="L1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70.165333333333336</v>
      </c>
      <c r="M1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126.672</v>
      </c>
      <c r="N119" s="19">
        <v>73.216000000000008</v>
      </c>
      <c r="O119" s="19">
        <v>34.32</v>
      </c>
      <c r="P119" s="19">
        <v>126.672</v>
      </c>
      <c r="Q119" s="19">
        <v>0</v>
      </c>
      <c r="R119" s="19">
        <v>0</v>
      </c>
      <c r="S119" s="19">
        <v>0</v>
      </c>
      <c r="T119" s="19">
        <v>73.216000000000008</v>
      </c>
      <c r="U119" s="19">
        <v>34.32</v>
      </c>
      <c r="V119" s="19">
        <v>126.672</v>
      </c>
      <c r="W119" s="19">
        <v>0</v>
      </c>
      <c r="X119" s="19">
        <v>0</v>
      </c>
      <c r="Y119" s="19">
        <v>0</v>
      </c>
      <c r="Z119" s="19">
        <v>64.064000000000007</v>
      </c>
      <c r="AA119" s="19">
        <v>28.080000000000002</v>
      </c>
      <c r="AB119" s="19">
        <v>114.608</v>
      </c>
      <c r="AC119" s="19">
        <v>0</v>
      </c>
      <c r="AD119" s="19">
        <v>0</v>
      </c>
      <c r="AE119" s="19">
        <v>0</v>
      </c>
      <c r="AF119" s="19">
        <v>73.216000000000008</v>
      </c>
      <c r="AG119" s="19">
        <v>34.32</v>
      </c>
      <c r="AH119" s="19">
        <v>126.672</v>
      </c>
      <c r="AI119" s="19">
        <v>0</v>
      </c>
      <c r="AJ119" s="19">
        <v>0</v>
      </c>
      <c r="AK119" s="19">
        <v>0</v>
      </c>
      <c r="AL119" s="19">
        <v>73.216000000000008</v>
      </c>
      <c r="AM119" s="19">
        <v>34.32</v>
      </c>
      <c r="AN119" s="19">
        <v>126.672</v>
      </c>
      <c r="AO119" s="19">
        <v>0</v>
      </c>
      <c r="AP119" s="19">
        <v>0</v>
      </c>
      <c r="AQ119" s="19">
        <v>0</v>
      </c>
      <c r="AR119" s="19">
        <v>64.064000000000007</v>
      </c>
      <c r="AS119" s="19">
        <v>28.080000000000002</v>
      </c>
      <c r="AT119" s="19">
        <v>114.608</v>
      </c>
      <c r="AU119" s="19">
        <v>0</v>
      </c>
      <c r="AV119" s="19">
        <v>0</v>
      </c>
      <c r="AW119" s="19">
        <v>0</v>
      </c>
      <c r="AX119" s="19">
        <v>73.216000000000008</v>
      </c>
      <c r="AY119" s="19">
        <v>34.32</v>
      </c>
      <c r="AZ119" s="19">
        <v>126.672</v>
      </c>
      <c r="BA119" s="19">
        <v>0</v>
      </c>
      <c r="BB119" s="19">
        <v>0</v>
      </c>
      <c r="BC119" s="19">
        <v>0</v>
      </c>
      <c r="BD119" s="19">
        <v>73.216000000000008</v>
      </c>
      <c r="BE119" s="19">
        <v>34.32</v>
      </c>
      <c r="BF119" s="19">
        <v>126.672</v>
      </c>
      <c r="BG119" s="19">
        <v>0</v>
      </c>
      <c r="BH119" s="19">
        <v>0</v>
      </c>
      <c r="BI119" s="19">
        <v>0</v>
      </c>
      <c r="BJ119" s="19">
        <v>64.064000000000007</v>
      </c>
      <c r="BK119" s="19">
        <v>28.080000000000002</v>
      </c>
      <c r="BL119" s="19">
        <v>114.608</v>
      </c>
      <c r="BM119" s="19">
        <v>0</v>
      </c>
      <c r="BN119" s="19">
        <v>0</v>
      </c>
      <c r="BO119" s="19">
        <v>0</v>
      </c>
      <c r="BP119" s="19"/>
      <c r="BQ1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9" s="11">
        <f>Tabelle5897112140[[#This Row],[Mindestauslastung min]]*Tabelle5897112140[[#This Row],[installierte Leistung MW min]]</f>
        <v>7.8000000000000007</v>
      </c>
      <c r="BU119" s="11">
        <f>Tabelle5897112140[[#This Row],[Mindestauslastung durch]]*Tabelle5897112140[[#This Row],[installierte Leistung MW durch]]</f>
        <v>11.440000000000001</v>
      </c>
      <c r="BV119" s="11">
        <f>Tabelle5897112140[[#This Row],[Mindestauslastung max]]*Tabelle5897112140[[#This Row],[installierte Leistung MW max]]</f>
        <v>15.080000000000002</v>
      </c>
      <c r="BW119" s="9">
        <v>0.05</v>
      </c>
      <c r="BX119" s="9">
        <v>0.05</v>
      </c>
      <c r="BY119" s="9">
        <v>0.05</v>
      </c>
      <c r="BZ119" s="9"/>
      <c r="CA119" s="9">
        <v>0.32</v>
      </c>
      <c r="CB119" s="9">
        <v>0.22</v>
      </c>
      <c r="CC119" s="9">
        <v>0.42</v>
      </c>
      <c r="CD119" s="9">
        <v>0.32</v>
      </c>
      <c r="CE119" s="9">
        <v>0.22</v>
      </c>
      <c r="CF119" s="9">
        <v>0.42</v>
      </c>
      <c r="CG119" s="9">
        <v>0.28000000000000003</v>
      </c>
      <c r="CH119" s="9">
        <v>0.18</v>
      </c>
      <c r="CI119" s="9">
        <v>0.38</v>
      </c>
      <c r="CJ119" s="9">
        <v>0.32</v>
      </c>
      <c r="CK119" s="9">
        <v>0.22</v>
      </c>
      <c r="CL119" s="9">
        <v>0.42</v>
      </c>
      <c r="CM119" s="9">
        <v>0.32</v>
      </c>
      <c r="CN119" s="9">
        <v>0.22</v>
      </c>
      <c r="CO119" s="9">
        <v>0.42</v>
      </c>
      <c r="CP119" s="9">
        <v>0.28000000000000003</v>
      </c>
      <c r="CQ119" s="9">
        <v>0.18</v>
      </c>
      <c r="CR119" s="9">
        <v>0.38</v>
      </c>
      <c r="CS119" s="9">
        <v>0.32</v>
      </c>
      <c r="CT119" s="9">
        <v>0.22</v>
      </c>
      <c r="CU119" s="9">
        <v>0.42</v>
      </c>
      <c r="CV119" s="9">
        <v>0.32</v>
      </c>
      <c r="CW119" s="9">
        <v>0.22</v>
      </c>
      <c r="CX119" s="9">
        <v>0.42</v>
      </c>
      <c r="CY119" s="9">
        <v>0.28000000000000003</v>
      </c>
      <c r="CZ119" s="9">
        <v>0.18</v>
      </c>
      <c r="DA119" s="9">
        <v>0.38</v>
      </c>
      <c r="DB119" s="9">
        <f>MIN(Tabelle5897112140[[#This Row],[Durchschnittsauslastung durch Sommer WTT]:[Durchschnittsauslastung max Winter SFN]])</f>
        <v>0.18</v>
      </c>
      <c r="DC1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9" s="9">
        <f>MAX(Tabelle5897112140[[#This Row],[Durchschnittsauslastung durch Sommer WTT]:[Durchschnittsauslastung max Winter SFN]])</f>
        <v>0.42</v>
      </c>
      <c r="DE119" s="40">
        <f>Tabelle5897112140[[#This Row],[Durchschnittsauslastung min]]*Tabelle5897112140[[#This Row],[installierte Leistung MW min]]</f>
        <v>28.08</v>
      </c>
      <c r="DF119" s="40">
        <f>Tabelle5897112140[[#This Row],[Durchschnittsauslastung durch]]*Tabelle5897112140[[#This Row],[installierte Leistung MW durch]]</f>
        <v>70.165333333333336</v>
      </c>
      <c r="DG119" s="40">
        <f>Tabelle5897112140[[#This Row],[Durchschnittsauslastung max]]*Tabelle5897112140[[#This Row],[installierte Leistung MW max]]</f>
        <v>126.67200000000001</v>
      </c>
      <c r="DH119" s="46">
        <f>Tabelle5897112140[[#This Row],[Maximalauslastung min]]*Tabelle5897112140[[#This Row],[installierte Leistung MW min]]</f>
        <v>0.31200000000000033</v>
      </c>
      <c r="DI119" s="46">
        <f>Tabelle5897112140[[#This Row],[Maximalauslastung durch]]*Tabelle5897112140[[#This Row],[installierte Leistung MW durch]]</f>
        <v>5.0336000000000007</v>
      </c>
      <c r="DJ119" s="19">
        <f>Tabelle5897112140[[#This Row],[Maximalauslastung max]]*Tabelle5897112140[[#This Row],[installierte Leistung MW durch]]</f>
        <v>9.6096000000000004</v>
      </c>
      <c r="DK119" s="9">
        <v>2.0000000000000022E-3</v>
      </c>
      <c r="DL119" s="9">
        <v>2.2000000000000002E-2</v>
      </c>
      <c r="DM119" s="9">
        <v>4.2000000000000003E-2</v>
      </c>
      <c r="DN119" s="1">
        <v>228.8</v>
      </c>
      <c r="DO119" s="1">
        <v>156</v>
      </c>
      <c r="DP119" s="1">
        <v>301.60000000000002</v>
      </c>
      <c r="DQ119" s="19"/>
      <c r="DR119" s="19"/>
      <c r="DW119" s="1">
        <v>0.5</v>
      </c>
      <c r="DX119" s="1">
        <v>0.4</v>
      </c>
      <c r="DY119" s="1">
        <v>0.6</v>
      </c>
      <c r="EL119" s="1">
        <v>365</v>
      </c>
      <c r="EM119" s="1">
        <v>292</v>
      </c>
      <c r="EN119" s="1">
        <v>438</v>
      </c>
      <c r="EO119" s="11"/>
      <c r="EP119" s="11"/>
      <c r="EQ119" s="11"/>
      <c r="ER119" s="1">
        <v>365</v>
      </c>
      <c r="ES119" s="1">
        <v>292</v>
      </c>
      <c r="ET119" s="1">
        <v>438</v>
      </c>
      <c r="EV119" s="19"/>
      <c r="EW119" s="19"/>
      <c r="EX119" s="19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O119" s="1">
        <v>67</v>
      </c>
      <c r="FP119" s="1">
        <v>67</v>
      </c>
      <c r="FQ119" s="1">
        <v>67</v>
      </c>
      <c r="FR119" s="13" t="s">
        <v>806</v>
      </c>
      <c r="FS119" s="13" t="s">
        <v>806</v>
      </c>
      <c r="FT119" s="13" t="s">
        <v>806</v>
      </c>
      <c r="FU119" s="13"/>
      <c r="FV119" s="13" t="s">
        <v>806</v>
      </c>
      <c r="FW119" s="13" t="s">
        <v>806</v>
      </c>
      <c r="FX119" s="13" t="s">
        <v>806</v>
      </c>
      <c r="FY119" s="13" t="s">
        <v>806</v>
      </c>
      <c r="FZ119" s="13" t="s">
        <v>806</v>
      </c>
      <c r="GA119" s="13" t="s">
        <v>806</v>
      </c>
      <c r="GB119" s="13" t="s">
        <v>806</v>
      </c>
      <c r="GE119" s="13" t="s">
        <v>806</v>
      </c>
      <c r="GF119" s="13" t="s">
        <v>806</v>
      </c>
      <c r="GH119" s="13" t="s">
        <v>806</v>
      </c>
    </row>
    <row r="120" spans="1:190" ht="12.75" customHeight="1" x14ac:dyDescent="0.25">
      <c r="A120" s="1" t="s">
        <v>208</v>
      </c>
      <c r="B120" s="1" t="s">
        <v>651</v>
      </c>
      <c r="C120" s="1" t="s">
        <v>659</v>
      </c>
      <c r="D120" s="1" t="s">
        <v>685</v>
      </c>
      <c r="E120" s="1" t="s">
        <v>127</v>
      </c>
      <c r="F120" s="1">
        <v>0</v>
      </c>
      <c r="G120" s="1">
        <v>2045</v>
      </c>
      <c r="H120" s="1">
        <v>1</v>
      </c>
      <c r="I120" s="1">
        <v>0</v>
      </c>
      <c r="J120" s="1">
        <v>0</v>
      </c>
      <c r="K1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33.075000000000003</v>
      </c>
      <c r="L1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82.64666666666669</v>
      </c>
      <c r="M1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149.20500000000001</v>
      </c>
      <c r="N120" s="19">
        <v>86.240000000000009</v>
      </c>
      <c r="O120" s="19">
        <v>40.425000000000004</v>
      </c>
      <c r="P120" s="19">
        <v>149.20500000000001</v>
      </c>
      <c r="Q120" s="19">
        <v>0</v>
      </c>
      <c r="R120" s="19">
        <v>0</v>
      </c>
      <c r="S120" s="19">
        <v>0</v>
      </c>
      <c r="T120" s="19">
        <v>86.240000000000009</v>
      </c>
      <c r="U120" s="19">
        <v>40.425000000000004</v>
      </c>
      <c r="V120" s="19">
        <v>149.20500000000001</v>
      </c>
      <c r="W120" s="19">
        <v>0</v>
      </c>
      <c r="X120" s="19">
        <v>0</v>
      </c>
      <c r="Y120" s="19">
        <v>0</v>
      </c>
      <c r="Z120" s="19">
        <v>75.460000000000008</v>
      </c>
      <c r="AA120" s="19">
        <v>33.075000000000003</v>
      </c>
      <c r="AB120" s="19">
        <v>134.995</v>
      </c>
      <c r="AC120" s="19">
        <v>0</v>
      </c>
      <c r="AD120" s="19">
        <v>0</v>
      </c>
      <c r="AE120" s="19">
        <v>0</v>
      </c>
      <c r="AF120" s="19">
        <v>86.240000000000009</v>
      </c>
      <c r="AG120" s="19">
        <v>40.425000000000004</v>
      </c>
      <c r="AH120" s="19">
        <v>149.20500000000001</v>
      </c>
      <c r="AI120" s="19">
        <v>0</v>
      </c>
      <c r="AJ120" s="19">
        <v>0</v>
      </c>
      <c r="AK120" s="19">
        <v>0</v>
      </c>
      <c r="AL120" s="19">
        <v>86.240000000000009</v>
      </c>
      <c r="AM120" s="19">
        <v>40.425000000000004</v>
      </c>
      <c r="AN120" s="19">
        <v>149.20500000000001</v>
      </c>
      <c r="AO120" s="19">
        <v>0</v>
      </c>
      <c r="AP120" s="19">
        <v>0</v>
      </c>
      <c r="AQ120" s="19">
        <v>0</v>
      </c>
      <c r="AR120" s="19">
        <v>75.460000000000008</v>
      </c>
      <c r="AS120" s="19">
        <v>33.075000000000003</v>
      </c>
      <c r="AT120" s="19">
        <v>134.995</v>
      </c>
      <c r="AU120" s="19">
        <v>0</v>
      </c>
      <c r="AV120" s="19">
        <v>0</v>
      </c>
      <c r="AW120" s="19">
        <v>0</v>
      </c>
      <c r="AX120" s="19">
        <v>86.240000000000009</v>
      </c>
      <c r="AY120" s="19">
        <v>40.425000000000004</v>
      </c>
      <c r="AZ120" s="19">
        <v>149.20500000000001</v>
      </c>
      <c r="BA120" s="19">
        <v>0</v>
      </c>
      <c r="BB120" s="19">
        <v>0</v>
      </c>
      <c r="BC120" s="19">
        <v>0</v>
      </c>
      <c r="BD120" s="19">
        <v>86.240000000000009</v>
      </c>
      <c r="BE120" s="19">
        <v>40.425000000000004</v>
      </c>
      <c r="BF120" s="19">
        <v>149.20500000000001</v>
      </c>
      <c r="BG120" s="19">
        <v>0</v>
      </c>
      <c r="BH120" s="19">
        <v>0</v>
      </c>
      <c r="BI120" s="19">
        <v>0</v>
      </c>
      <c r="BJ120" s="19">
        <v>75.460000000000008</v>
      </c>
      <c r="BK120" s="19">
        <v>33.075000000000003</v>
      </c>
      <c r="BL120" s="19">
        <v>134.995</v>
      </c>
      <c r="BM120" s="19">
        <v>0</v>
      </c>
      <c r="BN120" s="19">
        <v>0</v>
      </c>
      <c r="BO120" s="19">
        <v>0</v>
      </c>
      <c r="BP120" s="19"/>
      <c r="BQ1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20" s="11">
        <f>Tabelle5897112140[[#This Row],[Mindestauslastung min]]*Tabelle5897112140[[#This Row],[installierte Leistung MW min]]</f>
        <v>9.1875</v>
      </c>
      <c r="BU120" s="11">
        <f>Tabelle5897112140[[#This Row],[Mindestauslastung durch]]*Tabelle5897112140[[#This Row],[installierte Leistung MW durch]]</f>
        <v>13.475000000000001</v>
      </c>
      <c r="BV120" s="11">
        <f>Tabelle5897112140[[#This Row],[Mindestauslastung max]]*Tabelle5897112140[[#This Row],[installierte Leistung MW max]]</f>
        <v>17.762499999999999</v>
      </c>
      <c r="BW120" s="9">
        <v>0.05</v>
      </c>
      <c r="BX120" s="9">
        <v>0.05</v>
      </c>
      <c r="BY120" s="9">
        <v>0.05</v>
      </c>
      <c r="BZ120" s="9"/>
      <c r="CA120" s="9">
        <v>0.32</v>
      </c>
      <c r="CB120" s="9">
        <v>0.22</v>
      </c>
      <c r="CC120" s="9">
        <v>0.42</v>
      </c>
      <c r="CD120" s="9">
        <v>0.32</v>
      </c>
      <c r="CE120" s="9">
        <v>0.22</v>
      </c>
      <c r="CF120" s="9">
        <v>0.42</v>
      </c>
      <c r="CG120" s="9">
        <v>0.28000000000000003</v>
      </c>
      <c r="CH120" s="9">
        <v>0.18</v>
      </c>
      <c r="CI120" s="9">
        <v>0.38</v>
      </c>
      <c r="CJ120" s="9">
        <v>0.32</v>
      </c>
      <c r="CK120" s="9">
        <v>0.22</v>
      </c>
      <c r="CL120" s="9">
        <v>0.42</v>
      </c>
      <c r="CM120" s="9">
        <v>0.32</v>
      </c>
      <c r="CN120" s="9">
        <v>0.22</v>
      </c>
      <c r="CO120" s="9">
        <v>0.42</v>
      </c>
      <c r="CP120" s="9">
        <v>0.28000000000000003</v>
      </c>
      <c r="CQ120" s="9">
        <v>0.18</v>
      </c>
      <c r="CR120" s="9">
        <v>0.38</v>
      </c>
      <c r="CS120" s="9">
        <v>0.32</v>
      </c>
      <c r="CT120" s="9">
        <v>0.22</v>
      </c>
      <c r="CU120" s="9">
        <v>0.42</v>
      </c>
      <c r="CV120" s="9">
        <v>0.32</v>
      </c>
      <c r="CW120" s="9">
        <v>0.22</v>
      </c>
      <c r="CX120" s="9">
        <v>0.42</v>
      </c>
      <c r="CY120" s="9">
        <v>0.28000000000000003</v>
      </c>
      <c r="CZ120" s="9">
        <v>0.18</v>
      </c>
      <c r="DA120" s="9">
        <v>0.38</v>
      </c>
      <c r="DB120" s="9">
        <f>MIN(Tabelle5897112140[[#This Row],[Durchschnittsauslastung durch Sommer WTT]:[Durchschnittsauslastung max Winter SFN]])</f>
        <v>0.18</v>
      </c>
      <c r="DC1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20" s="9">
        <f>MAX(Tabelle5897112140[[#This Row],[Durchschnittsauslastung durch Sommer WTT]:[Durchschnittsauslastung max Winter SFN]])</f>
        <v>0.42</v>
      </c>
      <c r="DE120" s="40">
        <f>Tabelle5897112140[[#This Row],[Durchschnittsauslastung min]]*Tabelle5897112140[[#This Row],[installierte Leistung MW min]]</f>
        <v>33.074999999999996</v>
      </c>
      <c r="DF120" s="40">
        <f>Tabelle5897112140[[#This Row],[Durchschnittsauslastung durch]]*Tabelle5897112140[[#This Row],[installierte Leistung MW durch]]</f>
        <v>82.646666666666661</v>
      </c>
      <c r="DG120" s="40">
        <f>Tabelle5897112140[[#This Row],[Durchschnittsauslastung max]]*Tabelle5897112140[[#This Row],[installierte Leistung MW max]]</f>
        <v>149.20499999999998</v>
      </c>
      <c r="DH120" s="46">
        <f>Tabelle5897112140[[#This Row],[Maximalauslastung min]]*Tabelle5897112140[[#This Row],[installierte Leistung MW min]]</f>
        <v>0.36750000000000038</v>
      </c>
      <c r="DI120" s="46">
        <f>Tabelle5897112140[[#This Row],[Maximalauslastung durch]]*Tabelle5897112140[[#This Row],[installierte Leistung MW durch]]</f>
        <v>5.9290000000000003</v>
      </c>
      <c r="DJ120" s="19">
        <f>Tabelle5897112140[[#This Row],[Maximalauslastung max]]*Tabelle5897112140[[#This Row],[installierte Leistung MW durch]]</f>
        <v>11.319000000000001</v>
      </c>
      <c r="DK120" s="9">
        <v>2.0000000000000022E-3</v>
      </c>
      <c r="DL120" s="9">
        <v>2.2000000000000002E-2</v>
      </c>
      <c r="DM120" s="9">
        <v>4.2000000000000003E-2</v>
      </c>
      <c r="DN120" s="1">
        <v>269.5</v>
      </c>
      <c r="DO120" s="1">
        <v>183.75</v>
      </c>
      <c r="DP120" s="1">
        <v>355.25</v>
      </c>
      <c r="DQ120" s="19"/>
      <c r="DR120" s="19"/>
      <c r="DW120" s="1">
        <v>0.5</v>
      </c>
      <c r="DX120" s="1">
        <v>0.4</v>
      </c>
      <c r="DY120" s="1">
        <v>0.6</v>
      </c>
      <c r="EL120" s="1">
        <v>365</v>
      </c>
      <c r="EM120" s="1">
        <v>292</v>
      </c>
      <c r="EN120" s="1">
        <v>438</v>
      </c>
      <c r="EO120" s="11"/>
      <c r="EP120" s="11"/>
      <c r="EQ120" s="11"/>
      <c r="ER120" s="1">
        <v>365</v>
      </c>
      <c r="ES120" s="1">
        <v>292</v>
      </c>
      <c r="ET120" s="1">
        <v>438</v>
      </c>
      <c r="EV120" s="19"/>
      <c r="EW120" s="19"/>
      <c r="EX120" s="19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O120" s="1">
        <v>67</v>
      </c>
      <c r="FP120" s="1">
        <v>67</v>
      </c>
      <c r="FQ120" s="1">
        <v>67</v>
      </c>
      <c r="FR120" s="13" t="s">
        <v>806</v>
      </c>
      <c r="FS120" s="13" t="s">
        <v>806</v>
      </c>
      <c r="FT120" s="13" t="s">
        <v>806</v>
      </c>
      <c r="FU120" s="13"/>
      <c r="FV120" s="13" t="s">
        <v>806</v>
      </c>
      <c r="FW120" s="13" t="s">
        <v>806</v>
      </c>
      <c r="FX120" s="13" t="s">
        <v>806</v>
      </c>
      <c r="FY120" s="13" t="s">
        <v>806</v>
      </c>
      <c r="FZ120" s="13" t="s">
        <v>806</v>
      </c>
      <c r="GA120" s="13" t="s">
        <v>806</v>
      </c>
      <c r="GB120" s="13" t="s">
        <v>806</v>
      </c>
      <c r="GE120" s="13" t="s">
        <v>806</v>
      </c>
      <c r="GF120" s="13" t="s">
        <v>806</v>
      </c>
      <c r="GH120" s="13" t="s">
        <v>806</v>
      </c>
    </row>
    <row r="121" spans="1:190" ht="12.75" customHeight="1" x14ac:dyDescent="0.25">
      <c r="A121" s="1" t="s">
        <v>208</v>
      </c>
      <c r="B121" s="1" t="s">
        <v>651</v>
      </c>
      <c r="C121" s="1" t="s">
        <v>659</v>
      </c>
      <c r="D121" s="1" t="s">
        <v>685</v>
      </c>
      <c r="E121" s="1" t="s">
        <v>127</v>
      </c>
      <c r="F121" s="1">
        <v>0</v>
      </c>
      <c r="G121" s="1">
        <v>2050</v>
      </c>
      <c r="H121" s="1">
        <v>1</v>
      </c>
      <c r="I121" s="1">
        <v>0</v>
      </c>
      <c r="J121" s="1">
        <v>0</v>
      </c>
      <c r="K1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39.15</v>
      </c>
      <c r="L1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97.826666666666668</v>
      </c>
      <c r="M1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176.60999999999999</v>
      </c>
      <c r="N121" s="19">
        <v>102.08</v>
      </c>
      <c r="O121" s="19">
        <v>47.85</v>
      </c>
      <c r="P121" s="19">
        <v>176.60999999999999</v>
      </c>
      <c r="Q121" s="19">
        <v>0</v>
      </c>
      <c r="R121" s="19">
        <v>0</v>
      </c>
      <c r="S121" s="19">
        <v>0</v>
      </c>
      <c r="T121" s="19">
        <v>102.08</v>
      </c>
      <c r="U121" s="19">
        <v>47.85</v>
      </c>
      <c r="V121" s="19">
        <v>176.60999999999999</v>
      </c>
      <c r="W121" s="19">
        <v>0</v>
      </c>
      <c r="X121" s="19">
        <v>0</v>
      </c>
      <c r="Y121" s="19">
        <v>0</v>
      </c>
      <c r="Z121" s="19">
        <v>89.32</v>
      </c>
      <c r="AA121" s="19">
        <v>39.15</v>
      </c>
      <c r="AB121" s="19">
        <v>159.79</v>
      </c>
      <c r="AC121" s="19">
        <v>0</v>
      </c>
      <c r="AD121" s="19">
        <v>0</v>
      </c>
      <c r="AE121" s="19">
        <v>0</v>
      </c>
      <c r="AF121" s="19">
        <v>102.08</v>
      </c>
      <c r="AG121" s="19">
        <v>47.85</v>
      </c>
      <c r="AH121" s="19">
        <v>176.60999999999999</v>
      </c>
      <c r="AI121" s="19">
        <v>0</v>
      </c>
      <c r="AJ121" s="19">
        <v>0</v>
      </c>
      <c r="AK121" s="19">
        <v>0</v>
      </c>
      <c r="AL121" s="19">
        <v>102.08</v>
      </c>
      <c r="AM121" s="19">
        <v>47.85</v>
      </c>
      <c r="AN121" s="19">
        <v>176.60999999999999</v>
      </c>
      <c r="AO121" s="19">
        <v>0</v>
      </c>
      <c r="AP121" s="19">
        <v>0</v>
      </c>
      <c r="AQ121" s="19">
        <v>0</v>
      </c>
      <c r="AR121" s="19">
        <v>89.32</v>
      </c>
      <c r="AS121" s="19">
        <v>39.15</v>
      </c>
      <c r="AT121" s="19">
        <v>159.79</v>
      </c>
      <c r="AU121" s="19">
        <v>0</v>
      </c>
      <c r="AV121" s="19">
        <v>0</v>
      </c>
      <c r="AW121" s="19">
        <v>0</v>
      </c>
      <c r="AX121" s="19">
        <v>102.08</v>
      </c>
      <c r="AY121" s="19">
        <v>47.85</v>
      </c>
      <c r="AZ121" s="19">
        <v>176.60999999999999</v>
      </c>
      <c r="BA121" s="19">
        <v>0</v>
      </c>
      <c r="BB121" s="19">
        <v>0</v>
      </c>
      <c r="BC121" s="19">
        <v>0</v>
      </c>
      <c r="BD121" s="19">
        <v>102.08</v>
      </c>
      <c r="BE121" s="19">
        <v>47.85</v>
      </c>
      <c r="BF121" s="19">
        <v>176.60999999999999</v>
      </c>
      <c r="BG121" s="19">
        <v>0</v>
      </c>
      <c r="BH121" s="19">
        <v>0</v>
      </c>
      <c r="BI121" s="19">
        <v>0</v>
      </c>
      <c r="BJ121" s="19">
        <v>89.32</v>
      </c>
      <c r="BK121" s="19">
        <v>39.15</v>
      </c>
      <c r="BL121" s="19">
        <v>159.79</v>
      </c>
      <c r="BM121" s="19">
        <v>0</v>
      </c>
      <c r="BN121" s="19">
        <v>0</v>
      </c>
      <c r="BO121" s="19">
        <v>0</v>
      </c>
      <c r="BP121" s="19"/>
      <c r="BQ1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21" s="11">
        <f>Tabelle5897112140[[#This Row],[Mindestauslastung min]]*Tabelle5897112140[[#This Row],[installierte Leistung MW min]]</f>
        <v>10.875</v>
      </c>
      <c r="BU121" s="11">
        <f>Tabelle5897112140[[#This Row],[Mindestauslastung durch]]*Tabelle5897112140[[#This Row],[installierte Leistung MW durch]]</f>
        <v>15.950000000000001</v>
      </c>
      <c r="BV121" s="11">
        <f>Tabelle5897112140[[#This Row],[Mindestauslastung max]]*Tabelle5897112140[[#This Row],[installierte Leistung MW max]]</f>
        <v>21.025000000000002</v>
      </c>
      <c r="BW121" s="9">
        <v>0.05</v>
      </c>
      <c r="BX121" s="9">
        <v>0.05</v>
      </c>
      <c r="BY121" s="9">
        <v>0.05</v>
      </c>
      <c r="BZ121" s="9"/>
      <c r="CA121" s="9">
        <v>0.32</v>
      </c>
      <c r="CB121" s="9">
        <v>0.22</v>
      </c>
      <c r="CC121" s="9">
        <v>0.42</v>
      </c>
      <c r="CD121" s="9">
        <v>0.32</v>
      </c>
      <c r="CE121" s="9">
        <v>0.22</v>
      </c>
      <c r="CF121" s="9">
        <v>0.42</v>
      </c>
      <c r="CG121" s="9">
        <v>0.28000000000000003</v>
      </c>
      <c r="CH121" s="9">
        <v>0.18</v>
      </c>
      <c r="CI121" s="9">
        <v>0.38</v>
      </c>
      <c r="CJ121" s="9">
        <v>0.32</v>
      </c>
      <c r="CK121" s="9">
        <v>0.22</v>
      </c>
      <c r="CL121" s="9">
        <v>0.42</v>
      </c>
      <c r="CM121" s="9">
        <v>0.32</v>
      </c>
      <c r="CN121" s="9">
        <v>0.22</v>
      </c>
      <c r="CO121" s="9">
        <v>0.42</v>
      </c>
      <c r="CP121" s="9">
        <v>0.28000000000000003</v>
      </c>
      <c r="CQ121" s="9">
        <v>0.18</v>
      </c>
      <c r="CR121" s="9">
        <v>0.38</v>
      </c>
      <c r="CS121" s="9">
        <v>0.32</v>
      </c>
      <c r="CT121" s="9">
        <v>0.22</v>
      </c>
      <c r="CU121" s="9">
        <v>0.42</v>
      </c>
      <c r="CV121" s="9">
        <v>0.32</v>
      </c>
      <c r="CW121" s="9">
        <v>0.22</v>
      </c>
      <c r="CX121" s="9">
        <v>0.42</v>
      </c>
      <c r="CY121" s="9">
        <v>0.28000000000000003</v>
      </c>
      <c r="CZ121" s="9">
        <v>0.18</v>
      </c>
      <c r="DA121" s="9">
        <v>0.38</v>
      </c>
      <c r="DB121" s="9">
        <f>MIN(Tabelle5897112140[[#This Row],[Durchschnittsauslastung durch Sommer WTT]:[Durchschnittsauslastung max Winter SFN]])</f>
        <v>0.18</v>
      </c>
      <c r="DC1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21" s="9">
        <f>MAX(Tabelle5897112140[[#This Row],[Durchschnittsauslastung durch Sommer WTT]:[Durchschnittsauslastung max Winter SFN]])</f>
        <v>0.42</v>
      </c>
      <c r="DE121" s="40">
        <f>Tabelle5897112140[[#This Row],[Durchschnittsauslastung min]]*Tabelle5897112140[[#This Row],[installierte Leistung MW min]]</f>
        <v>39.15</v>
      </c>
      <c r="DF121" s="40">
        <f>Tabelle5897112140[[#This Row],[Durchschnittsauslastung durch]]*Tabelle5897112140[[#This Row],[installierte Leistung MW durch]]</f>
        <v>97.826666666666654</v>
      </c>
      <c r="DG121" s="40">
        <f>Tabelle5897112140[[#This Row],[Durchschnittsauslastung max]]*Tabelle5897112140[[#This Row],[installierte Leistung MW max]]</f>
        <v>176.60999999999999</v>
      </c>
      <c r="DH121" s="46">
        <f>Tabelle5897112140[[#This Row],[Maximalauslastung min]]*Tabelle5897112140[[#This Row],[installierte Leistung MW min]]</f>
        <v>0.4350000000000005</v>
      </c>
      <c r="DI121" s="46">
        <f>Tabelle5897112140[[#This Row],[Maximalauslastung durch]]*Tabelle5897112140[[#This Row],[installierte Leistung MW durch]]</f>
        <v>7.0180000000000007</v>
      </c>
      <c r="DJ121" s="19">
        <f>Tabelle5897112140[[#This Row],[Maximalauslastung max]]*Tabelle5897112140[[#This Row],[installierte Leistung MW durch]]</f>
        <v>13.398000000000001</v>
      </c>
      <c r="DK121" s="9">
        <v>2.0000000000000022E-3</v>
      </c>
      <c r="DL121" s="9">
        <v>2.2000000000000002E-2</v>
      </c>
      <c r="DM121" s="9">
        <v>4.2000000000000003E-2</v>
      </c>
      <c r="DN121" s="1">
        <v>319</v>
      </c>
      <c r="DO121" s="1">
        <v>217.5</v>
      </c>
      <c r="DP121" s="1">
        <v>420.5</v>
      </c>
      <c r="DQ121" s="19"/>
      <c r="DR121" s="19"/>
      <c r="DW121" s="1">
        <v>0.5</v>
      </c>
      <c r="DX121" s="1">
        <v>0.4</v>
      </c>
      <c r="DY121" s="1">
        <v>0.6</v>
      </c>
      <c r="EL121" s="1">
        <v>365</v>
      </c>
      <c r="EM121" s="1">
        <v>292</v>
      </c>
      <c r="EN121" s="1">
        <v>438</v>
      </c>
      <c r="EO121" s="11"/>
      <c r="EP121" s="11"/>
      <c r="EQ121" s="11"/>
      <c r="ER121" s="1">
        <v>365</v>
      </c>
      <c r="ES121" s="1">
        <v>292</v>
      </c>
      <c r="ET121" s="1">
        <v>438</v>
      </c>
      <c r="EV121" s="19"/>
      <c r="EW121" s="19"/>
      <c r="EX121" s="19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O121" s="1">
        <v>67</v>
      </c>
      <c r="FP121" s="1">
        <v>67</v>
      </c>
      <c r="FQ121" s="1">
        <v>67</v>
      </c>
      <c r="FR121" s="13" t="s">
        <v>806</v>
      </c>
      <c r="FS121" s="13" t="s">
        <v>806</v>
      </c>
      <c r="FT121" s="13" t="s">
        <v>806</v>
      </c>
      <c r="FU121" s="13"/>
      <c r="FV121" s="13" t="s">
        <v>806</v>
      </c>
      <c r="FW121" s="13" t="s">
        <v>806</v>
      </c>
      <c r="FX121" s="13" t="s">
        <v>806</v>
      </c>
      <c r="FY121" s="13" t="s">
        <v>806</v>
      </c>
      <c r="FZ121" s="13" t="s">
        <v>806</v>
      </c>
      <c r="GA121" s="13" t="s">
        <v>806</v>
      </c>
      <c r="GB121" s="13" t="s">
        <v>806</v>
      </c>
      <c r="GE121" s="13" t="s">
        <v>806</v>
      </c>
      <c r="GF121" s="13" t="s">
        <v>806</v>
      </c>
      <c r="GH121" s="13" t="s">
        <v>806</v>
      </c>
    </row>
    <row r="122" spans="1:190" ht="12.75" customHeight="1" x14ac:dyDescent="0.25">
      <c r="A122" s="1" t="s">
        <v>101</v>
      </c>
      <c r="B122" s="1" t="s">
        <v>650</v>
      </c>
      <c r="C122" s="1" t="s">
        <v>661</v>
      </c>
      <c r="D122" s="1" t="s">
        <v>687</v>
      </c>
      <c r="E122" s="1" t="s">
        <v>127</v>
      </c>
      <c r="F122" s="1">
        <v>0</v>
      </c>
      <c r="G122" s="1">
        <v>2015</v>
      </c>
      <c r="H122" s="1">
        <v>1</v>
      </c>
      <c r="I122" s="1">
        <v>0</v>
      </c>
      <c r="J122" s="1">
        <v>0</v>
      </c>
      <c r="K1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2" s="19">
        <v>305.89999999999998</v>
      </c>
      <c r="O122" s="19">
        <v>200.52</v>
      </c>
      <c r="P122" s="19">
        <v>432.88</v>
      </c>
      <c r="Q122" s="19">
        <v>0</v>
      </c>
      <c r="R122" s="19">
        <v>0</v>
      </c>
      <c r="S122" s="19">
        <v>0</v>
      </c>
      <c r="T122" s="19">
        <v>305.89999999999998</v>
      </c>
      <c r="U122" s="19">
        <v>200.52</v>
      </c>
      <c r="V122" s="19">
        <v>432.88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192.85</v>
      </c>
      <c r="AD122" s="19">
        <v>144.82</v>
      </c>
      <c r="AE122" s="19">
        <v>247.36</v>
      </c>
      <c r="AF122" s="19">
        <v>39.9</v>
      </c>
      <c r="AG122" s="19">
        <v>5.57</v>
      </c>
      <c r="AH122" s="19">
        <v>85.03</v>
      </c>
      <c r="AI122" s="19">
        <v>119.7</v>
      </c>
      <c r="AJ122" s="19">
        <v>55.7</v>
      </c>
      <c r="AK122" s="19">
        <v>200.98</v>
      </c>
      <c r="AL122" s="19">
        <v>39.9</v>
      </c>
      <c r="AM122" s="19">
        <v>5.57</v>
      </c>
      <c r="AN122" s="19">
        <v>85.03</v>
      </c>
      <c r="AO122" s="19">
        <v>119.7</v>
      </c>
      <c r="AP122" s="19">
        <v>55.7</v>
      </c>
      <c r="AQ122" s="19">
        <v>200.98</v>
      </c>
      <c r="AR122" s="19">
        <v>0</v>
      </c>
      <c r="AS122" s="19">
        <v>0</v>
      </c>
      <c r="AT122" s="19">
        <v>0</v>
      </c>
      <c r="AU122" s="19">
        <v>192.85</v>
      </c>
      <c r="AV122" s="19">
        <v>144.82</v>
      </c>
      <c r="AW122" s="19">
        <v>247.36</v>
      </c>
      <c r="AX122" s="19">
        <v>0</v>
      </c>
      <c r="AY122" s="19">
        <v>0</v>
      </c>
      <c r="AZ122" s="19">
        <v>0</v>
      </c>
      <c r="BA122" s="19">
        <v>192.85</v>
      </c>
      <c r="BB122" s="19">
        <v>144.82</v>
      </c>
      <c r="BC122" s="19">
        <v>247.36</v>
      </c>
      <c r="BD122" s="19">
        <v>0</v>
      </c>
      <c r="BE122" s="19">
        <v>0</v>
      </c>
      <c r="BF122" s="19">
        <v>0</v>
      </c>
      <c r="BG122" s="19">
        <v>192.85</v>
      </c>
      <c r="BH122" s="19">
        <v>144.82</v>
      </c>
      <c r="BI122" s="19">
        <v>247.36</v>
      </c>
      <c r="BJ122" s="19">
        <v>0</v>
      </c>
      <c r="BK122" s="19">
        <v>0</v>
      </c>
      <c r="BL122" s="19">
        <v>0</v>
      </c>
      <c r="BM122" s="19">
        <v>192.85</v>
      </c>
      <c r="BN122" s="19">
        <v>144.82</v>
      </c>
      <c r="BO122" s="19">
        <v>247.36</v>
      </c>
      <c r="BP122" s="19"/>
      <c r="BQ1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2" s="11">
        <f>Tabelle5897112140[[#This Row],[Mindestauslastung min]]*Tabelle5897112140[[#This Row],[installierte Leistung MW min]]</f>
        <v>27.85</v>
      </c>
      <c r="BU122" s="11">
        <f>Tabelle5897112140[[#This Row],[Mindestauslastung durch]]*Tabelle5897112140[[#This Row],[installierte Leistung MW durch]]</f>
        <v>33.25</v>
      </c>
      <c r="BV122" s="11">
        <f>Tabelle5897112140[[#This Row],[Mindestauslastung max]]*Tabelle5897112140[[#This Row],[installierte Leistung MW max]]</f>
        <v>38.650000000000006</v>
      </c>
      <c r="BW122" s="9">
        <v>0.05</v>
      </c>
      <c r="BX122" s="9">
        <v>0.05</v>
      </c>
      <c r="BY122" s="9">
        <v>0.05</v>
      </c>
      <c r="BZ122" s="9"/>
      <c r="CA122" s="9">
        <v>0.51</v>
      </c>
      <c r="CB122" s="9">
        <v>0.41</v>
      </c>
      <c r="CC122" s="9">
        <v>0.61</v>
      </c>
      <c r="CD122" s="9">
        <v>0.51</v>
      </c>
      <c r="CE122" s="9">
        <v>0.41</v>
      </c>
      <c r="CF122" s="9">
        <v>0.61</v>
      </c>
      <c r="CG122" s="9">
        <v>0</v>
      </c>
      <c r="CH122" s="9">
        <v>0</v>
      </c>
      <c r="CI122" s="9">
        <v>0</v>
      </c>
      <c r="CJ122" s="9">
        <v>0.11</v>
      </c>
      <c r="CK122" s="9">
        <v>0.06</v>
      </c>
      <c r="CL122" s="9">
        <v>0.16</v>
      </c>
      <c r="CM122" s="9">
        <v>0.11</v>
      </c>
      <c r="CN122" s="9">
        <v>0.06</v>
      </c>
      <c r="CO122" s="9">
        <v>0.16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</v>
      </c>
      <c r="CW122" s="9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f>MIN(Tabelle5897112140[[#This Row],[Durchschnittsauslastung durch Sommer WTT]:[Durchschnittsauslastung max Winter SFN]])</f>
        <v>0</v>
      </c>
      <c r="DC1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2" s="9">
        <f>MAX(Tabelle5897112140[[#This Row],[Durchschnittsauslastung durch Sommer WTT]:[Durchschnittsauslastung max Winter SFN]])</f>
        <v>0.61</v>
      </c>
      <c r="DE122" s="40">
        <f>Tabelle5897112140[[#This Row],[Durchschnittsauslastung min]]*Tabelle5897112140[[#This Row],[installierte Leistung MW min]]</f>
        <v>0</v>
      </c>
      <c r="DF122" s="40">
        <f>Tabelle5897112140[[#This Row],[Durchschnittsauslastung durch]]*Tabelle5897112140[[#This Row],[installierte Leistung MW durch]]</f>
        <v>91.622222222222234</v>
      </c>
      <c r="DG122" s="40">
        <f>Tabelle5897112140[[#This Row],[Durchschnittsauslastung max]]*Tabelle5897112140[[#This Row],[installierte Leistung MW max]]</f>
        <v>471.53</v>
      </c>
      <c r="DH122" s="46">
        <f>Tabelle5897112140[[#This Row],[Maximalauslastung min]]*Tabelle5897112140[[#This Row],[installierte Leistung MW min]]</f>
        <v>0</v>
      </c>
      <c r="DI122" s="46">
        <f>Tabelle5897112140[[#This Row],[Maximalauslastung durch]]*Tabelle5897112140[[#This Row],[installierte Leistung MW durch]]</f>
        <v>0</v>
      </c>
      <c r="DJ122" s="19">
        <f>Tabelle5897112140[[#This Row],[Maximalauslastung max]]*Tabelle5897112140[[#This Row],[installierte Leistung MW durch]]</f>
        <v>0</v>
      </c>
      <c r="DK122" s="9">
        <v>0</v>
      </c>
      <c r="DL122" s="9">
        <v>0</v>
      </c>
      <c r="DM122" s="9">
        <v>0</v>
      </c>
      <c r="DN122" s="1">
        <v>665</v>
      </c>
      <c r="DO122" s="1">
        <v>557</v>
      </c>
      <c r="DP122" s="1">
        <v>773</v>
      </c>
      <c r="DQ122" s="19"/>
      <c r="DR122" s="19"/>
      <c r="DW122" s="1">
        <v>0.25</v>
      </c>
      <c r="DX122" s="1">
        <v>0.09</v>
      </c>
      <c r="DY122" s="1">
        <v>0.41</v>
      </c>
      <c r="EL122" s="1">
        <v>365</v>
      </c>
      <c r="EM122" s="1">
        <v>292</v>
      </c>
      <c r="EN122" s="1">
        <v>438</v>
      </c>
      <c r="EO122" s="11"/>
      <c r="EP122" s="11"/>
      <c r="EQ122" s="11"/>
      <c r="ER122" s="1">
        <v>365</v>
      </c>
      <c r="ES122" s="1">
        <v>292</v>
      </c>
      <c r="ET122" s="1">
        <v>438</v>
      </c>
      <c r="EV122" s="19"/>
      <c r="EW122" s="19"/>
      <c r="EX122" s="19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O122" s="1">
        <v>67</v>
      </c>
      <c r="FP122" s="1">
        <v>67</v>
      </c>
      <c r="FQ122" s="1">
        <v>67</v>
      </c>
      <c r="FR122" s="13" t="s">
        <v>806</v>
      </c>
      <c r="FS122" s="13" t="s">
        <v>806</v>
      </c>
      <c r="FT122" s="13" t="s">
        <v>806</v>
      </c>
      <c r="FU122" s="13"/>
      <c r="FV122" s="13" t="s">
        <v>806</v>
      </c>
      <c r="FW122" s="13" t="s">
        <v>806</v>
      </c>
      <c r="FX122" s="13" t="s">
        <v>806</v>
      </c>
      <c r="FY122" s="13" t="s">
        <v>806</v>
      </c>
      <c r="FZ122" s="13" t="s">
        <v>806</v>
      </c>
      <c r="GA122" s="13" t="s">
        <v>806</v>
      </c>
      <c r="GB122" s="13" t="s">
        <v>806</v>
      </c>
      <c r="GE122" s="13" t="s">
        <v>806</v>
      </c>
      <c r="GF122" s="13" t="s">
        <v>806</v>
      </c>
      <c r="GH122" s="13" t="s">
        <v>806</v>
      </c>
    </row>
    <row r="123" spans="1:190" ht="12.75" customHeight="1" x14ac:dyDescent="0.25">
      <c r="A123" s="1" t="s">
        <v>101</v>
      </c>
      <c r="B123" s="1" t="s">
        <v>650</v>
      </c>
      <c r="C123" s="1" t="s">
        <v>661</v>
      </c>
      <c r="D123" s="1" t="s">
        <v>687</v>
      </c>
      <c r="E123" s="1" t="s">
        <v>127</v>
      </c>
      <c r="F123" s="1">
        <v>0</v>
      </c>
      <c r="G123" s="1">
        <v>2020</v>
      </c>
      <c r="H123" s="1">
        <v>1</v>
      </c>
      <c r="I123" s="1">
        <v>0</v>
      </c>
      <c r="J123" s="1">
        <v>0</v>
      </c>
      <c r="K1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3" s="19">
        <v>305.89999999999998</v>
      </c>
      <c r="O123" s="19">
        <v>200.52</v>
      </c>
      <c r="P123" s="19">
        <v>432.88</v>
      </c>
      <c r="Q123" s="19">
        <v>0</v>
      </c>
      <c r="R123" s="19">
        <v>0</v>
      </c>
      <c r="S123" s="19">
        <v>0</v>
      </c>
      <c r="T123" s="19">
        <v>305.89999999999998</v>
      </c>
      <c r="U123" s="19">
        <v>200.52</v>
      </c>
      <c r="V123" s="19">
        <v>432.88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192.85</v>
      </c>
      <c r="AD123" s="19">
        <v>144.82</v>
      </c>
      <c r="AE123" s="19">
        <v>247.36</v>
      </c>
      <c r="AF123" s="19">
        <v>39.9</v>
      </c>
      <c r="AG123" s="19">
        <v>5.57</v>
      </c>
      <c r="AH123" s="19">
        <v>85.03</v>
      </c>
      <c r="AI123" s="19">
        <v>119.7</v>
      </c>
      <c r="AJ123" s="19">
        <v>55.7</v>
      </c>
      <c r="AK123" s="19">
        <v>200.98</v>
      </c>
      <c r="AL123" s="19">
        <v>39.9</v>
      </c>
      <c r="AM123" s="19">
        <v>5.57</v>
      </c>
      <c r="AN123" s="19">
        <v>85.03</v>
      </c>
      <c r="AO123" s="19">
        <v>119.7</v>
      </c>
      <c r="AP123" s="19">
        <v>55.7</v>
      </c>
      <c r="AQ123" s="19">
        <v>200.98</v>
      </c>
      <c r="AR123" s="19">
        <v>0</v>
      </c>
      <c r="AS123" s="19">
        <v>0</v>
      </c>
      <c r="AT123" s="19">
        <v>0</v>
      </c>
      <c r="AU123" s="19">
        <v>192.85</v>
      </c>
      <c r="AV123" s="19">
        <v>144.82</v>
      </c>
      <c r="AW123" s="19">
        <v>247.36</v>
      </c>
      <c r="AX123" s="19">
        <v>0</v>
      </c>
      <c r="AY123" s="19">
        <v>0</v>
      </c>
      <c r="AZ123" s="19">
        <v>0</v>
      </c>
      <c r="BA123" s="19">
        <v>192.85</v>
      </c>
      <c r="BB123" s="19">
        <v>144.82</v>
      </c>
      <c r="BC123" s="19">
        <v>247.36</v>
      </c>
      <c r="BD123" s="19">
        <v>0</v>
      </c>
      <c r="BE123" s="19">
        <v>0</v>
      </c>
      <c r="BF123" s="19">
        <v>0</v>
      </c>
      <c r="BG123" s="19">
        <v>192.85</v>
      </c>
      <c r="BH123" s="19">
        <v>144.82</v>
      </c>
      <c r="BI123" s="19">
        <v>247.36</v>
      </c>
      <c r="BJ123" s="19">
        <v>0</v>
      </c>
      <c r="BK123" s="19">
        <v>0</v>
      </c>
      <c r="BL123" s="19">
        <v>0</v>
      </c>
      <c r="BM123" s="19">
        <v>192.85</v>
      </c>
      <c r="BN123" s="19">
        <v>144.82</v>
      </c>
      <c r="BO123" s="19">
        <v>247.36</v>
      </c>
      <c r="BP123" s="19"/>
      <c r="BQ1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3" s="11">
        <f>Tabelle5897112140[[#This Row],[Mindestauslastung min]]*Tabelle5897112140[[#This Row],[installierte Leistung MW min]]</f>
        <v>27.85</v>
      </c>
      <c r="BU123" s="11">
        <f>Tabelle5897112140[[#This Row],[Mindestauslastung durch]]*Tabelle5897112140[[#This Row],[installierte Leistung MW durch]]</f>
        <v>33.25</v>
      </c>
      <c r="BV123" s="11">
        <f>Tabelle5897112140[[#This Row],[Mindestauslastung max]]*Tabelle5897112140[[#This Row],[installierte Leistung MW max]]</f>
        <v>38.650000000000006</v>
      </c>
      <c r="BW123" s="9">
        <v>0.05</v>
      </c>
      <c r="BX123" s="9">
        <v>0.05</v>
      </c>
      <c r="BY123" s="9">
        <v>0.05</v>
      </c>
      <c r="BZ123" s="9"/>
      <c r="CA123" s="9">
        <v>0.51</v>
      </c>
      <c r="CB123" s="9">
        <v>0.41</v>
      </c>
      <c r="CC123" s="9">
        <v>0.61</v>
      </c>
      <c r="CD123" s="9">
        <v>0.51</v>
      </c>
      <c r="CE123" s="9">
        <v>0.41</v>
      </c>
      <c r="CF123" s="9">
        <v>0.61</v>
      </c>
      <c r="CG123" s="9">
        <v>0</v>
      </c>
      <c r="CH123" s="9">
        <v>0</v>
      </c>
      <c r="CI123" s="9">
        <v>0</v>
      </c>
      <c r="CJ123" s="9">
        <v>0.11</v>
      </c>
      <c r="CK123" s="9">
        <v>0.06</v>
      </c>
      <c r="CL123" s="9">
        <v>0.16</v>
      </c>
      <c r="CM123" s="9">
        <v>0.11</v>
      </c>
      <c r="CN123" s="9">
        <v>0.06</v>
      </c>
      <c r="CO123" s="9">
        <v>0.16</v>
      </c>
      <c r="CP123" s="9">
        <v>0</v>
      </c>
      <c r="CQ123" s="9">
        <v>0</v>
      </c>
      <c r="CR123" s="9">
        <v>0</v>
      </c>
      <c r="CS123" s="9">
        <v>0</v>
      </c>
      <c r="CT123" s="9">
        <v>0</v>
      </c>
      <c r="CU123" s="9">
        <v>0</v>
      </c>
      <c r="CV123" s="9">
        <v>0</v>
      </c>
      <c r="CW123" s="9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f>MIN(Tabelle5897112140[[#This Row],[Durchschnittsauslastung durch Sommer WTT]:[Durchschnittsauslastung max Winter SFN]])</f>
        <v>0</v>
      </c>
      <c r="DC1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3" s="9">
        <f>MAX(Tabelle5897112140[[#This Row],[Durchschnittsauslastung durch Sommer WTT]:[Durchschnittsauslastung max Winter SFN]])</f>
        <v>0.61</v>
      </c>
      <c r="DE123" s="40">
        <f>Tabelle5897112140[[#This Row],[Durchschnittsauslastung min]]*Tabelle5897112140[[#This Row],[installierte Leistung MW min]]</f>
        <v>0</v>
      </c>
      <c r="DF123" s="40">
        <f>Tabelle5897112140[[#This Row],[Durchschnittsauslastung durch]]*Tabelle5897112140[[#This Row],[installierte Leistung MW durch]]</f>
        <v>91.622222222222234</v>
      </c>
      <c r="DG123" s="40">
        <f>Tabelle5897112140[[#This Row],[Durchschnittsauslastung max]]*Tabelle5897112140[[#This Row],[installierte Leistung MW max]]</f>
        <v>471.53</v>
      </c>
      <c r="DH123" s="46">
        <f>Tabelle5897112140[[#This Row],[Maximalauslastung min]]*Tabelle5897112140[[#This Row],[installierte Leistung MW min]]</f>
        <v>144.82</v>
      </c>
      <c r="DI123" s="46">
        <f>Tabelle5897112140[[#This Row],[Maximalauslastung durch]]*Tabelle5897112140[[#This Row],[installierte Leistung MW durch]]</f>
        <v>192.85</v>
      </c>
      <c r="DJ123" s="19">
        <f>Tabelle5897112140[[#This Row],[Maximalauslastung max]]*Tabelle5897112140[[#This Row],[installierte Leistung MW durch]]</f>
        <v>212.8</v>
      </c>
      <c r="DK123" s="9">
        <v>0.26</v>
      </c>
      <c r="DL123" s="9">
        <v>0.28999999999999998</v>
      </c>
      <c r="DM123" s="9">
        <v>0.32</v>
      </c>
      <c r="DN123" s="1">
        <v>665</v>
      </c>
      <c r="DO123" s="1">
        <v>557</v>
      </c>
      <c r="DP123" s="1">
        <v>773</v>
      </c>
      <c r="DQ123" s="19"/>
      <c r="DR123" s="19"/>
      <c r="DW123" s="1">
        <v>0.25</v>
      </c>
      <c r="DX123" s="1">
        <v>0.09</v>
      </c>
      <c r="DY123" s="1">
        <v>0.41</v>
      </c>
      <c r="EL123" s="1">
        <v>365</v>
      </c>
      <c r="EM123" s="1">
        <v>292</v>
      </c>
      <c r="EN123" s="1">
        <v>438</v>
      </c>
      <c r="EO123" s="11"/>
      <c r="EP123" s="11"/>
      <c r="EQ123" s="11"/>
      <c r="ER123" s="1">
        <v>365</v>
      </c>
      <c r="ES123" s="1">
        <v>292</v>
      </c>
      <c r="ET123" s="1">
        <v>438</v>
      </c>
      <c r="EV123" s="19"/>
      <c r="EW123" s="19"/>
      <c r="EX123" s="19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O123" s="1">
        <v>67</v>
      </c>
      <c r="FP123" s="1">
        <v>67</v>
      </c>
      <c r="FQ123" s="1">
        <v>67</v>
      </c>
      <c r="FR123" s="13" t="s">
        <v>806</v>
      </c>
      <c r="FS123" s="13" t="s">
        <v>806</v>
      </c>
      <c r="FT123" s="13" t="s">
        <v>806</v>
      </c>
      <c r="FU123" s="13"/>
      <c r="FV123" s="13" t="s">
        <v>806</v>
      </c>
      <c r="FW123" s="13" t="s">
        <v>806</v>
      </c>
      <c r="FX123" s="13" t="s">
        <v>806</v>
      </c>
      <c r="FY123" s="13" t="s">
        <v>806</v>
      </c>
      <c r="FZ123" s="13" t="s">
        <v>806</v>
      </c>
      <c r="GA123" s="13" t="s">
        <v>806</v>
      </c>
      <c r="GB123" s="13" t="s">
        <v>806</v>
      </c>
      <c r="GE123" s="13" t="s">
        <v>806</v>
      </c>
      <c r="GF123" s="13" t="s">
        <v>806</v>
      </c>
      <c r="GH123" s="13" t="s">
        <v>806</v>
      </c>
    </row>
    <row r="124" spans="1:190" ht="12.75" customHeight="1" x14ac:dyDescent="0.25">
      <c r="A124" s="1" t="s">
        <v>101</v>
      </c>
      <c r="B124" s="1" t="s">
        <v>650</v>
      </c>
      <c r="C124" s="1" t="s">
        <v>661</v>
      </c>
      <c r="D124" s="1" t="s">
        <v>687</v>
      </c>
      <c r="E124" s="1" t="s">
        <v>127</v>
      </c>
      <c r="F124" s="1">
        <v>0</v>
      </c>
      <c r="G124" s="1">
        <v>2025</v>
      </c>
      <c r="H124" s="1">
        <v>1</v>
      </c>
      <c r="I124" s="1">
        <v>0</v>
      </c>
      <c r="J124" s="1">
        <v>0</v>
      </c>
      <c r="K1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4" s="19">
        <v>305.89999999999998</v>
      </c>
      <c r="O124" s="19">
        <v>200.52</v>
      </c>
      <c r="P124" s="19">
        <v>432.88</v>
      </c>
      <c r="Q124" s="19">
        <v>0</v>
      </c>
      <c r="R124" s="19">
        <v>0</v>
      </c>
      <c r="S124" s="19">
        <v>0</v>
      </c>
      <c r="T124" s="19">
        <v>305.89999999999998</v>
      </c>
      <c r="U124" s="19">
        <v>200.52</v>
      </c>
      <c r="V124" s="19">
        <v>432.88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192.85</v>
      </c>
      <c r="AD124" s="19">
        <v>144.82</v>
      </c>
      <c r="AE124" s="19">
        <v>247.36</v>
      </c>
      <c r="AF124" s="19">
        <v>39.9</v>
      </c>
      <c r="AG124" s="19">
        <v>5.57</v>
      </c>
      <c r="AH124" s="19">
        <v>85.03</v>
      </c>
      <c r="AI124" s="19">
        <v>119.7</v>
      </c>
      <c r="AJ124" s="19">
        <v>55.7</v>
      </c>
      <c r="AK124" s="19">
        <v>200.98</v>
      </c>
      <c r="AL124" s="19">
        <v>39.9</v>
      </c>
      <c r="AM124" s="19">
        <v>5.57</v>
      </c>
      <c r="AN124" s="19">
        <v>85.03</v>
      </c>
      <c r="AO124" s="19">
        <v>119.7</v>
      </c>
      <c r="AP124" s="19">
        <v>55.7</v>
      </c>
      <c r="AQ124" s="19">
        <v>200.98</v>
      </c>
      <c r="AR124" s="19">
        <v>0</v>
      </c>
      <c r="AS124" s="19">
        <v>0</v>
      </c>
      <c r="AT124" s="19">
        <v>0</v>
      </c>
      <c r="AU124" s="19">
        <v>192.85</v>
      </c>
      <c r="AV124" s="19">
        <v>144.82</v>
      </c>
      <c r="AW124" s="19">
        <v>247.36</v>
      </c>
      <c r="AX124" s="19">
        <v>0</v>
      </c>
      <c r="AY124" s="19">
        <v>0</v>
      </c>
      <c r="AZ124" s="19">
        <v>0</v>
      </c>
      <c r="BA124" s="19">
        <v>192.85</v>
      </c>
      <c r="BB124" s="19">
        <v>144.82</v>
      </c>
      <c r="BC124" s="19">
        <v>247.36</v>
      </c>
      <c r="BD124" s="19">
        <v>0</v>
      </c>
      <c r="BE124" s="19">
        <v>0</v>
      </c>
      <c r="BF124" s="19">
        <v>0</v>
      </c>
      <c r="BG124" s="19">
        <v>192.85</v>
      </c>
      <c r="BH124" s="19">
        <v>144.82</v>
      </c>
      <c r="BI124" s="19">
        <v>247.36</v>
      </c>
      <c r="BJ124" s="19">
        <v>0</v>
      </c>
      <c r="BK124" s="19">
        <v>0</v>
      </c>
      <c r="BL124" s="19">
        <v>0</v>
      </c>
      <c r="BM124" s="19">
        <v>192.85</v>
      </c>
      <c r="BN124" s="19">
        <v>144.82</v>
      </c>
      <c r="BO124" s="19">
        <v>247.36</v>
      </c>
      <c r="BP124" s="19"/>
      <c r="BQ1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4" s="11">
        <f>Tabelle5897112140[[#This Row],[Mindestauslastung min]]*Tabelle5897112140[[#This Row],[installierte Leistung MW min]]</f>
        <v>27.85</v>
      </c>
      <c r="BU124" s="11">
        <f>Tabelle5897112140[[#This Row],[Mindestauslastung durch]]*Tabelle5897112140[[#This Row],[installierte Leistung MW durch]]</f>
        <v>33.25</v>
      </c>
      <c r="BV124" s="11">
        <f>Tabelle5897112140[[#This Row],[Mindestauslastung max]]*Tabelle5897112140[[#This Row],[installierte Leistung MW max]]</f>
        <v>38.650000000000006</v>
      </c>
      <c r="BW124" s="9">
        <v>0.05</v>
      </c>
      <c r="BX124" s="9">
        <v>0.05</v>
      </c>
      <c r="BY124" s="9">
        <v>0.05</v>
      </c>
      <c r="BZ124" s="9"/>
      <c r="CA124" s="9">
        <v>0.51</v>
      </c>
      <c r="CB124" s="9">
        <v>0.41</v>
      </c>
      <c r="CC124" s="9">
        <v>0.61</v>
      </c>
      <c r="CD124" s="9">
        <v>0.51</v>
      </c>
      <c r="CE124" s="9">
        <v>0.41</v>
      </c>
      <c r="CF124" s="9">
        <v>0.61</v>
      </c>
      <c r="CG124" s="9">
        <v>0</v>
      </c>
      <c r="CH124" s="9">
        <v>0</v>
      </c>
      <c r="CI124" s="9">
        <v>0</v>
      </c>
      <c r="CJ124" s="9">
        <v>0.11</v>
      </c>
      <c r="CK124" s="9">
        <v>0.06</v>
      </c>
      <c r="CL124" s="9">
        <v>0.16</v>
      </c>
      <c r="CM124" s="9">
        <v>0.11</v>
      </c>
      <c r="CN124" s="9">
        <v>0.06</v>
      </c>
      <c r="CO124" s="9">
        <v>0.16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</v>
      </c>
      <c r="CW124" s="9">
        <v>0</v>
      </c>
      <c r="CX124" s="9">
        <v>0</v>
      </c>
      <c r="CY124" s="9">
        <v>0</v>
      </c>
      <c r="CZ124" s="9">
        <v>0</v>
      </c>
      <c r="DA124" s="9">
        <v>0</v>
      </c>
      <c r="DB124" s="9">
        <f>MIN(Tabelle5897112140[[#This Row],[Durchschnittsauslastung durch Sommer WTT]:[Durchschnittsauslastung max Winter SFN]])</f>
        <v>0</v>
      </c>
      <c r="DC1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4" s="9">
        <f>MAX(Tabelle5897112140[[#This Row],[Durchschnittsauslastung durch Sommer WTT]:[Durchschnittsauslastung max Winter SFN]])</f>
        <v>0.61</v>
      </c>
      <c r="DE124" s="40">
        <f>Tabelle5897112140[[#This Row],[Durchschnittsauslastung min]]*Tabelle5897112140[[#This Row],[installierte Leistung MW min]]</f>
        <v>0</v>
      </c>
      <c r="DF124" s="40">
        <f>Tabelle5897112140[[#This Row],[Durchschnittsauslastung durch]]*Tabelle5897112140[[#This Row],[installierte Leistung MW durch]]</f>
        <v>91.622222222222234</v>
      </c>
      <c r="DG124" s="40">
        <f>Tabelle5897112140[[#This Row],[Durchschnittsauslastung max]]*Tabelle5897112140[[#This Row],[installierte Leistung MW max]]</f>
        <v>471.53</v>
      </c>
      <c r="DH124" s="46">
        <f>Tabelle5897112140[[#This Row],[Maximalauslastung min]]*Tabelle5897112140[[#This Row],[installierte Leistung MW min]]</f>
        <v>144.82</v>
      </c>
      <c r="DI124" s="46">
        <f>Tabelle5897112140[[#This Row],[Maximalauslastung durch]]*Tabelle5897112140[[#This Row],[installierte Leistung MW durch]]</f>
        <v>192.85</v>
      </c>
      <c r="DJ124" s="19">
        <f>Tabelle5897112140[[#This Row],[Maximalauslastung max]]*Tabelle5897112140[[#This Row],[installierte Leistung MW durch]]</f>
        <v>212.8</v>
      </c>
      <c r="DK124" s="9">
        <v>0.26</v>
      </c>
      <c r="DL124" s="9">
        <v>0.28999999999999998</v>
      </c>
      <c r="DM124" s="9">
        <v>0.32</v>
      </c>
      <c r="DN124" s="1">
        <v>665</v>
      </c>
      <c r="DO124" s="1">
        <v>557</v>
      </c>
      <c r="DP124" s="1">
        <v>773</v>
      </c>
      <c r="DQ124" s="19"/>
      <c r="DR124" s="19"/>
      <c r="DW124" s="1">
        <v>0.25</v>
      </c>
      <c r="DX124" s="1">
        <v>0.09</v>
      </c>
      <c r="DY124" s="1">
        <v>0.41</v>
      </c>
      <c r="EL124" s="1">
        <v>365</v>
      </c>
      <c r="EM124" s="1">
        <v>292</v>
      </c>
      <c r="EN124" s="1">
        <v>438</v>
      </c>
      <c r="EO124" s="11"/>
      <c r="EP124" s="11"/>
      <c r="EQ124" s="11"/>
      <c r="ER124" s="1">
        <v>365</v>
      </c>
      <c r="ES124" s="1">
        <v>292</v>
      </c>
      <c r="ET124" s="1">
        <v>438</v>
      </c>
      <c r="EV124" s="19"/>
      <c r="EW124" s="19"/>
      <c r="EX124" s="19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O124" s="1">
        <v>67</v>
      </c>
      <c r="FP124" s="1">
        <v>67</v>
      </c>
      <c r="FQ124" s="1">
        <v>67</v>
      </c>
      <c r="FR124" s="13" t="s">
        <v>806</v>
      </c>
      <c r="FS124" s="13" t="s">
        <v>806</v>
      </c>
      <c r="FT124" s="13" t="s">
        <v>806</v>
      </c>
      <c r="FU124" s="13"/>
      <c r="FV124" s="13" t="s">
        <v>806</v>
      </c>
      <c r="FW124" s="13" t="s">
        <v>806</v>
      </c>
      <c r="FX124" s="13" t="s">
        <v>806</v>
      </c>
      <c r="FY124" s="13" t="s">
        <v>806</v>
      </c>
      <c r="FZ124" s="13" t="s">
        <v>806</v>
      </c>
      <c r="GA124" s="13" t="s">
        <v>806</v>
      </c>
      <c r="GB124" s="13" t="s">
        <v>806</v>
      </c>
      <c r="GE124" s="13" t="s">
        <v>806</v>
      </c>
      <c r="GF124" s="13" t="s">
        <v>806</v>
      </c>
      <c r="GH124" s="13" t="s">
        <v>806</v>
      </c>
    </row>
    <row r="125" spans="1:190" ht="12.75" customHeight="1" x14ac:dyDescent="0.25">
      <c r="A125" s="1" t="s">
        <v>101</v>
      </c>
      <c r="B125" s="1" t="s">
        <v>650</v>
      </c>
      <c r="C125" s="1" t="s">
        <v>661</v>
      </c>
      <c r="D125" s="1" t="s">
        <v>687</v>
      </c>
      <c r="E125" s="1" t="s">
        <v>127</v>
      </c>
      <c r="F125" s="1">
        <v>0</v>
      </c>
      <c r="G125" s="1">
        <v>2030</v>
      </c>
      <c r="H125" s="1">
        <v>1</v>
      </c>
      <c r="I125" s="1">
        <v>0</v>
      </c>
      <c r="J125" s="1">
        <v>0</v>
      </c>
      <c r="K1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5" s="19">
        <v>305.89999999999998</v>
      </c>
      <c r="O125" s="19">
        <v>200.52</v>
      </c>
      <c r="P125" s="19">
        <v>432.88</v>
      </c>
      <c r="Q125" s="19">
        <v>0</v>
      </c>
      <c r="R125" s="19">
        <v>0</v>
      </c>
      <c r="S125" s="19">
        <v>0</v>
      </c>
      <c r="T125" s="19">
        <v>305.89999999999998</v>
      </c>
      <c r="U125" s="19">
        <v>200.52</v>
      </c>
      <c r="V125" s="19">
        <v>432.88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192.85</v>
      </c>
      <c r="AD125" s="19">
        <v>144.82</v>
      </c>
      <c r="AE125" s="19">
        <v>247.36</v>
      </c>
      <c r="AF125" s="19">
        <v>39.9</v>
      </c>
      <c r="AG125" s="19">
        <v>5.57</v>
      </c>
      <c r="AH125" s="19">
        <v>85.03</v>
      </c>
      <c r="AI125" s="19">
        <v>119.7</v>
      </c>
      <c r="AJ125" s="19">
        <v>55.7</v>
      </c>
      <c r="AK125" s="19">
        <v>200.98</v>
      </c>
      <c r="AL125" s="19">
        <v>39.9</v>
      </c>
      <c r="AM125" s="19">
        <v>5.57</v>
      </c>
      <c r="AN125" s="19">
        <v>85.03</v>
      </c>
      <c r="AO125" s="19">
        <v>119.7</v>
      </c>
      <c r="AP125" s="19">
        <v>55.7</v>
      </c>
      <c r="AQ125" s="19">
        <v>200.98</v>
      </c>
      <c r="AR125" s="19">
        <v>0</v>
      </c>
      <c r="AS125" s="19">
        <v>0</v>
      </c>
      <c r="AT125" s="19">
        <v>0</v>
      </c>
      <c r="AU125" s="19">
        <v>192.85</v>
      </c>
      <c r="AV125" s="19">
        <v>144.82</v>
      </c>
      <c r="AW125" s="19">
        <v>247.36</v>
      </c>
      <c r="AX125" s="19">
        <v>0</v>
      </c>
      <c r="AY125" s="19">
        <v>0</v>
      </c>
      <c r="AZ125" s="19">
        <v>0</v>
      </c>
      <c r="BA125" s="19">
        <v>192.85</v>
      </c>
      <c r="BB125" s="19">
        <v>144.82</v>
      </c>
      <c r="BC125" s="19">
        <v>247.36</v>
      </c>
      <c r="BD125" s="19">
        <v>0</v>
      </c>
      <c r="BE125" s="19">
        <v>0</v>
      </c>
      <c r="BF125" s="19">
        <v>0</v>
      </c>
      <c r="BG125" s="19">
        <v>192.85</v>
      </c>
      <c r="BH125" s="19">
        <v>144.82</v>
      </c>
      <c r="BI125" s="19">
        <v>247.36</v>
      </c>
      <c r="BJ125" s="19">
        <v>0</v>
      </c>
      <c r="BK125" s="19">
        <v>0</v>
      </c>
      <c r="BL125" s="19">
        <v>0</v>
      </c>
      <c r="BM125" s="19">
        <v>192.85</v>
      </c>
      <c r="BN125" s="19">
        <v>144.82</v>
      </c>
      <c r="BO125" s="19">
        <v>247.36</v>
      </c>
      <c r="BP125" s="19"/>
      <c r="BQ1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5" s="11">
        <f>Tabelle5897112140[[#This Row],[Mindestauslastung min]]*Tabelle5897112140[[#This Row],[installierte Leistung MW min]]</f>
        <v>27.85</v>
      </c>
      <c r="BU125" s="11">
        <f>Tabelle5897112140[[#This Row],[Mindestauslastung durch]]*Tabelle5897112140[[#This Row],[installierte Leistung MW durch]]</f>
        <v>33.25</v>
      </c>
      <c r="BV125" s="11">
        <f>Tabelle5897112140[[#This Row],[Mindestauslastung max]]*Tabelle5897112140[[#This Row],[installierte Leistung MW max]]</f>
        <v>38.650000000000006</v>
      </c>
      <c r="BW125" s="9">
        <v>0.05</v>
      </c>
      <c r="BX125" s="9">
        <v>0.05</v>
      </c>
      <c r="BY125" s="9">
        <v>0.05</v>
      </c>
      <c r="BZ125" s="9"/>
      <c r="CA125" s="9">
        <v>0.51</v>
      </c>
      <c r="CB125" s="9">
        <v>0.41</v>
      </c>
      <c r="CC125" s="9">
        <v>0.61</v>
      </c>
      <c r="CD125" s="9">
        <v>0.51</v>
      </c>
      <c r="CE125" s="9">
        <v>0.41</v>
      </c>
      <c r="CF125" s="9">
        <v>0.61</v>
      </c>
      <c r="CG125" s="9">
        <v>0</v>
      </c>
      <c r="CH125" s="9">
        <v>0</v>
      </c>
      <c r="CI125" s="9">
        <v>0</v>
      </c>
      <c r="CJ125" s="9">
        <v>0.11</v>
      </c>
      <c r="CK125" s="9">
        <v>0.06</v>
      </c>
      <c r="CL125" s="9">
        <v>0.16</v>
      </c>
      <c r="CM125" s="9">
        <v>0.11</v>
      </c>
      <c r="CN125" s="9">
        <v>0.06</v>
      </c>
      <c r="CO125" s="9">
        <v>0.16</v>
      </c>
      <c r="CP125" s="9">
        <v>0</v>
      </c>
      <c r="CQ125" s="9">
        <v>0</v>
      </c>
      <c r="CR125" s="9">
        <v>0</v>
      </c>
      <c r="CS125" s="9">
        <v>0</v>
      </c>
      <c r="CT125" s="9">
        <v>0</v>
      </c>
      <c r="CU125" s="9">
        <v>0</v>
      </c>
      <c r="CV125" s="9">
        <v>0</v>
      </c>
      <c r="CW125" s="9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f>MIN(Tabelle5897112140[[#This Row],[Durchschnittsauslastung durch Sommer WTT]:[Durchschnittsauslastung max Winter SFN]])</f>
        <v>0</v>
      </c>
      <c r="DC1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5" s="9">
        <f>MAX(Tabelle5897112140[[#This Row],[Durchschnittsauslastung durch Sommer WTT]:[Durchschnittsauslastung max Winter SFN]])</f>
        <v>0.61</v>
      </c>
      <c r="DE125" s="40">
        <f>Tabelle5897112140[[#This Row],[Durchschnittsauslastung min]]*Tabelle5897112140[[#This Row],[installierte Leistung MW min]]</f>
        <v>0</v>
      </c>
      <c r="DF125" s="40">
        <f>Tabelle5897112140[[#This Row],[Durchschnittsauslastung durch]]*Tabelle5897112140[[#This Row],[installierte Leistung MW durch]]</f>
        <v>91.622222222222234</v>
      </c>
      <c r="DG125" s="40">
        <f>Tabelle5897112140[[#This Row],[Durchschnittsauslastung max]]*Tabelle5897112140[[#This Row],[installierte Leistung MW max]]</f>
        <v>471.53</v>
      </c>
      <c r="DH125" s="46">
        <f>Tabelle5897112140[[#This Row],[Maximalauslastung min]]*Tabelle5897112140[[#This Row],[installierte Leistung MW min]]</f>
        <v>144.82</v>
      </c>
      <c r="DI125" s="46">
        <f>Tabelle5897112140[[#This Row],[Maximalauslastung durch]]*Tabelle5897112140[[#This Row],[installierte Leistung MW durch]]</f>
        <v>192.85</v>
      </c>
      <c r="DJ125" s="19">
        <f>Tabelle5897112140[[#This Row],[Maximalauslastung max]]*Tabelle5897112140[[#This Row],[installierte Leistung MW durch]]</f>
        <v>212.8</v>
      </c>
      <c r="DK125" s="9">
        <v>0.26</v>
      </c>
      <c r="DL125" s="9">
        <v>0.28999999999999998</v>
      </c>
      <c r="DM125" s="9">
        <v>0.32</v>
      </c>
      <c r="DN125" s="1">
        <v>665</v>
      </c>
      <c r="DO125" s="1">
        <v>557</v>
      </c>
      <c r="DP125" s="1">
        <v>773</v>
      </c>
      <c r="DQ125" s="19"/>
      <c r="DR125" s="19"/>
      <c r="DW125" s="1">
        <v>0.25</v>
      </c>
      <c r="DX125" s="1">
        <v>0.09</v>
      </c>
      <c r="DY125" s="1">
        <v>0.41</v>
      </c>
      <c r="EL125" s="1">
        <v>365</v>
      </c>
      <c r="EM125" s="1">
        <v>292</v>
      </c>
      <c r="EN125" s="1">
        <v>438</v>
      </c>
      <c r="EO125" s="11"/>
      <c r="EP125" s="11"/>
      <c r="EQ125" s="11"/>
      <c r="ER125" s="1">
        <v>365</v>
      </c>
      <c r="ES125" s="1">
        <v>292</v>
      </c>
      <c r="ET125" s="1">
        <v>438</v>
      </c>
      <c r="EV125" s="19"/>
      <c r="EW125" s="19"/>
      <c r="EX125" s="19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O125" s="1">
        <v>67</v>
      </c>
      <c r="FP125" s="1">
        <v>67</v>
      </c>
      <c r="FQ125" s="1">
        <v>67</v>
      </c>
      <c r="FR125" s="13" t="s">
        <v>806</v>
      </c>
      <c r="FS125" s="13" t="s">
        <v>806</v>
      </c>
      <c r="FT125" s="13" t="s">
        <v>806</v>
      </c>
      <c r="FU125" s="13"/>
      <c r="FV125" s="13" t="s">
        <v>806</v>
      </c>
      <c r="FW125" s="13" t="s">
        <v>806</v>
      </c>
      <c r="FX125" s="13" t="s">
        <v>806</v>
      </c>
      <c r="FY125" s="13" t="s">
        <v>806</v>
      </c>
      <c r="FZ125" s="13" t="s">
        <v>806</v>
      </c>
      <c r="GA125" s="13" t="s">
        <v>806</v>
      </c>
      <c r="GB125" s="13" t="s">
        <v>806</v>
      </c>
      <c r="GE125" s="13" t="s">
        <v>806</v>
      </c>
      <c r="GF125" s="13" t="s">
        <v>806</v>
      </c>
      <c r="GH125" s="13" t="s">
        <v>806</v>
      </c>
    </row>
    <row r="126" spans="1:190" ht="12.75" customHeight="1" x14ac:dyDescent="0.25">
      <c r="A126" s="1" t="s">
        <v>101</v>
      </c>
      <c r="B126" s="1" t="s">
        <v>650</v>
      </c>
      <c r="C126" s="1" t="s">
        <v>661</v>
      </c>
      <c r="D126" s="1" t="s">
        <v>687</v>
      </c>
      <c r="E126" s="1" t="s">
        <v>127</v>
      </c>
      <c r="F126" s="1">
        <v>0</v>
      </c>
      <c r="G126" s="1">
        <v>2035</v>
      </c>
      <c r="H126" s="1">
        <v>1</v>
      </c>
      <c r="I126" s="1">
        <v>0</v>
      </c>
      <c r="J126" s="1">
        <v>0</v>
      </c>
      <c r="K1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6" s="19">
        <v>305.89999999999998</v>
      </c>
      <c r="O126" s="19">
        <v>200.52</v>
      </c>
      <c r="P126" s="19">
        <v>432.88</v>
      </c>
      <c r="Q126" s="19">
        <v>0</v>
      </c>
      <c r="R126" s="19">
        <v>0</v>
      </c>
      <c r="S126" s="19">
        <v>0</v>
      </c>
      <c r="T126" s="19">
        <v>305.89999999999998</v>
      </c>
      <c r="U126" s="19">
        <v>200.52</v>
      </c>
      <c r="V126" s="19">
        <v>432.88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192.85</v>
      </c>
      <c r="AD126" s="19">
        <v>144.82</v>
      </c>
      <c r="AE126" s="19">
        <v>247.36</v>
      </c>
      <c r="AF126" s="19">
        <v>39.9</v>
      </c>
      <c r="AG126" s="19">
        <v>5.57</v>
      </c>
      <c r="AH126" s="19">
        <v>85.03</v>
      </c>
      <c r="AI126" s="19">
        <v>119.7</v>
      </c>
      <c r="AJ126" s="19">
        <v>55.7</v>
      </c>
      <c r="AK126" s="19">
        <v>200.98</v>
      </c>
      <c r="AL126" s="19">
        <v>39.9</v>
      </c>
      <c r="AM126" s="19">
        <v>5.57</v>
      </c>
      <c r="AN126" s="19">
        <v>85.03</v>
      </c>
      <c r="AO126" s="19">
        <v>119.7</v>
      </c>
      <c r="AP126" s="19">
        <v>55.7</v>
      </c>
      <c r="AQ126" s="19">
        <v>200.98</v>
      </c>
      <c r="AR126" s="19">
        <v>0</v>
      </c>
      <c r="AS126" s="19">
        <v>0</v>
      </c>
      <c r="AT126" s="19">
        <v>0</v>
      </c>
      <c r="AU126" s="19">
        <v>192.85</v>
      </c>
      <c r="AV126" s="19">
        <v>144.82</v>
      </c>
      <c r="AW126" s="19">
        <v>247.36</v>
      </c>
      <c r="AX126" s="19">
        <v>0</v>
      </c>
      <c r="AY126" s="19">
        <v>0</v>
      </c>
      <c r="AZ126" s="19">
        <v>0</v>
      </c>
      <c r="BA126" s="19">
        <v>192.85</v>
      </c>
      <c r="BB126" s="19">
        <v>144.82</v>
      </c>
      <c r="BC126" s="19">
        <v>247.36</v>
      </c>
      <c r="BD126" s="19">
        <v>0</v>
      </c>
      <c r="BE126" s="19">
        <v>0</v>
      </c>
      <c r="BF126" s="19">
        <v>0</v>
      </c>
      <c r="BG126" s="19">
        <v>192.85</v>
      </c>
      <c r="BH126" s="19">
        <v>144.82</v>
      </c>
      <c r="BI126" s="19">
        <v>247.36</v>
      </c>
      <c r="BJ126" s="19">
        <v>0</v>
      </c>
      <c r="BK126" s="19">
        <v>0</v>
      </c>
      <c r="BL126" s="19">
        <v>0</v>
      </c>
      <c r="BM126" s="19">
        <v>192.85</v>
      </c>
      <c r="BN126" s="19">
        <v>144.82</v>
      </c>
      <c r="BO126" s="19">
        <v>247.36</v>
      </c>
      <c r="BP126" s="19"/>
      <c r="BQ1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6" s="11">
        <f>Tabelle5897112140[[#This Row],[Mindestauslastung min]]*Tabelle5897112140[[#This Row],[installierte Leistung MW min]]</f>
        <v>27.85</v>
      </c>
      <c r="BU126" s="11">
        <f>Tabelle5897112140[[#This Row],[Mindestauslastung durch]]*Tabelle5897112140[[#This Row],[installierte Leistung MW durch]]</f>
        <v>33.25</v>
      </c>
      <c r="BV126" s="11">
        <f>Tabelle5897112140[[#This Row],[Mindestauslastung max]]*Tabelle5897112140[[#This Row],[installierte Leistung MW max]]</f>
        <v>38.650000000000006</v>
      </c>
      <c r="BW126" s="9">
        <v>0.05</v>
      </c>
      <c r="BX126" s="9">
        <v>0.05</v>
      </c>
      <c r="BY126" s="9">
        <v>0.05</v>
      </c>
      <c r="BZ126" s="9"/>
      <c r="CA126" s="9">
        <v>0.51</v>
      </c>
      <c r="CB126" s="9">
        <v>0.41</v>
      </c>
      <c r="CC126" s="9">
        <v>0.61</v>
      </c>
      <c r="CD126" s="9">
        <v>0.51</v>
      </c>
      <c r="CE126" s="9">
        <v>0.41</v>
      </c>
      <c r="CF126" s="9">
        <v>0.61</v>
      </c>
      <c r="CG126" s="9">
        <v>0</v>
      </c>
      <c r="CH126" s="9">
        <v>0</v>
      </c>
      <c r="CI126" s="9">
        <v>0</v>
      </c>
      <c r="CJ126" s="9">
        <v>0.11</v>
      </c>
      <c r="CK126" s="9">
        <v>0.06</v>
      </c>
      <c r="CL126" s="9">
        <v>0.16</v>
      </c>
      <c r="CM126" s="9">
        <v>0.11</v>
      </c>
      <c r="CN126" s="9">
        <v>0.06</v>
      </c>
      <c r="CO126" s="9">
        <v>0.16</v>
      </c>
      <c r="CP126" s="9">
        <v>0</v>
      </c>
      <c r="CQ126" s="9">
        <v>0</v>
      </c>
      <c r="CR126" s="9">
        <v>0</v>
      </c>
      <c r="CS126" s="9">
        <v>0</v>
      </c>
      <c r="CT126" s="9">
        <v>0</v>
      </c>
      <c r="CU126" s="9">
        <v>0</v>
      </c>
      <c r="CV126" s="9">
        <v>0</v>
      </c>
      <c r="CW126" s="9">
        <v>0</v>
      </c>
      <c r="CX126" s="9">
        <v>0</v>
      </c>
      <c r="CY126" s="9">
        <v>0</v>
      </c>
      <c r="CZ126" s="9">
        <v>0</v>
      </c>
      <c r="DA126" s="9">
        <v>0</v>
      </c>
      <c r="DB126" s="9">
        <f>MIN(Tabelle5897112140[[#This Row],[Durchschnittsauslastung durch Sommer WTT]:[Durchschnittsauslastung max Winter SFN]])</f>
        <v>0</v>
      </c>
      <c r="DC1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6" s="9">
        <f>MAX(Tabelle5897112140[[#This Row],[Durchschnittsauslastung durch Sommer WTT]:[Durchschnittsauslastung max Winter SFN]])</f>
        <v>0.61</v>
      </c>
      <c r="DE126" s="40">
        <f>Tabelle5897112140[[#This Row],[Durchschnittsauslastung min]]*Tabelle5897112140[[#This Row],[installierte Leistung MW min]]</f>
        <v>0</v>
      </c>
      <c r="DF126" s="40">
        <f>Tabelle5897112140[[#This Row],[Durchschnittsauslastung durch]]*Tabelle5897112140[[#This Row],[installierte Leistung MW durch]]</f>
        <v>91.622222222222234</v>
      </c>
      <c r="DG126" s="40">
        <f>Tabelle5897112140[[#This Row],[Durchschnittsauslastung max]]*Tabelle5897112140[[#This Row],[installierte Leistung MW max]]</f>
        <v>471.53</v>
      </c>
      <c r="DH126" s="46">
        <f>Tabelle5897112140[[#This Row],[Maximalauslastung min]]*Tabelle5897112140[[#This Row],[installierte Leistung MW min]]</f>
        <v>144.82</v>
      </c>
      <c r="DI126" s="46">
        <f>Tabelle5897112140[[#This Row],[Maximalauslastung durch]]*Tabelle5897112140[[#This Row],[installierte Leistung MW durch]]</f>
        <v>192.85</v>
      </c>
      <c r="DJ126" s="19">
        <f>Tabelle5897112140[[#This Row],[Maximalauslastung max]]*Tabelle5897112140[[#This Row],[installierte Leistung MW durch]]</f>
        <v>212.8</v>
      </c>
      <c r="DK126" s="9">
        <v>0.26</v>
      </c>
      <c r="DL126" s="9">
        <v>0.28999999999999998</v>
      </c>
      <c r="DM126" s="9">
        <v>0.32</v>
      </c>
      <c r="DN126" s="1">
        <v>665</v>
      </c>
      <c r="DO126" s="1">
        <v>557</v>
      </c>
      <c r="DP126" s="1">
        <v>773</v>
      </c>
      <c r="DQ126" s="19"/>
      <c r="DR126" s="19"/>
      <c r="DW126" s="1">
        <v>0.25</v>
      </c>
      <c r="DX126" s="1">
        <v>0.09</v>
      </c>
      <c r="DY126" s="1">
        <v>0.41</v>
      </c>
      <c r="EL126" s="1">
        <v>365</v>
      </c>
      <c r="EM126" s="1">
        <v>292</v>
      </c>
      <c r="EN126" s="1">
        <v>438</v>
      </c>
      <c r="EO126" s="11"/>
      <c r="EP126" s="11"/>
      <c r="EQ126" s="11"/>
      <c r="ER126" s="1">
        <v>365</v>
      </c>
      <c r="ES126" s="1">
        <v>292</v>
      </c>
      <c r="ET126" s="1">
        <v>438</v>
      </c>
      <c r="EV126" s="19"/>
      <c r="EW126" s="19"/>
      <c r="EX126" s="19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O126" s="1">
        <v>67</v>
      </c>
      <c r="FP126" s="1">
        <v>67</v>
      </c>
      <c r="FQ126" s="1">
        <v>67</v>
      </c>
      <c r="FR126" s="13" t="s">
        <v>806</v>
      </c>
      <c r="FS126" s="13" t="s">
        <v>806</v>
      </c>
      <c r="FT126" s="13" t="s">
        <v>806</v>
      </c>
      <c r="FU126" s="13"/>
      <c r="FV126" s="13" t="s">
        <v>806</v>
      </c>
      <c r="FW126" s="13" t="s">
        <v>806</v>
      </c>
      <c r="FX126" s="13" t="s">
        <v>806</v>
      </c>
      <c r="FY126" s="13" t="s">
        <v>806</v>
      </c>
      <c r="FZ126" s="13" t="s">
        <v>806</v>
      </c>
      <c r="GA126" s="13" t="s">
        <v>806</v>
      </c>
      <c r="GB126" s="13" t="s">
        <v>806</v>
      </c>
      <c r="GE126" s="13" t="s">
        <v>806</v>
      </c>
      <c r="GF126" s="13" t="s">
        <v>806</v>
      </c>
      <c r="GH126" s="13" t="s">
        <v>806</v>
      </c>
    </row>
    <row r="127" spans="1:190" ht="12.75" customHeight="1" x14ac:dyDescent="0.25">
      <c r="A127" s="1" t="s">
        <v>101</v>
      </c>
      <c r="B127" s="1" t="s">
        <v>650</v>
      </c>
      <c r="C127" s="1" t="s">
        <v>661</v>
      </c>
      <c r="D127" s="1" t="s">
        <v>687</v>
      </c>
      <c r="E127" s="1" t="s">
        <v>127</v>
      </c>
      <c r="F127" s="1">
        <v>0</v>
      </c>
      <c r="G127" s="1">
        <v>2040</v>
      </c>
      <c r="H127" s="1">
        <v>1</v>
      </c>
      <c r="I127" s="1">
        <v>0</v>
      </c>
      <c r="J127" s="1">
        <v>0</v>
      </c>
      <c r="K1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7" s="19">
        <v>305.89999999999998</v>
      </c>
      <c r="O127" s="19">
        <v>200.52</v>
      </c>
      <c r="P127" s="19">
        <v>432.88</v>
      </c>
      <c r="Q127" s="19">
        <v>0</v>
      </c>
      <c r="R127" s="19">
        <v>0</v>
      </c>
      <c r="S127" s="19">
        <v>0</v>
      </c>
      <c r="T127" s="19">
        <v>305.89999999999998</v>
      </c>
      <c r="U127" s="19">
        <v>200.52</v>
      </c>
      <c r="V127" s="19">
        <v>432.88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192.85</v>
      </c>
      <c r="AD127" s="19">
        <v>144.82</v>
      </c>
      <c r="AE127" s="19">
        <v>247.36</v>
      </c>
      <c r="AF127" s="19">
        <v>39.9</v>
      </c>
      <c r="AG127" s="19">
        <v>5.57</v>
      </c>
      <c r="AH127" s="19">
        <v>85.03</v>
      </c>
      <c r="AI127" s="19">
        <v>119.7</v>
      </c>
      <c r="AJ127" s="19">
        <v>55.7</v>
      </c>
      <c r="AK127" s="19">
        <v>200.98</v>
      </c>
      <c r="AL127" s="19">
        <v>39.9</v>
      </c>
      <c r="AM127" s="19">
        <v>5.57</v>
      </c>
      <c r="AN127" s="19">
        <v>85.03</v>
      </c>
      <c r="AO127" s="19">
        <v>119.7</v>
      </c>
      <c r="AP127" s="19">
        <v>55.7</v>
      </c>
      <c r="AQ127" s="19">
        <v>200.98</v>
      </c>
      <c r="AR127" s="19">
        <v>0</v>
      </c>
      <c r="AS127" s="19">
        <v>0</v>
      </c>
      <c r="AT127" s="19">
        <v>0</v>
      </c>
      <c r="AU127" s="19">
        <v>192.85</v>
      </c>
      <c r="AV127" s="19">
        <v>144.82</v>
      </c>
      <c r="AW127" s="19">
        <v>247.36</v>
      </c>
      <c r="AX127" s="19">
        <v>0</v>
      </c>
      <c r="AY127" s="19">
        <v>0</v>
      </c>
      <c r="AZ127" s="19">
        <v>0</v>
      </c>
      <c r="BA127" s="19">
        <v>192.85</v>
      </c>
      <c r="BB127" s="19">
        <v>144.82</v>
      </c>
      <c r="BC127" s="19">
        <v>247.36</v>
      </c>
      <c r="BD127" s="19">
        <v>0</v>
      </c>
      <c r="BE127" s="19">
        <v>0</v>
      </c>
      <c r="BF127" s="19">
        <v>0</v>
      </c>
      <c r="BG127" s="19">
        <v>192.85</v>
      </c>
      <c r="BH127" s="19">
        <v>144.82</v>
      </c>
      <c r="BI127" s="19">
        <v>247.36</v>
      </c>
      <c r="BJ127" s="19">
        <v>0</v>
      </c>
      <c r="BK127" s="19">
        <v>0</v>
      </c>
      <c r="BL127" s="19">
        <v>0</v>
      </c>
      <c r="BM127" s="19">
        <v>192.85</v>
      </c>
      <c r="BN127" s="19">
        <v>144.82</v>
      </c>
      <c r="BO127" s="19">
        <v>247.36</v>
      </c>
      <c r="BP127" s="19"/>
      <c r="BQ1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7" s="11">
        <f>Tabelle5897112140[[#This Row],[Mindestauslastung min]]*Tabelle5897112140[[#This Row],[installierte Leistung MW min]]</f>
        <v>27.85</v>
      </c>
      <c r="BU127" s="11">
        <f>Tabelle5897112140[[#This Row],[Mindestauslastung durch]]*Tabelle5897112140[[#This Row],[installierte Leistung MW durch]]</f>
        <v>33.25</v>
      </c>
      <c r="BV127" s="11">
        <f>Tabelle5897112140[[#This Row],[Mindestauslastung max]]*Tabelle5897112140[[#This Row],[installierte Leistung MW max]]</f>
        <v>38.650000000000006</v>
      </c>
      <c r="BW127" s="9">
        <v>0.05</v>
      </c>
      <c r="BX127" s="9">
        <v>0.05</v>
      </c>
      <c r="BY127" s="9">
        <v>0.05</v>
      </c>
      <c r="BZ127" s="9"/>
      <c r="CA127" s="9">
        <v>0.51</v>
      </c>
      <c r="CB127" s="9">
        <v>0.41</v>
      </c>
      <c r="CC127" s="9">
        <v>0.61</v>
      </c>
      <c r="CD127" s="9">
        <v>0.51</v>
      </c>
      <c r="CE127" s="9">
        <v>0.41</v>
      </c>
      <c r="CF127" s="9">
        <v>0.61</v>
      </c>
      <c r="CG127" s="9">
        <v>0</v>
      </c>
      <c r="CH127" s="9">
        <v>0</v>
      </c>
      <c r="CI127" s="9">
        <v>0</v>
      </c>
      <c r="CJ127" s="9">
        <v>0.11</v>
      </c>
      <c r="CK127" s="9">
        <v>0.06</v>
      </c>
      <c r="CL127" s="9">
        <v>0.16</v>
      </c>
      <c r="CM127" s="9">
        <v>0.11</v>
      </c>
      <c r="CN127" s="9">
        <v>0.06</v>
      </c>
      <c r="CO127" s="9">
        <v>0.16</v>
      </c>
      <c r="CP127" s="9">
        <v>0</v>
      </c>
      <c r="CQ127" s="9">
        <v>0</v>
      </c>
      <c r="CR127" s="9">
        <v>0</v>
      </c>
      <c r="CS127" s="9">
        <v>0</v>
      </c>
      <c r="CT127" s="9">
        <v>0</v>
      </c>
      <c r="CU127" s="9">
        <v>0</v>
      </c>
      <c r="CV127" s="9">
        <v>0</v>
      </c>
      <c r="CW127" s="9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f>MIN(Tabelle5897112140[[#This Row],[Durchschnittsauslastung durch Sommer WTT]:[Durchschnittsauslastung max Winter SFN]])</f>
        <v>0</v>
      </c>
      <c r="DC1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7" s="9">
        <f>MAX(Tabelle5897112140[[#This Row],[Durchschnittsauslastung durch Sommer WTT]:[Durchschnittsauslastung max Winter SFN]])</f>
        <v>0.61</v>
      </c>
      <c r="DE127" s="40">
        <f>Tabelle5897112140[[#This Row],[Durchschnittsauslastung min]]*Tabelle5897112140[[#This Row],[installierte Leistung MW min]]</f>
        <v>0</v>
      </c>
      <c r="DF127" s="40">
        <f>Tabelle5897112140[[#This Row],[Durchschnittsauslastung durch]]*Tabelle5897112140[[#This Row],[installierte Leistung MW durch]]</f>
        <v>91.622222222222234</v>
      </c>
      <c r="DG127" s="40">
        <f>Tabelle5897112140[[#This Row],[Durchschnittsauslastung max]]*Tabelle5897112140[[#This Row],[installierte Leistung MW max]]</f>
        <v>471.53</v>
      </c>
      <c r="DH127" s="46">
        <f>Tabelle5897112140[[#This Row],[Maximalauslastung min]]*Tabelle5897112140[[#This Row],[installierte Leistung MW min]]</f>
        <v>144.82</v>
      </c>
      <c r="DI127" s="46">
        <f>Tabelle5897112140[[#This Row],[Maximalauslastung durch]]*Tabelle5897112140[[#This Row],[installierte Leistung MW durch]]</f>
        <v>192.85</v>
      </c>
      <c r="DJ127" s="19">
        <f>Tabelle5897112140[[#This Row],[Maximalauslastung max]]*Tabelle5897112140[[#This Row],[installierte Leistung MW durch]]</f>
        <v>212.8</v>
      </c>
      <c r="DK127" s="9">
        <v>0.26</v>
      </c>
      <c r="DL127" s="9">
        <v>0.28999999999999998</v>
      </c>
      <c r="DM127" s="9">
        <v>0.32</v>
      </c>
      <c r="DN127" s="1">
        <v>665</v>
      </c>
      <c r="DO127" s="1">
        <v>557</v>
      </c>
      <c r="DP127" s="1">
        <v>773</v>
      </c>
      <c r="DQ127" s="19"/>
      <c r="DR127" s="19"/>
      <c r="DW127" s="1">
        <v>0.25</v>
      </c>
      <c r="DX127" s="1">
        <v>0.09</v>
      </c>
      <c r="DY127" s="1">
        <v>0.41</v>
      </c>
      <c r="EL127" s="1">
        <v>365</v>
      </c>
      <c r="EM127" s="1">
        <v>292</v>
      </c>
      <c r="EN127" s="1">
        <v>438</v>
      </c>
      <c r="EO127" s="11"/>
      <c r="EP127" s="11"/>
      <c r="EQ127" s="11"/>
      <c r="ER127" s="1">
        <v>365</v>
      </c>
      <c r="ES127" s="1">
        <v>292</v>
      </c>
      <c r="ET127" s="1">
        <v>438</v>
      </c>
      <c r="EV127" s="19"/>
      <c r="EW127" s="19"/>
      <c r="EX127" s="19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O127" s="1">
        <v>67</v>
      </c>
      <c r="FP127" s="1">
        <v>67</v>
      </c>
      <c r="FQ127" s="1">
        <v>67</v>
      </c>
      <c r="FR127" s="13" t="s">
        <v>806</v>
      </c>
      <c r="FS127" s="13" t="s">
        <v>806</v>
      </c>
      <c r="FT127" s="13" t="s">
        <v>806</v>
      </c>
      <c r="FU127" s="13"/>
      <c r="FV127" s="13" t="s">
        <v>806</v>
      </c>
      <c r="FW127" s="13" t="s">
        <v>806</v>
      </c>
      <c r="FX127" s="13" t="s">
        <v>806</v>
      </c>
      <c r="FY127" s="13" t="s">
        <v>806</v>
      </c>
      <c r="FZ127" s="13" t="s">
        <v>806</v>
      </c>
      <c r="GA127" s="13" t="s">
        <v>806</v>
      </c>
      <c r="GB127" s="13" t="s">
        <v>806</v>
      </c>
      <c r="GE127" s="13" t="s">
        <v>806</v>
      </c>
      <c r="GF127" s="13" t="s">
        <v>806</v>
      </c>
      <c r="GH127" s="13" t="s">
        <v>806</v>
      </c>
    </row>
    <row r="128" spans="1:190" ht="12.75" customHeight="1" x14ac:dyDescent="0.25">
      <c r="A128" s="1" t="s">
        <v>101</v>
      </c>
      <c r="B128" s="1" t="s">
        <v>650</v>
      </c>
      <c r="C128" s="1" t="s">
        <v>661</v>
      </c>
      <c r="D128" s="1" t="s">
        <v>687</v>
      </c>
      <c r="E128" s="1" t="s">
        <v>127</v>
      </c>
      <c r="F128" s="1">
        <v>0</v>
      </c>
      <c r="G128" s="1">
        <v>2045</v>
      </c>
      <c r="H128" s="1">
        <v>1</v>
      </c>
      <c r="I128" s="1">
        <v>0</v>
      </c>
      <c r="J128" s="1">
        <v>0</v>
      </c>
      <c r="K1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77.612888888888889</v>
      </c>
      <c r="M1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437.2088</v>
      </c>
      <c r="N128" s="19">
        <v>308.959</v>
      </c>
      <c r="O128" s="19">
        <v>202.52520000000001</v>
      </c>
      <c r="P128" s="19">
        <v>437.2088</v>
      </c>
      <c r="Q128" s="19">
        <v>0</v>
      </c>
      <c r="R128" s="19">
        <v>0</v>
      </c>
      <c r="S128" s="19">
        <v>0</v>
      </c>
      <c r="T128" s="19">
        <v>308.959</v>
      </c>
      <c r="U128" s="19">
        <v>202.52520000000001</v>
      </c>
      <c r="V128" s="19">
        <v>437.2088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194.77850000000001</v>
      </c>
      <c r="AD128" s="19">
        <v>146.26820000000001</v>
      </c>
      <c r="AE128" s="19">
        <v>249.83360000000002</v>
      </c>
      <c r="AF128" s="19">
        <v>40.298999999999999</v>
      </c>
      <c r="AG128" s="19">
        <v>5.6257000000000001</v>
      </c>
      <c r="AH128" s="19">
        <v>85.880300000000005</v>
      </c>
      <c r="AI128" s="19">
        <v>120.89700000000001</v>
      </c>
      <c r="AJ128" s="19">
        <v>56.257000000000005</v>
      </c>
      <c r="AK128" s="19">
        <v>202.9898</v>
      </c>
      <c r="AL128" s="19">
        <v>40.298999999999999</v>
      </c>
      <c r="AM128" s="19">
        <v>5.6257000000000001</v>
      </c>
      <c r="AN128" s="19">
        <v>85.880300000000005</v>
      </c>
      <c r="AO128" s="19">
        <v>120.89700000000001</v>
      </c>
      <c r="AP128" s="19">
        <v>56.257000000000005</v>
      </c>
      <c r="AQ128" s="19">
        <v>202.9898</v>
      </c>
      <c r="AR128" s="19">
        <v>0</v>
      </c>
      <c r="AS128" s="19">
        <v>0</v>
      </c>
      <c r="AT128" s="19">
        <v>0</v>
      </c>
      <c r="AU128" s="19">
        <v>194.77850000000001</v>
      </c>
      <c r="AV128" s="19">
        <v>146.26820000000001</v>
      </c>
      <c r="AW128" s="19">
        <v>249.83360000000002</v>
      </c>
      <c r="AX128" s="19">
        <v>0</v>
      </c>
      <c r="AY128" s="19">
        <v>0</v>
      </c>
      <c r="AZ128" s="19">
        <v>0</v>
      </c>
      <c r="BA128" s="19">
        <v>194.77850000000001</v>
      </c>
      <c r="BB128" s="19">
        <v>146.26820000000001</v>
      </c>
      <c r="BC128" s="19">
        <v>249.83360000000002</v>
      </c>
      <c r="BD128" s="19">
        <v>0</v>
      </c>
      <c r="BE128" s="19">
        <v>0</v>
      </c>
      <c r="BF128" s="19">
        <v>0</v>
      </c>
      <c r="BG128" s="19">
        <v>194.77850000000001</v>
      </c>
      <c r="BH128" s="19">
        <v>146.26820000000001</v>
      </c>
      <c r="BI128" s="19">
        <v>249.83360000000002</v>
      </c>
      <c r="BJ128" s="19">
        <v>0</v>
      </c>
      <c r="BK128" s="19">
        <v>0</v>
      </c>
      <c r="BL128" s="19">
        <v>0</v>
      </c>
      <c r="BM128" s="19">
        <v>194.77850000000001</v>
      </c>
      <c r="BN128" s="19">
        <v>146.26820000000001</v>
      </c>
      <c r="BO128" s="19">
        <v>249.83360000000002</v>
      </c>
      <c r="BP128" s="19"/>
      <c r="BQ1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135.07627777777779</v>
      </c>
      <c r="BS1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249.83360000000002</v>
      </c>
      <c r="BT128" s="11">
        <f>Tabelle5897112140[[#This Row],[Mindestauslastung min]]*Tabelle5897112140[[#This Row],[installierte Leistung MW min]]</f>
        <v>28.128500000000003</v>
      </c>
      <c r="BU128" s="11">
        <f>Tabelle5897112140[[#This Row],[Mindestauslastung durch]]*Tabelle5897112140[[#This Row],[installierte Leistung MW durch]]</f>
        <v>33.582500000000003</v>
      </c>
      <c r="BV128" s="11">
        <f>Tabelle5897112140[[#This Row],[Mindestauslastung max]]*Tabelle5897112140[[#This Row],[installierte Leistung MW max]]</f>
        <v>39.036500000000004</v>
      </c>
      <c r="BW128" s="9">
        <v>0.05</v>
      </c>
      <c r="BX128" s="9">
        <v>0.05</v>
      </c>
      <c r="BY128" s="9">
        <v>0.05</v>
      </c>
      <c r="BZ128" s="9"/>
      <c r="CA128" s="9">
        <v>0.51</v>
      </c>
      <c r="CB128" s="9">
        <v>0.41</v>
      </c>
      <c r="CC128" s="9">
        <v>0.61</v>
      </c>
      <c r="CD128" s="9">
        <v>0.51</v>
      </c>
      <c r="CE128" s="9">
        <v>0.41</v>
      </c>
      <c r="CF128" s="9">
        <v>0.61</v>
      </c>
      <c r="CG128" s="9">
        <v>0</v>
      </c>
      <c r="CH128" s="9">
        <v>0</v>
      </c>
      <c r="CI128" s="9">
        <v>0</v>
      </c>
      <c r="CJ128" s="9">
        <v>0.11</v>
      </c>
      <c r="CK128" s="9">
        <v>0.06</v>
      </c>
      <c r="CL128" s="9">
        <v>0.16</v>
      </c>
      <c r="CM128" s="9">
        <v>0.11</v>
      </c>
      <c r="CN128" s="9">
        <v>0.06</v>
      </c>
      <c r="CO128" s="9">
        <v>0.16</v>
      </c>
      <c r="CP128" s="9">
        <v>0</v>
      </c>
      <c r="CQ128" s="9">
        <v>0</v>
      </c>
      <c r="CR128" s="9">
        <v>0</v>
      </c>
      <c r="CS128" s="9">
        <v>0</v>
      </c>
      <c r="CT128" s="9">
        <v>0</v>
      </c>
      <c r="CU128" s="9">
        <v>0</v>
      </c>
      <c r="CV128" s="9">
        <v>0</v>
      </c>
      <c r="CW128" s="9">
        <v>0</v>
      </c>
      <c r="CX128" s="9">
        <v>0</v>
      </c>
      <c r="CY128" s="9">
        <v>0</v>
      </c>
      <c r="CZ128" s="9">
        <v>0</v>
      </c>
      <c r="DA128" s="9">
        <v>0</v>
      </c>
      <c r="DB128" s="9">
        <f>MIN(Tabelle5897112140[[#This Row],[Durchschnittsauslastung durch Sommer WTT]:[Durchschnittsauslastung max Winter SFN]])</f>
        <v>0</v>
      </c>
      <c r="DC1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8" s="9">
        <f>MAX(Tabelle5897112140[[#This Row],[Durchschnittsauslastung durch Sommer WTT]:[Durchschnittsauslastung max Winter SFN]])</f>
        <v>0.61</v>
      </c>
      <c r="DE128" s="40">
        <f>Tabelle5897112140[[#This Row],[Durchschnittsauslastung min]]*Tabelle5897112140[[#This Row],[installierte Leistung MW min]]</f>
        <v>0</v>
      </c>
      <c r="DF128" s="40">
        <f>Tabelle5897112140[[#This Row],[Durchschnittsauslastung durch]]*Tabelle5897112140[[#This Row],[installierte Leistung MW durch]]</f>
        <v>92.538444444444465</v>
      </c>
      <c r="DG128" s="40">
        <f>Tabelle5897112140[[#This Row],[Durchschnittsauslastung max]]*Tabelle5897112140[[#This Row],[installierte Leistung MW max]]</f>
        <v>476.24529999999999</v>
      </c>
      <c r="DH128" s="46">
        <f>Tabelle5897112140[[#This Row],[Maximalauslastung min]]*Tabelle5897112140[[#This Row],[installierte Leistung MW min]]</f>
        <v>146.26820000000001</v>
      </c>
      <c r="DI128" s="46">
        <f>Tabelle5897112140[[#This Row],[Maximalauslastung durch]]*Tabelle5897112140[[#This Row],[installierte Leistung MW durch]]</f>
        <v>194.77849999999998</v>
      </c>
      <c r="DJ128" s="19">
        <f>Tabelle5897112140[[#This Row],[Maximalauslastung max]]*Tabelle5897112140[[#This Row],[installierte Leistung MW durch]]</f>
        <v>214.928</v>
      </c>
      <c r="DK128" s="9">
        <v>0.26</v>
      </c>
      <c r="DL128" s="9">
        <v>0.28999999999999998</v>
      </c>
      <c r="DM128" s="9">
        <v>0.32</v>
      </c>
      <c r="DN128" s="1">
        <v>671.65</v>
      </c>
      <c r="DO128" s="1">
        <v>562.57000000000005</v>
      </c>
      <c r="DP128" s="1">
        <v>780.73</v>
      </c>
      <c r="DQ128" s="19"/>
      <c r="DR128" s="19"/>
      <c r="DW128" s="1">
        <v>0.25</v>
      </c>
      <c r="DX128" s="1">
        <v>0.09</v>
      </c>
      <c r="DY128" s="1">
        <v>0.41</v>
      </c>
      <c r="EL128" s="1">
        <v>365</v>
      </c>
      <c r="EM128" s="1">
        <v>292</v>
      </c>
      <c r="EN128" s="1">
        <v>438</v>
      </c>
      <c r="EO128" s="11"/>
      <c r="EP128" s="11"/>
      <c r="EQ128" s="11"/>
      <c r="ER128" s="1">
        <v>365</v>
      </c>
      <c r="ES128" s="1">
        <v>292</v>
      </c>
      <c r="ET128" s="1">
        <v>438</v>
      </c>
      <c r="EV128" s="19"/>
      <c r="EW128" s="19"/>
      <c r="EX128" s="19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O128" s="1">
        <v>67</v>
      </c>
      <c r="FP128" s="1">
        <v>67</v>
      </c>
      <c r="FQ128" s="1">
        <v>67</v>
      </c>
      <c r="FR128" s="13" t="s">
        <v>806</v>
      </c>
      <c r="FS128" s="13" t="s">
        <v>806</v>
      </c>
      <c r="FT128" s="13" t="s">
        <v>806</v>
      </c>
      <c r="FU128" s="13"/>
      <c r="FV128" s="13" t="s">
        <v>806</v>
      </c>
      <c r="FW128" s="13" t="s">
        <v>806</v>
      </c>
      <c r="FX128" s="13" t="s">
        <v>806</v>
      </c>
      <c r="FY128" s="13" t="s">
        <v>806</v>
      </c>
      <c r="FZ128" s="13" t="s">
        <v>806</v>
      </c>
      <c r="GA128" s="13" t="s">
        <v>806</v>
      </c>
      <c r="GB128" s="13" t="s">
        <v>806</v>
      </c>
      <c r="GE128" s="13" t="s">
        <v>806</v>
      </c>
      <c r="GF128" s="13" t="s">
        <v>806</v>
      </c>
      <c r="GH128" s="13" t="s">
        <v>806</v>
      </c>
    </row>
    <row r="129" spans="1:190" ht="12.75" customHeight="1" x14ac:dyDescent="0.25">
      <c r="A129" s="1" t="s">
        <v>101</v>
      </c>
      <c r="B129" s="1" t="s">
        <v>650</v>
      </c>
      <c r="C129" s="1" t="s">
        <v>661</v>
      </c>
      <c r="D129" s="1" t="s">
        <v>687</v>
      </c>
      <c r="E129" s="1" t="s">
        <v>127</v>
      </c>
      <c r="F129" s="1">
        <v>0</v>
      </c>
      <c r="G129" s="1">
        <v>2050</v>
      </c>
      <c r="H129" s="1">
        <v>1</v>
      </c>
      <c r="I129" s="1">
        <v>0</v>
      </c>
      <c r="J129" s="1">
        <v>0</v>
      </c>
      <c r="K1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77.612888888888889</v>
      </c>
      <c r="M1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437.2088</v>
      </c>
      <c r="N129" s="19">
        <v>308.959</v>
      </c>
      <c r="O129" s="19">
        <v>202.52520000000001</v>
      </c>
      <c r="P129" s="19">
        <v>437.2088</v>
      </c>
      <c r="Q129" s="19">
        <v>0</v>
      </c>
      <c r="R129" s="19">
        <v>0</v>
      </c>
      <c r="S129" s="19">
        <v>0</v>
      </c>
      <c r="T129" s="19">
        <v>308.959</v>
      </c>
      <c r="U129" s="19">
        <v>202.52520000000001</v>
      </c>
      <c r="V129" s="19">
        <v>437.2088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194.77850000000001</v>
      </c>
      <c r="AD129" s="19">
        <v>146.26820000000001</v>
      </c>
      <c r="AE129" s="19">
        <v>249.83360000000002</v>
      </c>
      <c r="AF129" s="19">
        <v>40.298999999999999</v>
      </c>
      <c r="AG129" s="19">
        <v>5.6257000000000001</v>
      </c>
      <c r="AH129" s="19">
        <v>85.880300000000005</v>
      </c>
      <c r="AI129" s="19">
        <v>120.89700000000001</v>
      </c>
      <c r="AJ129" s="19">
        <v>56.257000000000005</v>
      </c>
      <c r="AK129" s="19">
        <v>202.9898</v>
      </c>
      <c r="AL129" s="19">
        <v>40.298999999999999</v>
      </c>
      <c r="AM129" s="19">
        <v>5.6257000000000001</v>
      </c>
      <c r="AN129" s="19">
        <v>85.880300000000005</v>
      </c>
      <c r="AO129" s="19">
        <v>120.89700000000001</v>
      </c>
      <c r="AP129" s="19">
        <v>56.257000000000005</v>
      </c>
      <c r="AQ129" s="19">
        <v>202.9898</v>
      </c>
      <c r="AR129" s="19">
        <v>0</v>
      </c>
      <c r="AS129" s="19">
        <v>0</v>
      </c>
      <c r="AT129" s="19">
        <v>0</v>
      </c>
      <c r="AU129" s="19">
        <v>194.77850000000001</v>
      </c>
      <c r="AV129" s="19">
        <v>146.26820000000001</v>
      </c>
      <c r="AW129" s="19">
        <v>249.83360000000002</v>
      </c>
      <c r="AX129" s="19">
        <v>0</v>
      </c>
      <c r="AY129" s="19">
        <v>0</v>
      </c>
      <c r="AZ129" s="19">
        <v>0</v>
      </c>
      <c r="BA129" s="19">
        <v>194.77850000000001</v>
      </c>
      <c r="BB129" s="19">
        <v>146.26820000000001</v>
      </c>
      <c r="BC129" s="19">
        <v>249.83360000000002</v>
      </c>
      <c r="BD129" s="19">
        <v>0</v>
      </c>
      <c r="BE129" s="19">
        <v>0</v>
      </c>
      <c r="BF129" s="19">
        <v>0</v>
      </c>
      <c r="BG129" s="19">
        <v>194.77850000000001</v>
      </c>
      <c r="BH129" s="19">
        <v>146.26820000000001</v>
      </c>
      <c r="BI129" s="19">
        <v>249.83360000000002</v>
      </c>
      <c r="BJ129" s="19">
        <v>0</v>
      </c>
      <c r="BK129" s="19">
        <v>0</v>
      </c>
      <c r="BL129" s="19">
        <v>0</v>
      </c>
      <c r="BM129" s="19">
        <v>194.77850000000001</v>
      </c>
      <c r="BN129" s="19">
        <v>146.26820000000001</v>
      </c>
      <c r="BO129" s="19">
        <v>249.83360000000002</v>
      </c>
      <c r="BP129" s="19"/>
      <c r="BQ1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135.07627777777779</v>
      </c>
      <c r="BS1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249.83360000000002</v>
      </c>
      <c r="BT129" s="11">
        <f>Tabelle5897112140[[#This Row],[Mindestauslastung min]]*Tabelle5897112140[[#This Row],[installierte Leistung MW min]]</f>
        <v>28.128500000000003</v>
      </c>
      <c r="BU129" s="11">
        <f>Tabelle5897112140[[#This Row],[Mindestauslastung durch]]*Tabelle5897112140[[#This Row],[installierte Leistung MW durch]]</f>
        <v>33.582500000000003</v>
      </c>
      <c r="BV129" s="11">
        <f>Tabelle5897112140[[#This Row],[Mindestauslastung max]]*Tabelle5897112140[[#This Row],[installierte Leistung MW max]]</f>
        <v>39.036500000000004</v>
      </c>
      <c r="BW129" s="9">
        <v>0.05</v>
      </c>
      <c r="BX129" s="9">
        <v>0.05</v>
      </c>
      <c r="BY129" s="9">
        <v>0.05</v>
      </c>
      <c r="BZ129" s="9"/>
      <c r="CA129" s="9">
        <v>0.51</v>
      </c>
      <c r="CB129" s="9">
        <v>0.41</v>
      </c>
      <c r="CC129" s="9">
        <v>0.61</v>
      </c>
      <c r="CD129" s="9">
        <v>0.51</v>
      </c>
      <c r="CE129" s="9">
        <v>0.41</v>
      </c>
      <c r="CF129" s="9">
        <v>0.61</v>
      </c>
      <c r="CG129" s="9">
        <v>0</v>
      </c>
      <c r="CH129" s="9">
        <v>0</v>
      </c>
      <c r="CI129" s="9">
        <v>0</v>
      </c>
      <c r="CJ129" s="9">
        <v>0.11</v>
      </c>
      <c r="CK129" s="9">
        <v>0.06</v>
      </c>
      <c r="CL129" s="9">
        <v>0.16</v>
      </c>
      <c r="CM129" s="9">
        <v>0.11</v>
      </c>
      <c r="CN129" s="9">
        <v>0.06</v>
      </c>
      <c r="CO129" s="9">
        <v>0.16</v>
      </c>
      <c r="CP129" s="9">
        <v>0</v>
      </c>
      <c r="CQ129" s="9">
        <v>0</v>
      </c>
      <c r="CR129" s="9">
        <v>0</v>
      </c>
      <c r="CS129" s="9">
        <v>0</v>
      </c>
      <c r="CT129" s="9">
        <v>0</v>
      </c>
      <c r="CU129" s="9">
        <v>0</v>
      </c>
      <c r="CV129" s="9">
        <v>0</v>
      </c>
      <c r="CW129" s="9">
        <v>0</v>
      </c>
      <c r="CX129" s="9">
        <v>0</v>
      </c>
      <c r="CY129" s="9">
        <v>0</v>
      </c>
      <c r="CZ129" s="9">
        <v>0</v>
      </c>
      <c r="DA129" s="9">
        <v>0</v>
      </c>
      <c r="DB129" s="9">
        <f>MIN(Tabelle5897112140[[#This Row],[Durchschnittsauslastung durch Sommer WTT]:[Durchschnittsauslastung max Winter SFN]])</f>
        <v>0</v>
      </c>
      <c r="DC1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9" s="9">
        <f>MAX(Tabelle5897112140[[#This Row],[Durchschnittsauslastung durch Sommer WTT]:[Durchschnittsauslastung max Winter SFN]])</f>
        <v>0.61</v>
      </c>
      <c r="DE129" s="40">
        <f>Tabelle5897112140[[#This Row],[Durchschnittsauslastung min]]*Tabelle5897112140[[#This Row],[installierte Leistung MW min]]</f>
        <v>0</v>
      </c>
      <c r="DF129" s="40">
        <f>Tabelle5897112140[[#This Row],[Durchschnittsauslastung durch]]*Tabelle5897112140[[#This Row],[installierte Leistung MW durch]]</f>
        <v>92.538444444444465</v>
      </c>
      <c r="DG129" s="40">
        <f>Tabelle5897112140[[#This Row],[Durchschnittsauslastung max]]*Tabelle5897112140[[#This Row],[installierte Leistung MW max]]</f>
        <v>476.24529999999999</v>
      </c>
      <c r="DH129" s="46">
        <f>Tabelle5897112140[[#This Row],[Maximalauslastung min]]*Tabelle5897112140[[#This Row],[installierte Leistung MW min]]</f>
        <v>146.26820000000001</v>
      </c>
      <c r="DI129" s="46">
        <f>Tabelle5897112140[[#This Row],[Maximalauslastung durch]]*Tabelle5897112140[[#This Row],[installierte Leistung MW durch]]</f>
        <v>194.77849999999998</v>
      </c>
      <c r="DJ129" s="19">
        <f>Tabelle5897112140[[#This Row],[Maximalauslastung max]]*Tabelle5897112140[[#This Row],[installierte Leistung MW durch]]</f>
        <v>214.928</v>
      </c>
      <c r="DK129" s="9">
        <v>0.26</v>
      </c>
      <c r="DL129" s="9">
        <v>0.28999999999999998</v>
      </c>
      <c r="DM129" s="9">
        <v>0.32</v>
      </c>
      <c r="DN129" s="1">
        <v>671.65</v>
      </c>
      <c r="DO129" s="1">
        <v>562.57000000000005</v>
      </c>
      <c r="DP129" s="1">
        <v>780.73</v>
      </c>
      <c r="DQ129" s="19"/>
      <c r="DR129" s="19"/>
      <c r="DW129" s="1">
        <v>0.25</v>
      </c>
      <c r="DX129" s="1">
        <v>0.09</v>
      </c>
      <c r="DY129" s="1">
        <v>0.41</v>
      </c>
      <c r="EL129" s="1">
        <v>365</v>
      </c>
      <c r="EM129" s="1">
        <v>292</v>
      </c>
      <c r="EN129" s="1">
        <v>438</v>
      </c>
      <c r="EO129" s="11"/>
      <c r="EP129" s="11"/>
      <c r="EQ129" s="11"/>
      <c r="ER129" s="1">
        <v>365</v>
      </c>
      <c r="ES129" s="1">
        <v>292</v>
      </c>
      <c r="ET129" s="1">
        <v>438</v>
      </c>
      <c r="EV129" s="19"/>
      <c r="EW129" s="19"/>
      <c r="EX129" s="19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O129" s="1">
        <v>67</v>
      </c>
      <c r="FP129" s="1">
        <v>67</v>
      </c>
      <c r="FQ129" s="1">
        <v>67</v>
      </c>
      <c r="FR129" s="13" t="s">
        <v>806</v>
      </c>
      <c r="FS129" s="13" t="s">
        <v>806</v>
      </c>
      <c r="FT129" s="13" t="s">
        <v>806</v>
      </c>
      <c r="FU129" s="13"/>
      <c r="FV129" s="13" t="s">
        <v>806</v>
      </c>
      <c r="FW129" s="13" t="s">
        <v>806</v>
      </c>
      <c r="FX129" s="13" t="s">
        <v>806</v>
      </c>
      <c r="FY129" s="13" t="s">
        <v>806</v>
      </c>
      <c r="FZ129" s="13" t="s">
        <v>806</v>
      </c>
      <c r="GA129" s="13" t="s">
        <v>806</v>
      </c>
      <c r="GB129" s="13" t="s">
        <v>806</v>
      </c>
      <c r="GE129" s="13" t="s">
        <v>806</v>
      </c>
      <c r="GF129" s="13" t="s">
        <v>806</v>
      </c>
      <c r="GH129" s="13" t="s">
        <v>806</v>
      </c>
    </row>
    <row r="130" spans="1:190" ht="12.75" customHeight="1" x14ac:dyDescent="0.25">
      <c r="A130" s="1" t="s">
        <v>403</v>
      </c>
      <c r="B130" s="1" t="s">
        <v>747</v>
      </c>
      <c r="C130" s="1" t="s">
        <v>661</v>
      </c>
      <c r="D130" s="1" t="s">
        <v>688</v>
      </c>
      <c r="E130" s="1" t="s">
        <v>127</v>
      </c>
      <c r="F130" s="1">
        <v>0</v>
      </c>
      <c r="G130" s="1">
        <v>2015</v>
      </c>
      <c r="H130" s="1">
        <v>1</v>
      </c>
      <c r="I130" s="1">
        <v>0</v>
      </c>
      <c r="J130" s="1">
        <v>0</v>
      </c>
      <c r="K1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0" s="19">
        <v>854.37</v>
      </c>
      <c r="O130" s="19">
        <v>621.72</v>
      </c>
      <c r="P130" s="19">
        <v>1087.02</v>
      </c>
      <c r="Q130" s="19">
        <v>8.6300000000000008</v>
      </c>
      <c r="R130" s="19">
        <v>6.28</v>
      </c>
      <c r="S130" s="19">
        <v>10.98</v>
      </c>
      <c r="T130" s="19">
        <v>854.37</v>
      </c>
      <c r="U130" s="19">
        <v>621.72</v>
      </c>
      <c r="V130" s="19">
        <v>1087.02</v>
      </c>
      <c r="W130" s="19">
        <v>8.6300000000000008</v>
      </c>
      <c r="X130" s="19">
        <v>6.28</v>
      </c>
      <c r="Y130" s="19">
        <v>10.98</v>
      </c>
      <c r="Z130" s="19">
        <v>552.32000000000005</v>
      </c>
      <c r="AA130" s="19">
        <v>401.92</v>
      </c>
      <c r="AB130" s="19">
        <v>702.72</v>
      </c>
      <c r="AC130" s="19">
        <v>310.68</v>
      </c>
      <c r="AD130" s="19">
        <v>226.08</v>
      </c>
      <c r="AE130" s="19">
        <v>395.28</v>
      </c>
      <c r="AF130" s="19">
        <v>707.66</v>
      </c>
      <c r="AG130" s="19">
        <v>514.96</v>
      </c>
      <c r="AH130" s="19">
        <v>900.36</v>
      </c>
      <c r="AI130" s="19">
        <v>155.34</v>
      </c>
      <c r="AJ130" s="19">
        <v>113.04</v>
      </c>
      <c r="AK130" s="19">
        <v>197.64</v>
      </c>
      <c r="AL130" s="19">
        <v>707.66</v>
      </c>
      <c r="AM130" s="19">
        <v>514.96</v>
      </c>
      <c r="AN130" s="19">
        <v>900.36</v>
      </c>
      <c r="AO130" s="19">
        <v>155.34</v>
      </c>
      <c r="AP130" s="19">
        <v>113.04</v>
      </c>
      <c r="AQ130" s="19">
        <v>197.64</v>
      </c>
      <c r="AR130" s="19">
        <v>457.39</v>
      </c>
      <c r="AS130" s="19">
        <v>332.84</v>
      </c>
      <c r="AT130" s="19">
        <v>581.94000000000005</v>
      </c>
      <c r="AU130" s="19">
        <v>405.61</v>
      </c>
      <c r="AV130" s="19">
        <v>295.16000000000003</v>
      </c>
      <c r="AW130" s="19">
        <v>516.05999999999995</v>
      </c>
      <c r="AX130" s="19">
        <v>854.37</v>
      </c>
      <c r="AY130" s="19">
        <v>621.72</v>
      </c>
      <c r="AZ130" s="19">
        <v>1087.02</v>
      </c>
      <c r="BA130" s="19">
        <v>8.6300000000000008</v>
      </c>
      <c r="BB130" s="19">
        <v>6.28</v>
      </c>
      <c r="BC130" s="19">
        <v>10.98</v>
      </c>
      <c r="BD130" s="19">
        <v>569.58000000000004</v>
      </c>
      <c r="BE130" s="19">
        <v>414.48</v>
      </c>
      <c r="BF130" s="19">
        <v>724.68</v>
      </c>
      <c r="BG130" s="19">
        <v>293.42</v>
      </c>
      <c r="BH130" s="19">
        <v>213.52</v>
      </c>
      <c r="BI130" s="19">
        <v>373.32</v>
      </c>
      <c r="BJ130" s="19">
        <v>371.09</v>
      </c>
      <c r="BK130" s="19">
        <v>270.04000000000002</v>
      </c>
      <c r="BL130" s="19">
        <v>472.14</v>
      </c>
      <c r="BM130" s="19">
        <v>491.91</v>
      </c>
      <c r="BN130" s="19">
        <v>357.96</v>
      </c>
      <c r="BO130" s="19">
        <v>625.86</v>
      </c>
      <c r="BP130" s="19"/>
      <c r="BQ1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0" s="11">
        <f>Tabelle5897112140[[#This Row],[Mindestauslastung min]]*Tabelle5897112140[[#This Row],[installierte Leistung MW min]]</f>
        <v>31.400000000000002</v>
      </c>
      <c r="BU130" s="11">
        <f>Tabelle5897112140[[#This Row],[Mindestauslastung durch]]*Tabelle5897112140[[#This Row],[installierte Leistung MW durch]]</f>
        <v>43.150000000000006</v>
      </c>
      <c r="BV130" s="11">
        <f>Tabelle5897112140[[#This Row],[Mindestauslastung max]]*Tabelle5897112140[[#This Row],[installierte Leistung MW max]]</f>
        <v>54.900000000000006</v>
      </c>
      <c r="BW130" s="9">
        <v>0.05</v>
      </c>
      <c r="BX130" s="9">
        <v>0.05</v>
      </c>
      <c r="BY130" s="9">
        <v>0.05</v>
      </c>
      <c r="BZ130" s="9"/>
      <c r="CA130" s="9">
        <v>0.99</v>
      </c>
      <c r="CB130" s="9">
        <v>0.99</v>
      </c>
      <c r="CC130" s="9">
        <v>0.99</v>
      </c>
      <c r="CD130" s="9">
        <v>0.99</v>
      </c>
      <c r="CE130" s="9">
        <v>0.99</v>
      </c>
      <c r="CF130" s="9">
        <v>0.99</v>
      </c>
      <c r="CG130" s="9">
        <v>0.64</v>
      </c>
      <c r="CH130" s="9">
        <v>0.64</v>
      </c>
      <c r="CI130" s="9">
        <v>0.64</v>
      </c>
      <c r="CJ130" s="9">
        <v>0.82</v>
      </c>
      <c r="CK130" s="9">
        <v>0.82</v>
      </c>
      <c r="CL130" s="9">
        <v>0.82</v>
      </c>
      <c r="CM130" s="9">
        <v>0.82</v>
      </c>
      <c r="CN130" s="9">
        <v>0.82</v>
      </c>
      <c r="CO130" s="9">
        <v>0.82</v>
      </c>
      <c r="CP130" s="9">
        <v>0.53</v>
      </c>
      <c r="CQ130" s="9">
        <v>0.53</v>
      </c>
      <c r="CR130" s="9">
        <v>0.53</v>
      </c>
      <c r="CS130" s="9">
        <v>0.99</v>
      </c>
      <c r="CT130" s="9">
        <v>0.99</v>
      </c>
      <c r="CU130" s="9">
        <v>0.99</v>
      </c>
      <c r="CV130" s="9">
        <v>0.66</v>
      </c>
      <c r="CW130" s="9">
        <v>0.66</v>
      </c>
      <c r="CX130" s="9">
        <v>0.66</v>
      </c>
      <c r="CY130" s="9">
        <v>0.43</v>
      </c>
      <c r="CZ130" s="9">
        <v>0.43</v>
      </c>
      <c r="DA130" s="9">
        <v>0.43</v>
      </c>
      <c r="DB130" s="9">
        <f>MIN(Tabelle5897112140[[#This Row],[Durchschnittsauslastung durch Sommer WTT]:[Durchschnittsauslastung max Winter SFN]])</f>
        <v>0.43</v>
      </c>
      <c r="DC1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0" s="9">
        <f>MAX(Tabelle5897112140[[#This Row],[Durchschnittsauslastung durch Sommer WTT]:[Durchschnittsauslastung max Winter SFN]])</f>
        <v>0.99</v>
      </c>
      <c r="DE130" s="40">
        <f>Tabelle5897112140[[#This Row],[Durchschnittsauslastung min]]*Tabelle5897112140[[#This Row],[installierte Leistung MW min]]</f>
        <v>270.04000000000002</v>
      </c>
      <c r="DF130" s="40">
        <f>Tabelle5897112140[[#This Row],[Durchschnittsauslastung durch]]*Tabelle5897112140[[#This Row],[installierte Leistung MW durch]]</f>
        <v>658.75666666666666</v>
      </c>
      <c r="DG130" s="40">
        <f>Tabelle5897112140[[#This Row],[Durchschnittsauslastung max]]*Tabelle5897112140[[#This Row],[installierte Leistung MW max]]</f>
        <v>1087.02</v>
      </c>
      <c r="DH130" s="46">
        <f>Tabelle5897112140[[#This Row],[Maximalauslastung min]]*Tabelle5897112140[[#This Row],[installierte Leistung MW min]]</f>
        <v>163.28</v>
      </c>
      <c r="DI130" s="46">
        <f>Tabelle5897112140[[#This Row],[Maximalauslastung durch]]*Tabelle5897112140[[#This Row],[installierte Leistung MW durch]]</f>
        <v>250.26999999999998</v>
      </c>
      <c r="DJ130" s="19">
        <f>Tabelle5897112140[[#This Row],[Maximalauslastung max]]*Tabelle5897112140[[#This Row],[installierte Leistung MW durch]]</f>
        <v>276.16000000000003</v>
      </c>
      <c r="DK130" s="9">
        <v>0.26</v>
      </c>
      <c r="DL130" s="9">
        <v>0.28999999999999998</v>
      </c>
      <c r="DM130" s="9">
        <v>0.32</v>
      </c>
      <c r="DN130" s="1">
        <v>863</v>
      </c>
      <c r="DO130" s="1">
        <v>628</v>
      </c>
      <c r="DP130" s="1">
        <v>1098</v>
      </c>
      <c r="DQ130" s="19"/>
      <c r="DR130" s="19"/>
      <c r="DW130" s="1">
        <v>1.05</v>
      </c>
      <c r="DX130" s="1">
        <v>0.5</v>
      </c>
      <c r="DY130" s="1">
        <v>1.9</v>
      </c>
      <c r="EL130" s="1">
        <v>365</v>
      </c>
      <c r="EM130" s="1">
        <v>292</v>
      </c>
      <c r="EN130" s="1">
        <v>438</v>
      </c>
      <c r="EO130" s="11"/>
      <c r="EP130" s="11"/>
      <c r="EQ130" s="11"/>
      <c r="ER130" s="1">
        <v>365</v>
      </c>
      <c r="ES130" s="1">
        <v>292</v>
      </c>
      <c r="ET130" s="1">
        <v>438</v>
      </c>
      <c r="EV130" s="19"/>
      <c r="EW130" s="19"/>
      <c r="EX130" s="19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O130" s="1">
        <v>67</v>
      </c>
      <c r="FP130" s="1">
        <v>67</v>
      </c>
      <c r="FQ130" s="1">
        <v>67</v>
      </c>
      <c r="FR130" s="13" t="s">
        <v>806</v>
      </c>
      <c r="FS130" s="13" t="s">
        <v>806</v>
      </c>
      <c r="FT130" s="13" t="s">
        <v>806</v>
      </c>
      <c r="FU130" s="13"/>
      <c r="FV130" s="13" t="s">
        <v>806</v>
      </c>
      <c r="FW130" s="13" t="s">
        <v>806</v>
      </c>
      <c r="FX130" s="13" t="s">
        <v>806</v>
      </c>
      <c r="FY130" s="13" t="s">
        <v>806</v>
      </c>
      <c r="FZ130" s="13" t="s">
        <v>806</v>
      </c>
      <c r="GA130" s="13" t="s">
        <v>806</v>
      </c>
      <c r="GB130" s="13" t="s">
        <v>806</v>
      </c>
      <c r="GE130" s="13" t="s">
        <v>806</v>
      </c>
      <c r="GF130" s="13" t="s">
        <v>806</v>
      </c>
      <c r="GH130" s="13" t="s">
        <v>806</v>
      </c>
    </row>
    <row r="131" spans="1:190" ht="12.75" customHeight="1" x14ac:dyDescent="0.25">
      <c r="A131" s="1" t="s">
        <v>403</v>
      </c>
      <c r="B131" s="1" t="s">
        <v>747</v>
      </c>
      <c r="C131" s="1" t="s">
        <v>661</v>
      </c>
      <c r="D131" s="1" t="s">
        <v>688</v>
      </c>
      <c r="E131" s="1" t="s">
        <v>127</v>
      </c>
      <c r="F131" s="1">
        <v>0</v>
      </c>
      <c r="G131" s="1">
        <v>2020</v>
      </c>
      <c r="H131" s="1">
        <v>1</v>
      </c>
      <c r="I131" s="1">
        <v>0</v>
      </c>
      <c r="J131" s="1">
        <v>0</v>
      </c>
      <c r="K1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1" s="19">
        <v>854.37</v>
      </c>
      <c r="O131" s="19">
        <v>621.72</v>
      </c>
      <c r="P131" s="19">
        <v>1087.02</v>
      </c>
      <c r="Q131" s="19">
        <v>8.6300000000000008</v>
      </c>
      <c r="R131" s="19">
        <v>6.28</v>
      </c>
      <c r="S131" s="19">
        <v>10.98</v>
      </c>
      <c r="T131" s="19">
        <v>854.37</v>
      </c>
      <c r="U131" s="19">
        <v>621.72</v>
      </c>
      <c r="V131" s="19">
        <v>1087.02</v>
      </c>
      <c r="W131" s="19">
        <v>8.6300000000000008</v>
      </c>
      <c r="X131" s="19">
        <v>6.28</v>
      </c>
      <c r="Y131" s="19">
        <v>10.98</v>
      </c>
      <c r="Z131" s="19">
        <v>552.32000000000005</v>
      </c>
      <c r="AA131" s="19">
        <v>401.92</v>
      </c>
      <c r="AB131" s="19">
        <v>702.72</v>
      </c>
      <c r="AC131" s="19">
        <v>310.68</v>
      </c>
      <c r="AD131" s="19">
        <v>226.08</v>
      </c>
      <c r="AE131" s="19">
        <v>395.28</v>
      </c>
      <c r="AF131" s="19">
        <v>707.66</v>
      </c>
      <c r="AG131" s="19">
        <v>514.96</v>
      </c>
      <c r="AH131" s="19">
        <v>900.36</v>
      </c>
      <c r="AI131" s="19">
        <v>155.34</v>
      </c>
      <c r="AJ131" s="19">
        <v>113.04</v>
      </c>
      <c r="AK131" s="19">
        <v>197.64</v>
      </c>
      <c r="AL131" s="19">
        <v>707.66</v>
      </c>
      <c r="AM131" s="19">
        <v>514.96</v>
      </c>
      <c r="AN131" s="19">
        <v>900.36</v>
      </c>
      <c r="AO131" s="19">
        <v>155.34</v>
      </c>
      <c r="AP131" s="19">
        <v>113.04</v>
      </c>
      <c r="AQ131" s="19">
        <v>197.64</v>
      </c>
      <c r="AR131" s="19">
        <v>457.39</v>
      </c>
      <c r="AS131" s="19">
        <v>332.84</v>
      </c>
      <c r="AT131" s="19">
        <v>581.94000000000005</v>
      </c>
      <c r="AU131" s="19">
        <v>405.61</v>
      </c>
      <c r="AV131" s="19">
        <v>295.16000000000003</v>
      </c>
      <c r="AW131" s="19">
        <v>516.05999999999995</v>
      </c>
      <c r="AX131" s="19">
        <v>854.37</v>
      </c>
      <c r="AY131" s="19">
        <v>621.72</v>
      </c>
      <c r="AZ131" s="19">
        <v>1087.02</v>
      </c>
      <c r="BA131" s="19">
        <v>8.6300000000000008</v>
      </c>
      <c r="BB131" s="19">
        <v>6.28</v>
      </c>
      <c r="BC131" s="19">
        <v>10.98</v>
      </c>
      <c r="BD131" s="19">
        <v>569.58000000000004</v>
      </c>
      <c r="BE131" s="19">
        <v>414.48</v>
      </c>
      <c r="BF131" s="19">
        <v>724.68</v>
      </c>
      <c r="BG131" s="19">
        <v>293.42</v>
      </c>
      <c r="BH131" s="19">
        <v>213.52</v>
      </c>
      <c r="BI131" s="19">
        <v>373.32</v>
      </c>
      <c r="BJ131" s="19">
        <v>371.09</v>
      </c>
      <c r="BK131" s="19">
        <v>270.04000000000002</v>
      </c>
      <c r="BL131" s="19">
        <v>472.14</v>
      </c>
      <c r="BM131" s="19">
        <v>491.91</v>
      </c>
      <c r="BN131" s="19">
        <v>357.96</v>
      </c>
      <c r="BO131" s="19">
        <v>625.86</v>
      </c>
      <c r="BP131" s="19"/>
      <c r="BQ1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1" s="11">
        <f>Tabelle5897112140[[#This Row],[Mindestauslastung min]]*Tabelle5897112140[[#This Row],[installierte Leistung MW min]]</f>
        <v>31.400000000000002</v>
      </c>
      <c r="BU131" s="11">
        <f>Tabelle5897112140[[#This Row],[Mindestauslastung durch]]*Tabelle5897112140[[#This Row],[installierte Leistung MW durch]]</f>
        <v>43.150000000000006</v>
      </c>
      <c r="BV131" s="11">
        <f>Tabelle5897112140[[#This Row],[Mindestauslastung max]]*Tabelle5897112140[[#This Row],[installierte Leistung MW max]]</f>
        <v>54.900000000000006</v>
      </c>
      <c r="BW131" s="9">
        <v>0.05</v>
      </c>
      <c r="BX131" s="9">
        <v>0.05</v>
      </c>
      <c r="BY131" s="9">
        <v>0.05</v>
      </c>
      <c r="BZ131" s="9"/>
      <c r="CA131" s="9">
        <v>0.99</v>
      </c>
      <c r="CB131" s="9">
        <v>0.99</v>
      </c>
      <c r="CC131" s="9">
        <v>0.99</v>
      </c>
      <c r="CD131" s="9">
        <v>0.99</v>
      </c>
      <c r="CE131" s="9">
        <v>0.99</v>
      </c>
      <c r="CF131" s="9">
        <v>0.99</v>
      </c>
      <c r="CG131" s="9">
        <v>0.64</v>
      </c>
      <c r="CH131" s="9">
        <v>0.64</v>
      </c>
      <c r="CI131" s="9">
        <v>0.64</v>
      </c>
      <c r="CJ131" s="9">
        <v>0.82</v>
      </c>
      <c r="CK131" s="9">
        <v>0.82</v>
      </c>
      <c r="CL131" s="9">
        <v>0.82</v>
      </c>
      <c r="CM131" s="9">
        <v>0.82</v>
      </c>
      <c r="CN131" s="9">
        <v>0.82</v>
      </c>
      <c r="CO131" s="9">
        <v>0.82</v>
      </c>
      <c r="CP131" s="9">
        <v>0.53</v>
      </c>
      <c r="CQ131" s="9">
        <v>0.53</v>
      </c>
      <c r="CR131" s="9">
        <v>0.53</v>
      </c>
      <c r="CS131" s="9">
        <v>0.99</v>
      </c>
      <c r="CT131" s="9">
        <v>0.99</v>
      </c>
      <c r="CU131" s="9">
        <v>0.99</v>
      </c>
      <c r="CV131" s="9">
        <v>0.66</v>
      </c>
      <c r="CW131" s="9">
        <v>0.66</v>
      </c>
      <c r="CX131" s="9">
        <v>0.66</v>
      </c>
      <c r="CY131" s="9">
        <v>0.43</v>
      </c>
      <c r="CZ131" s="9">
        <v>0.43</v>
      </c>
      <c r="DA131" s="9">
        <v>0.43</v>
      </c>
      <c r="DB131" s="9">
        <f>MIN(Tabelle5897112140[[#This Row],[Durchschnittsauslastung durch Sommer WTT]:[Durchschnittsauslastung max Winter SFN]])</f>
        <v>0.43</v>
      </c>
      <c r="DC1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1" s="9">
        <f>MAX(Tabelle5897112140[[#This Row],[Durchschnittsauslastung durch Sommer WTT]:[Durchschnittsauslastung max Winter SFN]])</f>
        <v>0.99</v>
      </c>
      <c r="DE131" s="40">
        <f>Tabelle5897112140[[#This Row],[Durchschnittsauslastung min]]*Tabelle5897112140[[#This Row],[installierte Leistung MW min]]</f>
        <v>270.04000000000002</v>
      </c>
      <c r="DF131" s="40">
        <f>Tabelle5897112140[[#This Row],[Durchschnittsauslastung durch]]*Tabelle5897112140[[#This Row],[installierte Leistung MW durch]]</f>
        <v>658.75666666666666</v>
      </c>
      <c r="DG131" s="40">
        <f>Tabelle5897112140[[#This Row],[Durchschnittsauslastung max]]*Tabelle5897112140[[#This Row],[installierte Leistung MW max]]</f>
        <v>1087.02</v>
      </c>
      <c r="DH131" s="46">
        <f>Tabelle5897112140[[#This Row],[Maximalauslastung min]]*Tabelle5897112140[[#This Row],[installierte Leistung MW min]]</f>
        <v>188.4</v>
      </c>
      <c r="DI131" s="46">
        <f>Tabelle5897112140[[#This Row],[Maximalauslastung durch]]*Tabelle5897112140[[#This Row],[installierte Leistung MW durch]]</f>
        <v>284.79000000000002</v>
      </c>
      <c r="DJ131" s="19">
        <f>Tabelle5897112140[[#This Row],[Maximalauslastung max]]*Tabelle5897112140[[#This Row],[installierte Leistung MW durch]]</f>
        <v>310.68</v>
      </c>
      <c r="DK131" s="9">
        <v>0.3</v>
      </c>
      <c r="DL131" s="9">
        <v>0.33</v>
      </c>
      <c r="DM131" s="9">
        <v>0.36</v>
      </c>
      <c r="DN131" s="1">
        <v>863</v>
      </c>
      <c r="DO131" s="1">
        <v>628</v>
      </c>
      <c r="DP131" s="1">
        <v>1098</v>
      </c>
      <c r="DQ131" s="19"/>
      <c r="DR131" s="19"/>
      <c r="DW131" s="1">
        <v>1.05</v>
      </c>
      <c r="DX131" s="1">
        <v>0.5</v>
      </c>
      <c r="DY131" s="1">
        <v>1.9</v>
      </c>
      <c r="EL131" s="1">
        <v>365</v>
      </c>
      <c r="EM131" s="1">
        <v>292</v>
      </c>
      <c r="EN131" s="1">
        <v>438</v>
      </c>
      <c r="EO131" s="11"/>
      <c r="EP131" s="11"/>
      <c r="EQ131" s="11"/>
      <c r="ER131" s="1">
        <v>365</v>
      </c>
      <c r="ES131" s="1">
        <v>292</v>
      </c>
      <c r="ET131" s="1">
        <v>438</v>
      </c>
      <c r="EV131" s="19"/>
      <c r="EW131" s="19"/>
      <c r="EX131" s="19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O131" s="1">
        <v>67</v>
      </c>
      <c r="FP131" s="1">
        <v>67</v>
      </c>
      <c r="FQ131" s="1">
        <v>67</v>
      </c>
      <c r="FR131" s="13" t="s">
        <v>806</v>
      </c>
      <c r="FS131" s="13" t="s">
        <v>806</v>
      </c>
      <c r="FT131" s="13" t="s">
        <v>806</v>
      </c>
      <c r="FU131" s="13"/>
      <c r="FV131" s="13" t="s">
        <v>806</v>
      </c>
      <c r="FW131" s="13" t="s">
        <v>806</v>
      </c>
      <c r="FX131" s="13" t="s">
        <v>806</v>
      </c>
      <c r="FY131" s="13" t="s">
        <v>806</v>
      </c>
      <c r="FZ131" s="13" t="s">
        <v>806</v>
      </c>
      <c r="GA131" s="13" t="s">
        <v>806</v>
      </c>
      <c r="GB131" s="13" t="s">
        <v>806</v>
      </c>
      <c r="GE131" s="13" t="s">
        <v>806</v>
      </c>
      <c r="GF131" s="13" t="s">
        <v>806</v>
      </c>
      <c r="GH131" s="13" t="s">
        <v>806</v>
      </c>
    </row>
    <row r="132" spans="1:190" ht="12.75" customHeight="1" x14ac:dyDescent="0.25">
      <c r="A132" s="1" t="s">
        <v>403</v>
      </c>
      <c r="B132" s="1" t="s">
        <v>747</v>
      </c>
      <c r="C132" s="1" t="s">
        <v>661</v>
      </c>
      <c r="D132" s="1" t="s">
        <v>688</v>
      </c>
      <c r="E132" s="1" t="s">
        <v>127</v>
      </c>
      <c r="F132" s="1">
        <v>0</v>
      </c>
      <c r="G132" s="1">
        <v>2025</v>
      </c>
      <c r="H132" s="1">
        <v>1</v>
      </c>
      <c r="I132" s="1">
        <v>0</v>
      </c>
      <c r="J132" s="1">
        <v>0</v>
      </c>
      <c r="K1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2" s="19">
        <v>854.37</v>
      </c>
      <c r="O132" s="19">
        <v>621.72</v>
      </c>
      <c r="P132" s="19">
        <v>1087.02</v>
      </c>
      <c r="Q132" s="19">
        <v>8.6300000000000008</v>
      </c>
      <c r="R132" s="19">
        <v>6.28</v>
      </c>
      <c r="S132" s="19">
        <v>10.98</v>
      </c>
      <c r="T132" s="19">
        <v>854.37</v>
      </c>
      <c r="U132" s="19">
        <v>621.72</v>
      </c>
      <c r="V132" s="19">
        <v>1087.02</v>
      </c>
      <c r="W132" s="19">
        <v>8.6300000000000008</v>
      </c>
      <c r="X132" s="19">
        <v>6.28</v>
      </c>
      <c r="Y132" s="19">
        <v>10.98</v>
      </c>
      <c r="Z132" s="19">
        <v>552.32000000000005</v>
      </c>
      <c r="AA132" s="19">
        <v>401.92</v>
      </c>
      <c r="AB132" s="19">
        <v>702.72</v>
      </c>
      <c r="AC132" s="19">
        <v>310.68</v>
      </c>
      <c r="AD132" s="19">
        <v>226.08</v>
      </c>
      <c r="AE132" s="19">
        <v>395.28</v>
      </c>
      <c r="AF132" s="19">
        <v>707.66</v>
      </c>
      <c r="AG132" s="19">
        <v>514.96</v>
      </c>
      <c r="AH132" s="19">
        <v>900.36</v>
      </c>
      <c r="AI132" s="19">
        <v>155.34</v>
      </c>
      <c r="AJ132" s="19">
        <v>113.04</v>
      </c>
      <c r="AK132" s="19">
        <v>197.64</v>
      </c>
      <c r="AL132" s="19">
        <v>707.66</v>
      </c>
      <c r="AM132" s="19">
        <v>514.96</v>
      </c>
      <c r="AN132" s="19">
        <v>900.36</v>
      </c>
      <c r="AO132" s="19">
        <v>155.34</v>
      </c>
      <c r="AP132" s="19">
        <v>113.04</v>
      </c>
      <c r="AQ132" s="19">
        <v>197.64</v>
      </c>
      <c r="AR132" s="19">
        <v>457.39</v>
      </c>
      <c r="AS132" s="19">
        <v>332.84</v>
      </c>
      <c r="AT132" s="19">
        <v>581.94000000000005</v>
      </c>
      <c r="AU132" s="19">
        <v>405.61</v>
      </c>
      <c r="AV132" s="19">
        <v>295.16000000000003</v>
      </c>
      <c r="AW132" s="19">
        <v>516.05999999999995</v>
      </c>
      <c r="AX132" s="19">
        <v>854.37</v>
      </c>
      <c r="AY132" s="19">
        <v>621.72</v>
      </c>
      <c r="AZ132" s="19">
        <v>1087.02</v>
      </c>
      <c r="BA132" s="19">
        <v>8.6300000000000008</v>
      </c>
      <c r="BB132" s="19">
        <v>6.28</v>
      </c>
      <c r="BC132" s="19">
        <v>10.98</v>
      </c>
      <c r="BD132" s="19">
        <v>569.58000000000004</v>
      </c>
      <c r="BE132" s="19">
        <v>414.48</v>
      </c>
      <c r="BF132" s="19">
        <v>724.68</v>
      </c>
      <c r="BG132" s="19">
        <v>293.42</v>
      </c>
      <c r="BH132" s="19">
        <v>213.52</v>
      </c>
      <c r="BI132" s="19">
        <v>373.32</v>
      </c>
      <c r="BJ132" s="19">
        <v>371.09</v>
      </c>
      <c r="BK132" s="19">
        <v>270.04000000000002</v>
      </c>
      <c r="BL132" s="19">
        <v>472.14</v>
      </c>
      <c r="BM132" s="19">
        <v>491.91</v>
      </c>
      <c r="BN132" s="19">
        <v>357.96</v>
      </c>
      <c r="BO132" s="19">
        <v>625.86</v>
      </c>
      <c r="BP132" s="19"/>
      <c r="BQ1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2" s="11">
        <f>Tabelle5897112140[[#This Row],[Mindestauslastung min]]*Tabelle5897112140[[#This Row],[installierte Leistung MW min]]</f>
        <v>31.400000000000002</v>
      </c>
      <c r="BU132" s="11">
        <f>Tabelle5897112140[[#This Row],[Mindestauslastung durch]]*Tabelle5897112140[[#This Row],[installierte Leistung MW durch]]</f>
        <v>43.150000000000006</v>
      </c>
      <c r="BV132" s="11">
        <f>Tabelle5897112140[[#This Row],[Mindestauslastung max]]*Tabelle5897112140[[#This Row],[installierte Leistung MW max]]</f>
        <v>54.900000000000006</v>
      </c>
      <c r="BW132" s="9">
        <v>0.05</v>
      </c>
      <c r="BX132" s="9">
        <v>0.05</v>
      </c>
      <c r="BY132" s="9">
        <v>0.05</v>
      </c>
      <c r="BZ132" s="9"/>
      <c r="CA132" s="9">
        <v>0.99</v>
      </c>
      <c r="CB132" s="9">
        <v>0.99</v>
      </c>
      <c r="CC132" s="9">
        <v>0.99</v>
      </c>
      <c r="CD132" s="9">
        <v>0.99</v>
      </c>
      <c r="CE132" s="9">
        <v>0.99</v>
      </c>
      <c r="CF132" s="9">
        <v>0.99</v>
      </c>
      <c r="CG132" s="9">
        <v>0.64</v>
      </c>
      <c r="CH132" s="9">
        <v>0.64</v>
      </c>
      <c r="CI132" s="9">
        <v>0.64</v>
      </c>
      <c r="CJ132" s="9">
        <v>0.82</v>
      </c>
      <c r="CK132" s="9">
        <v>0.82</v>
      </c>
      <c r="CL132" s="9">
        <v>0.82</v>
      </c>
      <c r="CM132" s="9">
        <v>0.82</v>
      </c>
      <c r="CN132" s="9">
        <v>0.82</v>
      </c>
      <c r="CO132" s="9">
        <v>0.82</v>
      </c>
      <c r="CP132" s="9">
        <v>0.53</v>
      </c>
      <c r="CQ132" s="9">
        <v>0.53</v>
      </c>
      <c r="CR132" s="9">
        <v>0.53</v>
      </c>
      <c r="CS132" s="9">
        <v>0.99</v>
      </c>
      <c r="CT132" s="9">
        <v>0.99</v>
      </c>
      <c r="CU132" s="9">
        <v>0.99</v>
      </c>
      <c r="CV132" s="9">
        <v>0.66</v>
      </c>
      <c r="CW132" s="9">
        <v>0.66</v>
      </c>
      <c r="CX132" s="9">
        <v>0.66</v>
      </c>
      <c r="CY132" s="9">
        <v>0.43</v>
      </c>
      <c r="CZ132" s="9">
        <v>0.43</v>
      </c>
      <c r="DA132" s="9">
        <v>0.43</v>
      </c>
      <c r="DB132" s="9">
        <f>MIN(Tabelle5897112140[[#This Row],[Durchschnittsauslastung durch Sommer WTT]:[Durchschnittsauslastung max Winter SFN]])</f>
        <v>0.43</v>
      </c>
      <c r="DC1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2" s="9">
        <f>MAX(Tabelle5897112140[[#This Row],[Durchschnittsauslastung durch Sommer WTT]:[Durchschnittsauslastung max Winter SFN]])</f>
        <v>0.99</v>
      </c>
      <c r="DE132" s="40">
        <f>Tabelle5897112140[[#This Row],[Durchschnittsauslastung min]]*Tabelle5897112140[[#This Row],[installierte Leistung MW min]]</f>
        <v>270.04000000000002</v>
      </c>
      <c r="DF132" s="40">
        <f>Tabelle5897112140[[#This Row],[Durchschnittsauslastung durch]]*Tabelle5897112140[[#This Row],[installierte Leistung MW durch]]</f>
        <v>658.75666666666666</v>
      </c>
      <c r="DG132" s="40">
        <f>Tabelle5897112140[[#This Row],[Durchschnittsauslastung max]]*Tabelle5897112140[[#This Row],[installierte Leistung MW max]]</f>
        <v>1087.02</v>
      </c>
      <c r="DH132" s="46">
        <f>Tabelle5897112140[[#This Row],[Maximalauslastung min]]*Tabelle5897112140[[#This Row],[installierte Leistung MW min]]</f>
        <v>188.4</v>
      </c>
      <c r="DI132" s="46">
        <f>Tabelle5897112140[[#This Row],[Maximalauslastung durch]]*Tabelle5897112140[[#This Row],[installierte Leistung MW durch]]</f>
        <v>284.79000000000002</v>
      </c>
      <c r="DJ132" s="19">
        <f>Tabelle5897112140[[#This Row],[Maximalauslastung max]]*Tabelle5897112140[[#This Row],[installierte Leistung MW durch]]</f>
        <v>310.68</v>
      </c>
      <c r="DK132" s="9">
        <v>0.3</v>
      </c>
      <c r="DL132" s="9">
        <v>0.33</v>
      </c>
      <c r="DM132" s="9">
        <v>0.36</v>
      </c>
      <c r="DN132" s="1">
        <v>863</v>
      </c>
      <c r="DO132" s="1">
        <v>628</v>
      </c>
      <c r="DP132" s="1">
        <v>1098</v>
      </c>
      <c r="DQ132" s="19"/>
      <c r="DR132" s="19"/>
      <c r="DW132" s="1">
        <v>1.05</v>
      </c>
      <c r="DX132" s="1">
        <v>0.5</v>
      </c>
      <c r="DY132" s="1">
        <v>1.9</v>
      </c>
      <c r="EL132" s="1">
        <v>365</v>
      </c>
      <c r="EM132" s="1">
        <v>292</v>
      </c>
      <c r="EN132" s="1">
        <v>438</v>
      </c>
      <c r="EO132" s="11"/>
      <c r="EP132" s="11"/>
      <c r="EQ132" s="11"/>
      <c r="ER132" s="1">
        <v>365</v>
      </c>
      <c r="ES132" s="1">
        <v>292</v>
      </c>
      <c r="ET132" s="1">
        <v>438</v>
      </c>
      <c r="EV132" s="19"/>
      <c r="EW132" s="19"/>
      <c r="EX132" s="19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O132" s="1">
        <v>67</v>
      </c>
      <c r="FP132" s="1">
        <v>67</v>
      </c>
      <c r="FQ132" s="1">
        <v>67</v>
      </c>
      <c r="FR132" s="13" t="s">
        <v>806</v>
      </c>
      <c r="FS132" s="13" t="s">
        <v>806</v>
      </c>
      <c r="FT132" s="13" t="s">
        <v>806</v>
      </c>
      <c r="FU132" s="13"/>
      <c r="FV132" s="13" t="s">
        <v>806</v>
      </c>
      <c r="FW132" s="13" t="s">
        <v>806</v>
      </c>
      <c r="FX132" s="13" t="s">
        <v>806</v>
      </c>
      <c r="FY132" s="13" t="s">
        <v>806</v>
      </c>
      <c r="FZ132" s="13" t="s">
        <v>806</v>
      </c>
      <c r="GA132" s="13" t="s">
        <v>806</v>
      </c>
      <c r="GB132" s="13" t="s">
        <v>806</v>
      </c>
      <c r="GE132" s="13" t="s">
        <v>806</v>
      </c>
      <c r="GF132" s="13" t="s">
        <v>806</v>
      </c>
      <c r="GH132" s="13" t="s">
        <v>806</v>
      </c>
    </row>
    <row r="133" spans="1:190" ht="12.75" customHeight="1" x14ac:dyDescent="0.25">
      <c r="A133" s="1" t="s">
        <v>403</v>
      </c>
      <c r="B133" s="1" t="s">
        <v>747</v>
      </c>
      <c r="C133" s="1" t="s">
        <v>661</v>
      </c>
      <c r="D133" s="1" t="s">
        <v>688</v>
      </c>
      <c r="E133" s="1" t="s">
        <v>127</v>
      </c>
      <c r="F133" s="1">
        <v>0</v>
      </c>
      <c r="G133" s="1">
        <v>2030</v>
      </c>
      <c r="H133" s="1">
        <v>1</v>
      </c>
      <c r="I133" s="1">
        <v>0</v>
      </c>
      <c r="J133" s="1">
        <v>0</v>
      </c>
      <c r="K1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3" s="19">
        <v>854.37</v>
      </c>
      <c r="O133" s="19">
        <v>621.72</v>
      </c>
      <c r="P133" s="19">
        <v>1087.02</v>
      </c>
      <c r="Q133" s="19">
        <v>8.6300000000000008</v>
      </c>
      <c r="R133" s="19">
        <v>6.28</v>
      </c>
      <c r="S133" s="19">
        <v>10.98</v>
      </c>
      <c r="T133" s="19">
        <v>854.37</v>
      </c>
      <c r="U133" s="19">
        <v>621.72</v>
      </c>
      <c r="V133" s="19">
        <v>1087.02</v>
      </c>
      <c r="W133" s="19">
        <v>8.6300000000000008</v>
      </c>
      <c r="X133" s="19">
        <v>6.28</v>
      </c>
      <c r="Y133" s="19">
        <v>10.98</v>
      </c>
      <c r="Z133" s="19">
        <v>552.32000000000005</v>
      </c>
      <c r="AA133" s="19">
        <v>401.92</v>
      </c>
      <c r="AB133" s="19">
        <v>702.72</v>
      </c>
      <c r="AC133" s="19">
        <v>310.68</v>
      </c>
      <c r="AD133" s="19">
        <v>226.08</v>
      </c>
      <c r="AE133" s="19">
        <v>395.28</v>
      </c>
      <c r="AF133" s="19">
        <v>707.66</v>
      </c>
      <c r="AG133" s="19">
        <v>514.96</v>
      </c>
      <c r="AH133" s="19">
        <v>900.36</v>
      </c>
      <c r="AI133" s="19">
        <v>155.34</v>
      </c>
      <c r="AJ133" s="19">
        <v>113.04</v>
      </c>
      <c r="AK133" s="19">
        <v>197.64</v>
      </c>
      <c r="AL133" s="19">
        <v>707.66</v>
      </c>
      <c r="AM133" s="19">
        <v>514.96</v>
      </c>
      <c r="AN133" s="19">
        <v>900.36</v>
      </c>
      <c r="AO133" s="19">
        <v>155.34</v>
      </c>
      <c r="AP133" s="19">
        <v>113.04</v>
      </c>
      <c r="AQ133" s="19">
        <v>197.64</v>
      </c>
      <c r="AR133" s="19">
        <v>457.39</v>
      </c>
      <c r="AS133" s="19">
        <v>332.84</v>
      </c>
      <c r="AT133" s="19">
        <v>581.94000000000005</v>
      </c>
      <c r="AU133" s="19">
        <v>405.61</v>
      </c>
      <c r="AV133" s="19">
        <v>295.16000000000003</v>
      </c>
      <c r="AW133" s="19">
        <v>516.05999999999995</v>
      </c>
      <c r="AX133" s="19">
        <v>854.37</v>
      </c>
      <c r="AY133" s="19">
        <v>621.72</v>
      </c>
      <c r="AZ133" s="19">
        <v>1087.02</v>
      </c>
      <c r="BA133" s="19">
        <v>8.6300000000000008</v>
      </c>
      <c r="BB133" s="19">
        <v>6.28</v>
      </c>
      <c r="BC133" s="19">
        <v>10.98</v>
      </c>
      <c r="BD133" s="19">
        <v>569.58000000000004</v>
      </c>
      <c r="BE133" s="19">
        <v>414.48</v>
      </c>
      <c r="BF133" s="19">
        <v>724.68</v>
      </c>
      <c r="BG133" s="19">
        <v>293.42</v>
      </c>
      <c r="BH133" s="19">
        <v>213.52</v>
      </c>
      <c r="BI133" s="19">
        <v>373.32</v>
      </c>
      <c r="BJ133" s="19">
        <v>371.09</v>
      </c>
      <c r="BK133" s="19">
        <v>270.04000000000002</v>
      </c>
      <c r="BL133" s="19">
        <v>472.14</v>
      </c>
      <c r="BM133" s="19">
        <v>491.91</v>
      </c>
      <c r="BN133" s="19">
        <v>357.96</v>
      </c>
      <c r="BO133" s="19">
        <v>625.86</v>
      </c>
      <c r="BP133" s="19"/>
      <c r="BQ1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3" s="11">
        <f>Tabelle5897112140[[#This Row],[Mindestauslastung min]]*Tabelle5897112140[[#This Row],[installierte Leistung MW min]]</f>
        <v>31.400000000000002</v>
      </c>
      <c r="BU133" s="11">
        <f>Tabelle5897112140[[#This Row],[Mindestauslastung durch]]*Tabelle5897112140[[#This Row],[installierte Leistung MW durch]]</f>
        <v>43.150000000000006</v>
      </c>
      <c r="BV133" s="11">
        <f>Tabelle5897112140[[#This Row],[Mindestauslastung max]]*Tabelle5897112140[[#This Row],[installierte Leistung MW max]]</f>
        <v>54.900000000000006</v>
      </c>
      <c r="BW133" s="9">
        <v>0.05</v>
      </c>
      <c r="BX133" s="9">
        <v>0.05</v>
      </c>
      <c r="BY133" s="9">
        <v>0.05</v>
      </c>
      <c r="BZ133" s="9"/>
      <c r="CA133" s="9">
        <v>0.99</v>
      </c>
      <c r="CB133" s="9">
        <v>0.99</v>
      </c>
      <c r="CC133" s="9">
        <v>0.99</v>
      </c>
      <c r="CD133" s="9">
        <v>0.99</v>
      </c>
      <c r="CE133" s="9">
        <v>0.99</v>
      </c>
      <c r="CF133" s="9">
        <v>0.99</v>
      </c>
      <c r="CG133" s="9">
        <v>0.64</v>
      </c>
      <c r="CH133" s="9">
        <v>0.64</v>
      </c>
      <c r="CI133" s="9">
        <v>0.64</v>
      </c>
      <c r="CJ133" s="9">
        <v>0.82</v>
      </c>
      <c r="CK133" s="9">
        <v>0.82</v>
      </c>
      <c r="CL133" s="9">
        <v>0.82</v>
      </c>
      <c r="CM133" s="9">
        <v>0.82</v>
      </c>
      <c r="CN133" s="9">
        <v>0.82</v>
      </c>
      <c r="CO133" s="9">
        <v>0.82</v>
      </c>
      <c r="CP133" s="9">
        <v>0.53</v>
      </c>
      <c r="CQ133" s="9">
        <v>0.53</v>
      </c>
      <c r="CR133" s="9">
        <v>0.53</v>
      </c>
      <c r="CS133" s="9">
        <v>0.99</v>
      </c>
      <c r="CT133" s="9">
        <v>0.99</v>
      </c>
      <c r="CU133" s="9">
        <v>0.99</v>
      </c>
      <c r="CV133" s="9">
        <v>0.66</v>
      </c>
      <c r="CW133" s="9">
        <v>0.66</v>
      </c>
      <c r="CX133" s="9">
        <v>0.66</v>
      </c>
      <c r="CY133" s="9">
        <v>0.43</v>
      </c>
      <c r="CZ133" s="9">
        <v>0.43</v>
      </c>
      <c r="DA133" s="9">
        <v>0.43</v>
      </c>
      <c r="DB133" s="9">
        <f>MIN(Tabelle5897112140[[#This Row],[Durchschnittsauslastung durch Sommer WTT]:[Durchschnittsauslastung max Winter SFN]])</f>
        <v>0.43</v>
      </c>
      <c r="DC1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3" s="9">
        <f>MAX(Tabelle5897112140[[#This Row],[Durchschnittsauslastung durch Sommer WTT]:[Durchschnittsauslastung max Winter SFN]])</f>
        <v>0.99</v>
      </c>
      <c r="DE133" s="40">
        <f>Tabelle5897112140[[#This Row],[Durchschnittsauslastung min]]*Tabelle5897112140[[#This Row],[installierte Leistung MW min]]</f>
        <v>270.04000000000002</v>
      </c>
      <c r="DF133" s="40">
        <f>Tabelle5897112140[[#This Row],[Durchschnittsauslastung durch]]*Tabelle5897112140[[#This Row],[installierte Leistung MW durch]]</f>
        <v>658.75666666666666</v>
      </c>
      <c r="DG133" s="40">
        <f>Tabelle5897112140[[#This Row],[Durchschnittsauslastung max]]*Tabelle5897112140[[#This Row],[installierte Leistung MW max]]</f>
        <v>1087.02</v>
      </c>
      <c r="DH133" s="46">
        <f>Tabelle5897112140[[#This Row],[Maximalauslastung min]]*Tabelle5897112140[[#This Row],[installierte Leistung MW min]]</f>
        <v>188.4</v>
      </c>
      <c r="DI133" s="46">
        <f>Tabelle5897112140[[#This Row],[Maximalauslastung durch]]*Tabelle5897112140[[#This Row],[installierte Leistung MW durch]]</f>
        <v>284.79000000000002</v>
      </c>
      <c r="DJ133" s="19">
        <f>Tabelle5897112140[[#This Row],[Maximalauslastung max]]*Tabelle5897112140[[#This Row],[installierte Leistung MW durch]]</f>
        <v>310.68</v>
      </c>
      <c r="DK133" s="9">
        <v>0.3</v>
      </c>
      <c r="DL133" s="9">
        <v>0.33</v>
      </c>
      <c r="DM133" s="9">
        <v>0.36</v>
      </c>
      <c r="DN133" s="1">
        <v>863</v>
      </c>
      <c r="DO133" s="1">
        <v>628</v>
      </c>
      <c r="DP133" s="1">
        <v>1098</v>
      </c>
      <c r="DQ133" s="19"/>
      <c r="DR133" s="19"/>
      <c r="DW133" s="1">
        <v>1.05</v>
      </c>
      <c r="DX133" s="1">
        <v>0.5</v>
      </c>
      <c r="DY133" s="1">
        <v>1.9</v>
      </c>
      <c r="EL133" s="1">
        <v>365</v>
      </c>
      <c r="EM133" s="1">
        <v>292</v>
      </c>
      <c r="EN133" s="1">
        <v>438</v>
      </c>
      <c r="EO133" s="11"/>
      <c r="EP133" s="11"/>
      <c r="EQ133" s="11"/>
      <c r="ER133" s="1">
        <v>365</v>
      </c>
      <c r="ES133" s="1">
        <v>292</v>
      </c>
      <c r="ET133" s="1">
        <v>438</v>
      </c>
      <c r="EV133" s="19"/>
      <c r="EW133" s="19"/>
      <c r="EX133" s="19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O133" s="1">
        <v>67</v>
      </c>
      <c r="FP133" s="1">
        <v>67</v>
      </c>
      <c r="FQ133" s="1">
        <v>67</v>
      </c>
      <c r="FR133" s="13" t="s">
        <v>806</v>
      </c>
      <c r="FS133" s="13" t="s">
        <v>806</v>
      </c>
      <c r="FT133" s="13" t="s">
        <v>806</v>
      </c>
      <c r="FU133" s="13"/>
      <c r="FV133" s="13" t="s">
        <v>806</v>
      </c>
      <c r="FW133" s="13" t="s">
        <v>806</v>
      </c>
      <c r="FX133" s="13" t="s">
        <v>806</v>
      </c>
      <c r="FY133" s="13" t="s">
        <v>806</v>
      </c>
      <c r="FZ133" s="13" t="s">
        <v>806</v>
      </c>
      <c r="GA133" s="13" t="s">
        <v>806</v>
      </c>
      <c r="GB133" s="13" t="s">
        <v>806</v>
      </c>
      <c r="GE133" s="13" t="s">
        <v>806</v>
      </c>
      <c r="GF133" s="13" t="s">
        <v>806</v>
      </c>
      <c r="GH133" s="13" t="s">
        <v>806</v>
      </c>
    </row>
    <row r="134" spans="1:190" ht="12.75" customHeight="1" x14ac:dyDescent="0.25">
      <c r="A134" s="1" t="s">
        <v>403</v>
      </c>
      <c r="B134" s="1" t="s">
        <v>747</v>
      </c>
      <c r="C134" s="1" t="s">
        <v>661</v>
      </c>
      <c r="D134" s="1" t="s">
        <v>688</v>
      </c>
      <c r="E134" s="1" t="s">
        <v>127</v>
      </c>
      <c r="F134" s="1">
        <v>0</v>
      </c>
      <c r="G134" s="1">
        <v>2035</v>
      </c>
      <c r="H134" s="1">
        <v>1</v>
      </c>
      <c r="I134" s="1">
        <v>0</v>
      </c>
      <c r="J134" s="1">
        <v>0</v>
      </c>
      <c r="K1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4" s="19">
        <v>854.37</v>
      </c>
      <c r="O134" s="19">
        <v>621.72</v>
      </c>
      <c r="P134" s="19">
        <v>1087.02</v>
      </c>
      <c r="Q134" s="19">
        <v>8.6300000000000008</v>
      </c>
      <c r="R134" s="19">
        <v>6.28</v>
      </c>
      <c r="S134" s="19">
        <v>10.98</v>
      </c>
      <c r="T134" s="19">
        <v>854.37</v>
      </c>
      <c r="U134" s="19">
        <v>621.72</v>
      </c>
      <c r="V134" s="19">
        <v>1087.02</v>
      </c>
      <c r="W134" s="19">
        <v>8.6300000000000008</v>
      </c>
      <c r="X134" s="19">
        <v>6.28</v>
      </c>
      <c r="Y134" s="19">
        <v>10.98</v>
      </c>
      <c r="Z134" s="19">
        <v>552.32000000000005</v>
      </c>
      <c r="AA134" s="19">
        <v>401.92</v>
      </c>
      <c r="AB134" s="19">
        <v>702.72</v>
      </c>
      <c r="AC134" s="19">
        <v>310.68</v>
      </c>
      <c r="AD134" s="19">
        <v>226.08</v>
      </c>
      <c r="AE134" s="19">
        <v>395.28</v>
      </c>
      <c r="AF134" s="19">
        <v>707.66</v>
      </c>
      <c r="AG134" s="19">
        <v>514.96</v>
      </c>
      <c r="AH134" s="19">
        <v>900.36</v>
      </c>
      <c r="AI134" s="19">
        <v>155.34</v>
      </c>
      <c r="AJ134" s="19">
        <v>113.04</v>
      </c>
      <c r="AK134" s="19">
        <v>197.64</v>
      </c>
      <c r="AL134" s="19">
        <v>707.66</v>
      </c>
      <c r="AM134" s="19">
        <v>514.96</v>
      </c>
      <c r="AN134" s="19">
        <v>900.36</v>
      </c>
      <c r="AO134" s="19">
        <v>155.34</v>
      </c>
      <c r="AP134" s="19">
        <v>113.04</v>
      </c>
      <c r="AQ134" s="19">
        <v>197.64</v>
      </c>
      <c r="AR134" s="19">
        <v>457.39</v>
      </c>
      <c r="AS134" s="19">
        <v>332.84</v>
      </c>
      <c r="AT134" s="19">
        <v>581.94000000000005</v>
      </c>
      <c r="AU134" s="19">
        <v>405.61</v>
      </c>
      <c r="AV134" s="19">
        <v>295.16000000000003</v>
      </c>
      <c r="AW134" s="19">
        <v>516.05999999999995</v>
      </c>
      <c r="AX134" s="19">
        <v>854.37</v>
      </c>
      <c r="AY134" s="19">
        <v>621.72</v>
      </c>
      <c r="AZ134" s="19">
        <v>1087.02</v>
      </c>
      <c r="BA134" s="19">
        <v>8.6300000000000008</v>
      </c>
      <c r="BB134" s="19">
        <v>6.28</v>
      </c>
      <c r="BC134" s="19">
        <v>10.98</v>
      </c>
      <c r="BD134" s="19">
        <v>569.58000000000004</v>
      </c>
      <c r="BE134" s="19">
        <v>414.48</v>
      </c>
      <c r="BF134" s="19">
        <v>724.68</v>
      </c>
      <c r="BG134" s="19">
        <v>293.42</v>
      </c>
      <c r="BH134" s="19">
        <v>213.52</v>
      </c>
      <c r="BI134" s="19">
        <v>373.32</v>
      </c>
      <c r="BJ134" s="19">
        <v>371.09</v>
      </c>
      <c r="BK134" s="19">
        <v>270.04000000000002</v>
      </c>
      <c r="BL134" s="19">
        <v>472.14</v>
      </c>
      <c r="BM134" s="19">
        <v>491.91</v>
      </c>
      <c r="BN134" s="19">
        <v>357.96</v>
      </c>
      <c r="BO134" s="19">
        <v>625.86</v>
      </c>
      <c r="BP134" s="19"/>
      <c r="BQ1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4" s="11">
        <f>Tabelle5897112140[[#This Row],[Mindestauslastung min]]*Tabelle5897112140[[#This Row],[installierte Leistung MW min]]</f>
        <v>31.400000000000002</v>
      </c>
      <c r="BU134" s="11">
        <f>Tabelle5897112140[[#This Row],[Mindestauslastung durch]]*Tabelle5897112140[[#This Row],[installierte Leistung MW durch]]</f>
        <v>43.150000000000006</v>
      </c>
      <c r="BV134" s="11">
        <f>Tabelle5897112140[[#This Row],[Mindestauslastung max]]*Tabelle5897112140[[#This Row],[installierte Leistung MW max]]</f>
        <v>54.900000000000006</v>
      </c>
      <c r="BW134" s="9">
        <v>0.05</v>
      </c>
      <c r="BX134" s="9">
        <v>0.05</v>
      </c>
      <c r="BY134" s="9">
        <v>0.05</v>
      </c>
      <c r="BZ134" s="9"/>
      <c r="CA134" s="9">
        <v>0.99</v>
      </c>
      <c r="CB134" s="9">
        <v>0.99</v>
      </c>
      <c r="CC134" s="9">
        <v>0.99</v>
      </c>
      <c r="CD134" s="9">
        <v>0.99</v>
      </c>
      <c r="CE134" s="9">
        <v>0.99</v>
      </c>
      <c r="CF134" s="9">
        <v>0.99</v>
      </c>
      <c r="CG134" s="9">
        <v>0.64</v>
      </c>
      <c r="CH134" s="9">
        <v>0.64</v>
      </c>
      <c r="CI134" s="9">
        <v>0.64</v>
      </c>
      <c r="CJ134" s="9">
        <v>0.82</v>
      </c>
      <c r="CK134" s="9">
        <v>0.82</v>
      </c>
      <c r="CL134" s="9">
        <v>0.82</v>
      </c>
      <c r="CM134" s="9">
        <v>0.82</v>
      </c>
      <c r="CN134" s="9">
        <v>0.82</v>
      </c>
      <c r="CO134" s="9">
        <v>0.82</v>
      </c>
      <c r="CP134" s="9">
        <v>0.53</v>
      </c>
      <c r="CQ134" s="9">
        <v>0.53</v>
      </c>
      <c r="CR134" s="9">
        <v>0.53</v>
      </c>
      <c r="CS134" s="9">
        <v>0.99</v>
      </c>
      <c r="CT134" s="9">
        <v>0.99</v>
      </c>
      <c r="CU134" s="9">
        <v>0.99</v>
      </c>
      <c r="CV134" s="9">
        <v>0.66</v>
      </c>
      <c r="CW134" s="9">
        <v>0.66</v>
      </c>
      <c r="CX134" s="9">
        <v>0.66</v>
      </c>
      <c r="CY134" s="9">
        <v>0.43</v>
      </c>
      <c r="CZ134" s="9">
        <v>0.43</v>
      </c>
      <c r="DA134" s="9">
        <v>0.43</v>
      </c>
      <c r="DB134" s="9">
        <f>MIN(Tabelle5897112140[[#This Row],[Durchschnittsauslastung durch Sommer WTT]:[Durchschnittsauslastung max Winter SFN]])</f>
        <v>0.43</v>
      </c>
      <c r="DC1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4" s="9">
        <f>MAX(Tabelle5897112140[[#This Row],[Durchschnittsauslastung durch Sommer WTT]:[Durchschnittsauslastung max Winter SFN]])</f>
        <v>0.99</v>
      </c>
      <c r="DE134" s="40">
        <f>Tabelle5897112140[[#This Row],[Durchschnittsauslastung min]]*Tabelle5897112140[[#This Row],[installierte Leistung MW min]]</f>
        <v>270.04000000000002</v>
      </c>
      <c r="DF134" s="40">
        <f>Tabelle5897112140[[#This Row],[Durchschnittsauslastung durch]]*Tabelle5897112140[[#This Row],[installierte Leistung MW durch]]</f>
        <v>658.75666666666666</v>
      </c>
      <c r="DG134" s="40">
        <f>Tabelle5897112140[[#This Row],[Durchschnittsauslastung max]]*Tabelle5897112140[[#This Row],[installierte Leistung MW max]]</f>
        <v>1087.02</v>
      </c>
      <c r="DH134" s="46">
        <f>Tabelle5897112140[[#This Row],[Maximalauslastung min]]*Tabelle5897112140[[#This Row],[installierte Leistung MW min]]</f>
        <v>188.4</v>
      </c>
      <c r="DI134" s="46">
        <f>Tabelle5897112140[[#This Row],[Maximalauslastung durch]]*Tabelle5897112140[[#This Row],[installierte Leistung MW durch]]</f>
        <v>284.79000000000002</v>
      </c>
      <c r="DJ134" s="19">
        <f>Tabelle5897112140[[#This Row],[Maximalauslastung max]]*Tabelle5897112140[[#This Row],[installierte Leistung MW durch]]</f>
        <v>310.68</v>
      </c>
      <c r="DK134" s="9">
        <v>0.3</v>
      </c>
      <c r="DL134" s="9">
        <v>0.33</v>
      </c>
      <c r="DM134" s="9">
        <v>0.36</v>
      </c>
      <c r="DN134" s="1">
        <v>863</v>
      </c>
      <c r="DO134" s="1">
        <v>628</v>
      </c>
      <c r="DP134" s="1">
        <v>1098</v>
      </c>
      <c r="DQ134" s="19"/>
      <c r="DR134" s="19"/>
      <c r="DW134" s="1">
        <v>1.05</v>
      </c>
      <c r="DX134" s="1">
        <v>0.5</v>
      </c>
      <c r="DY134" s="1">
        <v>1.9</v>
      </c>
      <c r="EL134" s="1">
        <v>365</v>
      </c>
      <c r="EM134" s="1">
        <v>292</v>
      </c>
      <c r="EN134" s="1">
        <v>438</v>
      </c>
      <c r="EO134" s="11"/>
      <c r="EP134" s="11"/>
      <c r="EQ134" s="11"/>
      <c r="ER134" s="1">
        <v>365</v>
      </c>
      <c r="ES134" s="1">
        <v>292</v>
      </c>
      <c r="ET134" s="1">
        <v>438</v>
      </c>
      <c r="EV134" s="19"/>
      <c r="EW134" s="19"/>
      <c r="EX134" s="19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O134" s="1">
        <v>67</v>
      </c>
      <c r="FP134" s="1">
        <v>67</v>
      </c>
      <c r="FQ134" s="1">
        <v>67</v>
      </c>
      <c r="FR134" s="13" t="s">
        <v>806</v>
      </c>
      <c r="FS134" s="13" t="s">
        <v>806</v>
      </c>
      <c r="FT134" s="13" t="s">
        <v>806</v>
      </c>
      <c r="FU134" s="13"/>
      <c r="FV134" s="13" t="s">
        <v>806</v>
      </c>
      <c r="FW134" s="13" t="s">
        <v>806</v>
      </c>
      <c r="FX134" s="13" t="s">
        <v>806</v>
      </c>
      <c r="FY134" s="13" t="s">
        <v>806</v>
      </c>
      <c r="FZ134" s="13" t="s">
        <v>806</v>
      </c>
      <c r="GA134" s="13" t="s">
        <v>806</v>
      </c>
      <c r="GB134" s="13" t="s">
        <v>806</v>
      </c>
      <c r="GE134" s="13" t="s">
        <v>806</v>
      </c>
      <c r="GF134" s="13" t="s">
        <v>806</v>
      </c>
      <c r="GH134" s="13" t="s">
        <v>806</v>
      </c>
    </row>
    <row r="135" spans="1:190" ht="12.75" customHeight="1" x14ac:dyDescent="0.25">
      <c r="A135" s="1" t="s">
        <v>403</v>
      </c>
      <c r="B135" s="1" t="s">
        <v>747</v>
      </c>
      <c r="C135" s="1" t="s">
        <v>661</v>
      </c>
      <c r="D135" s="1" t="s">
        <v>688</v>
      </c>
      <c r="E135" s="1" t="s">
        <v>127</v>
      </c>
      <c r="F135" s="1">
        <v>0</v>
      </c>
      <c r="G135" s="1">
        <v>2040</v>
      </c>
      <c r="H135" s="1">
        <v>1</v>
      </c>
      <c r="I135" s="1">
        <v>0</v>
      </c>
      <c r="J135" s="1">
        <v>0</v>
      </c>
      <c r="K1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5" s="19">
        <v>854.37</v>
      </c>
      <c r="O135" s="19">
        <v>621.72</v>
      </c>
      <c r="P135" s="19">
        <v>1087.02</v>
      </c>
      <c r="Q135" s="19">
        <v>8.6300000000000008</v>
      </c>
      <c r="R135" s="19">
        <v>6.28</v>
      </c>
      <c r="S135" s="19">
        <v>10.98</v>
      </c>
      <c r="T135" s="19">
        <v>854.37</v>
      </c>
      <c r="U135" s="19">
        <v>621.72</v>
      </c>
      <c r="V135" s="19">
        <v>1087.02</v>
      </c>
      <c r="W135" s="19">
        <v>8.6300000000000008</v>
      </c>
      <c r="X135" s="19">
        <v>6.28</v>
      </c>
      <c r="Y135" s="19">
        <v>10.98</v>
      </c>
      <c r="Z135" s="19">
        <v>552.32000000000005</v>
      </c>
      <c r="AA135" s="19">
        <v>401.92</v>
      </c>
      <c r="AB135" s="19">
        <v>702.72</v>
      </c>
      <c r="AC135" s="19">
        <v>310.68</v>
      </c>
      <c r="AD135" s="19">
        <v>226.08</v>
      </c>
      <c r="AE135" s="19">
        <v>395.28</v>
      </c>
      <c r="AF135" s="19">
        <v>707.66</v>
      </c>
      <c r="AG135" s="19">
        <v>514.96</v>
      </c>
      <c r="AH135" s="19">
        <v>900.36</v>
      </c>
      <c r="AI135" s="19">
        <v>155.34</v>
      </c>
      <c r="AJ135" s="19">
        <v>113.04</v>
      </c>
      <c r="AK135" s="19">
        <v>197.64</v>
      </c>
      <c r="AL135" s="19">
        <v>707.66</v>
      </c>
      <c r="AM135" s="19">
        <v>514.96</v>
      </c>
      <c r="AN135" s="19">
        <v>900.36</v>
      </c>
      <c r="AO135" s="19">
        <v>155.34</v>
      </c>
      <c r="AP135" s="19">
        <v>113.04</v>
      </c>
      <c r="AQ135" s="19">
        <v>197.64</v>
      </c>
      <c r="AR135" s="19">
        <v>457.39</v>
      </c>
      <c r="AS135" s="19">
        <v>332.84</v>
      </c>
      <c r="AT135" s="19">
        <v>581.94000000000005</v>
      </c>
      <c r="AU135" s="19">
        <v>405.61</v>
      </c>
      <c r="AV135" s="19">
        <v>295.16000000000003</v>
      </c>
      <c r="AW135" s="19">
        <v>516.05999999999995</v>
      </c>
      <c r="AX135" s="19">
        <v>854.37</v>
      </c>
      <c r="AY135" s="19">
        <v>621.72</v>
      </c>
      <c r="AZ135" s="19">
        <v>1087.02</v>
      </c>
      <c r="BA135" s="19">
        <v>8.6300000000000008</v>
      </c>
      <c r="BB135" s="19">
        <v>6.28</v>
      </c>
      <c r="BC135" s="19">
        <v>10.98</v>
      </c>
      <c r="BD135" s="19">
        <v>569.58000000000004</v>
      </c>
      <c r="BE135" s="19">
        <v>414.48</v>
      </c>
      <c r="BF135" s="19">
        <v>724.68</v>
      </c>
      <c r="BG135" s="19">
        <v>293.42</v>
      </c>
      <c r="BH135" s="19">
        <v>213.52</v>
      </c>
      <c r="BI135" s="19">
        <v>373.32</v>
      </c>
      <c r="BJ135" s="19">
        <v>371.09</v>
      </c>
      <c r="BK135" s="19">
        <v>270.04000000000002</v>
      </c>
      <c r="BL135" s="19">
        <v>472.14</v>
      </c>
      <c r="BM135" s="19">
        <v>491.91</v>
      </c>
      <c r="BN135" s="19">
        <v>357.96</v>
      </c>
      <c r="BO135" s="19">
        <v>625.86</v>
      </c>
      <c r="BP135" s="19"/>
      <c r="BQ1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5" s="11">
        <f>Tabelle5897112140[[#This Row],[Mindestauslastung min]]*Tabelle5897112140[[#This Row],[installierte Leistung MW min]]</f>
        <v>31.400000000000002</v>
      </c>
      <c r="BU135" s="11">
        <f>Tabelle5897112140[[#This Row],[Mindestauslastung durch]]*Tabelle5897112140[[#This Row],[installierte Leistung MW durch]]</f>
        <v>43.150000000000006</v>
      </c>
      <c r="BV135" s="11">
        <f>Tabelle5897112140[[#This Row],[Mindestauslastung max]]*Tabelle5897112140[[#This Row],[installierte Leistung MW max]]</f>
        <v>54.900000000000006</v>
      </c>
      <c r="BW135" s="9">
        <v>0.05</v>
      </c>
      <c r="BX135" s="9">
        <v>0.05</v>
      </c>
      <c r="BY135" s="9">
        <v>0.05</v>
      </c>
      <c r="BZ135" s="9"/>
      <c r="CA135" s="9">
        <v>0.99</v>
      </c>
      <c r="CB135" s="9">
        <v>0.99</v>
      </c>
      <c r="CC135" s="9">
        <v>0.99</v>
      </c>
      <c r="CD135" s="9">
        <v>0.99</v>
      </c>
      <c r="CE135" s="9">
        <v>0.99</v>
      </c>
      <c r="CF135" s="9">
        <v>0.99</v>
      </c>
      <c r="CG135" s="9">
        <v>0.64</v>
      </c>
      <c r="CH135" s="9">
        <v>0.64</v>
      </c>
      <c r="CI135" s="9">
        <v>0.64</v>
      </c>
      <c r="CJ135" s="9">
        <v>0.82</v>
      </c>
      <c r="CK135" s="9">
        <v>0.82</v>
      </c>
      <c r="CL135" s="9">
        <v>0.82</v>
      </c>
      <c r="CM135" s="9">
        <v>0.82</v>
      </c>
      <c r="CN135" s="9">
        <v>0.82</v>
      </c>
      <c r="CO135" s="9">
        <v>0.82</v>
      </c>
      <c r="CP135" s="9">
        <v>0.53</v>
      </c>
      <c r="CQ135" s="9">
        <v>0.53</v>
      </c>
      <c r="CR135" s="9">
        <v>0.53</v>
      </c>
      <c r="CS135" s="9">
        <v>0.99</v>
      </c>
      <c r="CT135" s="9">
        <v>0.99</v>
      </c>
      <c r="CU135" s="9">
        <v>0.99</v>
      </c>
      <c r="CV135" s="9">
        <v>0.66</v>
      </c>
      <c r="CW135" s="9">
        <v>0.66</v>
      </c>
      <c r="CX135" s="9">
        <v>0.66</v>
      </c>
      <c r="CY135" s="9">
        <v>0.43</v>
      </c>
      <c r="CZ135" s="9">
        <v>0.43</v>
      </c>
      <c r="DA135" s="9">
        <v>0.43</v>
      </c>
      <c r="DB135" s="9">
        <f>MIN(Tabelle5897112140[[#This Row],[Durchschnittsauslastung durch Sommer WTT]:[Durchschnittsauslastung max Winter SFN]])</f>
        <v>0.43</v>
      </c>
      <c r="DC1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5" s="9">
        <f>MAX(Tabelle5897112140[[#This Row],[Durchschnittsauslastung durch Sommer WTT]:[Durchschnittsauslastung max Winter SFN]])</f>
        <v>0.99</v>
      </c>
      <c r="DE135" s="40">
        <f>Tabelle5897112140[[#This Row],[Durchschnittsauslastung min]]*Tabelle5897112140[[#This Row],[installierte Leistung MW min]]</f>
        <v>270.04000000000002</v>
      </c>
      <c r="DF135" s="40">
        <f>Tabelle5897112140[[#This Row],[Durchschnittsauslastung durch]]*Tabelle5897112140[[#This Row],[installierte Leistung MW durch]]</f>
        <v>658.75666666666666</v>
      </c>
      <c r="DG135" s="40">
        <f>Tabelle5897112140[[#This Row],[Durchschnittsauslastung max]]*Tabelle5897112140[[#This Row],[installierte Leistung MW max]]</f>
        <v>1087.02</v>
      </c>
      <c r="DH135" s="46">
        <f>Tabelle5897112140[[#This Row],[Maximalauslastung min]]*Tabelle5897112140[[#This Row],[installierte Leistung MW min]]</f>
        <v>188.4</v>
      </c>
      <c r="DI135" s="46">
        <f>Tabelle5897112140[[#This Row],[Maximalauslastung durch]]*Tabelle5897112140[[#This Row],[installierte Leistung MW durch]]</f>
        <v>284.79000000000002</v>
      </c>
      <c r="DJ135" s="19">
        <f>Tabelle5897112140[[#This Row],[Maximalauslastung max]]*Tabelle5897112140[[#This Row],[installierte Leistung MW durch]]</f>
        <v>310.68</v>
      </c>
      <c r="DK135" s="9">
        <v>0.3</v>
      </c>
      <c r="DL135" s="9">
        <v>0.33</v>
      </c>
      <c r="DM135" s="9">
        <v>0.36</v>
      </c>
      <c r="DN135" s="1">
        <v>863</v>
      </c>
      <c r="DO135" s="1">
        <v>628</v>
      </c>
      <c r="DP135" s="1">
        <v>1098</v>
      </c>
      <c r="DQ135" s="19"/>
      <c r="DR135" s="19"/>
      <c r="DW135" s="1">
        <v>1.05</v>
      </c>
      <c r="DX135" s="1">
        <v>0.5</v>
      </c>
      <c r="DY135" s="1">
        <v>1.9</v>
      </c>
      <c r="EL135" s="1">
        <v>365</v>
      </c>
      <c r="EM135" s="1">
        <v>292</v>
      </c>
      <c r="EN135" s="1">
        <v>438</v>
      </c>
      <c r="EO135" s="11"/>
      <c r="EP135" s="11"/>
      <c r="EQ135" s="11"/>
      <c r="ER135" s="1">
        <v>365</v>
      </c>
      <c r="ES135" s="1">
        <v>292</v>
      </c>
      <c r="ET135" s="1">
        <v>438</v>
      </c>
      <c r="EV135" s="19"/>
      <c r="EW135" s="19"/>
      <c r="EX135" s="19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O135" s="1">
        <v>67</v>
      </c>
      <c r="FP135" s="1">
        <v>67</v>
      </c>
      <c r="FQ135" s="1">
        <v>67</v>
      </c>
      <c r="FR135" s="13" t="s">
        <v>806</v>
      </c>
      <c r="FS135" s="13" t="s">
        <v>806</v>
      </c>
      <c r="FT135" s="13" t="s">
        <v>806</v>
      </c>
      <c r="FU135" s="13"/>
      <c r="FV135" s="13" t="s">
        <v>806</v>
      </c>
      <c r="FW135" s="13" t="s">
        <v>806</v>
      </c>
      <c r="FX135" s="13" t="s">
        <v>806</v>
      </c>
      <c r="FY135" s="13" t="s">
        <v>806</v>
      </c>
      <c r="FZ135" s="13" t="s">
        <v>806</v>
      </c>
      <c r="GA135" s="13" t="s">
        <v>806</v>
      </c>
      <c r="GB135" s="13" t="s">
        <v>806</v>
      </c>
      <c r="GE135" s="13" t="s">
        <v>806</v>
      </c>
      <c r="GF135" s="13" t="s">
        <v>806</v>
      </c>
      <c r="GH135" s="13" t="s">
        <v>806</v>
      </c>
    </row>
    <row r="136" spans="1:190" ht="12.75" customHeight="1" x14ac:dyDescent="0.25">
      <c r="A136" s="1" t="s">
        <v>403</v>
      </c>
      <c r="B136" s="1" t="s">
        <v>747</v>
      </c>
      <c r="C136" s="1" t="s">
        <v>661</v>
      </c>
      <c r="D136" s="1" t="s">
        <v>688</v>
      </c>
      <c r="E136" s="1" t="s">
        <v>127</v>
      </c>
      <c r="F136" s="1">
        <v>0</v>
      </c>
      <c r="G136" s="1">
        <v>2045</v>
      </c>
      <c r="H136" s="1">
        <v>1</v>
      </c>
      <c r="I136" s="1">
        <v>0</v>
      </c>
      <c r="J136" s="1">
        <v>0</v>
      </c>
      <c r="K1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272.74040000000002</v>
      </c>
      <c r="L1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665.34423333333348</v>
      </c>
      <c r="M1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1097.8902</v>
      </c>
      <c r="N136" s="19">
        <v>862.91370000000006</v>
      </c>
      <c r="O136" s="19">
        <v>627.93720000000008</v>
      </c>
      <c r="P136" s="19">
        <v>1097.8902</v>
      </c>
      <c r="Q136" s="19">
        <v>8.7163000000000004</v>
      </c>
      <c r="R136" s="19">
        <v>6.3428000000000004</v>
      </c>
      <c r="S136" s="19">
        <v>11.0898</v>
      </c>
      <c r="T136" s="19">
        <v>862.91370000000006</v>
      </c>
      <c r="U136" s="19">
        <v>627.93720000000008</v>
      </c>
      <c r="V136" s="19">
        <v>1097.8902</v>
      </c>
      <c r="W136" s="19">
        <v>8.7163000000000004</v>
      </c>
      <c r="X136" s="19">
        <v>6.3428000000000004</v>
      </c>
      <c r="Y136" s="19">
        <v>11.0898</v>
      </c>
      <c r="Z136" s="19">
        <v>557.84320000000002</v>
      </c>
      <c r="AA136" s="19">
        <v>405.93920000000003</v>
      </c>
      <c r="AB136" s="19">
        <v>709.74720000000002</v>
      </c>
      <c r="AC136" s="19">
        <v>313.78680000000003</v>
      </c>
      <c r="AD136" s="19">
        <v>228.3408</v>
      </c>
      <c r="AE136" s="19">
        <v>399.2328</v>
      </c>
      <c r="AF136" s="19">
        <v>714.73659999999995</v>
      </c>
      <c r="AG136" s="19">
        <v>520.1096</v>
      </c>
      <c r="AH136" s="19">
        <v>909.36360000000002</v>
      </c>
      <c r="AI136" s="19">
        <v>156.89340000000001</v>
      </c>
      <c r="AJ136" s="19">
        <v>114.1704</v>
      </c>
      <c r="AK136" s="19">
        <v>199.6164</v>
      </c>
      <c r="AL136" s="19">
        <v>714.73659999999995</v>
      </c>
      <c r="AM136" s="19">
        <v>520.1096</v>
      </c>
      <c r="AN136" s="19">
        <v>909.36360000000002</v>
      </c>
      <c r="AO136" s="19">
        <v>156.89340000000001</v>
      </c>
      <c r="AP136" s="19">
        <v>114.1704</v>
      </c>
      <c r="AQ136" s="19">
        <v>199.6164</v>
      </c>
      <c r="AR136" s="19">
        <v>461.96389999999997</v>
      </c>
      <c r="AS136" s="19">
        <v>336.16839999999996</v>
      </c>
      <c r="AT136" s="19">
        <v>587.75940000000003</v>
      </c>
      <c r="AU136" s="19">
        <v>409.66610000000003</v>
      </c>
      <c r="AV136" s="19">
        <v>298.11160000000001</v>
      </c>
      <c r="AW136" s="19">
        <v>521.22059999999999</v>
      </c>
      <c r="AX136" s="19">
        <v>862.91370000000006</v>
      </c>
      <c r="AY136" s="19">
        <v>627.93720000000008</v>
      </c>
      <c r="AZ136" s="19">
        <v>1097.8902</v>
      </c>
      <c r="BA136" s="19">
        <v>8.7163000000000004</v>
      </c>
      <c r="BB136" s="19">
        <v>6.3428000000000004</v>
      </c>
      <c r="BC136" s="19">
        <v>11.0898</v>
      </c>
      <c r="BD136" s="19">
        <v>575.2758</v>
      </c>
      <c r="BE136" s="19">
        <v>418.62480000000005</v>
      </c>
      <c r="BF136" s="19">
        <v>731.92679999999996</v>
      </c>
      <c r="BG136" s="19">
        <v>296.35419999999999</v>
      </c>
      <c r="BH136" s="19">
        <v>215.65520000000001</v>
      </c>
      <c r="BI136" s="19">
        <v>377.0532</v>
      </c>
      <c r="BJ136" s="19">
        <v>374.80089999999996</v>
      </c>
      <c r="BK136" s="19">
        <v>272.74040000000002</v>
      </c>
      <c r="BL136" s="19">
        <v>476.8614</v>
      </c>
      <c r="BM136" s="19">
        <v>496.82910000000004</v>
      </c>
      <c r="BN136" s="19">
        <v>361.53960000000001</v>
      </c>
      <c r="BO136" s="19">
        <v>632.11860000000001</v>
      </c>
      <c r="BP136" s="19"/>
      <c r="BQ1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6.3428000000000004</v>
      </c>
      <c r="BR1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206.28576666666672</v>
      </c>
      <c r="BS1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632.11860000000001</v>
      </c>
      <c r="BT136" s="11">
        <f>Tabelle5897112140[[#This Row],[Mindestauslastung min]]*Tabelle5897112140[[#This Row],[installierte Leistung MW min]]</f>
        <v>31.713999999999999</v>
      </c>
      <c r="BU136" s="11">
        <f>Tabelle5897112140[[#This Row],[Mindestauslastung durch]]*Tabelle5897112140[[#This Row],[installierte Leistung MW durch]]</f>
        <v>43.581500000000005</v>
      </c>
      <c r="BV136" s="11">
        <f>Tabelle5897112140[[#This Row],[Mindestauslastung max]]*Tabelle5897112140[[#This Row],[installierte Leistung MW max]]</f>
        <v>55.449000000000005</v>
      </c>
      <c r="BW136" s="9">
        <v>0.05</v>
      </c>
      <c r="BX136" s="9">
        <v>0.05</v>
      </c>
      <c r="BY136" s="9">
        <v>0.05</v>
      </c>
      <c r="BZ136" s="9"/>
      <c r="CA136" s="9">
        <v>0.99</v>
      </c>
      <c r="CB136" s="9">
        <v>0.99</v>
      </c>
      <c r="CC136" s="9">
        <v>0.99</v>
      </c>
      <c r="CD136" s="9">
        <v>0.99</v>
      </c>
      <c r="CE136" s="9">
        <v>0.99</v>
      </c>
      <c r="CF136" s="9">
        <v>0.99</v>
      </c>
      <c r="CG136" s="9">
        <v>0.64</v>
      </c>
      <c r="CH136" s="9">
        <v>0.64</v>
      </c>
      <c r="CI136" s="9">
        <v>0.64</v>
      </c>
      <c r="CJ136" s="9">
        <v>0.82</v>
      </c>
      <c r="CK136" s="9">
        <v>0.82</v>
      </c>
      <c r="CL136" s="9">
        <v>0.82</v>
      </c>
      <c r="CM136" s="9">
        <v>0.82</v>
      </c>
      <c r="CN136" s="9">
        <v>0.82</v>
      </c>
      <c r="CO136" s="9">
        <v>0.82</v>
      </c>
      <c r="CP136" s="9">
        <v>0.53</v>
      </c>
      <c r="CQ136" s="9">
        <v>0.53</v>
      </c>
      <c r="CR136" s="9">
        <v>0.53</v>
      </c>
      <c r="CS136" s="9">
        <v>0.99</v>
      </c>
      <c r="CT136" s="9">
        <v>0.99</v>
      </c>
      <c r="CU136" s="9">
        <v>0.99</v>
      </c>
      <c r="CV136" s="9">
        <v>0.66</v>
      </c>
      <c r="CW136" s="9">
        <v>0.66</v>
      </c>
      <c r="CX136" s="9">
        <v>0.66</v>
      </c>
      <c r="CY136" s="9">
        <v>0.43</v>
      </c>
      <c r="CZ136" s="9">
        <v>0.43</v>
      </c>
      <c r="DA136" s="9">
        <v>0.43</v>
      </c>
      <c r="DB136" s="9">
        <f>MIN(Tabelle5897112140[[#This Row],[Durchschnittsauslastung durch Sommer WTT]:[Durchschnittsauslastung max Winter SFN]])</f>
        <v>0.43</v>
      </c>
      <c r="DC1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6" s="9">
        <f>MAX(Tabelle5897112140[[#This Row],[Durchschnittsauslastung durch Sommer WTT]:[Durchschnittsauslastung max Winter SFN]])</f>
        <v>0.99</v>
      </c>
      <c r="DE136" s="40">
        <f>Tabelle5897112140[[#This Row],[Durchschnittsauslastung min]]*Tabelle5897112140[[#This Row],[installierte Leistung MW min]]</f>
        <v>272.74039999999997</v>
      </c>
      <c r="DF136" s="40">
        <f>Tabelle5897112140[[#This Row],[Durchschnittsauslastung durch]]*Tabelle5897112140[[#This Row],[installierte Leistung MW durch]]</f>
        <v>665.34423333333336</v>
      </c>
      <c r="DG136" s="40">
        <f>Tabelle5897112140[[#This Row],[Durchschnittsauslastung max]]*Tabelle5897112140[[#This Row],[installierte Leistung MW max]]</f>
        <v>1097.8902</v>
      </c>
      <c r="DH136" s="46">
        <f>Tabelle5897112140[[#This Row],[Maximalauslastung min]]*Tabelle5897112140[[#This Row],[installierte Leistung MW min]]</f>
        <v>190.28399999999999</v>
      </c>
      <c r="DI136" s="46">
        <f>Tabelle5897112140[[#This Row],[Maximalauslastung durch]]*Tabelle5897112140[[#This Row],[installierte Leistung MW durch]]</f>
        <v>287.6379</v>
      </c>
      <c r="DJ136" s="19">
        <f>Tabelle5897112140[[#This Row],[Maximalauslastung max]]*Tabelle5897112140[[#This Row],[installierte Leistung MW durch]]</f>
        <v>313.78679999999997</v>
      </c>
      <c r="DK136" s="9">
        <v>0.3</v>
      </c>
      <c r="DL136" s="9">
        <v>0.33</v>
      </c>
      <c r="DM136" s="9">
        <v>0.36</v>
      </c>
      <c r="DN136" s="1">
        <v>871.63</v>
      </c>
      <c r="DO136" s="1">
        <v>634.28</v>
      </c>
      <c r="DP136" s="1">
        <v>1108.98</v>
      </c>
      <c r="DQ136" s="19"/>
      <c r="DR136" s="19"/>
      <c r="DW136" s="1">
        <v>1.05</v>
      </c>
      <c r="DX136" s="1">
        <v>0.5</v>
      </c>
      <c r="DY136" s="1">
        <v>1.9</v>
      </c>
      <c r="EL136" s="1">
        <v>365</v>
      </c>
      <c r="EM136" s="1">
        <v>292</v>
      </c>
      <c r="EN136" s="1">
        <v>438</v>
      </c>
      <c r="EO136" s="11"/>
      <c r="EP136" s="11"/>
      <c r="EQ136" s="11"/>
      <c r="ER136" s="1">
        <v>365</v>
      </c>
      <c r="ES136" s="1">
        <v>292</v>
      </c>
      <c r="ET136" s="1">
        <v>438</v>
      </c>
      <c r="EV136" s="19"/>
      <c r="EW136" s="19"/>
      <c r="EX136" s="19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O136" s="1">
        <v>67</v>
      </c>
      <c r="FP136" s="1">
        <v>67</v>
      </c>
      <c r="FQ136" s="1">
        <v>67</v>
      </c>
      <c r="FR136" s="13" t="s">
        <v>806</v>
      </c>
      <c r="FS136" s="13" t="s">
        <v>806</v>
      </c>
      <c r="FT136" s="13" t="s">
        <v>806</v>
      </c>
      <c r="FU136" s="13"/>
      <c r="FV136" s="13" t="s">
        <v>806</v>
      </c>
      <c r="FW136" s="13" t="s">
        <v>806</v>
      </c>
      <c r="FX136" s="13" t="s">
        <v>806</v>
      </c>
      <c r="FY136" s="13" t="s">
        <v>806</v>
      </c>
      <c r="FZ136" s="13" t="s">
        <v>806</v>
      </c>
      <c r="GA136" s="13" t="s">
        <v>806</v>
      </c>
      <c r="GB136" s="13" t="s">
        <v>806</v>
      </c>
      <c r="GE136" s="13" t="s">
        <v>806</v>
      </c>
      <c r="GF136" s="13" t="s">
        <v>806</v>
      </c>
      <c r="GH136" s="13" t="s">
        <v>806</v>
      </c>
    </row>
    <row r="137" spans="1:190" ht="12.75" customHeight="1" x14ac:dyDescent="0.25">
      <c r="A137" s="1" t="s">
        <v>403</v>
      </c>
      <c r="B137" s="1" t="s">
        <v>747</v>
      </c>
      <c r="C137" s="1" t="s">
        <v>661</v>
      </c>
      <c r="D137" s="1" t="s">
        <v>688</v>
      </c>
      <c r="E137" s="1" t="s">
        <v>127</v>
      </c>
      <c r="F137" s="1">
        <v>0</v>
      </c>
      <c r="G137" s="1">
        <v>2050</v>
      </c>
      <c r="H137" s="1">
        <v>1</v>
      </c>
      <c r="I137" s="1">
        <v>0</v>
      </c>
      <c r="J137" s="1">
        <v>0</v>
      </c>
      <c r="K1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272.74040000000002</v>
      </c>
      <c r="L1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665.34423333333348</v>
      </c>
      <c r="M1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1097.8902</v>
      </c>
      <c r="N137" s="19">
        <v>862.91370000000006</v>
      </c>
      <c r="O137" s="19">
        <v>627.93720000000008</v>
      </c>
      <c r="P137" s="19">
        <v>1097.8902</v>
      </c>
      <c r="Q137" s="19">
        <v>8.7163000000000004</v>
      </c>
      <c r="R137" s="19">
        <v>6.3428000000000004</v>
      </c>
      <c r="S137" s="19">
        <v>11.0898</v>
      </c>
      <c r="T137" s="19">
        <v>862.91370000000006</v>
      </c>
      <c r="U137" s="19">
        <v>627.93720000000008</v>
      </c>
      <c r="V137" s="19">
        <v>1097.8902</v>
      </c>
      <c r="W137" s="19">
        <v>8.7163000000000004</v>
      </c>
      <c r="X137" s="19">
        <v>6.3428000000000004</v>
      </c>
      <c r="Y137" s="19">
        <v>11.0898</v>
      </c>
      <c r="Z137" s="19">
        <v>557.84320000000002</v>
      </c>
      <c r="AA137" s="19">
        <v>405.93920000000003</v>
      </c>
      <c r="AB137" s="19">
        <v>709.74720000000002</v>
      </c>
      <c r="AC137" s="19">
        <v>313.78680000000003</v>
      </c>
      <c r="AD137" s="19">
        <v>228.3408</v>
      </c>
      <c r="AE137" s="19">
        <v>399.2328</v>
      </c>
      <c r="AF137" s="19">
        <v>714.73659999999995</v>
      </c>
      <c r="AG137" s="19">
        <v>520.1096</v>
      </c>
      <c r="AH137" s="19">
        <v>909.36360000000002</v>
      </c>
      <c r="AI137" s="19">
        <v>156.89340000000001</v>
      </c>
      <c r="AJ137" s="19">
        <v>114.1704</v>
      </c>
      <c r="AK137" s="19">
        <v>199.6164</v>
      </c>
      <c r="AL137" s="19">
        <v>714.73659999999995</v>
      </c>
      <c r="AM137" s="19">
        <v>520.1096</v>
      </c>
      <c r="AN137" s="19">
        <v>909.36360000000002</v>
      </c>
      <c r="AO137" s="19">
        <v>156.89340000000001</v>
      </c>
      <c r="AP137" s="19">
        <v>114.1704</v>
      </c>
      <c r="AQ137" s="19">
        <v>199.6164</v>
      </c>
      <c r="AR137" s="19">
        <v>461.96389999999997</v>
      </c>
      <c r="AS137" s="19">
        <v>336.16839999999996</v>
      </c>
      <c r="AT137" s="19">
        <v>587.75940000000003</v>
      </c>
      <c r="AU137" s="19">
        <v>409.66610000000003</v>
      </c>
      <c r="AV137" s="19">
        <v>298.11160000000001</v>
      </c>
      <c r="AW137" s="19">
        <v>521.22059999999999</v>
      </c>
      <c r="AX137" s="19">
        <v>862.91370000000006</v>
      </c>
      <c r="AY137" s="19">
        <v>627.93720000000008</v>
      </c>
      <c r="AZ137" s="19">
        <v>1097.8902</v>
      </c>
      <c r="BA137" s="19">
        <v>8.7163000000000004</v>
      </c>
      <c r="BB137" s="19">
        <v>6.3428000000000004</v>
      </c>
      <c r="BC137" s="19">
        <v>11.0898</v>
      </c>
      <c r="BD137" s="19">
        <v>575.2758</v>
      </c>
      <c r="BE137" s="19">
        <v>418.62480000000005</v>
      </c>
      <c r="BF137" s="19">
        <v>731.92679999999996</v>
      </c>
      <c r="BG137" s="19">
        <v>296.35419999999999</v>
      </c>
      <c r="BH137" s="19">
        <v>215.65520000000001</v>
      </c>
      <c r="BI137" s="19">
        <v>377.0532</v>
      </c>
      <c r="BJ137" s="19">
        <v>374.80089999999996</v>
      </c>
      <c r="BK137" s="19">
        <v>272.74040000000002</v>
      </c>
      <c r="BL137" s="19">
        <v>476.8614</v>
      </c>
      <c r="BM137" s="19">
        <v>496.82910000000004</v>
      </c>
      <c r="BN137" s="19">
        <v>361.53960000000001</v>
      </c>
      <c r="BO137" s="19">
        <v>632.11860000000001</v>
      </c>
      <c r="BP137" s="19"/>
      <c r="BQ1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6.3428000000000004</v>
      </c>
      <c r="BR1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206.28576666666672</v>
      </c>
      <c r="BS1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632.11860000000001</v>
      </c>
      <c r="BT137" s="11">
        <f>Tabelle5897112140[[#This Row],[Mindestauslastung min]]*Tabelle5897112140[[#This Row],[installierte Leistung MW min]]</f>
        <v>31.713999999999999</v>
      </c>
      <c r="BU137" s="11">
        <f>Tabelle5897112140[[#This Row],[Mindestauslastung durch]]*Tabelle5897112140[[#This Row],[installierte Leistung MW durch]]</f>
        <v>43.581500000000005</v>
      </c>
      <c r="BV137" s="11">
        <f>Tabelle5897112140[[#This Row],[Mindestauslastung max]]*Tabelle5897112140[[#This Row],[installierte Leistung MW max]]</f>
        <v>55.449000000000005</v>
      </c>
      <c r="BW137" s="9">
        <v>0.05</v>
      </c>
      <c r="BX137" s="9">
        <v>0.05</v>
      </c>
      <c r="BY137" s="9">
        <v>0.05</v>
      </c>
      <c r="BZ137" s="9"/>
      <c r="CA137" s="9">
        <v>0.99</v>
      </c>
      <c r="CB137" s="9">
        <v>0.99</v>
      </c>
      <c r="CC137" s="9">
        <v>0.99</v>
      </c>
      <c r="CD137" s="9">
        <v>0.99</v>
      </c>
      <c r="CE137" s="9">
        <v>0.99</v>
      </c>
      <c r="CF137" s="9">
        <v>0.99</v>
      </c>
      <c r="CG137" s="9">
        <v>0.64</v>
      </c>
      <c r="CH137" s="9">
        <v>0.64</v>
      </c>
      <c r="CI137" s="9">
        <v>0.64</v>
      </c>
      <c r="CJ137" s="9">
        <v>0.82</v>
      </c>
      <c r="CK137" s="9">
        <v>0.82</v>
      </c>
      <c r="CL137" s="9">
        <v>0.82</v>
      </c>
      <c r="CM137" s="9">
        <v>0.82</v>
      </c>
      <c r="CN137" s="9">
        <v>0.82</v>
      </c>
      <c r="CO137" s="9">
        <v>0.82</v>
      </c>
      <c r="CP137" s="9">
        <v>0.53</v>
      </c>
      <c r="CQ137" s="9">
        <v>0.53</v>
      </c>
      <c r="CR137" s="9">
        <v>0.53</v>
      </c>
      <c r="CS137" s="9">
        <v>0.99</v>
      </c>
      <c r="CT137" s="9">
        <v>0.99</v>
      </c>
      <c r="CU137" s="9">
        <v>0.99</v>
      </c>
      <c r="CV137" s="9">
        <v>0.66</v>
      </c>
      <c r="CW137" s="9">
        <v>0.66</v>
      </c>
      <c r="CX137" s="9">
        <v>0.66</v>
      </c>
      <c r="CY137" s="9">
        <v>0.43</v>
      </c>
      <c r="CZ137" s="9">
        <v>0.43</v>
      </c>
      <c r="DA137" s="9">
        <v>0.43</v>
      </c>
      <c r="DB137" s="9">
        <f>MIN(Tabelle5897112140[[#This Row],[Durchschnittsauslastung durch Sommer WTT]:[Durchschnittsauslastung max Winter SFN]])</f>
        <v>0.43</v>
      </c>
      <c r="DC1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7" s="9">
        <f>MAX(Tabelle5897112140[[#This Row],[Durchschnittsauslastung durch Sommer WTT]:[Durchschnittsauslastung max Winter SFN]])</f>
        <v>0.99</v>
      </c>
      <c r="DE137" s="40">
        <f>Tabelle5897112140[[#This Row],[Durchschnittsauslastung min]]*Tabelle5897112140[[#This Row],[installierte Leistung MW min]]</f>
        <v>272.74039999999997</v>
      </c>
      <c r="DF137" s="40">
        <f>Tabelle5897112140[[#This Row],[Durchschnittsauslastung durch]]*Tabelle5897112140[[#This Row],[installierte Leistung MW durch]]</f>
        <v>665.34423333333336</v>
      </c>
      <c r="DG137" s="40">
        <f>Tabelle5897112140[[#This Row],[Durchschnittsauslastung max]]*Tabelle5897112140[[#This Row],[installierte Leistung MW max]]</f>
        <v>1097.8902</v>
      </c>
      <c r="DH137" s="46">
        <f>Tabelle5897112140[[#This Row],[Maximalauslastung min]]*Tabelle5897112140[[#This Row],[installierte Leistung MW min]]</f>
        <v>190.28399999999999</v>
      </c>
      <c r="DI137" s="46">
        <f>Tabelle5897112140[[#This Row],[Maximalauslastung durch]]*Tabelle5897112140[[#This Row],[installierte Leistung MW durch]]</f>
        <v>287.6379</v>
      </c>
      <c r="DJ137" s="19">
        <f>Tabelle5897112140[[#This Row],[Maximalauslastung max]]*Tabelle5897112140[[#This Row],[installierte Leistung MW durch]]</f>
        <v>313.78679999999997</v>
      </c>
      <c r="DK137" s="9">
        <v>0.3</v>
      </c>
      <c r="DL137" s="9">
        <v>0.33</v>
      </c>
      <c r="DM137" s="9">
        <v>0.36</v>
      </c>
      <c r="DN137" s="1">
        <v>871.63</v>
      </c>
      <c r="DO137" s="1">
        <v>634.28</v>
      </c>
      <c r="DP137" s="1">
        <v>1108.98</v>
      </c>
      <c r="DQ137" s="19"/>
      <c r="DR137" s="19"/>
      <c r="DW137" s="1">
        <v>1.05</v>
      </c>
      <c r="DX137" s="1">
        <v>0.5</v>
      </c>
      <c r="DY137" s="1">
        <v>1.9</v>
      </c>
      <c r="EL137" s="1">
        <v>365</v>
      </c>
      <c r="EM137" s="1">
        <v>292</v>
      </c>
      <c r="EN137" s="1">
        <v>438</v>
      </c>
      <c r="EO137" s="11"/>
      <c r="EP137" s="11"/>
      <c r="EQ137" s="11"/>
      <c r="ER137" s="1">
        <v>365</v>
      </c>
      <c r="ES137" s="1">
        <v>292</v>
      </c>
      <c r="ET137" s="1">
        <v>438</v>
      </c>
      <c r="EV137" s="19"/>
      <c r="EW137" s="19"/>
      <c r="EX137" s="19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O137" s="1">
        <v>67</v>
      </c>
      <c r="FP137" s="1">
        <v>67</v>
      </c>
      <c r="FQ137" s="1">
        <v>67</v>
      </c>
      <c r="FR137" s="13" t="s">
        <v>806</v>
      </c>
      <c r="FS137" s="13" t="s">
        <v>806</v>
      </c>
      <c r="FT137" s="13" t="s">
        <v>806</v>
      </c>
      <c r="FU137" s="13"/>
      <c r="FV137" s="13" t="s">
        <v>806</v>
      </c>
      <c r="FW137" s="13" t="s">
        <v>806</v>
      </c>
      <c r="FX137" s="13" t="s">
        <v>806</v>
      </c>
      <c r="FY137" s="13" t="s">
        <v>806</v>
      </c>
      <c r="FZ137" s="13" t="s">
        <v>806</v>
      </c>
      <c r="GA137" s="13" t="s">
        <v>806</v>
      </c>
      <c r="GB137" s="13" t="s">
        <v>806</v>
      </c>
      <c r="GE137" s="13" t="s">
        <v>806</v>
      </c>
      <c r="GF137" s="13" t="s">
        <v>806</v>
      </c>
      <c r="GH137" s="13" t="s">
        <v>806</v>
      </c>
    </row>
    <row r="138" spans="1:190" ht="12.75" customHeight="1" x14ac:dyDescent="0.25">
      <c r="A138" s="1" t="s">
        <v>208</v>
      </c>
      <c r="B138" s="1" t="s">
        <v>651</v>
      </c>
      <c r="C138" s="1" t="s">
        <v>661</v>
      </c>
      <c r="D138" s="1" t="s">
        <v>689</v>
      </c>
      <c r="E138" s="1" t="s">
        <v>127</v>
      </c>
      <c r="F138" s="1">
        <v>0</v>
      </c>
      <c r="G138" s="1">
        <v>2015</v>
      </c>
      <c r="H138" s="1">
        <v>1</v>
      </c>
      <c r="I138" s="1">
        <v>0</v>
      </c>
      <c r="J138" s="1">
        <v>0</v>
      </c>
      <c r="K13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3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3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38" s="19">
        <v>110.88</v>
      </c>
      <c r="O138" s="19">
        <v>58.96</v>
      </c>
      <c r="P138" s="19">
        <v>178.16</v>
      </c>
      <c r="Q138" s="19">
        <v>1.98</v>
      </c>
      <c r="R138" s="19">
        <v>0</v>
      </c>
      <c r="S138" s="19">
        <v>47.16</v>
      </c>
      <c r="T138" s="19">
        <v>110.88</v>
      </c>
      <c r="U138" s="19">
        <v>58.96</v>
      </c>
      <c r="V138" s="19">
        <v>178.16</v>
      </c>
      <c r="W138" s="19">
        <v>1.98</v>
      </c>
      <c r="X138" s="19">
        <v>0</v>
      </c>
      <c r="Y138" s="19">
        <v>47.16</v>
      </c>
      <c r="Z138" s="19">
        <v>19.8</v>
      </c>
      <c r="AA138" s="19">
        <v>4.0199999999999996</v>
      </c>
      <c r="AB138" s="19">
        <v>44.54</v>
      </c>
      <c r="AC138" s="19">
        <v>93.06</v>
      </c>
      <c r="AD138" s="19">
        <v>46.9</v>
      </c>
      <c r="AE138" s="19">
        <v>154.58000000000001</v>
      </c>
      <c r="AF138" s="19">
        <v>110.88</v>
      </c>
      <c r="AG138" s="19">
        <v>58.96</v>
      </c>
      <c r="AH138" s="19">
        <v>178.16</v>
      </c>
      <c r="AI138" s="19">
        <v>1.98</v>
      </c>
      <c r="AJ138" s="19">
        <v>0</v>
      </c>
      <c r="AK138" s="19">
        <v>47.16</v>
      </c>
      <c r="AL138" s="19">
        <v>110.88</v>
      </c>
      <c r="AM138" s="19">
        <v>58.96</v>
      </c>
      <c r="AN138" s="19">
        <v>178.16</v>
      </c>
      <c r="AO138" s="19">
        <v>1.98</v>
      </c>
      <c r="AP138" s="19">
        <v>0</v>
      </c>
      <c r="AQ138" s="19">
        <v>47.16</v>
      </c>
      <c r="AR138" s="19">
        <v>19.8</v>
      </c>
      <c r="AS138" s="19">
        <v>4.0199999999999996</v>
      </c>
      <c r="AT138" s="19">
        <v>44.54</v>
      </c>
      <c r="AU138" s="19">
        <v>93.06</v>
      </c>
      <c r="AV138" s="19">
        <v>46.9</v>
      </c>
      <c r="AW138" s="19">
        <v>154.58000000000001</v>
      </c>
      <c r="AX138" s="19">
        <v>110.88</v>
      </c>
      <c r="AY138" s="19">
        <v>58.96</v>
      </c>
      <c r="AZ138" s="19">
        <v>178.16</v>
      </c>
      <c r="BA138" s="19">
        <v>1.98</v>
      </c>
      <c r="BB138" s="19">
        <v>0</v>
      </c>
      <c r="BC138" s="19">
        <v>47.16</v>
      </c>
      <c r="BD138" s="19">
        <v>110.88</v>
      </c>
      <c r="BE138" s="19">
        <v>58.96</v>
      </c>
      <c r="BF138" s="19">
        <v>178.16</v>
      </c>
      <c r="BG138" s="19">
        <v>1.98</v>
      </c>
      <c r="BH138" s="19">
        <v>0</v>
      </c>
      <c r="BI138" s="19">
        <v>47.16</v>
      </c>
      <c r="BJ138" s="19">
        <v>19.8</v>
      </c>
      <c r="BK138" s="19">
        <v>4.0199999999999996</v>
      </c>
      <c r="BL138" s="19">
        <v>44.54</v>
      </c>
      <c r="BM138" s="19">
        <v>93.06</v>
      </c>
      <c r="BN138" s="19">
        <v>46.9</v>
      </c>
      <c r="BO138" s="19">
        <v>154.58000000000001</v>
      </c>
      <c r="BP138" s="19"/>
      <c r="BQ13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3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3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38" s="11">
        <f>Tabelle5897112140[[#This Row],[Mindestauslastung min]]*Tabelle5897112140[[#This Row],[installierte Leistung MW min]]</f>
        <v>0</v>
      </c>
      <c r="BU138" s="11">
        <f>Tabelle5897112140[[#This Row],[Mindestauslastung durch]]*Tabelle5897112140[[#This Row],[installierte Leistung MW durch]]</f>
        <v>0</v>
      </c>
      <c r="BV138" s="11">
        <f>Tabelle5897112140[[#This Row],[Mindestauslastung max]]*Tabelle5897112140[[#This Row],[installierte Leistung MW max]]</f>
        <v>0</v>
      </c>
      <c r="BW138" s="9">
        <v>0</v>
      </c>
      <c r="BX138" s="9">
        <v>0</v>
      </c>
      <c r="BY138" s="9">
        <v>0</v>
      </c>
      <c r="BZ138" s="9"/>
      <c r="CA138" s="9">
        <v>0.7</v>
      </c>
      <c r="CB138" s="9">
        <v>0.6</v>
      </c>
      <c r="CC138" s="9">
        <v>0.8</v>
      </c>
      <c r="CD138" s="9">
        <v>0.7</v>
      </c>
      <c r="CE138" s="9">
        <v>0.6</v>
      </c>
      <c r="CF138" s="9">
        <v>0.8</v>
      </c>
      <c r="CG138" s="9">
        <v>0.24</v>
      </c>
      <c r="CH138" s="9">
        <v>0.19</v>
      </c>
      <c r="CI138" s="9">
        <v>0.28999999999999998</v>
      </c>
      <c r="CJ138" s="9">
        <v>0.7</v>
      </c>
      <c r="CK138" s="9">
        <v>0.6</v>
      </c>
      <c r="CL138" s="9">
        <v>0.8</v>
      </c>
      <c r="CM138" s="9">
        <v>0.7</v>
      </c>
      <c r="CN138" s="9">
        <v>0.6</v>
      </c>
      <c r="CO138" s="9">
        <v>0.8</v>
      </c>
      <c r="CP138" s="9">
        <v>0.24</v>
      </c>
      <c r="CQ138" s="9">
        <v>0.19</v>
      </c>
      <c r="CR138" s="9">
        <v>0.28999999999999998</v>
      </c>
      <c r="CS138" s="9">
        <v>0.7</v>
      </c>
      <c r="CT138" s="9">
        <v>0.6</v>
      </c>
      <c r="CU138" s="9">
        <v>0.8</v>
      </c>
      <c r="CV138" s="9">
        <v>0.7</v>
      </c>
      <c r="CW138" s="9">
        <v>0.6</v>
      </c>
      <c r="CX138" s="9">
        <v>0.8</v>
      </c>
      <c r="CY138" s="9">
        <v>0.24</v>
      </c>
      <c r="CZ138" s="9">
        <v>0.19</v>
      </c>
      <c r="DA138" s="9">
        <v>0.28999999999999998</v>
      </c>
      <c r="DB138" s="9">
        <f>MIN(Tabelle5897112140[[#This Row],[Durchschnittsauslastung durch Sommer WTT]:[Durchschnittsauslastung max Winter SFN]])</f>
        <v>0.19</v>
      </c>
      <c r="DC13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38" s="9">
        <f>MAX(Tabelle5897112140[[#This Row],[Durchschnittsauslastung durch Sommer WTT]:[Durchschnittsauslastung max Winter SFN]])</f>
        <v>0.8</v>
      </c>
      <c r="DE138" s="40">
        <f>Tabelle5897112140[[#This Row],[Durchschnittsauslastung min]]*Tabelle5897112140[[#This Row],[installierte Leistung MW min]]</f>
        <v>25.46</v>
      </c>
      <c r="DF138" s="40">
        <f>Tabelle5897112140[[#This Row],[Durchschnittsauslastung durch]]*Tabelle5897112140[[#This Row],[installierte Leistung MW durch]]</f>
        <v>108.24000000000001</v>
      </c>
      <c r="DG138" s="40">
        <f>Tabelle5897112140[[#This Row],[Durchschnittsauslastung max]]*Tabelle5897112140[[#This Row],[installierte Leistung MW max]]</f>
        <v>209.60000000000002</v>
      </c>
      <c r="DH138" s="46">
        <f>Tabelle5897112140[[#This Row],[Maximalauslastung min]]*Tabelle5897112140[[#This Row],[installierte Leistung MW min]]</f>
        <v>40.199999999999996</v>
      </c>
      <c r="DI138" s="46">
        <f>Tabelle5897112140[[#This Row],[Maximalauslastung durch]]*Tabelle5897112140[[#This Row],[installierte Leistung MW durch]]</f>
        <v>65.34</v>
      </c>
      <c r="DJ138" s="19">
        <f>Tabelle5897112140[[#This Row],[Maximalauslastung max]]*Tabelle5897112140[[#This Row],[installierte Leistung MW durch]]</f>
        <v>71.28</v>
      </c>
      <c r="DK138" s="9">
        <v>0.3</v>
      </c>
      <c r="DL138" s="9">
        <v>0.33</v>
      </c>
      <c r="DM138" s="9">
        <v>0.36</v>
      </c>
      <c r="DN138" s="1">
        <v>198</v>
      </c>
      <c r="DO138" s="1">
        <v>134</v>
      </c>
      <c r="DP138" s="1">
        <v>262</v>
      </c>
      <c r="DQ138" s="19"/>
      <c r="DR138" s="19"/>
      <c r="DW138" s="1">
        <v>1.4</v>
      </c>
      <c r="DX138" s="1">
        <v>1.2</v>
      </c>
      <c r="DY138" s="1">
        <v>1.6</v>
      </c>
      <c r="EL138" s="1">
        <v>365</v>
      </c>
      <c r="EM138" s="1">
        <v>292</v>
      </c>
      <c r="EN138" s="1">
        <v>438</v>
      </c>
      <c r="EO138" s="11"/>
      <c r="EP138" s="11"/>
      <c r="EQ138" s="11"/>
      <c r="ER138" s="1">
        <v>365</v>
      </c>
      <c r="ES138" s="1">
        <v>292</v>
      </c>
      <c r="ET138" s="1">
        <v>438</v>
      </c>
      <c r="EV138" s="19"/>
      <c r="EW138" s="19"/>
      <c r="EX138" s="19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O138" s="1">
        <v>67</v>
      </c>
      <c r="FP138" s="1">
        <v>67</v>
      </c>
      <c r="FQ138" s="1">
        <v>67</v>
      </c>
      <c r="FR138" s="13" t="s">
        <v>806</v>
      </c>
      <c r="FS138" s="13" t="s">
        <v>806</v>
      </c>
      <c r="FT138" s="13" t="s">
        <v>806</v>
      </c>
      <c r="FU138" s="13"/>
      <c r="FV138" s="13" t="s">
        <v>806</v>
      </c>
      <c r="FW138" s="13" t="s">
        <v>806</v>
      </c>
      <c r="FX138" s="13" t="s">
        <v>806</v>
      </c>
      <c r="FY138" s="13" t="s">
        <v>806</v>
      </c>
      <c r="FZ138" s="13" t="s">
        <v>806</v>
      </c>
      <c r="GA138" s="13" t="s">
        <v>806</v>
      </c>
      <c r="GB138" s="13" t="s">
        <v>806</v>
      </c>
      <c r="GE138" s="13" t="s">
        <v>806</v>
      </c>
      <c r="GF138" s="13" t="s">
        <v>806</v>
      </c>
      <c r="GH138" s="13" t="s">
        <v>806</v>
      </c>
    </row>
    <row r="139" spans="1:190" ht="12.75" customHeight="1" x14ac:dyDescent="0.25">
      <c r="A139" s="1" t="s">
        <v>208</v>
      </c>
      <c r="B139" s="1" t="s">
        <v>651</v>
      </c>
      <c r="C139" s="1" t="s">
        <v>661</v>
      </c>
      <c r="D139" s="1" t="s">
        <v>689</v>
      </c>
      <c r="E139" s="1" t="s">
        <v>127</v>
      </c>
      <c r="F139" s="1">
        <v>0</v>
      </c>
      <c r="G139" s="1">
        <v>2020</v>
      </c>
      <c r="H139" s="1">
        <v>1</v>
      </c>
      <c r="I139" s="1">
        <v>0</v>
      </c>
      <c r="J139" s="1">
        <v>0</v>
      </c>
      <c r="K13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3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3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39" s="19">
        <v>110.88</v>
      </c>
      <c r="O139" s="19">
        <v>58.96</v>
      </c>
      <c r="P139" s="19">
        <v>178.16</v>
      </c>
      <c r="Q139" s="19">
        <v>1.98</v>
      </c>
      <c r="R139" s="19">
        <v>0</v>
      </c>
      <c r="S139" s="19">
        <v>47.16</v>
      </c>
      <c r="T139" s="19">
        <v>110.88</v>
      </c>
      <c r="U139" s="19">
        <v>58.96</v>
      </c>
      <c r="V139" s="19">
        <v>178.16</v>
      </c>
      <c r="W139" s="19">
        <v>1.98</v>
      </c>
      <c r="X139" s="19">
        <v>0</v>
      </c>
      <c r="Y139" s="19">
        <v>47.16</v>
      </c>
      <c r="Z139" s="19">
        <v>19.8</v>
      </c>
      <c r="AA139" s="19">
        <v>4.0199999999999996</v>
      </c>
      <c r="AB139" s="19">
        <v>44.54</v>
      </c>
      <c r="AC139" s="19">
        <v>93.06</v>
      </c>
      <c r="AD139" s="19">
        <v>46.9</v>
      </c>
      <c r="AE139" s="19">
        <v>154.58000000000001</v>
      </c>
      <c r="AF139" s="19">
        <v>110.88</v>
      </c>
      <c r="AG139" s="19">
        <v>58.96</v>
      </c>
      <c r="AH139" s="19">
        <v>178.16</v>
      </c>
      <c r="AI139" s="19">
        <v>1.98</v>
      </c>
      <c r="AJ139" s="19">
        <v>0</v>
      </c>
      <c r="AK139" s="19">
        <v>47.16</v>
      </c>
      <c r="AL139" s="19">
        <v>110.88</v>
      </c>
      <c r="AM139" s="19">
        <v>58.96</v>
      </c>
      <c r="AN139" s="19">
        <v>178.16</v>
      </c>
      <c r="AO139" s="19">
        <v>1.98</v>
      </c>
      <c r="AP139" s="19">
        <v>0</v>
      </c>
      <c r="AQ139" s="19">
        <v>47.16</v>
      </c>
      <c r="AR139" s="19">
        <v>19.8</v>
      </c>
      <c r="AS139" s="19">
        <v>4.0199999999999996</v>
      </c>
      <c r="AT139" s="19">
        <v>44.54</v>
      </c>
      <c r="AU139" s="19">
        <v>93.06</v>
      </c>
      <c r="AV139" s="19">
        <v>46.9</v>
      </c>
      <c r="AW139" s="19">
        <v>154.58000000000001</v>
      </c>
      <c r="AX139" s="19">
        <v>110.88</v>
      </c>
      <c r="AY139" s="19">
        <v>58.96</v>
      </c>
      <c r="AZ139" s="19">
        <v>178.16</v>
      </c>
      <c r="BA139" s="19">
        <v>1.98</v>
      </c>
      <c r="BB139" s="19">
        <v>0</v>
      </c>
      <c r="BC139" s="19">
        <v>47.16</v>
      </c>
      <c r="BD139" s="19">
        <v>110.88</v>
      </c>
      <c r="BE139" s="19">
        <v>58.96</v>
      </c>
      <c r="BF139" s="19">
        <v>178.16</v>
      </c>
      <c r="BG139" s="19">
        <v>1.98</v>
      </c>
      <c r="BH139" s="19">
        <v>0</v>
      </c>
      <c r="BI139" s="19">
        <v>47.16</v>
      </c>
      <c r="BJ139" s="19">
        <v>19.8</v>
      </c>
      <c r="BK139" s="19">
        <v>4.0199999999999996</v>
      </c>
      <c r="BL139" s="19">
        <v>44.54</v>
      </c>
      <c r="BM139" s="19">
        <v>93.06</v>
      </c>
      <c r="BN139" s="19">
        <v>46.9</v>
      </c>
      <c r="BO139" s="19">
        <v>154.58000000000001</v>
      </c>
      <c r="BP139" s="19"/>
      <c r="BQ13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3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3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39" s="11">
        <f>Tabelle5897112140[[#This Row],[Mindestauslastung min]]*Tabelle5897112140[[#This Row],[installierte Leistung MW min]]</f>
        <v>0</v>
      </c>
      <c r="BU139" s="11">
        <f>Tabelle5897112140[[#This Row],[Mindestauslastung durch]]*Tabelle5897112140[[#This Row],[installierte Leistung MW durch]]</f>
        <v>0</v>
      </c>
      <c r="BV139" s="11">
        <f>Tabelle5897112140[[#This Row],[Mindestauslastung max]]*Tabelle5897112140[[#This Row],[installierte Leistung MW max]]</f>
        <v>0</v>
      </c>
      <c r="BW139" s="9">
        <v>0</v>
      </c>
      <c r="BX139" s="9">
        <v>0</v>
      </c>
      <c r="BY139" s="9">
        <v>0</v>
      </c>
      <c r="BZ139" s="9"/>
      <c r="CA139" s="9">
        <v>0.7</v>
      </c>
      <c r="CB139" s="9">
        <v>0.6</v>
      </c>
      <c r="CC139" s="9">
        <v>0.8</v>
      </c>
      <c r="CD139" s="9">
        <v>0.7</v>
      </c>
      <c r="CE139" s="9">
        <v>0.6</v>
      </c>
      <c r="CF139" s="9">
        <v>0.8</v>
      </c>
      <c r="CG139" s="9">
        <v>0.24</v>
      </c>
      <c r="CH139" s="9">
        <v>0.19</v>
      </c>
      <c r="CI139" s="9">
        <v>0.28999999999999998</v>
      </c>
      <c r="CJ139" s="9">
        <v>0.7</v>
      </c>
      <c r="CK139" s="9">
        <v>0.6</v>
      </c>
      <c r="CL139" s="9">
        <v>0.8</v>
      </c>
      <c r="CM139" s="9">
        <v>0.7</v>
      </c>
      <c r="CN139" s="9">
        <v>0.6</v>
      </c>
      <c r="CO139" s="9">
        <v>0.8</v>
      </c>
      <c r="CP139" s="9">
        <v>0.24</v>
      </c>
      <c r="CQ139" s="9">
        <v>0.19</v>
      </c>
      <c r="CR139" s="9">
        <v>0.28999999999999998</v>
      </c>
      <c r="CS139" s="9">
        <v>0.7</v>
      </c>
      <c r="CT139" s="9">
        <v>0.6</v>
      </c>
      <c r="CU139" s="9">
        <v>0.8</v>
      </c>
      <c r="CV139" s="9">
        <v>0.7</v>
      </c>
      <c r="CW139" s="9">
        <v>0.6</v>
      </c>
      <c r="CX139" s="9">
        <v>0.8</v>
      </c>
      <c r="CY139" s="9">
        <v>0.24</v>
      </c>
      <c r="CZ139" s="9">
        <v>0.19</v>
      </c>
      <c r="DA139" s="9">
        <v>0.28999999999999998</v>
      </c>
      <c r="DB139" s="9">
        <f>MIN(Tabelle5897112140[[#This Row],[Durchschnittsauslastung durch Sommer WTT]:[Durchschnittsauslastung max Winter SFN]])</f>
        <v>0.19</v>
      </c>
      <c r="DC13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39" s="9">
        <f>MAX(Tabelle5897112140[[#This Row],[Durchschnittsauslastung durch Sommer WTT]:[Durchschnittsauslastung max Winter SFN]])</f>
        <v>0.8</v>
      </c>
      <c r="DE139" s="40">
        <f>Tabelle5897112140[[#This Row],[Durchschnittsauslastung min]]*Tabelle5897112140[[#This Row],[installierte Leistung MW min]]</f>
        <v>25.46</v>
      </c>
      <c r="DF139" s="40">
        <f>Tabelle5897112140[[#This Row],[Durchschnittsauslastung durch]]*Tabelle5897112140[[#This Row],[installierte Leistung MW durch]]</f>
        <v>108.24000000000001</v>
      </c>
      <c r="DG139" s="40">
        <f>Tabelle5897112140[[#This Row],[Durchschnittsauslastung max]]*Tabelle5897112140[[#This Row],[installierte Leistung MW max]]</f>
        <v>209.60000000000002</v>
      </c>
      <c r="DH139" s="46">
        <f>Tabelle5897112140[[#This Row],[Maximalauslastung min]]*Tabelle5897112140[[#This Row],[installierte Leistung MW min]]</f>
        <v>134</v>
      </c>
      <c r="DI139" s="46">
        <f>Tabelle5897112140[[#This Row],[Maximalauslastung durch]]*Tabelle5897112140[[#This Row],[installierte Leistung MW durch]]</f>
        <v>198</v>
      </c>
      <c r="DJ139" s="19">
        <f>Tabelle5897112140[[#This Row],[Maximalauslastung max]]*Tabelle5897112140[[#This Row],[installierte Leistung MW durch]]</f>
        <v>198</v>
      </c>
      <c r="DK139" s="9">
        <v>1</v>
      </c>
      <c r="DL139" s="9">
        <v>1</v>
      </c>
      <c r="DM139" s="9">
        <v>1</v>
      </c>
      <c r="DN139" s="1">
        <v>198</v>
      </c>
      <c r="DO139" s="1">
        <v>134</v>
      </c>
      <c r="DP139" s="1">
        <v>262</v>
      </c>
      <c r="DQ139" s="19"/>
      <c r="DR139" s="19"/>
      <c r="DW139" s="1">
        <v>1.4</v>
      </c>
      <c r="DX139" s="1">
        <v>1.2</v>
      </c>
      <c r="DY139" s="1">
        <v>1.6</v>
      </c>
      <c r="EL139" s="1">
        <v>365</v>
      </c>
      <c r="EM139" s="1">
        <v>292</v>
      </c>
      <c r="EN139" s="1">
        <v>438</v>
      </c>
      <c r="EO139" s="11"/>
      <c r="EP139" s="11"/>
      <c r="EQ139" s="11"/>
      <c r="ER139" s="1">
        <v>365</v>
      </c>
      <c r="ES139" s="1">
        <v>292</v>
      </c>
      <c r="ET139" s="1">
        <v>438</v>
      </c>
      <c r="EV139" s="19"/>
      <c r="EW139" s="19"/>
      <c r="EX139" s="19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O139" s="1">
        <v>67</v>
      </c>
      <c r="FP139" s="1">
        <v>67</v>
      </c>
      <c r="FQ139" s="1">
        <v>67</v>
      </c>
      <c r="FR139" s="13" t="s">
        <v>806</v>
      </c>
      <c r="FS139" s="13" t="s">
        <v>806</v>
      </c>
      <c r="FT139" s="13" t="s">
        <v>806</v>
      </c>
      <c r="FU139" s="13"/>
      <c r="FV139" s="13" t="s">
        <v>806</v>
      </c>
      <c r="FW139" s="13" t="s">
        <v>806</v>
      </c>
      <c r="FX139" s="13" t="s">
        <v>806</v>
      </c>
      <c r="FY139" s="13" t="s">
        <v>806</v>
      </c>
      <c r="FZ139" s="13" t="s">
        <v>806</v>
      </c>
      <c r="GA139" s="13" t="s">
        <v>806</v>
      </c>
      <c r="GB139" s="13" t="s">
        <v>806</v>
      </c>
      <c r="GE139" s="13" t="s">
        <v>806</v>
      </c>
      <c r="GF139" s="13" t="s">
        <v>806</v>
      </c>
      <c r="GH139" s="13" t="s">
        <v>806</v>
      </c>
    </row>
    <row r="140" spans="1:190" ht="12.75" customHeight="1" x14ac:dyDescent="0.25">
      <c r="A140" s="1" t="s">
        <v>208</v>
      </c>
      <c r="B140" s="1" t="s">
        <v>651</v>
      </c>
      <c r="C140" s="1" t="s">
        <v>661</v>
      </c>
      <c r="D140" s="1" t="s">
        <v>689</v>
      </c>
      <c r="E140" s="1" t="s">
        <v>127</v>
      </c>
      <c r="F140" s="1">
        <v>0</v>
      </c>
      <c r="G140" s="1">
        <v>2025</v>
      </c>
      <c r="H140" s="1">
        <v>1</v>
      </c>
      <c r="I140" s="1">
        <v>0</v>
      </c>
      <c r="J140" s="1">
        <v>0</v>
      </c>
      <c r="K14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0" s="19">
        <v>110.88</v>
      </c>
      <c r="O140" s="19">
        <v>58.96</v>
      </c>
      <c r="P140" s="19">
        <v>178.16</v>
      </c>
      <c r="Q140" s="19">
        <v>1.98</v>
      </c>
      <c r="R140" s="19">
        <v>0</v>
      </c>
      <c r="S140" s="19">
        <v>47.16</v>
      </c>
      <c r="T140" s="19">
        <v>110.88</v>
      </c>
      <c r="U140" s="19">
        <v>58.96</v>
      </c>
      <c r="V140" s="19">
        <v>178.16</v>
      </c>
      <c r="W140" s="19">
        <v>1.98</v>
      </c>
      <c r="X140" s="19">
        <v>0</v>
      </c>
      <c r="Y140" s="19">
        <v>47.16</v>
      </c>
      <c r="Z140" s="19">
        <v>19.8</v>
      </c>
      <c r="AA140" s="19">
        <v>4.0199999999999996</v>
      </c>
      <c r="AB140" s="19">
        <v>44.54</v>
      </c>
      <c r="AC140" s="19">
        <v>93.06</v>
      </c>
      <c r="AD140" s="19">
        <v>46.9</v>
      </c>
      <c r="AE140" s="19">
        <v>154.58000000000001</v>
      </c>
      <c r="AF140" s="19">
        <v>110.88</v>
      </c>
      <c r="AG140" s="19">
        <v>58.96</v>
      </c>
      <c r="AH140" s="19">
        <v>178.16</v>
      </c>
      <c r="AI140" s="19">
        <v>1.98</v>
      </c>
      <c r="AJ140" s="19">
        <v>0</v>
      </c>
      <c r="AK140" s="19">
        <v>47.16</v>
      </c>
      <c r="AL140" s="19">
        <v>110.88</v>
      </c>
      <c r="AM140" s="19">
        <v>58.96</v>
      </c>
      <c r="AN140" s="19">
        <v>178.16</v>
      </c>
      <c r="AO140" s="19">
        <v>1.98</v>
      </c>
      <c r="AP140" s="19">
        <v>0</v>
      </c>
      <c r="AQ140" s="19">
        <v>47.16</v>
      </c>
      <c r="AR140" s="19">
        <v>19.8</v>
      </c>
      <c r="AS140" s="19">
        <v>4.0199999999999996</v>
      </c>
      <c r="AT140" s="19">
        <v>44.54</v>
      </c>
      <c r="AU140" s="19">
        <v>93.06</v>
      </c>
      <c r="AV140" s="19">
        <v>46.9</v>
      </c>
      <c r="AW140" s="19">
        <v>154.58000000000001</v>
      </c>
      <c r="AX140" s="19">
        <v>110.88</v>
      </c>
      <c r="AY140" s="19">
        <v>58.96</v>
      </c>
      <c r="AZ140" s="19">
        <v>178.16</v>
      </c>
      <c r="BA140" s="19">
        <v>1.98</v>
      </c>
      <c r="BB140" s="19">
        <v>0</v>
      </c>
      <c r="BC140" s="19">
        <v>47.16</v>
      </c>
      <c r="BD140" s="19">
        <v>110.88</v>
      </c>
      <c r="BE140" s="19">
        <v>58.96</v>
      </c>
      <c r="BF140" s="19">
        <v>178.16</v>
      </c>
      <c r="BG140" s="19">
        <v>1.98</v>
      </c>
      <c r="BH140" s="19">
        <v>0</v>
      </c>
      <c r="BI140" s="19">
        <v>47.16</v>
      </c>
      <c r="BJ140" s="19">
        <v>19.8</v>
      </c>
      <c r="BK140" s="19">
        <v>4.0199999999999996</v>
      </c>
      <c r="BL140" s="19">
        <v>44.54</v>
      </c>
      <c r="BM140" s="19">
        <v>93.06</v>
      </c>
      <c r="BN140" s="19">
        <v>46.9</v>
      </c>
      <c r="BO140" s="19">
        <v>154.58000000000001</v>
      </c>
      <c r="BP140" s="19"/>
      <c r="BQ14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0" s="11">
        <f>Tabelle5897112140[[#This Row],[Mindestauslastung min]]*Tabelle5897112140[[#This Row],[installierte Leistung MW min]]</f>
        <v>0</v>
      </c>
      <c r="BU140" s="11">
        <f>Tabelle5897112140[[#This Row],[Mindestauslastung durch]]*Tabelle5897112140[[#This Row],[installierte Leistung MW durch]]</f>
        <v>0</v>
      </c>
      <c r="BV140" s="11">
        <f>Tabelle5897112140[[#This Row],[Mindestauslastung max]]*Tabelle5897112140[[#This Row],[installierte Leistung MW max]]</f>
        <v>0</v>
      </c>
      <c r="BW140" s="9">
        <v>0</v>
      </c>
      <c r="BX140" s="9">
        <v>0</v>
      </c>
      <c r="BY140" s="9">
        <v>0</v>
      </c>
      <c r="BZ140" s="9"/>
      <c r="CA140" s="9">
        <v>0.7</v>
      </c>
      <c r="CB140" s="9">
        <v>0.6</v>
      </c>
      <c r="CC140" s="9">
        <v>0.8</v>
      </c>
      <c r="CD140" s="9">
        <v>0.7</v>
      </c>
      <c r="CE140" s="9">
        <v>0.6</v>
      </c>
      <c r="CF140" s="9">
        <v>0.8</v>
      </c>
      <c r="CG140" s="9">
        <v>0.24</v>
      </c>
      <c r="CH140" s="9">
        <v>0.19</v>
      </c>
      <c r="CI140" s="9">
        <v>0.28999999999999998</v>
      </c>
      <c r="CJ140" s="9">
        <v>0.7</v>
      </c>
      <c r="CK140" s="9">
        <v>0.6</v>
      </c>
      <c r="CL140" s="9">
        <v>0.8</v>
      </c>
      <c r="CM140" s="9">
        <v>0.7</v>
      </c>
      <c r="CN140" s="9">
        <v>0.6</v>
      </c>
      <c r="CO140" s="9">
        <v>0.8</v>
      </c>
      <c r="CP140" s="9">
        <v>0.24</v>
      </c>
      <c r="CQ140" s="9">
        <v>0.19</v>
      </c>
      <c r="CR140" s="9">
        <v>0.28999999999999998</v>
      </c>
      <c r="CS140" s="9">
        <v>0.7</v>
      </c>
      <c r="CT140" s="9">
        <v>0.6</v>
      </c>
      <c r="CU140" s="9">
        <v>0.8</v>
      </c>
      <c r="CV140" s="9">
        <v>0.7</v>
      </c>
      <c r="CW140" s="9">
        <v>0.6</v>
      </c>
      <c r="CX140" s="9">
        <v>0.8</v>
      </c>
      <c r="CY140" s="9">
        <v>0.24</v>
      </c>
      <c r="CZ140" s="9">
        <v>0.19</v>
      </c>
      <c r="DA140" s="9">
        <v>0.28999999999999998</v>
      </c>
      <c r="DB140" s="9">
        <f>MIN(Tabelle5897112140[[#This Row],[Durchschnittsauslastung durch Sommer WTT]:[Durchschnittsauslastung max Winter SFN]])</f>
        <v>0.19</v>
      </c>
      <c r="DC14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0" s="9">
        <f>MAX(Tabelle5897112140[[#This Row],[Durchschnittsauslastung durch Sommer WTT]:[Durchschnittsauslastung max Winter SFN]])</f>
        <v>0.8</v>
      </c>
      <c r="DE140" s="40">
        <f>Tabelle5897112140[[#This Row],[Durchschnittsauslastung min]]*Tabelle5897112140[[#This Row],[installierte Leistung MW min]]</f>
        <v>25.46</v>
      </c>
      <c r="DF140" s="40">
        <f>Tabelle5897112140[[#This Row],[Durchschnittsauslastung durch]]*Tabelle5897112140[[#This Row],[installierte Leistung MW durch]]</f>
        <v>108.24000000000001</v>
      </c>
      <c r="DG140" s="40">
        <f>Tabelle5897112140[[#This Row],[Durchschnittsauslastung max]]*Tabelle5897112140[[#This Row],[installierte Leistung MW max]]</f>
        <v>209.60000000000002</v>
      </c>
      <c r="DH140" s="46">
        <f>Tabelle5897112140[[#This Row],[Maximalauslastung min]]*Tabelle5897112140[[#This Row],[installierte Leistung MW min]]</f>
        <v>134</v>
      </c>
      <c r="DI140" s="46">
        <f>Tabelle5897112140[[#This Row],[Maximalauslastung durch]]*Tabelle5897112140[[#This Row],[installierte Leistung MW durch]]</f>
        <v>198</v>
      </c>
      <c r="DJ140" s="19">
        <f>Tabelle5897112140[[#This Row],[Maximalauslastung max]]*Tabelle5897112140[[#This Row],[installierte Leistung MW durch]]</f>
        <v>198</v>
      </c>
      <c r="DK140" s="9">
        <v>1</v>
      </c>
      <c r="DL140" s="9">
        <v>1</v>
      </c>
      <c r="DM140" s="9">
        <v>1</v>
      </c>
      <c r="DN140" s="1">
        <v>198</v>
      </c>
      <c r="DO140" s="1">
        <v>134</v>
      </c>
      <c r="DP140" s="1">
        <v>262</v>
      </c>
      <c r="DQ140" s="19"/>
      <c r="DR140" s="19"/>
      <c r="DW140" s="1">
        <v>1.4</v>
      </c>
      <c r="DX140" s="1">
        <v>1.2</v>
      </c>
      <c r="DY140" s="1">
        <v>1.6</v>
      </c>
      <c r="EL140" s="1">
        <v>365</v>
      </c>
      <c r="EM140" s="1">
        <v>292</v>
      </c>
      <c r="EN140" s="1">
        <v>438</v>
      </c>
      <c r="EO140" s="11"/>
      <c r="EP140" s="11"/>
      <c r="EQ140" s="11"/>
      <c r="ER140" s="1">
        <v>365</v>
      </c>
      <c r="ES140" s="1">
        <v>292</v>
      </c>
      <c r="ET140" s="1">
        <v>438</v>
      </c>
      <c r="EV140" s="19"/>
      <c r="EW140" s="19"/>
      <c r="EX140" s="19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O140" s="1">
        <v>67</v>
      </c>
      <c r="FP140" s="1">
        <v>67</v>
      </c>
      <c r="FQ140" s="1">
        <v>67</v>
      </c>
      <c r="FR140" s="13" t="s">
        <v>806</v>
      </c>
      <c r="FS140" s="13" t="s">
        <v>806</v>
      </c>
      <c r="FT140" s="13" t="s">
        <v>806</v>
      </c>
      <c r="FU140" s="13"/>
      <c r="FV140" s="13" t="s">
        <v>806</v>
      </c>
      <c r="FW140" s="13" t="s">
        <v>806</v>
      </c>
      <c r="FX140" s="13" t="s">
        <v>806</v>
      </c>
      <c r="FY140" s="13" t="s">
        <v>806</v>
      </c>
      <c r="FZ140" s="13" t="s">
        <v>806</v>
      </c>
      <c r="GA140" s="13" t="s">
        <v>806</v>
      </c>
      <c r="GB140" s="13" t="s">
        <v>806</v>
      </c>
      <c r="GE140" s="13" t="s">
        <v>806</v>
      </c>
      <c r="GF140" s="13" t="s">
        <v>806</v>
      </c>
      <c r="GH140" s="13" t="s">
        <v>806</v>
      </c>
    </row>
    <row r="141" spans="1:190" ht="12.75" customHeight="1" x14ac:dyDescent="0.25">
      <c r="A141" s="1" t="s">
        <v>208</v>
      </c>
      <c r="B141" s="1" t="s">
        <v>651</v>
      </c>
      <c r="C141" s="1" t="s">
        <v>661</v>
      </c>
      <c r="D141" s="1" t="s">
        <v>689</v>
      </c>
      <c r="E141" s="1" t="s">
        <v>127</v>
      </c>
      <c r="F141" s="1">
        <v>0</v>
      </c>
      <c r="G141" s="1">
        <v>2030</v>
      </c>
      <c r="H141" s="1">
        <v>1</v>
      </c>
      <c r="I141" s="1">
        <v>0</v>
      </c>
      <c r="J141" s="1">
        <v>0</v>
      </c>
      <c r="K14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1" s="19">
        <v>110.88</v>
      </c>
      <c r="O141" s="19">
        <v>58.96</v>
      </c>
      <c r="P141" s="19">
        <v>178.16</v>
      </c>
      <c r="Q141" s="19">
        <v>1.98</v>
      </c>
      <c r="R141" s="19">
        <v>0</v>
      </c>
      <c r="S141" s="19">
        <v>47.16</v>
      </c>
      <c r="T141" s="19">
        <v>110.88</v>
      </c>
      <c r="U141" s="19">
        <v>58.96</v>
      </c>
      <c r="V141" s="19">
        <v>178.16</v>
      </c>
      <c r="W141" s="19">
        <v>1.98</v>
      </c>
      <c r="X141" s="19">
        <v>0</v>
      </c>
      <c r="Y141" s="19">
        <v>47.16</v>
      </c>
      <c r="Z141" s="19">
        <v>19.8</v>
      </c>
      <c r="AA141" s="19">
        <v>4.0199999999999996</v>
      </c>
      <c r="AB141" s="19">
        <v>44.54</v>
      </c>
      <c r="AC141" s="19">
        <v>93.06</v>
      </c>
      <c r="AD141" s="19">
        <v>46.9</v>
      </c>
      <c r="AE141" s="19">
        <v>154.58000000000001</v>
      </c>
      <c r="AF141" s="19">
        <v>110.88</v>
      </c>
      <c r="AG141" s="19">
        <v>58.96</v>
      </c>
      <c r="AH141" s="19">
        <v>178.16</v>
      </c>
      <c r="AI141" s="19">
        <v>1.98</v>
      </c>
      <c r="AJ141" s="19">
        <v>0</v>
      </c>
      <c r="AK141" s="19">
        <v>47.16</v>
      </c>
      <c r="AL141" s="19">
        <v>110.88</v>
      </c>
      <c r="AM141" s="19">
        <v>58.96</v>
      </c>
      <c r="AN141" s="19">
        <v>178.16</v>
      </c>
      <c r="AO141" s="19">
        <v>1.98</v>
      </c>
      <c r="AP141" s="19">
        <v>0</v>
      </c>
      <c r="AQ141" s="19">
        <v>47.16</v>
      </c>
      <c r="AR141" s="19">
        <v>19.8</v>
      </c>
      <c r="AS141" s="19">
        <v>4.0199999999999996</v>
      </c>
      <c r="AT141" s="19">
        <v>44.54</v>
      </c>
      <c r="AU141" s="19">
        <v>93.06</v>
      </c>
      <c r="AV141" s="19">
        <v>46.9</v>
      </c>
      <c r="AW141" s="19">
        <v>154.58000000000001</v>
      </c>
      <c r="AX141" s="19">
        <v>110.88</v>
      </c>
      <c r="AY141" s="19">
        <v>58.96</v>
      </c>
      <c r="AZ141" s="19">
        <v>178.16</v>
      </c>
      <c r="BA141" s="19">
        <v>1.98</v>
      </c>
      <c r="BB141" s="19">
        <v>0</v>
      </c>
      <c r="BC141" s="19">
        <v>47.16</v>
      </c>
      <c r="BD141" s="19">
        <v>110.88</v>
      </c>
      <c r="BE141" s="19">
        <v>58.96</v>
      </c>
      <c r="BF141" s="19">
        <v>178.16</v>
      </c>
      <c r="BG141" s="19">
        <v>1.98</v>
      </c>
      <c r="BH141" s="19">
        <v>0</v>
      </c>
      <c r="BI141" s="19">
        <v>47.16</v>
      </c>
      <c r="BJ141" s="19">
        <v>19.8</v>
      </c>
      <c r="BK141" s="19">
        <v>4.0199999999999996</v>
      </c>
      <c r="BL141" s="19">
        <v>44.54</v>
      </c>
      <c r="BM141" s="19">
        <v>93.06</v>
      </c>
      <c r="BN141" s="19">
        <v>46.9</v>
      </c>
      <c r="BO141" s="19">
        <v>154.58000000000001</v>
      </c>
      <c r="BP141" s="19"/>
      <c r="BQ14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1" s="11">
        <f>Tabelle5897112140[[#This Row],[Mindestauslastung min]]*Tabelle5897112140[[#This Row],[installierte Leistung MW min]]</f>
        <v>0</v>
      </c>
      <c r="BU141" s="11">
        <f>Tabelle5897112140[[#This Row],[Mindestauslastung durch]]*Tabelle5897112140[[#This Row],[installierte Leistung MW durch]]</f>
        <v>0</v>
      </c>
      <c r="BV141" s="11">
        <f>Tabelle5897112140[[#This Row],[Mindestauslastung max]]*Tabelle5897112140[[#This Row],[installierte Leistung MW max]]</f>
        <v>0</v>
      </c>
      <c r="BW141" s="9">
        <v>0</v>
      </c>
      <c r="BX141" s="9">
        <v>0</v>
      </c>
      <c r="BY141" s="9">
        <v>0</v>
      </c>
      <c r="BZ141" s="9"/>
      <c r="CA141" s="9">
        <v>0.7</v>
      </c>
      <c r="CB141" s="9">
        <v>0.6</v>
      </c>
      <c r="CC141" s="9">
        <v>0.8</v>
      </c>
      <c r="CD141" s="9">
        <v>0.7</v>
      </c>
      <c r="CE141" s="9">
        <v>0.6</v>
      </c>
      <c r="CF141" s="9">
        <v>0.8</v>
      </c>
      <c r="CG141" s="9">
        <v>0.24</v>
      </c>
      <c r="CH141" s="9">
        <v>0.19</v>
      </c>
      <c r="CI141" s="9">
        <v>0.28999999999999998</v>
      </c>
      <c r="CJ141" s="9">
        <v>0.7</v>
      </c>
      <c r="CK141" s="9">
        <v>0.6</v>
      </c>
      <c r="CL141" s="9">
        <v>0.8</v>
      </c>
      <c r="CM141" s="9">
        <v>0.7</v>
      </c>
      <c r="CN141" s="9">
        <v>0.6</v>
      </c>
      <c r="CO141" s="9">
        <v>0.8</v>
      </c>
      <c r="CP141" s="9">
        <v>0.24</v>
      </c>
      <c r="CQ141" s="9">
        <v>0.19</v>
      </c>
      <c r="CR141" s="9">
        <v>0.28999999999999998</v>
      </c>
      <c r="CS141" s="9">
        <v>0.7</v>
      </c>
      <c r="CT141" s="9">
        <v>0.6</v>
      </c>
      <c r="CU141" s="9">
        <v>0.8</v>
      </c>
      <c r="CV141" s="9">
        <v>0.7</v>
      </c>
      <c r="CW141" s="9">
        <v>0.6</v>
      </c>
      <c r="CX141" s="9">
        <v>0.8</v>
      </c>
      <c r="CY141" s="9">
        <v>0.24</v>
      </c>
      <c r="CZ141" s="9">
        <v>0.19</v>
      </c>
      <c r="DA141" s="9">
        <v>0.28999999999999998</v>
      </c>
      <c r="DB141" s="9">
        <f>MIN(Tabelle5897112140[[#This Row],[Durchschnittsauslastung durch Sommer WTT]:[Durchschnittsauslastung max Winter SFN]])</f>
        <v>0.19</v>
      </c>
      <c r="DC14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1" s="9">
        <f>MAX(Tabelle5897112140[[#This Row],[Durchschnittsauslastung durch Sommer WTT]:[Durchschnittsauslastung max Winter SFN]])</f>
        <v>0.8</v>
      </c>
      <c r="DE141" s="40">
        <f>Tabelle5897112140[[#This Row],[Durchschnittsauslastung min]]*Tabelle5897112140[[#This Row],[installierte Leistung MW min]]</f>
        <v>25.46</v>
      </c>
      <c r="DF141" s="40">
        <f>Tabelle5897112140[[#This Row],[Durchschnittsauslastung durch]]*Tabelle5897112140[[#This Row],[installierte Leistung MW durch]]</f>
        <v>108.24000000000001</v>
      </c>
      <c r="DG141" s="40">
        <f>Tabelle5897112140[[#This Row],[Durchschnittsauslastung max]]*Tabelle5897112140[[#This Row],[installierte Leistung MW max]]</f>
        <v>209.60000000000002</v>
      </c>
      <c r="DH141" s="46">
        <f>Tabelle5897112140[[#This Row],[Maximalauslastung min]]*Tabelle5897112140[[#This Row],[installierte Leistung MW min]]</f>
        <v>134</v>
      </c>
      <c r="DI141" s="46">
        <f>Tabelle5897112140[[#This Row],[Maximalauslastung durch]]*Tabelle5897112140[[#This Row],[installierte Leistung MW durch]]</f>
        <v>198</v>
      </c>
      <c r="DJ141" s="19">
        <f>Tabelle5897112140[[#This Row],[Maximalauslastung max]]*Tabelle5897112140[[#This Row],[installierte Leistung MW durch]]</f>
        <v>198</v>
      </c>
      <c r="DK141" s="9">
        <v>1</v>
      </c>
      <c r="DL141" s="9">
        <v>1</v>
      </c>
      <c r="DM141" s="9">
        <v>1</v>
      </c>
      <c r="DN141" s="1">
        <v>198</v>
      </c>
      <c r="DO141" s="1">
        <v>134</v>
      </c>
      <c r="DP141" s="1">
        <v>262</v>
      </c>
      <c r="DQ141" s="19"/>
      <c r="DR141" s="19"/>
      <c r="DW141" s="1">
        <v>1.4</v>
      </c>
      <c r="DX141" s="1">
        <v>1.2</v>
      </c>
      <c r="DY141" s="1">
        <v>1.6</v>
      </c>
      <c r="EL141" s="1">
        <v>365</v>
      </c>
      <c r="EM141" s="1">
        <v>292</v>
      </c>
      <c r="EN141" s="1">
        <v>438</v>
      </c>
      <c r="EO141" s="11"/>
      <c r="EP141" s="11"/>
      <c r="EQ141" s="11"/>
      <c r="ER141" s="1">
        <v>365</v>
      </c>
      <c r="ES141" s="1">
        <v>292</v>
      </c>
      <c r="ET141" s="1">
        <v>438</v>
      </c>
      <c r="EV141" s="19"/>
      <c r="EW141" s="19"/>
      <c r="EX141" s="19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O141" s="1">
        <v>67</v>
      </c>
      <c r="FP141" s="1">
        <v>67</v>
      </c>
      <c r="FQ141" s="1">
        <v>67</v>
      </c>
      <c r="FR141" s="13" t="s">
        <v>806</v>
      </c>
      <c r="FS141" s="13" t="s">
        <v>806</v>
      </c>
      <c r="FT141" s="13" t="s">
        <v>806</v>
      </c>
      <c r="FU141" s="13"/>
      <c r="FV141" s="13" t="s">
        <v>806</v>
      </c>
      <c r="FW141" s="13" t="s">
        <v>806</v>
      </c>
      <c r="FX141" s="13" t="s">
        <v>806</v>
      </c>
      <c r="FY141" s="13" t="s">
        <v>806</v>
      </c>
      <c r="FZ141" s="13" t="s">
        <v>806</v>
      </c>
      <c r="GA141" s="13" t="s">
        <v>806</v>
      </c>
      <c r="GB141" s="13" t="s">
        <v>806</v>
      </c>
      <c r="GE141" s="13" t="s">
        <v>806</v>
      </c>
      <c r="GF141" s="13" t="s">
        <v>806</v>
      </c>
      <c r="GH141" s="13" t="s">
        <v>806</v>
      </c>
    </row>
    <row r="142" spans="1:190" ht="12.75" customHeight="1" x14ac:dyDescent="0.25">
      <c r="A142" s="1" t="s">
        <v>208</v>
      </c>
      <c r="B142" s="1" t="s">
        <v>651</v>
      </c>
      <c r="C142" s="1" t="s">
        <v>661</v>
      </c>
      <c r="D142" s="1" t="s">
        <v>689</v>
      </c>
      <c r="E142" s="1" t="s">
        <v>127</v>
      </c>
      <c r="F142" s="1">
        <v>0</v>
      </c>
      <c r="G142" s="1">
        <v>2035</v>
      </c>
      <c r="H142" s="1">
        <v>1</v>
      </c>
      <c r="I142" s="1">
        <v>0</v>
      </c>
      <c r="J142" s="1">
        <v>0</v>
      </c>
      <c r="K14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2" s="19">
        <v>110.88</v>
      </c>
      <c r="O142" s="19">
        <v>58.96</v>
      </c>
      <c r="P142" s="19">
        <v>178.16</v>
      </c>
      <c r="Q142" s="19">
        <v>1.98</v>
      </c>
      <c r="R142" s="19">
        <v>0</v>
      </c>
      <c r="S142" s="19">
        <v>47.16</v>
      </c>
      <c r="T142" s="19">
        <v>110.88</v>
      </c>
      <c r="U142" s="19">
        <v>58.96</v>
      </c>
      <c r="V142" s="19">
        <v>178.16</v>
      </c>
      <c r="W142" s="19">
        <v>1.98</v>
      </c>
      <c r="X142" s="19">
        <v>0</v>
      </c>
      <c r="Y142" s="19">
        <v>47.16</v>
      </c>
      <c r="Z142" s="19">
        <v>19.8</v>
      </c>
      <c r="AA142" s="19">
        <v>4.0199999999999996</v>
      </c>
      <c r="AB142" s="19">
        <v>44.54</v>
      </c>
      <c r="AC142" s="19">
        <v>93.06</v>
      </c>
      <c r="AD142" s="19">
        <v>46.9</v>
      </c>
      <c r="AE142" s="19">
        <v>154.58000000000001</v>
      </c>
      <c r="AF142" s="19">
        <v>110.88</v>
      </c>
      <c r="AG142" s="19">
        <v>58.96</v>
      </c>
      <c r="AH142" s="19">
        <v>178.16</v>
      </c>
      <c r="AI142" s="19">
        <v>1.98</v>
      </c>
      <c r="AJ142" s="19">
        <v>0</v>
      </c>
      <c r="AK142" s="19">
        <v>47.16</v>
      </c>
      <c r="AL142" s="19">
        <v>110.88</v>
      </c>
      <c r="AM142" s="19">
        <v>58.96</v>
      </c>
      <c r="AN142" s="19">
        <v>178.16</v>
      </c>
      <c r="AO142" s="19">
        <v>1.98</v>
      </c>
      <c r="AP142" s="19">
        <v>0</v>
      </c>
      <c r="AQ142" s="19">
        <v>47.16</v>
      </c>
      <c r="AR142" s="19">
        <v>19.8</v>
      </c>
      <c r="AS142" s="19">
        <v>4.0199999999999996</v>
      </c>
      <c r="AT142" s="19">
        <v>44.54</v>
      </c>
      <c r="AU142" s="19">
        <v>93.06</v>
      </c>
      <c r="AV142" s="19">
        <v>46.9</v>
      </c>
      <c r="AW142" s="19">
        <v>154.58000000000001</v>
      </c>
      <c r="AX142" s="19">
        <v>110.88</v>
      </c>
      <c r="AY142" s="19">
        <v>58.96</v>
      </c>
      <c r="AZ142" s="19">
        <v>178.16</v>
      </c>
      <c r="BA142" s="19">
        <v>1.98</v>
      </c>
      <c r="BB142" s="19">
        <v>0</v>
      </c>
      <c r="BC142" s="19">
        <v>47.16</v>
      </c>
      <c r="BD142" s="19">
        <v>110.88</v>
      </c>
      <c r="BE142" s="19">
        <v>58.96</v>
      </c>
      <c r="BF142" s="19">
        <v>178.16</v>
      </c>
      <c r="BG142" s="19">
        <v>1.98</v>
      </c>
      <c r="BH142" s="19">
        <v>0</v>
      </c>
      <c r="BI142" s="19">
        <v>47.16</v>
      </c>
      <c r="BJ142" s="19">
        <v>19.8</v>
      </c>
      <c r="BK142" s="19">
        <v>4.0199999999999996</v>
      </c>
      <c r="BL142" s="19">
        <v>44.54</v>
      </c>
      <c r="BM142" s="19">
        <v>93.06</v>
      </c>
      <c r="BN142" s="19">
        <v>46.9</v>
      </c>
      <c r="BO142" s="19">
        <v>154.58000000000001</v>
      </c>
      <c r="BP142" s="19"/>
      <c r="BQ14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2" s="11">
        <f>Tabelle5897112140[[#This Row],[Mindestauslastung min]]*Tabelle5897112140[[#This Row],[installierte Leistung MW min]]</f>
        <v>0</v>
      </c>
      <c r="BU142" s="11">
        <f>Tabelle5897112140[[#This Row],[Mindestauslastung durch]]*Tabelle5897112140[[#This Row],[installierte Leistung MW durch]]</f>
        <v>0</v>
      </c>
      <c r="BV142" s="11">
        <f>Tabelle5897112140[[#This Row],[Mindestauslastung max]]*Tabelle5897112140[[#This Row],[installierte Leistung MW max]]</f>
        <v>0</v>
      </c>
      <c r="BW142" s="9">
        <v>0</v>
      </c>
      <c r="BX142" s="9">
        <v>0</v>
      </c>
      <c r="BY142" s="9">
        <v>0</v>
      </c>
      <c r="BZ142" s="9"/>
      <c r="CA142" s="9">
        <v>0.7</v>
      </c>
      <c r="CB142" s="9">
        <v>0.6</v>
      </c>
      <c r="CC142" s="9">
        <v>0.8</v>
      </c>
      <c r="CD142" s="9">
        <v>0.7</v>
      </c>
      <c r="CE142" s="9">
        <v>0.6</v>
      </c>
      <c r="CF142" s="9">
        <v>0.8</v>
      </c>
      <c r="CG142" s="9">
        <v>0.24</v>
      </c>
      <c r="CH142" s="9">
        <v>0.19</v>
      </c>
      <c r="CI142" s="9">
        <v>0.28999999999999998</v>
      </c>
      <c r="CJ142" s="9">
        <v>0.7</v>
      </c>
      <c r="CK142" s="9">
        <v>0.6</v>
      </c>
      <c r="CL142" s="9">
        <v>0.8</v>
      </c>
      <c r="CM142" s="9">
        <v>0.7</v>
      </c>
      <c r="CN142" s="9">
        <v>0.6</v>
      </c>
      <c r="CO142" s="9">
        <v>0.8</v>
      </c>
      <c r="CP142" s="9">
        <v>0.24</v>
      </c>
      <c r="CQ142" s="9">
        <v>0.19</v>
      </c>
      <c r="CR142" s="9">
        <v>0.28999999999999998</v>
      </c>
      <c r="CS142" s="9">
        <v>0.7</v>
      </c>
      <c r="CT142" s="9">
        <v>0.6</v>
      </c>
      <c r="CU142" s="9">
        <v>0.8</v>
      </c>
      <c r="CV142" s="9">
        <v>0.7</v>
      </c>
      <c r="CW142" s="9">
        <v>0.6</v>
      </c>
      <c r="CX142" s="9">
        <v>0.8</v>
      </c>
      <c r="CY142" s="9">
        <v>0.24</v>
      </c>
      <c r="CZ142" s="9">
        <v>0.19</v>
      </c>
      <c r="DA142" s="9">
        <v>0.28999999999999998</v>
      </c>
      <c r="DB142" s="9">
        <f>MIN(Tabelle5897112140[[#This Row],[Durchschnittsauslastung durch Sommer WTT]:[Durchschnittsauslastung max Winter SFN]])</f>
        <v>0.19</v>
      </c>
      <c r="DC14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2" s="9">
        <f>MAX(Tabelle5897112140[[#This Row],[Durchschnittsauslastung durch Sommer WTT]:[Durchschnittsauslastung max Winter SFN]])</f>
        <v>0.8</v>
      </c>
      <c r="DE142" s="40">
        <f>Tabelle5897112140[[#This Row],[Durchschnittsauslastung min]]*Tabelle5897112140[[#This Row],[installierte Leistung MW min]]</f>
        <v>25.46</v>
      </c>
      <c r="DF142" s="40">
        <f>Tabelle5897112140[[#This Row],[Durchschnittsauslastung durch]]*Tabelle5897112140[[#This Row],[installierte Leistung MW durch]]</f>
        <v>108.24000000000001</v>
      </c>
      <c r="DG142" s="40">
        <f>Tabelle5897112140[[#This Row],[Durchschnittsauslastung max]]*Tabelle5897112140[[#This Row],[installierte Leistung MW max]]</f>
        <v>209.60000000000002</v>
      </c>
      <c r="DH142" s="46">
        <f>Tabelle5897112140[[#This Row],[Maximalauslastung min]]*Tabelle5897112140[[#This Row],[installierte Leistung MW min]]</f>
        <v>134</v>
      </c>
      <c r="DI142" s="46">
        <f>Tabelle5897112140[[#This Row],[Maximalauslastung durch]]*Tabelle5897112140[[#This Row],[installierte Leistung MW durch]]</f>
        <v>198</v>
      </c>
      <c r="DJ142" s="19">
        <f>Tabelle5897112140[[#This Row],[Maximalauslastung max]]*Tabelle5897112140[[#This Row],[installierte Leistung MW durch]]</f>
        <v>198</v>
      </c>
      <c r="DK142" s="9">
        <v>1</v>
      </c>
      <c r="DL142" s="9">
        <v>1</v>
      </c>
      <c r="DM142" s="9">
        <v>1</v>
      </c>
      <c r="DN142" s="1">
        <v>198</v>
      </c>
      <c r="DO142" s="1">
        <v>134</v>
      </c>
      <c r="DP142" s="1">
        <v>262</v>
      </c>
      <c r="DQ142" s="19"/>
      <c r="DR142" s="19"/>
      <c r="DW142" s="1">
        <v>1.4</v>
      </c>
      <c r="DX142" s="1">
        <v>1.2</v>
      </c>
      <c r="DY142" s="1">
        <v>1.6</v>
      </c>
      <c r="EL142" s="1">
        <v>365</v>
      </c>
      <c r="EM142" s="1">
        <v>292</v>
      </c>
      <c r="EN142" s="1">
        <v>438</v>
      </c>
      <c r="EO142" s="11"/>
      <c r="EP142" s="11"/>
      <c r="EQ142" s="11"/>
      <c r="ER142" s="1">
        <v>365</v>
      </c>
      <c r="ES142" s="1">
        <v>292</v>
      </c>
      <c r="ET142" s="1">
        <v>438</v>
      </c>
      <c r="EV142" s="19"/>
      <c r="EW142" s="19"/>
      <c r="EX142" s="19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O142" s="1">
        <v>67</v>
      </c>
      <c r="FP142" s="1">
        <v>67</v>
      </c>
      <c r="FQ142" s="1">
        <v>67</v>
      </c>
      <c r="FR142" s="13" t="s">
        <v>806</v>
      </c>
      <c r="FS142" s="13" t="s">
        <v>806</v>
      </c>
      <c r="FT142" s="13" t="s">
        <v>806</v>
      </c>
      <c r="FU142" s="13"/>
      <c r="FV142" s="13" t="s">
        <v>806</v>
      </c>
      <c r="FW142" s="13" t="s">
        <v>806</v>
      </c>
      <c r="FX142" s="13" t="s">
        <v>806</v>
      </c>
      <c r="FY142" s="13" t="s">
        <v>806</v>
      </c>
      <c r="FZ142" s="13" t="s">
        <v>806</v>
      </c>
      <c r="GA142" s="13" t="s">
        <v>806</v>
      </c>
      <c r="GB142" s="13" t="s">
        <v>806</v>
      </c>
      <c r="GE142" s="13" t="s">
        <v>806</v>
      </c>
      <c r="GF142" s="13" t="s">
        <v>806</v>
      </c>
      <c r="GH142" s="13" t="s">
        <v>806</v>
      </c>
    </row>
    <row r="143" spans="1:190" ht="12.75" customHeight="1" x14ac:dyDescent="0.25">
      <c r="A143" s="1" t="s">
        <v>208</v>
      </c>
      <c r="B143" s="1" t="s">
        <v>651</v>
      </c>
      <c r="C143" s="1" t="s">
        <v>661</v>
      </c>
      <c r="D143" s="1" t="s">
        <v>689</v>
      </c>
      <c r="E143" s="1" t="s">
        <v>127</v>
      </c>
      <c r="F143" s="1">
        <v>0</v>
      </c>
      <c r="G143" s="1">
        <v>2040</v>
      </c>
      <c r="H143" s="1">
        <v>1</v>
      </c>
      <c r="I143" s="1">
        <v>0</v>
      </c>
      <c r="J143" s="1">
        <v>0</v>
      </c>
      <c r="K14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3" s="19">
        <v>110.88</v>
      </c>
      <c r="O143" s="19">
        <v>58.96</v>
      </c>
      <c r="P143" s="19">
        <v>178.16</v>
      </c>
      <c r="Q143" s="19">
        <v>1.98</v>
      </c>
      <c r="R143" s="19">
        <v>0</v>
      </c>
      <c r="S143" s="19">
        <v>47.16</v>
      </c>
      <c r="T143" s="19">
        <v>110.88</v>
      </c>
      <c r="U143" s="19">
        <v>58.96</v>
      </c>
      <c r="V143" s="19">
        <v>178.16</v>
      </c>
      <c r="W143" s="19">
        <v>1.98</v>
      </c>
      <c r="X143" s="19">
        <v>0</v>
      </c>
      <c r="Y143" s="19">
        <v>47.16</v>
      </c>
      <c r="Z143" s="19">
        <v>19.8</v>
      </c>
      <c r="AA143" s="19">
        <v>4.0199999999999996</v>
      </c>
      <c r="AB143" s="19">
        <v>44.54</v>
      </c>
      <c r="AC143" s="19">
        <v>93.06</v>
      </c>
      <c r="AD143" s="19">
        <v>46.9</v>
      </c>
      <c r="AE143" s="19">
        <v>154.58000000000001</v>
      </c>
      <c r="AF143" s="19">
        <v>110.88</v>
      </c>
      <c r="AG143" s="19">
        <v>58.96</v>
      </c>
      <c r="AH143" s="19">
        <v>178.16</v>
      </c>
      <c r="AI143" s="19">
        <v>1.98</v>
      </c>
      <c r="AJ143" s="19">
        <v>0</v>
      </c>
      <c r="AK143" s="19">
        <v>47.16</v>
      </c>
      <c r="AL143" s="19">
        <v>110.88</v>
      </c>
      <c r="AM143" s="19">
        <v>58.96</v>
      </c>
      <c r="AN143" s="19">
        <v>178.16</v>
      </c>
      <c r="AO143" s="19">
        <v>1.98</v>
      </c>
      <c r="AP143" s="19">
        <v>0</v>
      </c>
      <c r="AQ143" s="19">
        <v>47.16</v>
      </c>
      <c r="AR143" s="19">
        <v>19.8</v>
      </c>
      <c r="AS143" s="19">
        <v>4.0199999999999996</v>
      </c>
      <c r="AT143" s="19">
        <v>44.54</v>
      </c>
      <c r="AU143" s="19">
        <v>93.06</v>
      </c>
      <c r="AV143" s="19">
        <v>46.9</v>
      </c>
      <c r="AW143" s="19">
        <v>154.58000000000001</v>
      </c>
      <c r="AX143" s="19">
        <v>110.88</v>
      </c>
      <c r="AY143" s="19">
        <v>58.96</v>
      </c>
      <c r="AZ143" s="19">
        <v>178.16</v>
      </c>
      <c r="BA143" s="19">
        <v>1.98</v>
      </c>
      <c r="BB143" s="19">
        <v>0</v>
      </c>
      <c r="BC143" s="19">
        <v>47.16</v>
      </c>
      <c r="BD143" s="19">
        <v>110.88</v>
      </c>
      <c r="BE143" s="19">
        <v>58.96</v>
      </c>
      <c r="BF143" s="19">
        <v>178.16</v>
      </c>
      <c r="BG143" s="19">
        <v>1.98</v>
      </c>
      <c r="BH143" s="19">
        <v>0</v>
      </c>
      <c r="BI143" s="19">
        <v>47.16</v>
      </c>
      <c r="BJ143" s="19">
        <v>19.8</v>
      </c>
      <c r="BK143" s="19">
        <v>4.0199999999999996</v>
      </c>
      <c r="BL143" s="19">
        <v>44.54</v>
      </c>
      <c r="BM143" s="19">
        <v>93.06</v>
      </c>
      <c r="BN143" s="19">
        <v>46.9</v>
      </c>
      <c r="BO143" s="19">
        <v>154.58000000000001</v>
      </c>
      <c r="BP143" s="19"/>
      <c r="BQ14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3" s="11">
        <f>Tabelle5897112140[[#This Row],[Mindestauslastung min]]*Tabelle5897112140[[#This Row],[installierte Leistung MW min]]</f>
        <v>0</v>
      </c>
      <c r="BU143" s="11">
        <f>Tabelle5897112140[[#This Row],[Mindestauslastung durch]]*Tabelle5897112140[[#This Row],[installierte Leistung MW durch]]</f>
        <v>0</v>
      </c>
      <c r="BV143" s="11">
        <f>Tabelle5897112140[[#This Row],[Mindestauslastung max]]*Tabelle5897112140[[#This Row],[installierte Leistung MW max]]</f>
        <v>0</v>
      </c>
      <c r="BW143" s="9">
        <v>0</v>
      </c>
      <c r="BX143" s="9">
        <v>0</v>
      </c>
      <c r="BY143" s="9">
        <v>0</v>
      </c>
      <c r="BZ143" s="9"/>
      <c r="CA143" s="9">
        <v>0.7</v>
      </c>
      <c r="CB143" s="9">
        <v>0.6</v>
      </c>
      <c r="CC143" s="9">
        <v>0.8</v>
      </c>
      <c r="CD143" s="9">
        <v>0.7</v>
      </c>
      <c r="CE143" s="9">
        <v>0.6</v>
      </c>
      <c r="CF143" s="9">
        <v>0.8</v>
      </c>
      <c r="CG143" s="9">
        <v>0.24</v>
      </c>
      <c r="CH143" s="9">
        <v>0.19</v>
      </c>
      <c r="CI143" s="9">
        <v>0.28999999999999998</v>
      </c>
      <c r="CJ143" s="9">
        <v>0.7</v>
      </c>
      <c r="CK143" s="9">
        <v>0.6</v>
      </c>
      <c r="CL143" s="9">
        <v>0.8</v>
      </c>
      <c r="CM143" s="9">
        <v>0.7</v>
      </c>
      <c r="CN143" s="9">
        <v>0.6</v>
      </c>
      <c r="CO143" s="9">
        <v>0.8</v>
      </c>
      <c r="CP143" s="9">
        <v>0.24</v>
      </c>
      <c r="CQ143" s="9">
        <v>0.19</v>
      </c>
      <c r="CR143" s="9">
        <v>0.28999999999999998</v>
      </c>
      <c r="CS143" s="9">
        <v>0.7</v>
      </c>
      <c r="CT143" s="9">
        <v>0.6</v>
      </c>
      <c r="CU143" s="9">
        <v>0.8</v>
      </c>
      <c r="CV143" s="9">
        <v>0.7</v>
      </c>
      <c r="CW143" s="9">
        <v>0.6</v>
      </c>
      <c r="CX143" s="9">
        <v>0.8</v>
      </c>
      <c r="CY143" s="9">
        <v>0.24</v>
      </c>
      <c r="CZ143" s="9">
        <v>0.19</v>
      </c>
      <c r="DA143" s="9">
        <v>0.28999999999999998</v>
      </c>
      <c r="DB143" s="9">
        <f>MIN(Tabelle5897112140[[#This Row],[Durchschnittsauslastung durch Sommer WTT]:[Durchschnittsauslastung max Winter SFN]])</f>
        <v>0.19</v>
      </c>
      <c r="DC14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3" s="9">
        <f>MAX(Tabelle5897112140[[#This Row],[Durchschnittsauslastung durch Sommer WTT]:[Durchschnittsauslastung max Winter SFN]])</f>
        <v>0.8</v>
      </c>
      <c r="DE143" s="40">
        <f>Tabelle5897112140[[#This Row],[Durchschnittsauslastung min]]*Tabelle5897112140[[#This Row],[installierte Leistung MW min]]</f>
        <v>25.46</v>
      </c>
      <c r="DF143" s="40">
        <f>Tabelle5897112140[[#This Row],[Durchschnittsauslastung durch]]*Tabelle5897112140[[#This Row],[installierte Leistung MW durch]]</f>
        <v>108.24000000000001</v>
      </c>
      <c r="DG143" s="40">
        <f>Tabelle5897112140[[#This Row],[Durchschnittsauslastung max]]*Tabelle5897112140[[#This Row],[installierte Leistung MW max]]</f>
        <v>209.60000000000002</v>
      </c>
      <c r="DH143" s="46">
        <f>Tabelle5897112140[[#This Row],[Maximalauslastung min]]*Tabelle5897112140[[#This Row],[installierte Leistung MW min]]</f>
        <v>134</v>
      </c>
      <c r="DI143" s="46">
        <f>Tabelle5897112140[[#This Row],[Maximalauslastung durch]]*Tabelle5897112140[[#This Row],[installierte Leistung MW durch]]</f>
        <v>198</v>
      </c>
      <c r="DJ143" s="19">
        <f>Tabelle5897112140[[#This Row],[Maximalauslastung max]]*Tabelle5897112140[[#This Row],[installierte Leistung MW durch]]</f>
        <v>198</v>
      </c>
      <c r="DK143" s="9">
        <v>1</v>
      </c>
      <c r="DL143" s="9">
        <v>1</v>
      </c>
      <c r="DM143" s="9">
        <v>1</v>
      </c>
      <c r="DN143" s="1">
        <v>198</v>
      </c>
      <c r="DO143" s="1">
        <v>134</v>
      </c>
      <c r="DP143" s="1">
        <v>262</v>
      </c>
      <c r="DQ143" s="19"/>
      <c r="DR143" s="19"/>
      <c r="DW143" s="1">
        <v>1.4</v>
      </c>
      <c r="DX143" s="1">
        <v>1.2</v>
      </c>
      <c r="DY143" s="1">
        <v>1.6</v>
      </c>
      <c r="EL143" s="1">
        <v>365</v>
      </c>
      <c r="EM143" s="1">
        <v>292</v>
      </c>
      <c r="EN143" s="1">
        <v>438</v>
      </c>
      <c r="EO143" s="11"/>
      <c r="EP143" s="11"/>
      <c r="EQ143" s="11"/>
      <c r="ER143" s="1">
        <v>365</v>
      </c>
      <c r="ES143" s="1">
        <v>292</v>
      </c>
      <c r="ET143" s="1">
        <v>438</v>
      </c>
      <c r="EV143" s="19"/>
      <c r="EW143" s="19"/>
      <c r="EX143" s="19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O143" s="1">
        <v>67</v>
      </c>
      <c r="FP143" s="1">
        <v>67</v>
      </c>
      <c r="FQ143" s="1">
        <v>67</v>
      </c>
      <c r="FR143" s="13" t="s">
        <v>806</v>
      </c>
      <c r="FS143" s="13" t="s">
        <v>806</v>
      </c>
      <c r="FT143" s="13" t="s">
        <v>806</v>
      </c>
      <c r="FU143" s="13"/>
      <c r="FV143" s="13" t="s">
        <v>806</v>
      </c>
      <c r="FW143" s="13" t="s">
        <v>806</v>
      </c>
      <c r="FX143" s="13" t="s">
        <v>806</v>
      </c>
      <c r="FY143" s="13" t="s">
        <v>806</v>
      </c>
      <c r="FZ143" s="13" t="s">
        <v>806</v>
      </c>
      <c r="GA143" s="13" t="s">
        <v>806</v>
      </c>
      <c r="GB143" s="13" t="s">
        <v>806</v>
      </c>
      <c r="GE143" s="13" t="s">
        <v>806</v>
      </c>
      <c r="GF143" s="13" t="s">
        <v>806</v>
      </c>
      <c r="GH143" s="13" t="s">
        <v>806</v>
      </c>
    </row>
    <row r="144" spans="1:190" ht="12.75" customHeight="1" x14ac:dyDescent="0.25">
      <c r="A144" s="1" t="s">
        <v>208</v>
      </c>
      <c r="B144" s="1" t="s">
        <v>651</v>
      </c>
      <c r="C144" s="1" t="s">
        <v>661</v>
      </c>
      <c r="D144" s="1" t="s">
        <v>689</v>
      </c>
      <c r="E144" s="1" t="s">
        <v>127</v>
      </c>
      <c r="F144" s="1">
        <v>0</v>
      </c>
      <c r="G144" s="1">
        <v>2045</v>
      </c>
      <c r="H144" s="1">
        <v>1</v>
      </c>
      <c r="I144" s="1">
        <v>0</v>
      </c>
      <c r="J144" s="1">
        <v>0</v>
      </c>
      <c r="K14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4.0602</v>
      </c>
      <c r="L14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81.325199999999995</v>
      </c>
      <c r="M14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179.94159999999999</v>
      </c>
      <c r="N144" s="19">
        <v>111.9888</v>
      </c>
      <c r="O144" s="19">
        <v>59.549599999999998</v>
      </c>
      <c r="P144" s="19">
        <v>179.94159999999999</v>
      </c>
      <c r="Q144" s="19">
        <v>1.9998</v>
      </c>
      <c r="R144" s="19">
        <v>0</v>
      </c>
      <c r="S144" s="19">
        <v>47.631599999999999</v>
      </c>
      <c r="T144" s="19">
        <v>111.9888</v>
      </c>
      <c r="U144" s="19">
        <v>59.549599999999998</v>
      </c>
      <c r="V144" s="19">
        <v>179.94159999999999</v>
      </c>
      <c r="W144" s="19">
        <v>1.9998</v>
      </c>
      <c r="X144" s="19">
        <v>0</v>
      </c>
      <c r="Y144" s="19">
        <v>47.631599999999999</v>
      </c>
      <c r="Z144" s="19">
        <v>19.998000000000001</v>
      </c>
      <c r="AA144" s="19">
        <v>4.0602</v>
      </c>
      <c r="AB144" s="19">
        <v>44.985399999999998</v>
      </c>
      <c r="AC144" s="19">
        <v>93.990600000000001</v>
      </c>
      <c r="AD144" s="19">
        <v>47.369</v>
      </c>
      <c r="AE144" s="19">
        <v>156.12580000000003</v>
      </c>
      <c r="AF144" s="19">
        <v>111.9888</v>
      </c>
      <c r="AG144" s="19">
        <v>59.549599999999998</v>
      </c>
      <c r="AH144" s="19">
        <v>179.94159999999999</v>
      </c>
      <c r="AI144" s="19">
        <v>1.9998</v>
      </c>
      <c r="AJ144" s="19">
        <v>0</v>
      </c>
      <c r="AK144" s="19">
        <v>47.631599999999999</v>
      </c>
      <c r="AL144" s="19">
        <v>111.9888</v>
      </c>
      <c r="AM144" s="19">
        <v>59.549599999999998</v>
      </c>
      <c r="AN144" s="19">
        <v>179.94159999999999</v>
      </c>
      <c r="AO144" s="19">
        <v>1.9998</v>
      </c>
      <c r="AP144" s="19">
        <v>0</v>
      </c>
      <c r="AQ144" s="19">
        <v>47.631599999999999</v>
      </c>
      <c r="AR144" s="19">
        <v>19.998000000000001</v>
      </c>
      <c r="AS144" s="19">
        <v>4.0602</v>
      </c>
      <c r="AT144" s="19">
        <v>44.985399999999998</v>
      </c>
      <c r="AU144" s="19">
        <v>93.990600000000001</v>
      </c>
      <c r="AV144" s="19">
        <v>47.369</v>
      </c>
      <c r="AW144" s="19">
        <v>156.12580000000003</v>
      </c>
      <c r="AX144" s="19">
        <v>111.9888</v>
      </c>
      <c r="AY144" s="19">
        <v>59.549599999999998</v>
      </c>
      <c r="AZ144" s="19">
        <v>179.94159999999999</v>
      </c>
      <c r="BA144" s="19">
        <v>1.9998</v>
      </c>
      <c r="BB144" s="19">
        <v>0</v>
      </c>
      <c r="BC144" s="19">
        <v>47.631599999999999</v>
      </c>
      <c r="BD144" s="19">
        <v>111.9888</v>
      </c>
      <c r="BE144" s="19">
        <v>59.549599999999998</v>
      </c>
      <c r="BF144" s="19">
        <v>179.94159999999999</v>
      </c>
      <c r="BG144" s="19">
        <v>1.9998</v>
      </c>
      <c r="BH144" s="19">
        <v>0</v>
      </c>
      <c r="BI144" s="19">
        <v>47.631599999999999</v>
      </c>
      <c r="BJ144" s="19">
        <v>19.998000000000001</v>
      </c>
      <c r="BK144" s="19">
        <v>4.0602</v>
      </c>
      <c r="BL144" s="19">
        <v>44.985399999999998</v>
      </c>
      <c r="BM144" s="19">
        <v>93.990600000000001</v>
      </c>
      <c r="BN144" s="19">
        <v>47.369</v>
      </c>
      <c r="BO144" s="19">
        <v>156.12580000000003</v>
      </c>
      <c r="BP144" s="19"/>
      <c r="BQ14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32.663399999999996</v>
      </c>
      <c r="BS14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156.12580000000003</v>
      </c>
      <c r="BT144" s="11">
        <f>Tabelle5897112140[[#This Row],[Mindestauslastung min]]*Tabelle5897112140[[#This Row],[installierte Leistung MW min]]</f>
        <v>0</v>
      </c>
      <c r="BU144" s="11">
        <f>Tabelle5897112140[[#This Row],[Mindestauslastung durch]]*Tabelle5897112140[[#This Row],[installierte Leistung MW durch]]</f>
        <v>0</v>
      </c>
      <c r="BV144" s="11">
        <f>Tabelle5897112140[[#This Row],[Mindestauslastung max]]*Tabelle5897112140[[#This Row],[installierte Leistung MW max]]</f>
        <v>0</v>
      </c>
      <c r="BW144" s="9">
        <v>0</v>
      </c>
      <c r="BX144" s="9">
        <v>0</v>
      </c>
      <c r="BY144" s="9">
        <v>0</v>
      </c>
      <c r="BZ144" s="9"/>
      <c r="CA144" s="9">
        <v>0.7</v>
      </c>
      <c r="CB144" s="9">
        <v>0.6</v>
      </c>
      <c r="CC144" s="9">
        <v>0.8</v>
      </c>
      <c r="CD144" s="9">
        <v>0.7</v>
      </c>
      <c r="CE144" s="9">
        <v>0.6</v>
      </c>
      <c r="CF144" s="9">
        <v>0.8</v>
      </c>
      <c r="CG144" s="9">
        <v>0.24</v>
      </c>
      <c r="CH144" s="9">
        <v>0.19</v>
      </c>
      <c r="CI144" s="9">
        <v>0.28999999999999998</v>
      </c>
      <c r="CJ144" s="9">
        <v>0.7</v>
      </c>
      <c r="CK144" s="9">
        <v>0.6</v>
      </c>
      <c r="CL144" s="9">
        <v>0.8</v>
      </c>
      <c r="CM144" s="9">
        <v>0.7</v>
      </c>
      <c r="CN144" s="9">
        <v>0.6</v>
      </c>
      <c r="CO144" s="9">
        <v>0.8</v>
      </c>
      <c r="CP144" s="9">
        <v>0.24</v>
      </c>
      <c r="CQ144" s="9">
        <v>0.19</v>
      </c>
      <c r="CR144" s="9">
        <v>0.28999999999999998</v>
      </c>
      <c r="CS144" s="9">
        <v>0.7</v>
      </c>
      <c r="CT144" s="9">
        <v>0.6</v>
      </c>
      <c r="CU144" s="9">
        <v>0.8</v>
      </c>
      <c r="CV144" s="9">
        <v>0.7</v>
      </c>
      <c r="CW144" s="9">
        <v>0.6</v>
      </c>
      <c r="CX144" s="9">
        <v>0.8</v>
      </c>
      <c r="CY144" s="9">
        <v>0.24</v>
      </c>
      <c r="CZ144" s="9">
        <v>0.19</v>
      </c>
      <c r="DA144" s="9">
        <v>0.28999999999999998</v>
      </c>
      <c r="DB144" s="9">
        <f>MIN(Tabelle5897112140[[#This Row],[Durchschnittsauslastung durch Sommer WTT]:[Durchschnittsauslastung max Winter SFN]])</f>
        <v>0.19</v>
      </c>
      <c r="DC14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4" s="9">
        <f>MAX(Tabelle5897112140[[#This Row],[Durchschnittsauslastung durch Sommer WTT]:[Durchschnittsauslastung max Winter SFN]])</f>
        <v>0.8</v>
      </c>
      <c r="DE144" s="40">
        <f>Tabelle5897112140[[#This Row],[Durchschnittsauslastung min]]*Tabelle5897112140[[#This Row],[installierte Leistung MW min]]</f>
        <v>25.714600000000001</v>
      </c>
      <c r="DF144" s="40">
        <f>Tabelle5897112140[[#This Row],[Durchschnittsauslastung durch]]*Tabelle5897112140[[#This Row],[installierte Leistung MW durch]]</f>
        <v>109.32240000000002</v>
      </c>
      <c r="DG144" s="40">
        <f>Tabelle5897112140[[#This Row],[Durchschnittsauslastung max]]*Tabelle5897112140[[#This Row],[installierte Leistung MW max]]</f>
        <v>211.69600000000003</v>
      </c>
      <c r="DH144" s="46">
        <f>Tabelle5897112140[[#This Row],[Maximalauslastung min]]*Tabelle5897112140[[#This Row],[installierte Leistung MW min]]</f>
        <v>135.34</v>
      </c>
      <c r="DI144" s="46">
        <f>Tabelle5897112140[[#This Row],[Maximalauslastung durch]]*Tabelle5897112140[[#This Row],[installierte Leistung MW durch]]</f>
        <v>199.98</v>
      </c>
      <c r="DJ144" s="19">
        <f>Tabelle5897112140[[#This Row],[Maximalauslastung max]]*Tabelle5897112140[[#This Row],[installierte Leistung MW durch]]</f>
        <v>199.98</v>
      </c>
      <c r="DK144" s="9">
        <v>1</v>
      </c>
      <c r="DL144" s="9">
        <v>1</v>
      </c>
      <c r="DM144" s="9">
        <v>1</v>
      </c>
      <c r="DN144" s="1">
        <v>199.98</v>
      </c>
      <c r="DO144" s="1">
        <v>135.34</v>
      </c>
      <c r="DP144" s="1">
        <v>264.62</v>
      </c>
      <c r="DQ144" s="19"/>
      <c r="DR144" s="19"/>
      <c r="DW144" s="1">
        <v>1.4</v>
      </c>
      <c r="DX144" s="1">
        <v>1.2</v>
      </c>
      <c r="DY144" s="1">
        <v>1.6</v>
      </c>
      <c r="EL144" s="1">
        <v>365</v>
      </c>
      <c r="EM144" s="1">
        <v>292</v>
      </c>
      <c r="EN144" s="1">
        <v>438</v>
      </c>
      <c r="EO144" s="11"/>
      <c r="EP144" s="11"/>
      <c r="EQ144" s="11"/>
      <c r="ER144" s="1">
        <v>365</v>
      </c>
      <c r="ES144" s="1">
        <v>292</v>
      </c>
      <c r="ET144" s="1">
        <v>438</v>
      </c>
      <c r="EV144" s="19"/>
      <c r="EW144" s="19"/>
      <c r="EX144" s="19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O144" s="1">
        <v>67</v>
      </c>
      <c r="FP144" s="1">
        <v>67</v>
      </c>
      <c r="FQ144" s="1">
        <v>67</v>
      </c>
      <c r="FR144" s="13" t="s">
        <v>806</v>
      </c>
      <c r="FS144" s="13" t="s">
        <v>806</v>
      </c>
      <c r="FT144" s="13" t="s">
        <v>806</v>
      </c>
      <c r="FU144" s="13"/>
      <c r="FV144" s="13" t="s">
        <v>806</v>
      </c>
      <c r="FW144" s="13" t="s">
        <v>806</v>
      </c>
      <c r="FX144" s="13" t="s">
        <v>806</v>
      </c>
      <c r="FY144" s="13" t="s">
        <v>806</v>
      </c>
      <c r="FZ144" s="13" t="s">
        <v>806</v>
      </c>
      <c r="GA144" s="13" t="s">
        <v>806</v>
      </c>
      <c r="GB144" s="13" t="s">
        <v>806</v>
      </c>
      <c r="GE144" s="13" t="s">
        <v>806</v>
      </c>
      <c r="GF144" s="13" t="s">
        <v>806</v>
      </c>
      <c r="GH144" s="13" t="s">
        <v>806</v>
      </c>
    </row>
    <row r="145" spans="1:190" ht="12.75" customHeight="1" x14ac:dyDescent="0.25">
      <c r="A145" s="1" t="s">
        <v>208</v>
      </c>
      <c r="B145" s="1" t="s">
        <v>651</v>
      </c>
      <c r="C145" s="1" t="s">
        <v>661</v>
      </c>
      <c r="D145" s="1" t="s">
        <v>689</v>
      </c>
      <c r="E145" s="1" t="s">
        <v>127</v>
      </c>
      <c r="F145" s="1">
        <v>0</v>
      </c>
      <c r="G145" s="1">
        <v>2050</v>
      </c>
      <c r="H145" s="1">
        <v>1</v>
      </c>
      <c r="I145" s="1">
        <v>0</v>
      </c>
      <c r="J145" s="1">
        <v>0</v>
      </c>
      <c r="K14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4.0602</v>
      </c>
      <c r="L14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81.325199999999995</v>
      </c>
      <c r="M14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179.94159999999999</v>
      </c>
      <c r="N145" s="19">
        <v>111.9888</v>
      </c>
      <c r="O145" s="19">
        <v>59.549599999999998</v>
      </c>
      <c r="P145" s="19">
        <v>179.94159999999999</v>
      </c>
      <c r="Q145" s="19">
        <v>1.9998</v>
      </c>
      <c r="R145" s="19">
        <v>0</v>
      </c>
      <c r="S145" s="19">
        <v>47.631599999999999</v>
      </c>
      <c r="T145" s="19">
        <v>111.9888</v>
      </c>
      <c r="U145" s="19">
        <v>59.549599999999998</v>
      </c>
      <c r="V145" s="19">
        <v>179.94159999999999</v>
      </c>
      <c r="W145" s="19">
        <v>1.9998</v>
      </c>
      <c r="X145" s="19">
        <v>0</v>
      </c>
      <c r="Y145" s="19">
        <v>47.631599999999999</v>
      </c>
      <c r="Z145" s="19">
        <v>19.998000000000001</v>
      </c>
      <c r="AA145" s="19">
        <v>4.0602</v>
      </c>
      <c r="AB145" s="19">
        <v>44.985399999999998</v>
      </c>
      <c r="AC145" s="19">
        <v>93.990600000000001</v>
      </c>
      <c r="AD145" s="19">
        <v>47.369</v>
      </c>
      <c r="AE145" s="19">
        <v>156.12580000000003</v>
      </c>
      <c r="AF145" s="19">
        <v>111.9888</v>
      </c>
      <c r="AG145" s="19">
        <v>59.549599999999998</v>
      </c>
      <c r="AH145" s="19">
        <v>179.94159999999999</v>
      </c>
      <c r="AI145" s="19">
        <v>1.9998</v>
      </c>
      <c r="AJ145" s="19">
        <v>0</v>
      </c>
      <c r="AK145" s="19">
        <v>47.631599999999999</v>
      </c>
      <c r="AL145" s="19">
        <v>111.9888</v>
      </c>
      <c r="AM145" s="19">
        <v>59.549599999999998</v>
      </c>
      <c r="AN145" s="19">
        <v>179.94159999999999</v>
      </c>
      <c r="AO145" s="19">
        <v>1.9998</v>
      </c>
      <c r="AP145" s="19">
        <v>0</v>
      </c>
      <c r="AQ145" s="19">
        <v>47.631599999999999</v>
      </c>
      <c r="AR145" s="19">
        <v>19.998000000000001</v>
      </c>
      <c r="AS145" s="19">
        <v>4.0602</v>
      </c>
      <c r="AT145" s="19">
        <v>44.985399999999998</v>
      </c>
      <c r="AU145" s="19">
        <v>93.990600000000001</v>
      </c>
      <c r="AV145" s="19">
        <v>47.369</v>
      </c>
      <c r="AW145" s="19">
        <v>156.12580000000003</v>
      </c>
      <c r="AX145" s="19">
        <v>111.9888</v>
      </c>
      <c r="AY145" s="19">
        <v>59.549599999999998</v>
      </c>
      <c r="AZ145" s="19">
        <v>179.94159999999999</v>
      </c>
      <c r="BA145" s="19">
        <v>1.9998</v>
      </c>
      <c r="BB145" s="19">
        <v>0</v>
      </c>
      <c r="BC145" s="19">
        <v>47.631599999999999</v>
      </c>
      <c r="BD145" s="19">
        <v>111.9888</v>
      </c>
      <c r="BE145" s="19">
        <v>59.549599999999998</v>
      </c>
      <c r="BF145" s="19">
        <v>179.94159999999999</v>
      </c>
      <c r="BG145" s="19">
        <v>1.9998</v>
      </c>
      <c r="BH145" s="19">
        <v>0</v>
      </c>
      <c r="BI145" s="19">
        <v>47.631599999999999</v>
      </c>
      <c r="BJ145" s="19">
        <v>19.998000000000001</v>
      </c>
      <c r="BK145" s="19">
        <v>4.0602</v>
      </c>
      <c r="BL145" s="19">
        <v>44.985399999999998</v>
      </c>
      <c r="BM145" s="19">
        <v>93.990600000000001</v>
      </c>
      <c r="BN145" s="19">
        <v>47.369</v>
      </c>
      <c r="BO145" s="19">
        <v>156.12580000000003</v>
      </c>
      <c r="BP145" s="19"/>
      <c r="BQ14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32.663399999999996</v>
      </c>
      <c r="BS14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156.12580000000003</v>
      </c>
      <c r="BT145" s="11">
        <f>Tabelle5897112140[[#This Row],[Mindestauslastung min]]*Tabelle5897112140[[#This Row],[installierte Leistung MW min]]</f>
        <v>0</v>
      </c>
      <c r="BU145" s="11">
        <f>Tabelle5897112140[[#This Row],[Mindestauslastung durch]]*Tabelle5897112140[[#This Row],[installierte Leistung MW durch]]</f>
        <v>0</v>
      </c>
      <c r="BV145" s="11">
        <f>Tabelle5897112140[[#This Row],[Mindestauslastung max]]*Tabelle5897112140[[#This Row],[installierte Leistung MW max]]</f>
        <v>0</v>
      </c>
      <c r="BW145" s="9">
        <v>0</v>
      </c>
      <c r="BX145" s="9">
        <v>0</v>
      </c>
      <c r="BY145" s="9">
        <v>0</v>
      </c>
      <c r="BZ145" s="9"/>
      <c r="CA145" s="9">
        <v>0.7</v>
      </c>
      <c r="CB145" s="9">
        <v>0.6</v>
      </c>
      <c r="CC145" s="9">
        <v>0.8</v>
      </c>
      <c r="CD145" s="9">
        <v>0.7</v>
      </c>
      <c r="CE145" s="9">
        <v>0.6</v>
      </c>
      <c r="CF145" s="9">
        <v>0.8</v>
      </c>
      <c r="CG145" s="9">
        <v>0.24</v>
      </c>
      <c r="CH145" s="9">
        <v>0.19</v>
      </c>
      <c r="CI145" s="9">
        <v>0.28999999999999998</v>
      </c>
      <c r="CJ145" s="9">
        <v>0.7</v>
      </c>
      <c r="CK145" s="9">
        <v>0.6</v>
      </c>
      <c r="CL145" s="9">
        <v>0.8</v>
      </c>
      <c r="CM145" s="9">
        <v>0.7</v>
      </c>
      <c r="CN145" s="9">
        <v>0.6</v>
      </c>
      <c r="CO145" s="9">
        <v>0.8</v>
      </c>
      <c r="CP145" s="9">
        <v>0.24</v>
      </c>
      <c r="CQ145" s="9">
        <v>0.19</v>
      </c>
      <c r="CR145" s="9">
        <v>0.28999999999999998</v>
      </c>
      <c r="CS145" s="9">
        <v>0.7</v>
      </c>
      <c r="CT145" s="9">
        <v>0.6</v>
      </c>
      <c r="CU145" s="9">
        <v>0.8</v>
      </c>
      <c r="CV145" s="9">
        <v>0.7</v>
      </c>
      <c r="CW145" s="9">
        <v>0.6</v>
      </c>
      <c r="CX145" s="9">
        <v>0.8</v>
      </c>
      <c r="CY145" s="9">
        <v>0.24</v>
      </c>
      <c r="CZ145" s="9">
        <v>0.19</v>
      </c>
      <c r="DA145" s="9">
        <v>0.28999999999999998</v>
      </c>
      <c r="DB145" s="9">
        <f>MIN(Tabelle5897112140[[#This Row],[Durchschnittsauslastung durch Sommer WTT]:[Durchschnittsauslastung max Winter SFN]])</f>
        <v>0.19</v>
      </c>
      <c r="DC14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5" s="9">
        <f>MAX(Tabelle5897112140[[#This Row],[Durchschnittsauslastung durch Sommer WTT]:[Durchschnittsauslastung max Winter SFN]])</f>
        <v>0.8</v>
      </c>
      <c r="DE145" s="40">
        <f>Tabelle5897112140[[#This Row],[Durchschnittsauslastung min]]*Tabelle5897112140[[#This Row],[installierte Leistung MW min]]</f>
        <v>25.714600000000001</v>
      </c>
      <c r="DF145" s="40">
        <f>Tabelle5897112140[[#This Row],[Durchschnittsauslastung durch]]*Tabelle5897112140[[#This Row],[installierte Leistung MW durch]]</f>
        <v>109.32240000000002</v>
      </c>
      <c r="DG145" s="40">
        <f>Tabelle5897112140[[#This Row],[Durchschnittsauslastung max]]*Tabelle5897112140[[#This Row],[installierte Leistung MW max]]</f>
        <v>211.69600000000003</v>
      </c>
      <c r="DH145" s="46">
        <f>Tabelle5897112140[[#This Row],[Maximalauslastung min]]*Tabelle5897112140[[#This Row],[installierte Leistung MW min]]</f>
        <v>135.34</v>
      </c>
      <c r="DI145" s="46">
        <f>Tabelle5897112140[[#This Row],[Maximalauslastung durch]]*Tabelle5897112140[[#This Row],[installierte Leistung MW durch]]</f>
        <v>199.98</v>
      </c>
      <c r="DJ145" s="19">
        <f>Tabelle5897112140[[#This Row],[Maximalauslastung max]]*Tabelle5897112140[[#This Row],[installierte Leistung MW durch]]</f>
        <v>199.98</v>
      </c>
      <c r="DK145" s="9">
        <v>1</v>
      </c>
      <c r="DL145" s="9">
        <v>1</v>
      </c>
      <c r="DM145" s="9">
        <v>1</v>
      </c>
      <c r="DN145" s="1">
        <v>199.98</v>
      </c>
      <c r="DO145" s="1">
        <v>135.34</v>
      </c>
      <c r="DP145" s="1">
        <v>264.62</v>
      </c>
      <c r="DQ145" s="19"/>
      <c r="DR145" s="19"/>
      <c r="DW145" s="1">
        <v>1.4</v>
      </c>
      <c r="DX145" s="1">
        <v>1.2</v>
      </c>
      <c r="DY145" s="1">
        <v>1.6</v>
      </c>
      <c r="EL145" s="1">
        <v>365</v>
      </c>
      <c r="EM145" s="1">
        <v>292</v>
      </c>
      <c r="EN145" s="1">
        <v>438</v>
      </c>
      <c r="EO145" s="11"/>
      <c r="EP145" s="11"/>
      <c r="EQ145" s="11"/>
      <c r="ER145" s="1">
        <v>365</v>
      </c>
      <c r="ES145" s="1">
        <v>292</v>
      </c>
      <c r="ET145" s="1">
        <v>438</v>
      </c>
      <c r="EV145" s="19"/>
      <c r="EW145" s="19"/>
      <c r="EX145" s="19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O145" s="1">
        <v>67</v>
      </c>
      <c r="FP145" s="1">
        <v>67</v>
      </c>
      <c r="FQ145" s="1">
        <v>67</v>
      </c>
      <c r="FR145" s="13" t="s">
        <v>806</v>
      </c>
      <c r="FS145" s="13" t="s">
        <v>806</v>
      </c>
      <c r="FT145" s="13" t="s">
        <v>806</v>
      </c>
      <c r="FU145" s="13"/>
      <c r="FV145" s="13" t="s">
        <v>806</v>
      </c>
      <c r="FW145" s="13" t="s">
        <v>806</v>
      </c>
      <c r="FX145" s="13" t="s">
        <v>806</v>
      </c>
      <c r="FY145" s="13" t="s">
        <v>806</v>
      </c>
      <c r="FZ145" s="13" t="s">
        <v>806</v>
      </c>
      <c r="GA145" s="13" t="s">
        <v>806</v>
      </c>
      <c r="GB145" s="13" t="s">
        <v>806</v>
      </c>
      <c r="GE145" s="13" t="s">
        <v>806</v>
      </c>
      <c r="GF145" s="13" t="s">
        <v>806</v>
      </c>
      <c r="GH145" s="13" t="s">
        <v>806</v>
      </c>
    </row>
    <row r="146" spans="1:190" ht="12.75" customHeight="1" x14ac:dyDescent="0.25">
      <c r="A146" s="1" t="s">
        <v>362</v>
      </c>
      <c r="B146" s="1" t="s">
        <v>650</v>
      </c>
      <c r="C146" s="1" t="s">
        <v>663</v>
      </c>
      <c r="D146" s="1" t="s">
        <v>694</v>
      </c>
      <c r="E146" s="1" t="s">
        <v>127</v>
      </c>
      <c r="F146" s="1">
        <v>0</v>
      </c>
      <c r="G146" s="1">
        <v>2015</v>
      </c>
      <c r="H146" s="1">
        <v>1</v>
      </c>
      <c r="I146" s="1">
        <v>0</v>
      </c>
      <c r="J146" s="1">
        <v>0</v>
      </c>
      <c r="K14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50.074444444444445</v>
      </c>
      <c r="M14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229.6</v>
      </c>
      <c r="N146" s="19">
        <v>173.52</v>
      </c>
      <c r="O146" s="19">
        <v>125.24</v>
      </c>
      <c r="P146" s="19">
        <v>229.6</v>
      </c>
      <c r="Q146" s="19">
        <v>0</v>
      </c>
      <c r="R146" s="19">
        <v>0</v>
      </c>
      <c r="S146" s="19">
        <v>0</v>
      </c>
      <c r="T146" s="19">
        <v>173.52</v>
      </c>
      <c r="U146" s="19">
        <v>125.24</v>
      </c>
      <c r="V146" s="19">
        <v>229.6</v>
      </c>
      <c r="W146" s="19">
        <v>0</v>
      </c>
      <c r="X146" s="19">
        <v>0</v>
      </c>
      <c r="Y146" s="19">
        <v>0</v>
      </c>
      <c r="Z146" s="19">
        <v>21.69</v>
      </c>
      <c r="AA146" s="19">
        <v>8.08</v>
      </c>
      <c r="AB146" s="19">
        <v>39.200000000000003</v>
      </c>
      <c r="AC146" s="19">
        <v>57.84</v>
      </c>
      <c r="AD146" s="19">
        <v>32.32</v>
      </c>
      <c r="AE146" s="19">
        <v>89.6</v>
      </c>
      <c r="AF146" s="19">
        <v>38.56</v>
      </c>
      <c r="AG146" s="19">
        <v>22.22</v>
      </c>
      <c r="AH146" s="19">
        <v>58.8</v>
      </c>
      <c r="AI146" s="19">
        <v>40.97</v>
      </c>
      <c r="AJ146" s="19">
        <v>18.18</v>
      </c>
      <c r="AK146" s="19">
        <v>70</v>
      </c>
      <c r="AL146" s="19">
        <v>38.56</v>
      </c>
      <c r="AM146" s="19">
        <v>22.22</v>
      </c>
      <c r="AN146" s="19">
        <v>58.8</v>
      </c>
      <c r="AO146" s="19">
        <v>40.97</v>
      </c>
      <c r="AP146" s="19">
        <v>18.18</v>
      </c>
      <c r="AQ146" s="19">
        <v>70</v>
      </c>
      <c r="AR146" s="19">
        <v>4.82</v>
      </c>
      <c r="AS146" s="19">
        <v>0</v>
      </c>
      <c r="AT146" s="19">
        <v>19.600000000000001</v>
      </c>
      <c r="AU146" s="19">
        <v>74.709999999999994</v>
      </c>
      <c r="AV146" s="19">
        <v>46.46</v>
      </c>
      <c r="AW146" s="19">
        <v>100.8</v>
      </c>
      <c r="AX146" s="19">
        <v>0</v>
      </c>
      <c r="AY146" s="19">
        <v>0</v>
      </c>
      <c r="AZ146" s="19">
        <v>0</v>
      </c>
      <c r="BA146" s="19">
        <v>79.53</v>
      </c>
      <c r="BB146" s="19">
        <v>60.6</v>
      </c>
      <c r="BC146" s="19">
        <v>100.8</v>
      </c>
      <c r="BD146" s="19">
        <v>0</v>
      </c>
      <c r="BE146" s="19">
        <v>0</v>
      </c>
      <c r="BF146" s="19">
        <v>0</v>
      </c>
      <c r="BG146" s="19">
        <v>79.53</v>
      </c>
      <c r="BH146" s="19">
        <v>60.6</v>
      </c>
      <c r="BI146" s="19">
        <v>100.8</v>
      </c>
      <c r="BJ146" s="19">
        <v>0</v>
      </c>
      <c r="BK146" s="19">
        <v>0</v>
      </c>
      <c r="BL146" s="19">
        <v>0</v>
      </c>
      <c r="BM146" s="19">
        <v>79.53</v>
      </c>
      <c r="BN146" s="19">
        <v>60.6</v>
      </c>
      <c r="BO146" s="19">
        <v>100.8</v>
      </c>
      <c r="BP146" s="19"/>
      <c r="BQ14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50.342222222222212</v>
      </c>
      <c r="BS14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100.8</v>
      </c>
      <c r="BT146" s="11">
        <f>Tabelle5897112140[[#This Row],[Mindestauslastung min]]*Tabelle5897112140[[#This Row],[installierte Leistung MW min]]</f>
        <v>0</v>
      </c>
      <c r="BU146" s="11">
        <f>Tabelle5897112140[[#This Row],[Mindestauslastung durch]]*Tabelle5897112140[[#This Row],[installierte Leistung MW durch]]</f>
        <v>0</v>
      </c>
      <c r="BV146" s="11">
        <f>Tabelle5897112140[[#This Row],[Mindestauslastung max]]*Tabelle5897112140[[#This Row],[installierte Leistung MW max]]</f>
        <v>0</v>
      </c>
      <c r="BW146" s="9">
        <v>0</v>
      </c>
      <c r="BX146" s="9">
        <v>0</v>
      </c>
      <c r="BY146" s="9">
        <v>0</v>
      </c>
      <c r="BZ146" s="9"/>
      <c r="CA146" s="9">
        <v>0.72</v>
      </c>
      <c r="CB146" s="9">
        <v>0.62</v>
      </c>
      <c r="CC146" s="9">
        <v>0.82</v>
      </c>
      <c r="CD146" s="9">
        <v>0.72</v>
      </c>
      <c r="CE146" s="9">
        <v>0.62</v>
      </c>
      <c r="CF146" s="9">
        <v>0.82</v>
      </c>
      <c r="CG146" s="9">
        <v>0.09</v>
      </c>
      <c r="CH146" s="9">
        <v>0.04</v>
      </c>
      <c r="CI146" s="9">
        <v>0.14000000000000001</v>
      </c>
      <c r="CJ146" s="9">
        <v>0.16</v>
      </c>
      <c r="CK146" s="9">
        <v>0.11</v>
      </c>
      <c r="CL146" s="9">
        <v>0.21</v>
      </c>
      <c r="CM146" s="9">
        <v>0.16</v>
      </c>
      <c r="CN146" s="9">
        <v>0.11</v>
      </c>
      <c r="CO146" s="9">
        <v>0.21</v>
      </c>
      <c r="CP146" s="9">
        <v>0.02</v>
      </c>
      <c r="CQ146" s="9">
        <v>0</v>
      </c>
      <c r="CR146" s="9">
        <v>7.0000000000000007E-2</v>
      </c>
      <c r="CS146" s="9">
        <v>0</v>
      </c>
      <c r="CT146" s="9">
        <v>0</v>
      </c>
      <c r="CU146" s="9">
        <v>0</v>
      </c>
      <c r="CV146" s="9">
        <v>0</v>
      </c>
      <c r="CW146" s="9">
        <v>0</v>
      </c>
      <c r="CX146" s="9">
        <v>0</v>
      </c>
      <c r="CY146" s="9">
        <v>0</v>
      </c>
      <c r="CZ146" s="9">
        <v>0</v>
      </c>
      <c r="DA146" s="9">
        <v>0</v>
      </c>
      <c r="DB146" s="9">
        <f>MIN(Tabelle5897112140[[#This Row],[Durchschnittsauslastung durch Sommer WTT]:[Durchschnittsauslastung max Winter SFN]])</f>
        <v>0</v>
      </c>
      <c r="DC14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6" s="9">
        <f>MAX(Tabelle5897112140[[#This Row],[Durchschnittsauslastung durch Sommer WTT]:[Durchschnittsauslastung max Winter SFN]])</f>
        <v>0.82</v>
      </c>
      <c r="DE146" s="40">
        <f>Tabelle5897112140[[#This Row],[Durchschnittsauslastung min]]*Tabelle5897112140[[#This Row],[installierte Leistung MW min]]</f>
        <v>0</v>
      </c>
      <c r="DF146" s="40">
        <f>Tabelle5897112140[[#This Row],[Durchschnittsauslastung durch]]*Tabelle5897112140[[#This Row],[installierte Leistung MW durch]]</f>
        <v>50.074444444444438</v>
      </c>
      <c r="DG146" s="40">
        <f>Tabelle5897112140[[#This Row],[Durchschnittsauslastung max]]*Tabelle5897112140[[#This Row],[installierte Leistung MW max]]</f>
        <v>229.6</v>
      </c>
      <c r="DH146" s="46">
        <f>Tabelle5897112140[[#This Row],[Maximalauslastung min]]*Tabelle5897112140[[#This Row],[installierte Leistung MW min]]</f>
        <v>202</v>
      </c>
      <c r="DI146" s="46">
        <f>Tabelle5897112140[[#This Row],[Maximalauslastung durch]]*Tabelle5897112140[[#This Row],[installierte Leistung MW durch]]</f>
        <v>241</v>
      </c>
      <c r="DJ146" s="19">
        <f>Tabelle5897112140[[#This Row],[Maximalauslastung max]]*Tabelle5897112140[[#This Row],[installierte Leistung MW durch]]</f>
        <v>241</v>
      </c>
      <c r="DK146" s="9">
        <v>1</v>
      </c>
      <c r="DL146" s="9">
        <v>1</v>
      </c>
      <c r="DM146" s="9">
        <v>1</v>
      </c>
      <c r="DN146" s="1">
        <v>241</v>
      </c>
      <c r="DO146" s="1">
        <v>202</v>
      </c>
      <c r="DP146" s="1">
        <v>280</v>
      </c>
      <c r="DQ146" s="19"/>
      <c r="DR146" s="19"/>
      <c r="DW146" s="1">
        <v>0.18</v>
      </c>
      <c r="DX146" s="1">
        <v>7.9999999999999988E-2</v>
      </c>
      <c r="DY146" s="1">
        <v>0.28000000000000003</v>
      </c>
      <c r="EL146" s="1">
        <v>365</v>
      </c>
      <c r="EM146" s="1">
        <v>292</v>
      </c>
      <c r="EN146" s="1">
        <v>438</v>
      </c>
      <c r="EO146" s="11"/>
      <c r="EP146" s="11"/>
      <c r="EQ146" s="11"/>
      <c r="ER146" s="1">
        <v>365</v>
      </c>
      <c r="ES146" s="1">
        <v>292</v>
      </c>
      <c r="ET146" s="1">
        <v>438</v>
      </c>
      <c r="EV146" s="19"/>
      <c r="EW146" s="19"/>
      <c r="EX146" s="19"/>
      <c r="EY146" s="19"/>
      <c r="EZ146" s="19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O146" s="1">
        <v>67</v>
      </c>
      <c r="FP146" s="1">
        <v>67</v>
      </c>
      <c r="FQ146" s="1">
        <v>67</v>
      </c>
      <c r="FR146" s="13" t="s">
        <v>806</v>
      </c>
      <c r="FS146" s="13" t="s">
        <v>806</v>
      </c>
      <c r="FT146" s="13" t="s">
        <v>806</v>
      </c>
      <c r="FU146" s="13"/>
      <c r="FV146" s="13" t="s">
        <v>806</v>
      </c>
      <c r="FW146" s="13" t="s">
        <v>806</v>
      </c>
      <c r="FX146" s="13" t="s">
        <v>806</v>
      </c>
      <c r="FY146" s="13" t="s">
        <v>806</v>
      </c>
      <c r="FZ146" s="13" t="s">
        <v>806</v>
      </c>
      <c r="GA146" s="13" t="s">
        <v>806</v>
      </c>
      <c r="GB146" s="13" t="s">
        <v>806</v>
      </c>
      <c r="GE146" s="13" t="s">
        <v>806</v>
      </c>
      <c r="GF146" s="13" t="s">
        <v>806</v>
      </c>
      <c r="GH146" s="13" t="s">
        <v>806</v>
      </c>
    </row>
    <row r="147" spans="1:190" ht="12.75" customHeight="1" x14ac:dyDescent="0.25">
      <c r="A147" s="1" t="s">
        <v>362</v>
      </c>
      <c r="B147" s="1" t="s">
        <v>650</v>
      </c>
      <c r="C147" s="1" t="s">
        <v>663</v>
      </c>
      <c r="D147" s="1" t="s">
        <v>694</v>
      </c>
      <c r="E147" s="1" t="s">
        <v>127</v>
      </c>
      <c r="F147" s="1">
        <v>0</v>
      </c>
      <c r="G147" s="1">
        <v>2020</v>
      </c>
      <c r="H147" s="1">
        <v>1</v>
      </c>
      <c r="I147" s="1">
        <v>0</v>
      </c>
      <c r="J147" s="1">
        <v>0</v>
      </c>
      <c r="K14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51.576677777777796</v>
      </c>
      <c r="M14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236.488</v>
      </c>
      <c r="N147" s="19">
        <v>178.72560000000001</v>
      </c>
      <c r="O147" s="19">
        <v>128.99719999999999</v>
      </c>
      <c r="P147" s="19">
        <v>236.488</v>
      </c>
      <c r="Q147" s="19">
        <v>0</v>
      </c>
      <c r="R147" s="19">
        <v>0</v>
      </c>
      <c r="S147" s="19">
        <v>0</v>
      </c>
      <c r="T147" s="19">
        <v>178.72560000000001</v>
      </c>
      <c r="U147" s="19">
        <v>128.99719999999999</v>
      </c>
      <c r="V147" s="19">
        <v>236.488</v>
      </c>
      <c r="W147" s="19">
        <v>0</v>
      </c>
      <c r="X147" s="19">
        <v>0</v>
      </c>
      <c r="Y147" s="19">
        <v>0</v>
      </c>
      <c r="Z147" s="19">
        <v>22.340700000000002</v>
      </c>
      <c r="AA147" s="19">
        <v>8.3224</v>
      </c>
      <c r="AB147" s="19">
        <v>40.376000000000005</v>
      </c>
      <c r="AC147" s="19">
        <v>59.575200000000002</v>
      </c>
      <c r="AD147" s="19">
        <v>33.2896</v>
      </c>
      <c r="AE147" s="19">
        <v>92.287999999999997</v>
      </c>
      <c r="AF147" s="19">
        <v>39.716800000000006</v>
      </c>
      <c r="AG147" s="19">
        <v>22.886599999999998</v>
      </c>
      <c r="AH147" s="19">
        <v>60.564</v>
      </c>
      <c r="AI147" s="19">
        <v>42.199100000000001</v>
      </c>
      <c r="AJ147" s="19">
        <v>18.7254</v>
      </c>
      <c r="AK147" s="19">
        <v>72.100000000000009</v>
      </c>
      <c r="AL147" s="19">
        <v>39.716800000000006</v>
      </c>
      <c r="AM147" s="19">
        <v>22.886599999999998</v>
      </c>
      <c r="AN147" s="19">
        <v>60.564</v>
      </c>
      <c r="AO147" s="19">
        <v>42.199100000000001</v>
      </c>
      <c r="AP147" s="19">
        <v>18.7254</v>
      </c>
      <c r="AQ147" s="19">
        <v>72.100000000000009</v>
      </c>
      <c r="AR147" s="19">
        <v>4.9646000000000008</v>
      </c>
      <c r="AS147" s="19">
        <v>0</v>
      </c>
      <c r="AT147" s="19">
        <v>20.188000000000002</v>
      </c>
      <c r="AU147" s="19">
        <v>76.951299999999989</v>
      </c>
      <c r="AV147" s="19">
        <v>47.8538</v>
      </c>
      <c r="AW147" s="19">
        <v>103.824</v>
      </c>
      <c r="AX147" s="19">
        <v>0</v>
      </c>
      <c r="AY147" s="19">
        <v>0</v>
      </c>
      <c r="AZ147" s="19">
        <v>0</v>
      </c>
      <c r="BA147" s="19">
        <v>81.915900000000008</v>
      </c>
      <c r="BB147" s="19">
        <v>62.418000000000006</v>
      </c>
      <c r="BC147" s="19">
        <v>103.824</v>
      </c>
      <c r="BD147" s="19">
        <v>0</v>
      </c>
      <c r="BE147" s="19">
        <v>0</v>
      </c>
      <c r="BF147" s="19">
        <v>0</v>
      </c>
      <c r="BG147" s="19">
        <v>81.915900000000008</v>
      </c>
      <c r="BH147" s="19">
        <v>62.418000000000006</v>
      </c>
      <c r="BI147" s="19">
        <v>103.824</v>
      </c>
      <c r="BJ147" s="19">
        <v>0</v>
      </c>
      <c r="BK147" s="19">
        <v>0</v>
      </c>
      <c r="BL147" s="19">
        <v>0</v>
      </c>
      <c r="BM147" s="19">
        <v>81.915900000000008</v>
      </c>
      <c r="BN147" s="19">
        <v>62.418000000000006</v>
      </c>
      <c r="BO147" s="19">
        <v>103.824</v>
      </c>
      <c r="BP147" s="19"/>
      <c r="BQ14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51.8524888888889</v>
      </c>
      <c r="BS14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103.824</v>
      </c>
      <c r="BT147" s="11">
        <f>Tabelle5897112140[[#This Row],[Mindestauslastung min]]*Tabelle5897112140[[#This Row],[installierte Leistung MW min]]</f>
        <v>0</v>
      </c>
      <c r="BU147" s="11">
        <f>Tabelle5897112140[[#This Row],[Mindestauslastung durch]]*Tabelle5897112140[[#This Row],[installierte Leistung MW durch]]</f>
        <v>0</v>
      </c>
      <c r="BV147" s="11">
        <f>Tabelle5897112140[[#This Row],[Mindestauslastung max]]*Tabelle5897112140[[#This Row],[installierte Leistung MW max]]</f>
        <v>0</v>
      </c>
      <c r="BW147" s="9">
        <v>0</v>
      </c>
      <c r="BX147" s="9">
        <v>0</v>
      </c>
      <c r="BY147" s="9">
        <v>0</v>
      </c>
      <c r="BZ147" s="9"/>
      <c r="CA147" s="9">
        <v>0.72</v>
      </c>
      <c r="CB147" s="9">
        <v>0.62</v>
      </c>
      <c r="CC147" s="9">
        <v>0.82</v>
      </c>
      <c r="CD147" s="9">
        <v>0.72</v>
      </c>
      <c r="CE147" s="9">
        <v>0.62</v>
      </c>
      <c r="CF147" s="9">
        <v>0.82</v>
      </c>
      <c r="CG147" s="9">
        <v>0.09</v>
      </c>
      <c r="CH147" s="9">
        <v>0.04</v>
      </c>
      <c r="CI147" s="9">
        <v>0.14000000000000001</v>
      </c>
      <c r="CJ147" s="9">
        <v>0.16</v>
      </c>
      <c r="CK147" s="9">
        <v>0.11</v>
      </c>
      <c r="CL147" s="9">
        <v>0.21</v>
      </c>
      <c r="CM147" s="9">
        <v>0.16</v>
      </c>
      <c r="CN147" s="9">
        <v>0.11</v>
      </c>
      <c r="CO147" s="9">
        <v>0.21</v>
      </c>
      <c r="CP147" s="9">
        <v>0.02</v>
      </c>
      <c r="CQ147" s="9">
        <v>0</v>
      </c>
      <c r="CR147" s="9">
        <v>7.0000000000000007E-2</v>
      </c>
      <c r="CS147" s="9">
        <v>0</v>
      </c>
      <c r="CT147" s="9">
        <v>0</v>
      </c>
      <c r="CU147" s="9">
        <v>0</v>
      </c>
      <c r="CV147" s="9">
        <v>0</v>
      </c>
      <c r="CW147" s="9">
        <v>0</v>
      </c>
      <c r="CX147" s="9">
        <v>0</v>
      </c>
      <c r="CY147" s="9">
        <v>0</v>
      </c>
      <c r="CZ147" s="9">
        <v>0</v>
      </c>
      <c r="DA147" s="9">
        <v>0</v>
      </c>
      <c r="DB147" s="9">
        <f>MIN(Tabelle5897112140[[#This Row],[Durchschnittsauslastung durch Sommer WTT]:[Durchschnittsauslastung max Winter SFN]])</f>
        <v>0</v>
      </c>
      <c r="DC14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7" s="9">
        <f>MAX(Tabelle5897112140[[#This Row],[Durchschnittsauslastung durch Sommer WTT]:[Durchschnittsauslastung max Winter SFN]])</f>
        <v>0.82</v>
      </c>
      <c r="DE147" s="40">
        <f>Tabelle5897112140[[#This Row],[Durchschnittsauslastung min]]*Tabelle5897112140[[#This Row],[installierte Leistung MW min]]</f>
        <v>0</v>
      </c>
      <c r="DF147" s="40">
        <f>Tabelle5897112140[[#This Row],[Durchschnittsauslastung durch]]*Tabelle5897112140[[#This Row],[installierte Leistung MW durch]]</f>
        <v>51.576677777777768</v>
      </c>
      <c r="DG147" s="40">
        <f>Tabelle5897112140[[#This Row],[Durchschnittsauslastung max]]*Tabelle5897112140[[#This Row],[installierte Leistung MW max]]</f>
        <v>236.48799999999997</v>
      </c>
      <c r="DH147" s="46">
        <f>Tabelle5897112140[[#This Row],[Maximalauslastung min]]*Tabelle5897112140[[#This Row],[installierte Leistung MW min]]</f>
        <v>0</v>
      </c>
      <c r="DI147" s="46">
        <f>Tabelle5897112140[[#This Row],[Maximalauslastung durch]]*Tabelle5897112140[[#This Row],[installierte Leistung MW durch]]</f>
        <v>0</v>
      </c>
      <c r="DJ147" s="19">
        <f>Tabelle5897112140[[#This Row],[Maximalauslastung max]]*Tabelle5897112140[[#This Row],[installierte Leistung MW durch]]</f>
        <v>0</v>
      </c>
      <c r="DK147" s="9">
        <v>0</v>
      </c>
      <c r="DL147" s="9">
        <v>0</v>
      </c>
      <c r="DM147" s="9">
        <v>0</v>
      </c>
      <c r="DN147" s="1">
        <v>248.23</v>
      </c>
      <c r="DO147" s="1">
        <v>208.06</v>
      </c>
      <c r="DP147" s="1">
        <v>288.39999999999998</v>
      </c>
      <c r="DQ147" s="19"/>
      <c r="DR147" s="19"/>
      <c r="DW147" s="1">
        <v>0.18</v>
      </c>
      <c r="DX147" s="1">
        <v>7.9999999999999988E-2</v>
      </c>
      <c r="DY147" s="1">
        <v>0.28000000000000003</v>
      </c>
      <c r="EL147" s="1">
        <v>365</v>
      </c>
      <c r="EM147" s="1">
        <v>292</v>
      </c>
      <c r="EN147" s="1">
        <v>438</v>
      </c>
      <c r="EO147" s="11"/>
      <c r="EP147" s="11"/>
      <c r="EQ147" s="11"/>
      <c r="ER147" s="1">
        <v>365</v>
      </c>
      <c r="ES147" s="1">
        <v>292</v>
      </c>
      <c r="ET147" s="1">
        <v>438</v>
      </c>
      <c r="EV147" s="19"/>
      <c r="EW147" s="19"/>
      <c r="EX147" s="19"/>
      <c r="EY147" s="19"/>
      <c r="EZ147" s="19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O147" s="1">
        <v>67</v>
      </c>
      <c r="FP147" s="1">
        <v>67</v>
      </c>
      <c r="FQ147" s="1">
        <v>67</v>
      </c>
      <c r="FR147" s="13" t="s">
        <v>806</v>
      </c>
      <c r="FS147" s="13" t="s">
        <v>806</v>
      </c>
      <c r="FT147" s="13" t="s">
        <v>806</v>
      </c>
      <c r="FU147" s="13"/>
      <c r="FV147" s="13" t="s">
        <v>806</v>
      </c>
      <c r="FW147" s="13" t="s">
        <v>806</v>
      </c>
      <c r="FX147" s="13" t="s">
        <v>806</v>
      </c>
      <c r="FY147" s="13" t="s">
        <v>806</v>
      </c>
      <c r="FZ147" s="13" t="s">
        <v>806</v>
      </c>
      <c r="GA147" s="13" t="s">
        <v>806</v>
      </c>
      <c r="GB147" s="13" t="s">
        <v>806</v>
      </c>
      <c r="GE147" s="13" t="s">
        <v>806</v>
      </c>
      <c r="GF147" s="13" t="s">
        <v>806</v>
      </c>
      <c r="GH147" s="13" t="s">
        <v>806</v>
      </c>
    </row>
    <row r="148" spans="1:190" ht="12.75" customHeight="1" x14ac:dyDescent="0.25">
      <c r="A148" s="1" t="s">
        <v>362</v>
      </c>
      <c r="B148" s="1" t="s">
        <v>650</v>
      </c>
      <c r="C148" s="1" t="s">
        <v>663</v>
      </c>
      <c r="D148" s="1" t="s">
        <v>694</v>
      </c>
      <c r="E148" s="1" t="s">
        <v>127</v>
      </c>
      <c r="F148" s="1">
        <v>0</v>
      </c>
      <c r="G148" s="1">
        <v>2025</v>
      </c>
      <c r="H148" s="1">
        <v>1</v>
      </c>
      <c r="I148" s="1">
        <v>0</v>
      </c>
      <c r="J148" s="1">
        <v>0</v>
      </c>
      <c r="K14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54.080400000000019</v>
      </c>
      <c r="M14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247.96800000000002</v>
      </c>
      <c r="N148" s="19">
        <v>187.40160000000003</v>
      </c>
      <c r="O148" s="19">
        <v>135.25919999999999</v>
      </c>
      <c r="P148" s="19">
        <v>247.96800000000002</v>
      </c>
      <c r="Q148" s="19">
        <v>0</v>
      </c>
      <c r="R148" s="19">
        <v>0</v>
      </c>
      <c r="S148" s="19">
        <v>0</v>
      </c>
      <c r="T148" s="19">
        <v>187.40160000000003</v>
      </c>
      <c r="U148" s="19">
        <v>135.25919999999999</v>
      </c>
      <c r="V148" s="19">
        <v>247.96800000000002</v>
      </c>
      <c r="W148" s="19">
        <v>0</v>
      </c>
      <c r="X148" s="19">
        <v>0</v>
      </c>
      <c r="Y148" s="19">
        <v>0</v>
      </c>
      <c r="Z148" s="19">
        <v>23.425200000000004</v>
      </c>
      <c r="AA148" s="19">
        <v>8.7263999999999999</v>
      </c>
      <c r="AB148" s="19">
        <v>42.336000000000006</v>
      </c>
      <c r="AC148" s="19">
        <v>62.467200000000005</v>
      </c>
      <c r="AD148" s="19">
        <v>34.9056</v>
      </c>
      <c r="AE148" s="19">
        <v>96.768000000000001</v>
      </c>
      <c r="AF148" s="19">
        <v>41.644800000000004</v>
      </c>
      <c r="AG148" s="19">
        <v>23.997600000000002</v>
      </c>
      <c r="AH148" s="19">
        <v>63.503999999999998</v>
      </c>
      <c r="AI148" s="19">
        <v>44.247599999999998</v>
      </c>
      <c r="AJ148" s="19">
        <v>19.634399999999999</v>
      </c>
      <c r="AK148" s="19">
        <v>75.600000000000009</v>
      </c>
      <c r="AL148" s="19">
        <v>41.644800000000004</v>
      </c>
      <c r="AM148" s="19">
        <v>23.997600000000002</v>
      </c>
      <c r="AN148" s="19">
        <v>63.503999999999998</v>
      </c>
      <c r="AO148" s="19">
        <v>44.247599999999998</v>
      </c>
      <c r="AP148" s="19">
        <v>19.634399999999999</v>
      </c>
      <c r="AQ148" s="19">
        <v>75.600000000000009</v>
      </c>
      <c r="AR148" s="19">
        <v>5.2056000000000004</v>
      </c>
      <c r="AS148" s="19">
        <v>0</v>
      </c>
      <c r="AT148" s="19">
        <v>21.168000000000003</v>
      </c>
      <c r="AU148" s="19">
        <v>80.686800000000005</v>
      </c>
      <c r="AV148" s="19">
        <v>50.176800000000007</v>
      </c>
      <c r="AW148" s="19">
        <v>108.864</v>
      </c>
      <c r="AX148" s="19">
        <v>0</v>
      </c>
      <c r="AY148" s="19">
        <v>0</v>
      </c>
      <c r="AZ148" s="19">
        <v>0</v>
      </c>
      <c r="BA148" s="19">
        <v>85.892400000000009</v>
      </c>
      <c r="BB148" s="19">
        <v>65.448000000000008</v>
      </c>
      <c r="BC148" s="19">
        <v>108.864</v>
      </c>
      <c r="BD148" s="19">
        <v>0</v>
      </c>
      <c r="BE148" s="19">
        <v>0</v>
      </c>
      <c r="BF148" s="19">
        <v>0</v>
      </c>
      <c r="BG148" s="19">
        <v>85.892400000000009</v>
      </c>
      <c r="BH148" s="19">
        <v>65.448000000000008</v>
      </c>
      <c r="BI148" s="19">
        <v>108.864</v>
      </c>
      <c r="BJ148" s="19">
        <v>0</v>
      </c>
      <c r="BK148" s="19">
        <v>0</v>
      </c>
      <c r="BL148" s="19">
        <v>0</v>
      </c>
      <c r="BM148" s="19">
        <v>85.892400000000009</v>
      </c>
      <c r="BN148" s="19">
        <v>65.448000000000008</v>
      </c>
      <c r="BO148" s="19">
        <v>108.864</v>
      </c>
      <c r="BP148" s="19"/>
      <c r="BQ14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54.369600000000005</v>
      </c>
      <c r="BS14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108.864</v>
      </c>
      <c r="BT148" s="11">
        <f>Tabelle5897112140[[#This Row],[Mindestauslastung min]]*Tabelle5897112140[[#This Row],[installierte Leistung MW min]]</f>
        <v>0</v>
      </c>
      <c r="BU148" s="11">
        <f>Tabelle5897112140[[#This Row],[Mindestauslastung durch]]*Tabelle5897112140[[#This Row],[installierte Leistung MW durch]]</f>
        <v>0</v>
      </c>
      <c r="BV148" s="11">
        <f>Tabelle5897112140[[#This Row],[Mindestauslastung max]]*Tabelle5897112140[[#This Row],[installierte Leistung MW max]]</f>
        <v>0</v>
      </c>
      <c r="BW148" s="9">
        <v>0</v>
      </c>
      <c r="BX148" s="9">
        <v>0</v>
      </c>
      <c r="BY148" s="9">
        <v>0</v>
      </c>
      <c r="BZ148" s="9"/>
      <c r="CA148" s="9">
        <v>0.72</v>
      </c>
      <c r="CB148" s="9">
        <v>0.62</v>
      </c>
      <c r="CC148" s="9">
        <v>0.82</v>
      </c>
      <c r="CD148" s="9">
        <v>0.72</v>
      </c>
      <c r="CE148" s="9">
        <v>0.62</v>
      </c>
      <c r="CF148" s="9">
        <v>0.82</v>
      </c>
      <c r="CG148" s="9">
        <v>0.09</v>
      </c>
      <c r="CH148" s="9">
        <v>0.04</v>
      </c>
      <c r="CI148" s="9">
        <v>0.14000000000000001</v>
      </c>
      <c r="CJ148" s="9">
        <v>0.16</v>
      </c>
      <c r="CK148" s="9">
        <v>0.11</v>
      </c>
      <c r="CL148" s="9">
        <v>0.21</v>
      </c>
      <c r="CM148" s="9">
        <v>0.16</v>
      </c>
      <c r="CN148" s="9">
        <v>0.11</v>
      </c>
      <c r="CO148" s="9">
        <v>0.21</v>
      </c>
      <c r="CP148" s="9">
        <v>0.02</v>
      </c>
      <c r="CQ148" s="9">
        <v>0</v>
      </c>
      <c r="CR148" s="9">
        <v>7.0000000000000007E-2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f>MIN(Tabelle5897112140[[#This Row],[Durchschnittsauslastung durch Sommer WTT]:[Durchschnittsauslastung max Winter SFN]])</f>
        <v>0</v>
      </c>
      <c r="DC14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8" s="9">
        <f>MAX(Tabelle5897112140[[#This Row],[Durchschnittsauslastung durch Sommer WTT]:[Durchschnittsauslastung max Winter SFN]])</f>
        <v>0.82</v>
      </c>
      <c r="DE148" s="40">
        <f>Tabelle5897112140[[#This Row],[Durchschnittsauslastung min]]*Tabelle5897112140[[#This Row],[installierte Leistung MW min]]</f>
        <v>0</v>
      </c>
      <c r="DF148" s="40">
        <f>Tabelle5897112140[[#This Row],[Durchschnittsauslastung durch]]*Tabelle5897112140[[#This Row],[installierte Leistung MW durch]]</f>
        <v>54.08039999999999</v>
      </c>
      <c r="DG148" s="40">
        <f>Tabelle5897112140[[#This Row],[Durchschnittsauslastung max]]*Tabelle5897112140[[#This Row],[installierte Leistung MW max]]</f>
        <v>247.96799999999996</v>
      </c>
      <c r="DH148" s="46">
        <f>Tabelle5897112140[[#This Row],[Maximalauslastung min]]*Tabelle5897112140[[#This Row],[installierte Leistung MW min]]</f>
        <v>0</v>
      </c>
      <c r="DI148" s="46">
        <f>Tabelle5897112140[[#This Row],[Maximalauslastung durch]]*Tabelle5897112140[[#This Row],[installierte Leistung MW durch]]</f>
        <v>0</v>
      </c>
      <c r="DJ148" s="19">
        <f>Tabelle5897112140[[#This Row],[Maximalauslastung max]]*Tabelle5897112140[[#This Row],[installierte Leistung MW durch]]</f>
        <v>0</v>
      </c>
      <c r="DK148" s="9">
        <v>0</v>
      </c>
      <c r="DL148" s="9">
        <v>0</v>
      </c>
      <c r="DM148" s="9">
        <v>0</v>
      </c>
      <c r="DN148" s="1">
        <v>260.27999999999997</v>
      </c>
      <c r="DO148" s="1">
        <v>218.16</v>
      </c>
      <c r="DP148" s="1">
        <v>302.39999999999998</v>
      </c>
      <c r="DQ148" s="19"/>
      <c r="DR148" s="19"/>
      <c r="DW148" s="1">
        <v>0.18</v>
      </c>
      <c r="DX148" s="1">
        <v>7.9999999999999988E-2</v>
      </c>
      <c r="DY148" s="1">
        <v>0.28000000000000003</v>
      </c>
      <c r="EL148" s="1">
        <v>365</v>
      </c>
      <c r="EM148" s="1">
        <v>292</v>
      </c>
      <c r="EN148" s="1">
        <v>438</v>
      </c>
      <c r="EO148" s="11"/>
      <c r="EP148" s="11"/>
      <c r="EQ148" s="11"/>
      <c r="ER148" s="1">
        <v>365</v>
      </c>
      <c r="ES148" s="1">
        <v>292</v>
      </c>
      <c r="ET148" s="1">
        <v>438</v>
      </c>
      <c r="EV148" s="19"/>
      <c r="EW148" s="19"/>
      <c r="EX148" s="19"/>
      <c r="EY148" s="19"/>
      <c r="EZ148" s="19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O148" s="1">
        <v>67</v>
      </c>
      <c r="FP148" s="1">
        <v>67</v>
      </c>
      <c r="FQ148" s="1">
        <v>67</v>
      </c>
      <c r="FR148" s="13" t="s">
        <v>806</v>
      </c>
      <c r="FS148" s="13" t="s">
        <v>806</v>
      </c>
      <c r="FT148" s="13" t="s">
        <v>806</v>
      </c>
      <c r="FU148" s="13"/>
      <c r="FV148" s="13" t="s">
        <v>806</v>
      </c>
      <c r="FW148" s="13" t="s">
        <v>806</v>
      </c>
      <c r="FX148" s="13" t="s">
        <v>806</v>
      </c>
      <c r="FY148" s="13" t="s">
        <v>806</v>
      </c>
      <c r="FZ148" s="13" t="s">
        <v>806</v>
      </c>
      <c r="GA148" s="13" t="s">
        <v>806</v>
      </c>
      <c r="GB148" s="13" t="s">
        <v>806</v>
      </c>
      <c r="GE148" s="13" t="s">
        <v>806</v>
      </c>
      <c r="GF148" s="13" t="s">
        <v>806</v>
      </c>
      <c r="GH148" s="13" t="s">
        <v>806</v>
      </c>
    </row>
    <row r="149" spans="1:190" ht="12.75" customHeight="1" x14ac:dyDescent="0.25">
      <c r="A149" s="1" t="s">
        <v>362</v>
      </c>
      <c r="B149" s="1" t="s">
        <v>650</v>
      </c>
      <c r="C149" s="1" t="s">
        <v>663</v>
      </c>
      <c r="D149" s="1" t="s">
        <v>694</v>
      </c>
      <c r="E149" s="1" t="s">
        <v>127</v>
      </c>
      <c r="F149" s="1">
        <v>0</v>
      </c>
      <c r="G149" s="1">
        <v>2030</v>
      </c>
      <c r="H149" s="1">
        <v>1</v>
      </c>
      <c r="I149" s="1">
        <v>0</v>
      </c>
      <c r="J149" s="1">
        <v>0</v>
      </c>
      <c r="K14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58.086355555555542</v>
      </c>
      <c r="M14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266.33599999999996</v>
      </c>
      <c r="N149" s="19">
        <v>201.28319999999999</v>
      </c>
      <c r="O149" s="19">
        <v>145.27839999999998</v>
      </c>
      <c r="P149" s="19">
        <v>266.33599999999996</v>
      </c>
      <c r="Q149" s="19">
        <v>0</v>
      </c>
      <c r="R149" s="19">
        <v>0</v>
      </c>
      <c r="S149" s="19">
        <v>0</v>
      </c>
      <c r="T149" s="19">
        <v>201.28319999999999</v>
      </c>
      <c r="U149" s="19">
        <v>145.27839999999998</v>
      </c>
      <c r="V149" s="19">
        <v>266.33599999999996</v>
      </c>
      <c r="W149" s="19">
        <v>0</v>
      </c>
      <c r="X149" s="19">
        <v>0</v>
      </c>
      <c r="Y149" s="19">
        <v>0</v>
      </c>
      <c r="Z149" s="19">
        <v>25.160399999999999</v>
      </c>
      <c r="AA149" s="19">
        <v>9.3727999999999998</v>
      </c>
      <c r="AB149" s="19">
        <v>45.472000000000001</v>
      </c>
      <c r="AC149" s="19">
        <v>67.094399999999993</v>
      </c>
      <c r="AD149" s="19">
        <v>37.491199999999999</v>
      </c>
      <c r="AE149" s="19">
        <v>103.93599999999999</v>
      </c>
      <c r="AF149" s="19">
        <v>44.729599999999998</v>
      </c>
      <c r="AG149" s="19">
        <v>25.775199999999998</v>
      </c>
      <c r="AH149" s="19">
        <v>68.207999999999998</v>
      </c>
      <c r="AI149" s="19">
        <v>47.525199999999998</v>
      </c>
      <c r="AJ149" s="19">
        <v>21.088799999999999</v>
      </c>
      <c r="AK149" s="19">
        <v>81.199999999999989</v>
      </c>
      <c r="AL149" s="19">
        <v>44.729599999999998</v>
      </c>
      <c r="AM149" s="19">
        <v>25.775199999999998</v>
      </c>
      <c r="AN149" s="19">
        <v>68.207999999999998</v>
      </c>
      <c r="AO149" s="19">
        <v>47.525199999999998</v>
      </c>
      <c r="AP149" s="19">
        <v>21.088799999999999</v>
      </c>
      <c r="AQ149" s="19">
        <v>81.199999999999989</v>
      </c>
      <c r="AR149" s="19">
        <v>5.5911999999999997</v>
      </c>
      <c r="AS149" s="19">
        <v>0</v>
      </c>
      <c r="AT149" s="19">
        <v>22.736000000000001</v>
      </c>
      <c r="AU149" s="19">
        <v>86.663599999999988</v>
      </c>
      <c r="AV149" s="19">
        <v>53.893599999999999</v>
      </c>
      <c r="AW149" s="19">
        <v>116.92799999999998</v>
      </c>
      <c r="AX149" s="19">
        <v>0</v>
      </c>
      <c r="AY149" s="19">
        <v>0</v>
      </c>
      <c r="AZ149" s="19">
        <v>0</v>
      </c>
      <c r="BA149" s="19">
        <v>92.254799999999989</v>
      </c>
      <c r="BB149" s="19">
        <v>70.295999999999992</v>
      </c>
      <c r="BC149" s="19">
        <v>116.92799999999998</v>
      </c>
      <c r="BD149" s="19">
        <v>0</v>
      </c>
      <c r="BE149" s="19">
        <v>0</v>
      </c>
      <c r="BF149" s="19">
        <v>0</v>
      </c>
      <c r="BG149" s="19">
        <v>92.254799999999989</v>
      </c>
      <c r="BH149" s="19">
        <v>70.295999999999992</v>
      </c>
      <c r="BI149" s="19">
        <v>116.92799999999998</v>
      </c>
      <c r="BJ149" s="19">
        <v>0</v>
      </c>
      <c r="BK149" s="19">
        <v>0</v>
      </c>
      <c r="BL149" s="19">
        <v>0</v>
      </c>
      <c r="BM149" s="19">
        <v>92.254799999999989</v>
      </c>
      <c r="BN149" s="19">
        <v>70.295999999999992</v>
      </c>
      <c r="BO149" s="19">
        <v>116.92799999999998</v>
      </c>
      <c r="BP149" s="19"/>
      <c r="BQ14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58.396977777777771</v>
      </c>
      <c r="BS14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116.92799999999998</v>
      </c>
      <c r="BT149" s="11">
        <f>Tabelle5897112140[[#This Row],[Mindestauslastung min]]*Tabelle5897112140[[#This Row],[installierte Leistung MW min]]</f>
        <v>0</v>
      </c>
      <c r="BU149" s="11">
        <f>Tabelle5897112140[[#This Row],[Mindestauslastung durch]]*Tabelle5897112140[[#This Row],[installierte Leistung MW durch]]</f>
        <v>0</v>
      </c>
      <c r="BV149" s="11">
        <f>Tabelle5897112140[[#This Row],[Mindestauslastung max]]*Tabelle5897112140[[#This Row],[installierte Leistung MW max]]</f>
        <v>0</v>
      </c>
      <c r="BW149" s="9">
        <v>0</v>
      </c>
      <c r="BX149" s="9">
        <v>0</v>
      </c>
      <c r="BY149" s="9">
        <v>0</v>
      </c>
      <c r="BZ149" s="9"/>
      <c r="CA149" s="9">
        <v>0.72</v>
      </c>
      <c r="CB149" s="9">
        <v>0.62</v>
      </c>
      <c r="CC149" s="9">
        <v>0.82</v>
      </c>
      <c r="CD149" s="9">
        <v>0.72</v>
      </c>
      <c r="CE149" s="9">
        <v>0.62</v>
      </c>
      <c r="CF149" s="9">
        <v>0.82</v>
      </c>
      <c r="CG149" s="9">
        <v>0.09</v>
      </c>
      <c r="CH149" s="9">
        <v>0.04</v>
      </c>
      <c r="CI149" s="9">
        <v>0.14000000000000001</v>
      </c>
      <c r="CJ149" s="9">
        <v>0.16</v>
      </c>
      <c r="CK149" s="9">
        <v>0.11</v>
      </c>
      <c r="CL149" s="9">
        <v>0.21</v>
      </c>
      <c r="CM149" s="9">
        <v>0.16</v>
      </c>
      <c r="CN149" s="9">
        <v>0.11</v>
      </c>
      <c r="CO149" s="9">
        <v>0.21</v>
      </c>
      <c r="CP149" s="9">
        <v>0.02</v>
      </c>
      <c r="CQ149" s="9">
        <v>0</v>
      </c>
      <c r="CR149" s="9">
        <v>7.0000000000000007E-2</v>
      </c>
      <c r="CS149" s="9">
        <v>0</v>
      </c>
      <c r="CT149" s="9">
        <v>0</v>
      </c>
      <c r="CU149" s="9">
        <v>0</v>
      </c>
      <c r="CV149" s="9">
        <v>0</v>
      </c>
      <c r="CW149" s="9">
        <v>0</v>
      </c>
      <c r="CX149" s="9">
        <v>0</v>
      </c>
      <c r="CY149" s="9">
        <v>0</v>
      </c>
      <c r="CZ149" s="9">
        <v>0</v>
      </c>
      <c r="DA149" s="9">
        <v>0</v>
      </c>
      <c r="DB149" s="9">
        <f>MIN(Tabelle5897112140[[#This Row],[Durchschnittsauslastung durch Sommer WTT]:[Durchschnittsauslastung max Winter SFN]])</f>
        <v>0</v>
      </c>
      <c r="DC14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9" s="9">
        <f>MAX(Tabelle5897112140[[#This Row],[Durchschnittsauslastung durch Sommer WTT]:[Durchschnittsauslastung max Winter SFN]])</f>
        <v>0.82</v>
      </c>
      <c r="DE149" s="40">
        <f>Tabelle5897112140[[#This Row],[Durchschnittsauslastung min]]*Tabelle5897112140[[#This Row],[installierte Leistung MW min]]</f>
        <v>0</v>
      </c>
      <c r="DF149" s="40">
        <f>Tabelle5897112140[[#This Row],[Durchschnittsauslastung durch]]*Tabelle5897112140[[#This Row],[installierte Leistung MW durch]]</f>
        <v>58.086355555555549</v>
      </c>
      <c r="DG149" s="40">
        <f>Tabelle5897112140[[#This Row],[Durchschnittsauslastung max]]*Tabelle5897112140[[#This Row],[installierte Leistung MW max]]</f>
        <v>266.33600000000001</v>
      </c>
      <c r="DH149" s="46">
        <f>Tabelle5897112140[[#This Row],[Maximalauslastung min]]*Tabelle5897112140[[#This Row],[installierte Leistung MW min]]</f>
        <v>0</v>
      </c>
      <c r="DI149" s="46">
        <f>Tabelle5897112140[[#This Row],[Maximalauslastung durch]]*Tabelle5897112140[[#This Row],[installierte Leistung MW durch]]</f>
        <v>0</v>
      </c>
      <c r="DJ149" s="19">
        <f>Tabelle5897112140[[#This Row],[Maximalauslastung max]]*Tabelle5897112140[[#This Row],[installierte Leistung MW durch]]</f>
        <v>0</v>
      </c>
      <c r="DK149" s="9">
        <v>0</v>
      </c>
      <c r="DL149" s="9">
        <v>0</v>
      </c>
      <c r="DM149" s="9">
        <v>0</v>
      </c>
      <c r="DN149" s="1">
        <v>279.56</v>
      </c>
      <c r="DO149" s="1">
        <v>234.32</v>
      </c>
      <c r="DP149" s="1">
        <v>324.8</v>
      </c>
      <c r="DQ149" s="19"/>
      <c r="DR149" s="19"/>
      <c r="DW149" s="1">
        <v>0.18</v>
      </c>
      <c r="DX149" s="1">
        <v>7.9999999999999988E-2</v>
      </c>
      <c r="DY149" s="1">
        <v>0.28000000000000003</v>
      </c>
      <c r="EL149" s="1">
        <v>365</v>
      </c>
      <c r="EM149" s="1">
        <v>292</v>
      </c>
      <c r="EN149" s="1">
        <v>438</v>
      </c>
      <c r="EO149" s="11"/>
      <c r="EP149" s="11"/>
      <c r="EQ149" s="11"/>
      <c r="ER149" s="1">
        <v>365</v>
      </c>
      <c r="ES149" s="1">
        <v>292</v>
      </c>
      <c r="ET149" s="1">
        <v>438</v>
      </c>
      <c r="EV149" s="19"/>
      <c r="EW149" s="19"/>
      <c r="EX149" s="19"/>
      <c r="EY149" s="19"/>
      <c r="EZ149" s="19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O149" s="1">
        <v>67</v>
      </c>
      <c r="FP149" s="1">
        <v>67</v>
      </c>
      <c r="FQ149" s="1">
        <v>67</v>
      </c>
      <c r="FR149" s="13" t="s">
        <v>806</v>
      </c>
      <c r="FS149" s="13" t="s">
        <v>806</v>
      </c>
      <c r="FT149" s="13" t="s">
        <v>806</v>
      </c>
      <c r="FU149" s="13"/>
      <c r="FV149" s="13" t="s">
        <v>806</v>
      </c>
      <c r="FW149" s="13" t="s">
        <v>806</v>
      </c>
      <c r="FX149" s="13" t="s">
        <v>806</v>
      </c>
      <c r="FY149" s="13" t="s">
        <v>806</v>
      </c>
      <c r="FZ149" s="13" t="s">
        <v>806</v>
      </c>
      <c r="GA149" s="13" t="s">
        <v>806</v>
      </c>
      <c r="GB149" s="13" t="s">
        <v>806</v>
      </c>
      <c r="GE149" s="13" t="s">
        <v>806</v>
      </c>
      <c r="GF149" s="13" t="s">
        <v>806</v>
      </c>
      <c r="GH149" s="13" t="s">
        <v>806</v>
      </c>
    </row>
    <row r="150" spans="1:190" ht="12.75" customHeight="1" x14ac:dyDescent="0.25">
      <c r="A150" s="1" t="s">
        <v>362</v>
      </c>
      <c r="B150" s="1" t="s">
        <v>650</v>
      </c>
      <c r="C150" s="1" t="s">
        <v>663</v>
      </c>
      <c r="D150" s="1" t="s">
        <v>694</v>
      </c>
      <c r="E150" s="1" t="s">
        <v>127</v>
      </c>
      <c r="F150" s="1">
        <v>0</v>
      </c>
      <c r="G150" s="1">
        <v>2035</v>
      </c>
      <c r="H150" s="1">
        <v>1</v>
      </c>
      <c r="I150" s="1">
        <v>0</v>
      </c>
      <c r="J150" s="1">
        <v>0</v>
      </c>
      <c r="K15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63.594544444444438</v>
      </c>
      <c r="M15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291.59199999999998</v>
      </c>
      <c r="N150" s="19">
        <v>220.37040000000002</v>
      </c>
      <c r="O150" s="19">
        <v>159.0548</v>
      </c>
      <c r="P150" s="19">
        <v>291.59199999999998</v>
      </c>
      <c r="Q150" s="19">
        <v>0</v>
      </c>
      <c r="R150" s="19">
        <v>0</v>
      </c>
      <c r="S150" s="19">
        <v>0</v>
      </c>
      <c r="T150" s="19">
        <v>220.37040000000002</v>
      </c>
      <c r="U150" s="19">
        <v>159.0548</v>
      </c>
      <c r="V150" s="19">
        <v>291.59199999999998</v>
      </c>
      <c r="W150" s="19">
        <v>0</v>
      </c>
      <c r="X150" s="19">
        <v>0</v>
      </c>
      <c r="Y150" s="19">
        <v>0</v>
      </c>
      <c r="Z150" s="19">
        <v>27.546300000000002</v>
      </c>
      <c r="AA150" s="19">
        <v>10.2616</v>
      </c>
      <c r="AB150" s="19">
        <v>49.784000000000006</v>
      </c>
      <c r="AC150" s="19">
        <v>73.456800000000001</v>
      </c>
      <c r="AD150" s="19">
        <v>41.046399999999998</v>
      </c>
      <c r="AE150" s="19">
        <v>113.79199999999999</v>
      </c>
      <c r="AF150" s="19">
        <v>48.971200000000003</v>
      </c>
      <c r="AG150" s="19">
        <v>28.2194</v>
      </c>
      <c r="AH150" s="19">
        <v>74.676000000000002</v>
      </c>
      <c r="AI150" s="19">
        <v>52.0319</v>
      </c>
      <c r="AJ150" s="19">
        <v>23.0886</v>
      </c>
      <c r="AK150" s="19">
        <v>88.9</v>
      </c>
      <c r="AL150" s="19">
        <v>48.971200000000003</v>
      </c>
      <c r="AM150" s="19">
        <v>28.2194</v>
      </c>
      <c r="AN150" s="19">
        <v>74.676000000000002</v>
      </c>
      <c r="AO150" s="19">
        <v>52.0319</v>
      </c>
      <c r="AP150" s="19">
        <v>23.0886</v>
      </c>
      <c r="AQ150" s="19">
        <v>88.9</v>
      </c>
      <c r="AR150" s="19">
        <v>6.1214000000000004</v>
      </c>
      <c r="AS150" s="19">
        <v>0</v>
      </c>
      <c r="AT150" s="19">
        <v>24.892000000000003</v>
      </c>
      <c r="AU150" s="19">
        <v>94.881699999999995</v>
      </c>
      <c r="AV150" s="19">
        <v>59.004200000000004</v>
      </c>
      <c r="AW150" s="19">
        <v>128.01599999999999</v>
      </c>
      <c r="AX150" s="19">
        <v>0</v>
      </c>
      <c r="AY150" s="19">
        <v>0</v>
      </c>
      <c r="AZ150" s="19">
        <v>0</v>
      </c>
      <c r="BA150" s="19">
        <v>101.0031</v>
      </c>
      <c r="BB150" s="19">
        <v>76.962000000000003</v>
      </c>
      <c r="BC150" s="19">
        <v>128.01599999999999</v>
      </c>
      <c r="BD150" s="19">
        <v>0</v>
      </c>
      <c r="BE150" s="19">
        <v>0</v>
      </c>
      <c r="BF150" s="19">
        <v>0</v>
      </c>
      <c r="BG150" s="19">
        <v>101.0031</v>
      </c>
      <c r="BH150" s="19">
        <v>76.962000000000003</v>
      </c>
      <c r="BI150" s="19">
        <v>128.01599999999999</v>
      </c>
      <c r="BJ150" s="19">
        <v>0</v>
      </c>
      <c r="BK150" s="19">
        <v>0</v>
      </c>
      <c r="BL150" s="19">
        <v>0</v>
      </c>
      <c r="BM150" s="19">
        <v>101.0031</v>
      </c>
      <c r="BN150" s="19">
        <v>76.962000000000003</v>
      </c>
      <c r="BO150" s="19">
        <v>128.01599999999999</v>
      </c>
      <c r="BP150" s="19"/>
      <c r="BQ15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63.934622222222224</v>
      </c>
      <c r="BS15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128.01599999999999</v>
      </c>
      <c r="BT150" s="11">
        <f>Tabelle5897112140[[#This Row],[Mindestauslastung min]]*Tabelle5897112140[[#This Row],[installierte Leistung MW min]]</f>
        <v>0</v>
      </c>
      <c r="BU150" s="11">
        <f>Tabelle5897112140[[#This Row],[Mindestauslastung durch]]*Tabelle5897112140[[#This Row],[installierte Leistung MW durch]]</f>
        <v>0</v>
      </c>
      <c r="BV150" s="11">
        <f>Tabelle5897112140[[#This Row],[Mindestauslastung max]]*Tabelle5897112140[[#This Row],[installierte Leistung MW max]]</f>
        <v>0</v>
      </c>
      <c r="BW150" s="9">
        <v>0</v>
      </c>
      <c r="BX150" s="9">
        <v>0</v>
      </c>
      <c r="BY150" s="9">
        <v>0</v>
      </c>
      <c r="BZ150" s="9"/>
      <c r="CA150" s="9">
        <v>0.72</v>
      </c>
      <c r="CB150" s="9">
        <v>0.62</v>
      </c>
      <c r="CC150" s="9">
        <v>0.82</v>
      </c>
      <c r="CD150" s="9">
        <v>0.72</v>
      </c>
      <c r="CE150" s="9">
        <v>0.62</v>
      </c>
      <c r="CF150" s="9">
        <v>0.82</v>
      </c>
      <c r="CG150" s="9">
        <v>0.09</v>
      </c>
      <c r="CH150" s="9">
        <v>0.04</v>
      </c>
      <c r="CI150" s="9">
        <v>0.14000000000000001</v>
      </c>
      <c r="CJ150" s="9">
        <v>0.16</v>
      </c>
      <c r="CK150" s="9">
        <v>0.11</v>
      </c>
      <c r="CL150" s="9">
        <v>0.21</v>
      </c>
      <c r="CM150" s="9">
        <v>0.16</v>
      </c>
      <c r="CN150" s="9">
        <v>0.11</v>
      </c>
      <c r="CO150" s="9">
        <v>0.21</v>
      </c>
      <c r="CP150" s="9">
        <v>0.02</v>
      </c>
      <c r="CQ150" s="9">
        <v>0</v>
      </c>
      <c r="CR150" s="9">
        <v>7.0000000000000007E-2</v>
      </c>
      <c r="CS150" s="9">
        <v>0</v>
      </c>
      <c r="CT150" s="9">
        <v>0</v>
      </c>
      <c r="CU150" s="9">
        <v>0</v>
      </c>
      <c r="CV150" s="9">
        <v>0</v>
      </c>
      <c r="CW150" s="9">
        <v>0</v>
      </c>
      <c r="CX150" s="9">
        <v>0</v>
      </c>
      <c r="CY150" s="9">
        <v>0</v>
      </c>
      <c r="CZ150" s="9">
        <v>0</v>
      </c>
      <c r="DA150" s="9">
        <v>0</v>
      </c>
      <c r="DB150" s="9">
        <f>MIN(Tabelle5897112140[[#This Row],[Durchschnittsauslastung durch Sommer WTT]:[Durchschnittsauslastung max Winter SFN]])</f>
        <v>0</v>
      </c>
      <c r="DC15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0" s="9">
        <f>MAX(Tabelle5897112140[[#This Row],[Durchschnittsauslastung durch Sommer WTT]:[Durchschnittsauslastung max Winter SFN]])</f>
        <v>0.82</v>
      </c>
      <c r="DE150" s="40">
        <f>Tabelle5897112140[[#This Row],[Durchschnittsauslastung min]]*Tabelle5897112140[[#This Row],[installierte Leistung MW min]]</f>
        <v>0</v>
      </c>
      <c r="DF150" s="40">
        <f>Tabelle5897112140[[#This Row],[Durchschnittsauslastung durch]]*Tabelle5897112140[[#This Row],[installierte Leistung MW durch]]</f>
        <v>63.594544444444438</v>
      </c>
      <c r="DG150" s="40">
        <f>Tabelle5897112140[[#This Row],[Durchschnittsauslastung max]]*Tabelle5897112140[[#This Row],[installierte Leistung MW max]]</f>
        <v>291.59199999999998</v>
      </c>
      <c r="DH150" s="46">
        <f>Tabelle5897112140[[#This Row],[Maximalauslastung min]]*Tabelle5897112140[[#This Row],[installierte Leistung MW min]]</f>
        <v>0</v>
      </c>
      <c r="DI150" s="46">
        <f>Tabelle5897112140[[#This Row],[Maximalauslastung durch]]*Tabelle5897112140[[#This Row],[installierte Leistung MW durch]]</f>
        <v>0</v>
      </c>
      <c r="DJ150" s="19">
        <f>Tabelle5897112140[[#This Row],[Maximalauslastung max]]*Tabelle5897112140[[#This Row],[installierte Leistung MW durch]]</f>
        <v>0</v>
      </c>
      <c r="DK150" s="9">
        <v>0</v>
      </c>
      <c r="DL150" s="9">
        <v>0</v>
      </c>
      <c r="DM150" s="9">
        <v>0</v>
      </c>
      <c r="DN150" s="1">
        <v>306.07</v>
      </c>
      <c r="DO150" s="1">
        <v>256.54000000000002</v>
      </c>
      <c r="DP150" s="1">
        <v>355.6</v>
      </c>
      <c r="DQ150" s="19"/>
      <c r="DR150" s="19"/>
      <c r="DW150" s="1">
        <v>0.18</v>
      </c>
      <c r="DX150" s="1">
        <v>7.9999999999999988E-2</v>
      </c>
      <c r="DY150" s="1">
        <v>0.28000000000000003</v>
      </c>
      <c r="EL150" s="1">
        <v>365</v>
      </c>
      <c r="EM150" s="1">
        <v>292</v>
      </c>
      <c r="EN150" s="1">
        <v>438</v>
      </c>
      <c r="EO150" s="11"/>
      <c r="EP150" s="11"/>
      <c r="EQ150" s="11"/>
      <c r="ER150" s="1">
        <v>365</v>
      </c>
      <c r="ES150" s="1">
        <v>292</v>
      </c>
      <c r="ET150" s="1">
        <v>438</v>
      </c>
      <c r="EV150" s="19"/>
      <c r="EW150" s="19"/>
      <c r="EX150" s="19"/>
      <c r="EY150" s="19"/>
      <c r="EZ150" s="19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O150" s="1">
        <v>67</v>
      </c>
      <c r="FP150" s="1">
        <v>67</v>
      </c>
      <c r="FQ150" s="1">
        <v>67</v>
      </c>
      <c r="FR150" s="13" t="s">
        <v>806</v>
      </c>
      <c r="FS150" s="13" t="s">
        <v>806</v>
      </c>
      <c r="FT150" s="13" t="s">
        <v>806</v>
      </c>
      <c r="FU150" s="13"/>
      <c r="FV150" s="13" t="s">
        <v>806</v>
      </c>
      <c r="FW150" s="13" t="s">
        <v>806</v>
      </c>
      <c r="FX150" s="13" t="s">
        <v>806</v>
      </c>
      <c r="FY150" s="13" t="s">
        <v>806</v>
      </c>
      <c r="FZ150" s="13" t="s">
        <v>806</v>
      </c>
      <c r="GA150" s="13" t="s">
        <v>806</v>
      </c>
      <c r="GB150" s="13" t="s">
        <v>806</v>
      </c>
      <c r="GE150" s="13" t="s">
        <v>806</v>
      </c>
      <c r="GF150" s="13" t="s">
        <v>806</v>
      </c>
      <c r="GH150" s="13" t="s">
        <v>806</v>
      </c>
    </row>
    <row r="151" spans="1:190" ht="12.75" customHeight="1" x14ac:dyDescent="0.25">
      <c r="A151" s="1" t="s">
        <v>362</v>
      </c>
      <c r="B151" s="1" t="s">
        <v>650</v>
      </c>
      <c r="C151" s="1" t="s">
        <v>663</v>
      </c>
      <c r="D151" s="1" t="s">
        <v>694</v>
      </c>
      <c r="E151" s="1" t="s">
        <v>127</v>
      </c>
      <c r="F151" s="1">
        <v>0</v>
      </c>
      <c r="G151" s="1">
        <v>2040</v>
      </c>
      <c r="H151" s="1">
        <v>1</v>
      </c>
      <c r="I151" s="1">
        <v>0</v>
      </c>
      <c r="J151" s="1">
        <v>0</v>
      </c>
      <c r="K15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70.60496666666667</v>
      </c>
      <c r="M15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323.73599999999999</v>
      </c>
      <c r="N151" s="19">
        <v>244.66319999999999</v>
      </c>
      <c r="O151" s="19">
        <v>176.58839999999998</v>
      </c>
      <c r="P151" s="19">
        <v>323.73599999999999</v>
      </c>
      <c r="Q151" s="19">
        <v>0</v>
      </c>
      <c r="R151" s="19">
        <v>0</v>
      </c>
      <c r="S151" s="19">
        <v>0</v>
      </c>
      <c r="T151" s="19">
        <v>244.66319999999999</v>
      </c>
      <c r="U151" s="19">
        <v>176.58839999999998</v>
      </c>
      <c r="V151" s="19">
        <v>323.73599999999999</v>
      </c>
      <c r="W151" s="19">
        <v>0</v>
      </c>
      <c r="X151" s="19">
        <v>0</v>
      </c>
      <c r="Y151" s="19">
        <v>0</v>
      </c>
      <c r="Z151" s="19">
        <v>30.582899999999999</v>
      </c>
      <c r="AA151" s="19">
        <v>11.392799999999999</v>
      </c>
      <c r="AB151" s="19">
        <v>55.271999999999998</v>
      </c>
      <c r="AC151" s="19">
        <v>81.554400000000001</v>
      </c>
      <c r="AD151" s="19">
        <v>45.571199999999997</v>
      </c>
      <c r="AE151" s="19">
        <v>126.33599999999998</v>
      </c>
      <c r="AF151" s="19">
        <v>54.369599999999998</v>
      </c>
      <c r="AG151" s="19">
        <v>31.330199999999998</v>
      </c>
      <c r="AH151" s="19">
        <v>82.907999999999987</v>
      </c>
      <c r="AI151" s="19">
        <v>57.767699999999998</v>
      </c>
      <c r="AJ151" s="19">
        <v>25.633799999999997</v>
      </c>
      <c r="AK151" s="19">
        <v>98.699999999999989</v>
      </c>
      <c r="AL151" s="19">
        <v>54.369599999999998</v>
      </c>
      <c r="AM151" s="19">
        <v>31.330199999999998</v>
      </c>
      <c r="AN151" s="19">
        <v>82.907999999999987</v>
      </c>
      <c r="AO151" s="19">
        <v>57.767699999999998</v>
      </c>
      <c r="AP151" s="19">
        <v>25.633799999999997</v>
      </c>
      <c r="AQ151" s="19">
        <v>98.699999999999989</v>
      </c>
      <c r="AR151" s="19">
        <v>6.7961999999999998</v>
      </c>
      <c r="AS151" s="19">
        <v>0</v>
      </c>
      <c r="AT151" s="19">
        <v>27.635999999999999</v>
      </c>
      <c r="AU151" s="19">
        <v>105.34109999999998</v>
      </c>
      <c r="AV151" s="19">
        <v>65.508600000000001</v>
      </c>
      <c r="AW151" s="19">
        <v>142.12799999999999</v>
      </c>
      <c r="AX151" s="19">
        <v>0</v>
      </c>
      <c r="AY151" s="19">
        <v>0</v>
      </c>
      <c r="AZ151" s="19">
        <v>0</v>
      </c>
      <c r="BA151" s="19">
        <v>112.1373</v>
      </c>
      <c r="BB151" s="19">
        <v>85.445999999999998</v>
      </c>
      <c r="BC151" s="19">
        <v>142.12799999999999</v>
      </c>
      <c r="BD151" s="19">
        <v>0</v>
      </c>
      <c r="BE151" s="19">
        <v>0</v>
      </c>
      <c r="BF151" s="19">
        <v>0</v>
      </c>
      <c r="BG151" s="19">
        <v>112.1373</v>
      </c>
      <c r="BH151" s="19">
        <v>85.445999999999998</v>
      </c>
      <c r="BI151" s="19">
        <v>142.12799999999999</v>
      </c>
      <c r="BJ151" s="19">
        <v>0</v>
      </c>
      <c r="BK151" s="19">
        <v>0</v>
      </c>
      <c r="BL151" s="19">
        <v>0</v>
      </c>
      <c r="BM151" s="19">
        <v>112.1373</v>
      </c>
      <c r="BN151" s="19">
        <v>85.445999999999998</v>
      </c>
      <c r="BO151" s="19">
        <v>142.12799999999999</v>
      </c>
      <c r="BP151" s="19"/>
      <c r="BQ15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70.982533333333322</v>
      </c>
      <c r="BS15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142.12799999999999</v>
      </c>
      <c r="BT151" s="11">
        <f>Tabelle5897112140[[#This Row],[Mindestauslastung min]]*Tabelle5897112140[[#This Row],[installierte Leistung MW min]]</f>
        <v>0</v>
      </c>
      <c r="BU151" s="11">
        <f>Tabelle5897112140[[#This Row],[Mindestauslastung durch]]*Tabelle5897112140[[#This Row],[installierte Leistung MW durch]]</f>
        <v>0</v>
      </c>
      <c r="BV151" s="11">
        <f>Tabelle5897112140[[#This Row],[Mindestauslastung max]]*Tabelle5897112140[[#This Row],[installierte Leistung MW max]]</f>
        <v>0</v>
      </c>
      <c r="BW151" s="9">
        <v>0</v>
      </c>
      <c r="BX151" s="9">
        <v>0</v>
      </c>
      <c r="BY151" s="9">
        <v>0</v>
      </c>
      <c r="BZ151" s="9"/>
      <c r="CA151" s="9">
        <v>0.72</v>
      </c>
      <c r="CB151" s="9">
        <v>0.62</v>
      </c>
      <c r="CC151" s="9">
        <v>0.82</v>
      </c>
      <c r="CD151" s="9">
        <v>0.72</v>
      </c>
      <c r="CE151" s="9">
        <v>0.62</v>
      </c>
      <c r="CF151" s="9">
        <v>0.82</v>
      </c>
      <c r="CG151" s="9">
        <v>0.09</v>
      </c>
      <c r="CH151" s="9">
        <v>0.04</v>
      </c>
      <c r="CI151" s="9">
        <v>0.14000000000000001</v>
      </c>
      <c r="CJ151" s="9">
        <v>0.16</v>
      </c>
      <c r="CK151" s="9">
        <v>0.11</v>
      </c>
      <c r="CL151" s="9">
        <v>0.21</v>
      </c>
      <c r="CM151" s="9">
        <v>0.16</v>
      </c>
      <c r="CN151" s="9">
        <v>0.11</v>
      </c>
      <c r="CO151" s="9">
        <v>0.21</v>
      </c>
      <c r="CP151" s="9">
        <v>0.02</v>
      </c>
      <c r="CQ151" s="9">
        <v>0</v>
      </c>
      <c r="CR151" s="9">
        <v>7.0000000000000007E-2</v>
      </c>
      <c r="CS151" s="9">
        <v>0</v>
      </c>
      <c r="CT151" s="9">
        <v>0</v>
      </c>
      <c r="CU151" s="9">
        <v>0</v>
      </c>
      <c r="CV151" s="9">
        <v>0</v>
      </c>
      <c r="CW151" s="9">
        <v>0</v>
      </c>
      <c r="CX151" s="9">
        <v>0</v>
      </c>
      <c r="CY151" s="9">
        <v>0</v>
      </c>
      <c r="CZ151" s="9">
        <v>0</v>
      </c>
      <c r="DA151" s="9">
        <v>0</v>
      </c>
      <c r="DB151" s="9">
        <f>MIN(Tabelle5897112140[[#This Row],[Durchschnittsauslastung durch Sommer WTT]:[Durchschnittsauslastung max Winter SFN]])</f>
        <v>0</v>
      </c>
      <c r="DC15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1" s="9">
        <f>MAX(Tabelle5897112140[[#This Row],[Durchschnittsauslastung durch Sommer WTT]:[Durchschnittsauslastung max Winter SFN]])</f>
        <v>0.82</v>
      </c>
      <c r="DE151" s="40">
        <f>Tabelle5897112140[[#This Row],[Durchschnittsauslastung min]]*Tabelle5897112140[[#This Row],[installierte Leistung MW min]]</f>
        <v>0</v>
      </c>
      <c r="DF151" s="40">
        <f>Tabelle5897112140[[#This Row],[Durchschnittsauslastung durch]]*Tabelle5897112140[[#This Row],[installierte Leistung MW durch]]</f>
        <v>70.604966666666655</v>
      </c>
      <c r="DG151" s="40">
        <f>Tabelle5897112140[[#This Row],[Durchschnittsauslastung max]]*Tabelle5897112140[[#This Row],[installierte Leistung MW max]]</f>
        <v>323.73599999999999</v>
      </c>
      <c r="DH151" s="46">
        <f>Tabelle5897112140[[#This Row],[Maximalauslastung min]]*Tabelle5897112140[[#This Row],[installierte Leistung MW min]]</f>
        <v>0</v>
      </c>
      <c r="DI151" s="46">
        <f>Tabelle5897112140[[#This Row],[Maximalauslastung durch]]*Tabelle5897112140[[#This Row],[installierte Leistung MW durch]]</f>
        <v>0</v>
      </c>
      <c r="DJ151" s="19">
        <f>Tabelle5897112140[[#This Row],[Maximalauslastung max]]*Tabelle5897112140[[#This Row],[installierte Leistung MW durch]]</f>
        <v>0</v>
      </c>
      <c r="DK151" s="9">
        <v>0</v>
      </c>
      <c r="DL151" s="9">
        <v>0</v>
      </c>
      <c r="DM151" s="9">
        <v>0</v>
      </c>
      <c r="DN151" s="1">
        <v>339.81</v>
      </c>
      <c r="DO151" s="1">
        <v>284.82</v>
      </c>
      <c r="DP151" s="1">
        <v>394.8</v>
      </c>
      <c r="DQ151" s="19"/>
      <c r="DR151" s="19"/>
      <c r="DW151" s="1">
        <v>0.18</v>
      </c>
      <c r="DX151" s="1">
        <v>7.9999999999999988E-2</v>
      </c>
      <c r="DY151" s="1">
        <v>0.28000000000000003</v>
      </c>
      <c r="EL151" s="1">
        <v>365</v>
      </c>
      <c r="EM151" s="1">
        <v>292</v>
      </c>
      <c r="EN151" s="1">
        <v>438</v>
      </c>
      <c r="EO151" s="11"/>
      <c r="EP151" s="11"/>
      <c r="EQ151" s="11"/>
      <c r="ER151" s="1">
        <v>365</v>
      </c>
      <c r="ES151" s="1">
        <v>292</v>
      </c>
      <c r="ET151" s="1">
        <v>438</v>
      </c>
      <c r="EV151" s="19"/>
      <c r="EW151" s="19"/>
      <c r="EX151" s="19"/>
      <c r="EY151" s="19"/>
      <c r="EZ151" s="19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O151" s="1">
        <v>67</v>
      </c>
      <c r="FP151" s="1">
        <v>67</v>
      </c>
      <c r="FQ151" s="1">
        <v>67</v>
      </c>
      <c r="FR151" s="13" t="s">
        <v>806</v>
      </c>
      <c r="FS151" s="13" t="s">
        <v>806</v>
      </c>
      <c r="FT151" s="13" t="s">
        <v>806</v>
      </c>
      <c r="FU151" s="13"/>
      <c r="FV151" s="13" t="s">
        <v>806</v>
      </c>
      <c r="FW151" s="13" t="s">
        <v>806</v>
      </c>
      <c r="FX151" s="13" t="s">
        <v>806</v>
      </c>
      <c r="FY151" s="13" t="s">
        <v>806</v>
      </c>
      <c r="FZ151" s="13" t="s">
        <v>806</v>
      </c>
      <c r="GA151" s="13" t="s">
        <v>806</v>
      </c>
      <c r="GB151" s="13" t="s">
        <v>806</v>
      </c>
      <c r="GE151" s="13" t="s">
        <v>806</v>
      </c>
      <c r="GF151" s="13" t="s">
        <v>806</v>
      </c>
      <c r="GH151" s="13" t="s">
        <v>806</v>
      </c>
    </row>
    <row r="152" spans="1:190" ht="12.75" customHeight="1" x14ac:dyDescent="0.25">
      <c r="A152" s="1" t="s">
        <v>362</v>
      </c>
      <c r="B152" s="1" t="s">
        <v>650</v>
      </c>
      <c r="C152" s="1" t="s">
        <v>663</v>
      </c>
      <c r="D152" s="1" t="s">
        <v>694</v>
      </c>
      <c r="E152" s="1" t="s">
        <v>127</v>
      </c>
      <c r="F152" s="1">
        <v>0</v>
      </c>
      <c r="G152" s="1">
        <v>2045</v>
      </c>
      <c r="H152" s="1">
        <v>1</v>
      </c>
      <c r="I152" s="1">
        <v>0</v>
      </c>
      <c r="J152" s="1">
        <v>0</v>
      </c>
      <c r="K15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80.11911111111111</v>
      </c>
      <c r="M15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367.36</v>
      </c>
      <c r="N152" s="19">
        <v>277.63200000000001</v>
      </c>
      <c r="O152" s="19">
        <v>200.38400000000001</v>
      </c>
      <c r="P152" s="19">
        <v>367.36</v>
      </c>
      <c r="Q152" s="19">
        <v>0</v>
      </c>
      <c r="R152" s="19">
        <v>0</v>
      </c>
      <c r="S152" s="19">
        <v>0</v>
      </c>
      <c r="T152" s="19">
        <v>277.63200000000001</v>
      </c>
      <c r="U152" s="19">
        <v>200.38400000000001</v>
      </c>
      <c r="V152" s="19">
        <v>367.36</v>
      </c>
      <c r="W152" s="19">
        <v>0</v>
      </c>
      <c r="X152" s="19">
        <v>0</v>
      </c>
      <c r="Y152" s="19">
        <v>0</v>
      </c>
      <c r="Z152" s="19">
        <v>34.704000000000001</v>
      </c>
      <c r="AA152" s="19">
        <v>12.928000000000001</v>
      </c>
      <c r="AB152" s="19">
        <v>62.720000000000006</v>
      </c>
      <c r="AC152" s="19">
        <v>92.544000000000011</v>
      </c>
      <c r="AD152" s="19">
        <v>51.712000000000003</v>
      </c>
      <c r="AE152" s="19">
        <v>143.35999999999999</v>
      </c>
      <c r="AF152" s="19">
        <v>61.696000000000005</v>
      </c>
      <c r="AG152" s="19">
        <v>35.552</v>
      </c>
      <c r="AH152" s="19">
        <v>94.08</v>
      </c>
      <c r="AI152" s="19">
        <v>65.552000000000007</v>
      </c>
      <c r="AJ152" s="19">
        <v>29.088000000000001</v>
      </c>
      <c r="AK152" s="19">
        <v>112</v>
      </c>
      <c r="AL152" s="19">
        <v>61.696000000000005</v>
      </c>
      <c r="AM152" s="19">
        <v>35.552</v>
      </c>
      <c r="AN152" s="19">
        <v>94.08</v>
      </c>
      <c r="AO152" s="19">
        <v>65.552000000000007</v>
      </c>
      <c r="AP152" s="19">
        <v>29.088000000000001</v>
      </c>
      <c r="AQ152" s="19">
        <v>112</v>
      </c>
      <c r="AR152" s="19">
        <v>7.7120000000000006</v>
      </c>
      <c r="AS152" s="19">
        <v>0</v>
      </c>
      <c r="AT152" s="19">
        <v>31.360000000000003</v>
      </c>
      <c r="AU152" s="19">
        <v>119.536</v>
      </c>
      <c r="AV152" s="19">
        <v>74.335999999999999</v>
      </c>
      <c r="AW152" s="19">
        <v>161.28</v>
      </c>
      <c r="AX152" s="19">
        <v>0</v>
      </c>
      <c r="AY152" s="19">
        <v>0</v>
      </c>
      <c r="AZ152" s="19">
        <v>0</v>
      </c>
      <c r="BA152" s="19">
        <v>127.248</v>
      </c>
      <c r="BB152" s="19">
        <v>96.960000000000008</v>
      </c>
      <c r="BC152" s="19">
        <v>161.28</v>
      </c>
      <c r="BD152" s="19">
        <v>0</v>
      </c>
      <c r="BE152" s="19">
        <v>0</v>
      </c>
      <c r="BF152" s="19">
        <v>0</v>
      </c>
      <c r="BG152" s="19">
        <v>127.248</v>
      </c>
      <c r="BH152" s="19">
        <v>96.960000000000008</v>
      </c>
      <c r="BI152" s="19">
        <v>161.28</v>
      </c>
      <c r="BJ152" s="19">
        <v>0</v>
      </c>
      <c r="BK152" s="19">
        <v>0</v>
      </c>
      <c r="BL152" s="19">
        <v>0</v>
      </c>
      <c r="BM152" s="19">
        <v>127.248</v>
      </c>
      <c r="BN152" s="19">
        <v>96.960000000000008</v>
      </c>
      <c r="BO152" s="19">
        <v>161.28</v>
      </c>
      <c r="BP152" s="19"/>
      <c r="BQ15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80.547555555555562</v>
      </c>
      <c r="BS15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161.28</v>
      </c>
      <c r="BT152" s="11">
        <f>Tabelle5897112140[[#This Row],[Mindestauslastung min]]*Tabelle5897112140[[#This Row],[installierte Leistung MW min]]</f>
        <v>0</v>
      </c>
      <c r="BU152" s="11">
        <f>Tabelle5897112140[[#This Row],[Mindestauslastung durch]]*Tabelle5897112140[[#This Row],[installierte Leistung MW durch]]</f>
        <v>0</v>
      </c>
      <c r="BV152" s="11">
        <f>Tabelle5897112140[[#This Row],[Mindestauslastung max]]*Tabelle5897112140[[#This Row],[installierte Leistung MW max]]</f>
        <v>0</v>
      </c>
      <c r="BW152" s="9">
        <v>0</v>
      </c>
      <c r="BX152" s="9">
        <v>0</v>
      </c>
      <c r="BY152" s="9">
        <v>0</v>
      </c>
      <c r="BZ152" s="9"/>
      <c r="CA152" s="9">
        <v>0.72</v>
      </c>
      <c r="CB152" s="9">
        <v>0.62</v>
      </c>
      <c r="CC152" s="9">
        <v>0.82</v>
      </c>
      <c r="CD152" s="9">
        <v>0.72</v>
      </c>
      <c r="CE152" s="9">
        <v>0.62</v>
      </c>
      <c r="CF152" s="9">
        <v>0.82</v>
      </c>
      <c r="CG152" s="9">
        <v>0.09</v>
      </c>
      <c r="CH152" s="9">
        <v>0.04</v>
      </c>
      <c r="CI152" s="9">
        <v>0.14000000000000001</v>
      </c>
      <c r="CJ152" s="9">
        <v>0.16</v>
      </c>
      <c r="CK152" s="9">
        <v>0.11</v>
      </c>
      <c r="CL152" s="9">
        <v>0.21</v>
      </c>
      <c r="CM152" s="9">
        <v>0.16</v>
      </c>
      <c r="CN152" s="9">
        <v>0.11</v>
      </c>
      <c r="CO152" s="9">
        <v>0.21</v>
      </c>
      <c r="CP152" s="9">
        <v>0.02</v>
      </c>
      <c r="CQ152" s="9">
        <v>0</v>
      </c>
      <c r="CR152" s="9">
        <v>7.0000000000000007E-2</v>
      </c>
      <c r="CS152" s="9">
        <v>0</v>
      </c>
      <c r="CT152" s="9">
        <v>0</v>
      </c>
      <c r="CU152" s="9">
        <v>0</v>
      </c>
      <c r="CV152" s="9">
        <v>0</v>
      </c>
      <c r="CW152" s="9">
        <v>0</v>
      </c>
      <c r="CX152" s="9">
        <v>0</v>
      </c>
      <c r="CY152" s="9">
        <v>0</v>
      </c>
      <c r="CZ152" s="9">
        <v>0</v>
      </c>
      <c r="DA152" s="9">
        <v>0</v>
      </c>
      <c r="DB152" s="9">
        <f>MIN(Tabelle5897112140[[#This Row],[Durchschnittsauslastung durch Sommer WTT]:[Durchschnittsauslastung max Winter SFN]])</f>
        <v>0</v>
      </c>
      <c r="DC15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2" s="9">
        <f>MAX(Tabelle5897112140[[#This Row],[Durchschnittsauslastung durch Sommer WTT]:[Durchschnittsauslastung max Winter SFN]])</f>
        <v>0.82</v>
      </c>
      <c r="DE152" s="40">
        <f>Tabelle5897112140[[#This Row],[Durchschnittsauslastung min]]*Tabelle5897112140[[#This Row],[installierte Leistung MW min]]</f>
        <v>0</v>
      </c>
      <c r="DF152" s="40">
        <f>Tabelle5897112140[[#This Row],[Durchschnittsauslastung durch]]*Tabelle5897112140[[#This Row],[installierte Leistung MW durch]]</f>
        <v>80.11911111111111</v>
      </c>
      <c r="DG152" s="40">
        <f>Tabelle5897112140[[#This Row],[Durchschnittsauslastung max]]*Tabelle5897112140[[#This Row],[installierte Leistung MW max]]</f>
        <v>367.35999999999996</v>
      </c>
      <c r="DH152" s="46">
        <f>Tabelle5897112140[[#This Row],[Maximalauslastung min]]*Tabelle5897112140[[#This Row],[installierte Leistung MW min]]</f>
        <v>0</v>
      </c>
      <c r="DI152" s="46">
        <f>Tabelle5897112140[[#This Row],[Maximalauslastung durch]]*Tabelle5897112140[[#This Row],[installierte Leistung MW durch]]</f>
        <v>0</v>
      </c>
      <c r="DJ152" s="19">
        <f>Tabelle5897112140[[#This Row],[Maximalauslastung max]]*Tabelle5897112140[[#This Row],[installierte Leistung MW durch]]</f>
        <v>0</v>
      </c>
      <c r="DK152" s="9">
        <v>0</v>
      </c>
      <c r="DL152" s="9">
        <v>0</v>
      </c>
      <c r="DM152" s="9">
        <v>0</v>
      </c>
      <c r="DN152" s="1">
        <v>385.6</v>
      </c>
      <c r="DO152" s="1">
        <v>323.2</v>
      </c>
      <c r="DP152" s="1">
        <v>448</v>
      </c>
      <c r="DQ152" s="19"/>
      <c r="DR152" s="19"/>
      <c r="DW152" s="1">
        <v>0.18</v>
      </c>
      <c r="DX152" s="1">
        <v>7.9999999999999988E-2</v>
      </c>
      <c r="DY152" s="1">
        <v>0.28000000000000003</v>
      </c>
      <c r="EL152" s="1">
        <v>365</v>
      </c>
      <c r="EM152" s="1">
        <v>292</v>
      </c>
      <c r="EN152" s="1">
        <v>438</v>
      </c>
      <c r="EO152" s="11"/>
      <c r="EP152" s="11"/>
      <c r="EQ152" s="11"/>
      <c r="ER152" s="1">
        <v>365</v>
      </c>
      <c r="ES152" s="1">
        <v>292</v>
      </c>
      <c r="ET152" s="1">
        <v>438</v>
      </c>
      <c r="EV152" s="19"/>
      <c r="EW152" s="19"/>
      <c r="EX152" s="19"/>
      <c r="EY152" s="19"/>
      <c r="EZ152" s="19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O152" s="1">
        <v>67</v>
      </c>
      <c r="FP152" s="1">
        <v>67</v>
      </c>
      <c r="FQ152" s="1">
        <v>67</v>
      </c>
      <c r="FR152" s="13" t="s">
        <v>806</v>
      </c>
      <c r="FS152" s="13" t="s">
        <v>806</v>
      </c>
      <c r="FT152" s="13" t="s">
        <v>806</v>
      </c>
      <c r="FU152" s="13"/>
      <c r="FV152" s="13" t="s">
        <v>806</v>
      </c>
      <c r="FW152" s="13" t="s">
        <v>806</v>
      </c>
      <c r="FX152" s="13" t="s">
        <v>806</v>
      </c>
      <c r="FY152" s="13" t="s">
        <v>806</v>
      </c>
      <c r="FZ152" s="13" t="s">
        <v>806</v>
      </c>
      <c r="GA152" s="13" t="s">
        <v>806</v>
      </c>
      <c r="GB152" s="13" t="s">
        <v>806</v>
      </c>
      <c r="GE152" s="13" t="s">
        <v>806</v>
      </c>
      <c r="GF152" s="13" t="s">
        <v>806</v>
      </c>
      <c r="GH152" s="13" t="s">
        <v>806</v>
      </c>
    </row>
    <row r="153" spans="1:190" ht="12.75" customHeight="1" x14ac:dyDescent="0.25">
      <c r="A153" s="1" t="s">
        <v>362</v>
      </c>
      <c r="B153" s="1" t="s">
        <v>650</v>
      </c>
      <c r="C153" s="1" t="s">
        <v>663</v>
      </c>
      <c r="D153" s="1" t="s">
        <v>694</v>
      </c>
      <c r="E153" s="1" t="s">
        <v>127</v>
      </c>
      <c r="F153" s="1">
        <v>0</v>
      </c>
      <c r="G153" s="1">
        <v>2050</v>
      </c>
      <c r="H153" s="1">
        <v>1</v>
      </c>
      <c r="I153" s="1">
        <v>0</v>
      </c>
      <c r="J153" s="1">
        <v>0</v>
      </c>
      <c r="K15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92.136977777777773</v>
      </c>
      <c r="M15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422.464</v>
      </c>
      <c r="N153" s="19">
        <v>319.27680000000004</v>
      </c>
      <c r="O153" s="19">
        <v>230.44159999999999</v>
      </c>
      <c r="P153" s="19">
        <v>422.464</v>
      </c>
      <c r="Q153" s="19">
        <v>0</v>
      </c>
      <c r="R153" s="19">
        <v>0</v>
      </c>
      <c r="S153" s="19">
        <v>0</v>
      </c>
      <c r="T153" s="19">
        <v>319.27680000000004</v>
      </c>
      <c r="U153" s="19">
        <v>230.44159999999999</v>
      </c>
      <c r="V153" s="19">
        <v>422.464</v>
      </c>
      <c r="W153" s="19">
        <v>0</v>
      </c>
      <c r="X153" s="19">
        <v>0</v>
      </c>
      <c r="Y153" s="19">
        <v>0</v>
      </c>
      <c r="Z153" s="19">
        <v>39.909600000000005</v>
      </c>
      <c r="AA153" s="19">
        <v>14.8672</v>
      </c>
      <c r="AB153" s="19">
        <v>72.128000000000014</v>
      </c>
      <c r="AC153" s="19">
        <v>106.42560000000002</v>
      </c>
      <c r="AD153" s="19">
        <v>59.468800000000002</v>
      </c>
      <c r="AE153" s="19">
        <v>164.864</v>
      </c>
      <c r="AF153" s="19">
        <v>70.950400000000002</v>
      </c>
      <c r="AG153" s="19">
        <v>40.884799999999998</v>
      </c>
      <c r="AH153" s="19">
        <v>108.19199999999999</v>
      </c>
      <c r="AI153" s="19">
        <v>75.384799999999998</v>
      </c>
      <c r="AJ153" s="19">
        <v>33.4512</v>
      </c>
      <c r="AK153" s="19">
        <v>128.80000000000001</v>
      </c>
      <c r="AL153" s="19">
        <v>70.950400000000002</v>
      </c>
      <c r="AM153" s="19">
        <v>40.884799999999998</v>
      </c>
      <c r="AN153" s="19">
        <v>108.19199999999999</v>
      </c>
      <c r="AO153" s="19">
        <v>75.384799999999998</v>
      </c>
      <c r="AP153" s="19">
        <v>33.4512</v>
      </c>
      <c r="AQ153" s="19">
        <v>128.80000000000001</v>
      </c>
      <c r="AR153" s="19">
        <v>8.8688000000000002</v>
      </c>
      <c r="AS153" s="19">
        <v>0</v>
      </c>
      <c r="AT153" s="19">
        <v>36.064000000000007</v>
      </c>
      <c r="AU153" s="19">
        <v>137.46639999999999</v>
      </c>
      <c r="AV153" s="19">
        <v>85.486400000000003</v>
      </c>
      <c r="AW153" s="19">
        <v>185.47200000000001</v>
      </c>
      <c r="AX153" s="19">
        <v>0</v>
      </c>
      <c r="AY153" s="19">
        <v>0</v>
      </c>
      <c r="AZ153" s="19">
        <v>0</v>
      </c>
      <c r="BA153" s="19">
        <v>146.33520000000001</v>
      </c>
      <c r="BB153" s="19">
        <v>111.504</v>
      </c>
      <c r="BC153" s="19">
        <v>185.47200000000001</v>
      </c>
      <c r="BD153" s="19">
        <v>0</v>
      </c>
      <c r="BE153" s="19">
        <v>0</v>
      </c>
      <c r="BF153" s="19">
        <v>0</v>
      </c>
      <c r="BG153" s="19">
        <v>146.33520000000001</v>
      </c>
      <c r="BH153" s="19">
        <v>111.504</v>
      </c>
      <c r="BI153" s="19">
        <v>185.47200000000001</v>
      </c>
      <c r="BJ153" s="19">
        <v>0</v>
      </c>
      <c r="BK153" s="19">
        <v>0</v>
      </c>
      <c r="BL153" s="19">
        <v>0</v>
      </c>
      <c r="BM153" s="19">
        <v>146.33520000000001</v>
      </c>
      <c r="BN153" s="19">
        <v>111.504</v>
      </c>
      <c r="BO153" s="19">
        <v>185.47200000000001</v>
      </c>
      <c r="BP153" s="19"/>
      <c r="BQ15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92.629688888888893</v>
      </c>
      <c r="BS15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185.47200000000001</v>
      </c>
      <c r="BT153" s="11">
        <f>Tabelle5897112140[[#This Row],[Mindestauslastung min]]*Tabelle5897112140[[#This Row],[installierte Leistung MW min]]</f>
        <v>0</v>
      </c>
      <c r="BU153" s="11">
        <f>Tabelle5897112140[[#This Row],[Mindestauslastung durch]]*Tabelle5897112140[[#This Row],[installierte Leistung MW durch]]</f>
        <v>0</v>
      </c>
      <c r="BV153" s="11">
        <f>Tabelle5897112140[[#This Row],[Mindestauslastung max]]*Tabelle5897112140[[#This Row],[installierte Leistung MW max]]</f>
        <v>0</v>
      </c>
      <c r="BW153" s="9">
        <v>0</v>
      </c>
      <c r="BX153" s="9">
        <v>0</v>
      </c>
      <c r="BY153" s="9">
        <v>0</v>
      </c>
      <c r="BZ153" s="9"/>
      <c r="CA153" s="9">
        <v>0.72</v>
      </c>
      <c r="CB153" s="9">
        <v>0.62</v>
      </c>
      <c r="CC153" s="9">
        <v>0.82</v>
      </c>
      <c r="CD153" s="9">
        <v>0.72</v>
      </c>
      <c r="CE153" s="9">
        <v>0.62</v>
      </c>
      <c r="CF153" s="9">
        <v>0.82</v>
      </c>
      <c r="CG153" s="9">
        <v>0.09</v>
      </c>
      <c r="CH153" s="9">
        <v>0.04</v>
      </c>
      <c r="CI153" s="9">
        <v>0.14000000000000001</v>
      </c>
      <c r="CJ153" s="9">
        <v>0.16</v>
      </c>
      <c r="CK153" s="9">
        <v>0.11</v>
      </c>
      <c r="CL153" s="9">
        <v>0.21</v>
      </c>
      <c r="CM153" s="9">
        <v>0.16</v>
      </c>
      <c r="CN153" s="9">
        <v>0.11</v>
      </c>
      <c r="CO153" s="9">
        <v>0.21</v>
      </c>
      <c r="CP153" s="9">
        <v>0.02</v>
      </c>
      <c r="CQ153" s="9">
        <v>0</v>
      </c>
      <c r="CR153" s="9">
        <v>7.0000000000000007E-2</v>
      </c>
      <c r="CS153" s="9">
        <v>0</v>
      </c>
      <c r="CT153" s="9">
        <v>0</v>
      </c>
      <c r="CU153" s="9">
        <v>0</v>
      </c>
      <c r="CV153" s="9">
        <v>0</v>
      </c>
      <c r="CW153" s="9">
        <v>0</v>
      </c>
      <c r="CX153" s="9">
        <v>0</v>
      </c>
      <c r="CY153" s="9">
        <v>0</v>
      </c>
      <c r="CZ153" s="9">
        <v>0</v>
      </c>
      <c r="DA153" s="9">
        <v>0</v>
      </c>
      <c r="DB153" s="9">
        <f>MIN(Tabelle5897112140[[#This Row],[Durchschnittsauslastung durch Sommer WTT]:[Durchschnittsauslastung max Winter SFN]])</f>
        <v>0</v>
      </c>
      <c r="DC15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3" s="9">
        <f>MAX(Tabelle5897112140[[#This Row],[Durchschnittsauslastung durch Sommer WTT]:[Durchschnittsauslastung max Winter SFN]])</f>
        <v>0.82</v>
      </c>
      <c r="DE153" s="40">
        <f>Tabelle5897112140[[#This Row],[Durchschnittsauslastung min]]*Tabelle5897112140[[#This Row],[installierte Leistung MW min]]</f>
        <v>0</v>
      </c>
      <c r="DF153" s="40">
        <f>Tabelle5897112140[[#This Row],[Durchschnittsauslastung durch]]*Tabelle5897112140[[#This Row],[installierte Leistung MW durch]]</f>
        <v>92.136977777777773</v>
      </c>
      <c r="DG153" s="40">
        <f>Tabelle5897112140[[#This Row],[Durchschnittsauslastung max]]*Tabelle5897112140[[#This Row],[installierte Leistung MW max]]</f>
        <v>422.464</v>
      </c>
      <c r="DH153" s="46">
        <f>Tabelle5897112140[[#This Row],[Maximalauslastung min]]*Tabelle5897112140[[#This Row],[installierte Leistung MW min]]</f>
        <v>0</v>
      </c>
      <c r="DI153" s="46">
        <f>Tabelle5897112140[[#This Row],[Maximalauslastung durch]]*Tabelle5897112140[[#This Row],[installierte Leistung MW durch]]</f>
        <v>0</v>
      </c>
      <c r="DJ153" s="19">
        <f>Tabelle5897112140[[#This Row],[Maximalauslastung max]]*Tabelle5897112140[[#This Row],[installierte Leistung MW durch]]</f>
        <v>0</v>
      </c>
      <c r="DK153" s="9">
        <v>0</v>
      </c>
      <c r="DL153" s="9">
        <v>0</v>
      </c>
      <c r="DM153" s="9">
        <v>0</v>
      </c>
      <c r="DN153" s="1">
        <v>443.44</v>
      </c>
      <c r="DO153" s="1">
        <v>371.68</v>
      </c>
      <c r="DP153" s="1">
        <v>515.20000000000005</v>
      </c>
      <c r="DQ153" s="19"/>
      <c r="DR153" s="19"/>
      <c r="DW153" s="1">
        <v>0.18</v>
      </c>
      <c r="DX153" s="1">
        <v>7.9999999999999988E-2</v>
      </c>
      <c r="DY153" s="1">
        <v>0.28000000000000003</v>
      </c>
      <c r="EL153" s="1">
        <v>365</v>
      </c>
      <c r="EM153" s="1">
        <v>292</v>
      </c>
      <c r="EN153" s="1">
        <v>438</v>
      </c>
      <c r="EO153" s="11"/>
      <c r="EP153" s="11"/>
      <c r="EQ153" s="11"/>
      <c r="ER153" s="1">
        <v>365</v>
      </c>
      <c r="ES153" s="1">
        <v>292</v>
      </c>
      <c r="ET153" s="1">
        <v>438</v>
      </c>
      <c r="EV153" s="19"/>
      <c r="EW153" s="19"/>
      <c r="EX153" s="19"/>
      <c r="EY153" s="19"/>
      <c r="EZ153" s="19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O153" s="1">
        <v>67</v>
      </c>
      <c r="FP153" s="1">
        <v>67</v>
      </c>
      <c r="FQ153" s="1">
        <v>67</v>
      </c>
      <c r="FR153" s="13" t="s">
        <v>806</v>
      </c>
      <c r="FS153" s="13" t="s">
        <v>806</v>
      </c>
      <c r="FT153" s="13" t="s">
        <v>806</v>
      </c>
      <c r="FU153" s="13"/>
      <c r="FV153" s="13" t="s">
        <v>806</v>
      </c>
      <c r="FW153" s="13" t="s">
        <v>806</v>
      </c>
      <c r="FX153" s="13" t="s">
        <v>806</v>
      </c>
      <c r="FY153" s="13" t="s">
        <v>806</v>
      </c>
      <c r="FZ153" s="13" t="s">
        <v>806</v>
      </c>
      <c r="GA153" s="13" t="s">
        <v>806</v>
      </c>
      <c r="GB153" s="13" t="s">
        <v>806</v>
      </c>
      <c r="GE153" s="13" t="s">
        <v>806</v>
      </c>
      <c r="GF153" s="13" t="s">
        <v>806</v>
      </c>
      <c r="GH153" s="13" t="s">
        <v>806</v>
      </c>
    </row>
    <row r="154" spans="1:190" ht="12.75" customHeight="1" x14ac:dyDescent="0.25">
      <c r="A154" s="1" t="s">
        <v>711</v>
      </c>
      <c r="B154" s="1" t="s">
        <v>747</v>
      </c>
      <c r="C154" s="1" t="s">
        <v>663</v>
      </c>
      <c r="D154" s="1" t="s">
        <v>695</v>
      </c>
      <c r="E154" s="1" t="s">
        <v>127</v>
      </c>
      <c r="F154" s="1">
        <v>0</v>
      </c>
      <c r="G154" s="1">
        <v>2015</v>
      </c>
      <c r="H154" s="1">
        <v>1</v>
      </c>
      <c r="I154" s="1">
        <v>0</v>
      </c>
      <c r="J154" s="1">
        <v>0</v>
      </c>
      <c r="K15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22.8</v>
      </c>
      <c r="L15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44.174444444444447</v>
      </c>
      <c r="M15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81.62</v>
      </c>
      <c r="N154" s="19">
        <v>48.14</v>
      </c>
      <c r="O154" s="19">
        <v>34.799999999999997</v>
      </c>
      <c r="P154" s="19">
        <v>61.48</v>
      </c>
      <c r="Q154" s="19">
        <v>34.86</v>
      </c>
      <c r="R154" s="19">
        <v>25.2</v>
      </c>
      <c r="S154" s="19">
        <v>44.52</v>
      </c>
      <c r="T154" s="19">
        <v>48.14</v>
      </c>
      <c r="U154" s="19">
        <v>34.799999999999997</v>
      </c>
      <c r="V154" s="19">
        <v>61.48</v>
      </c>
      <c r="W154" s="19">
        <v>34.86</v>
      </c>
      <c r="X154" s="19">
        <v>25.2</v>
      </c>
      <c r="Y154" s="19">
        <v>44.52</v>
      </c>
      <c r="Z154" s="19">
        <v>63.91</v>
      </c>
      <c r="AA154" s="19">
        <v>46.2</v>
      </c>
      <c r="AB154" s="19">
        <v>81.62</v>
      </c>
      <c r="AC154" s="19">
        <v>19.09</v>
      </c>
      <c r="AD154" s="19">
        <v>13.8</v>
      </c>
      <c r="AE154" s="19">
        <v>24.38</v>
      </c>
      <c r="AF154" s="19">
        <v>39.840000000000003</v>
      </c>
      <c r="AG154" s="19">
        <v>28.8</v>
      </c>
      <c r="AH154" s="19">
        <v>50.88</v>
      </c>
      <c r="AI154" s="19">
        <v>43.16</v>
      </c>
      <c r="AJ154" s="19">
        <v>31.2</v>
      </c>
      <c r="AK154" s="19">
        <v>55.12</v>
      </c>
      <c r="AL154" s="19">
        <v>39.840000000000003</v>
      </c>
      <c r="AM154" s="19">
        <v>28.8</v>
      </c>
      <c r="AN154" s="19">
        <v>50.88</v>
      </c>
      <c r="AO154" s="19">
        <v>43.16</v>
      </c>
      <c r="AP154" s="19">
        <v>31.2</v>
      </c>
      <c r="AQ154" s="19">
        <v>55.12</v>
      </c>
      <c r="AR154" s="19">
        <v>53.12</v>
      </c>
      <c r="AS154" s="19">
        <v>38.4</v>
      </c>
      <c r="AT154" s="19">
        <v>67.84</v>
      </c>
      <c r="AU154" s="19">
        <v>29.88</v>
      </c>
      <c r="AV154" s="19">
        <v>21.6</v>
      </c>
      <c r="AW154" s="19">
        <v>38.159999999999997</v>
      </c>
      <c r="AX154" s="19">
        <v>31.54</v>
      </c>
      <c r="AY154" s="19">
        <v>22.8</v>
      </c>
      <c r="AZ154" s="19">
        <v>40.28</v>
      </c>
      <c r="BA154" s="19">
        <v>51.46</v>
      </c>
      <c r="BB154" s="19">
        <v>37.200000000000003</v>
      </c>
      <c r="BC154" s="19">
        <v>65.72</v>
      </c>
      <c r="BD154" s="19">
        <v>31.54</v>
      </c>
      <c r="BE154" s="19">
        <v>22.8</v>
      </c>
      <c r="BF154" s="19">
        <v>40.28</v>
      </c>
      <c r="BG154" s="19">
        <v>51.46</v>
      </c>
      <c r="BH154" s="19">
        <v>37.200000000000003</v>
      </c>
      <c r="BI154" s="19">
        <v>65.72</v>
      </c>
      <c r="BJ154" s="19">
        <v>41.5</v>
      </c>
      <c r="BK154" s="19">
        <v>30</v>
      </c>
      <c r="BL154" s="19">
        <v>53</v>
      </c>
      <c r="BM154" s="19">
        <v>41.5</v>
      </c>
      <c r="BN154" s="19">
        <v>30</v>
      </c>
      <c r="BO154" s="19">
        <v>53</v>
      </c>
      <c r="BP154" s="19"/>
      <c r="BQ15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13.8</v>
      </c>
      <c r="BR15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38.825555555555553</v>
      </c>
      <c r="BS15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65.72</v>
      </c>
      <c r="BT154" s="11">
        <f>Tabelle5897112140[[#This Row],[Mindestauslastung min]]*Tabelle5897112140[[#This Row],[installierte Leistung MW min]]</f>
        <v>0</v>
      </c>
      <c r="BU154" s="11">
        <f>Tabelle5897112140[[#This Row],[Mindestauslastung durch]]*Tabelle5897112140[[#This Row],[installierte Leistung MW durch]]</f>
        <v>0</v>
      </c>
      <c r="BV154" s="11">
        <f>Tabelle5897112140[[#This Row],[Mindestauslastung max]]*Tabelle5897112140[[#This Row],[installierte Leistung MW max]]</f>
        <v>0</v>
      </c>
      <c r="BW154" s="9">
        <v>0</v>
      </c>
      <c r="BX154" s="9">
        <v>0</v>
      </c>
      <c r="BY154" s="9">
        <v>0</v>
      </c>
      <c r="BZ154" s="9"/>
      <c r="CA154" s="9">
        <v>0.57999999999999996</v>
      </c>
      <c r="CB154" s="9">
        <v>0.57999999999999996</v>
      </c>
      <c r="CC154" s="9">
        <v>0.57999999999999996</v>
      </c>
      <c r="CD154" s="9">
        <v>0.57999999999999996</v>
      </c>
      <c r="CE154" s="9">
        <v>0.57999999999999996</v>
      </c>
      <c r="CF154" s="9">
        <v>0.57999999999999996</v>
      </c>
      <c r="CG154" s="9">
        <v>0.77</v>
      </c>
      <c r="CH154" s="9">
        <v>0.77</v>
      </c>
      <c r="CI154" s="9">
        <v>0.77</v>
      </c>
      <c r="CJ154" s="9">
        <v>0.48</v>
      </c>
      <c r="CK154" s="9">
        <v>0.48</v>
      </c>
      <c r="CL154" s="9">
        <v>0.48</v>
      </c>
      <c r="CM154" s="9">
        <v>0.48</v>
      </c>
      <c r="CN154" s="9">
        <v>0.48</v>
      </c>
      <c r="CO154" s="9">
        <v>0.48</v>
      </c>
      <c r="CP154" s="9">
        <v>0.64</v>
      </c>
      <c r="CQ154" s="9">
        <v>0.64</v>
      </c>
      <c r="CR154" s="9">
        <v>0.64</v>
      </c>
      <c r="CS154" s="9">
        <v>0.38</v>
      </c>
      <c r="CT154" s="9">
        <v>0.38</v>
      </c>
      <c r="CU154" s="9">
        <v>0.38</v>
      </c>
      <c r="CV154" s="9">
        <v>0.38</v>
      </c>
      <c r="CW154" s="9">
        <v>0.38</v>
      </c>
      <c r="CX154" s="9">
        <v>0.38</v>
      </c>
      <c r="CY154" s="9">
        <v>0.5</v>
      </c>
      <c r="CZ154" s="9">
        <v>0.5</v>
      </c>
      <c r="DA154" s="9">
        <v>0.5</v>
      </c>
      <c r="DB154" s="9">
        <f>MIN(Tabelle5897112140[[#This Row],[Durchschnittsauslastung durch Sommer WTT]:[Durchschnittsauslastung max Winter SFN]])</f>
        <v>0.38</v>
      </c>
      <c r="DC15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4" s="9">
        <f>MAX(Tabelle5897112140[[#This Row],[Durchschnittsauslastung durch Sommer WTT]:[Durchschnittsauslastung max Winter SFN]])</f>
        <v>0.77</v>
      </c>
      <c r="DE154" s="40">
        <f>Tabelle5897112140[[#This Row],[Durchschnittsauslastung min]]*Tabelle5897112140[[#This Row],[installierte Leistung MW min]]</f>
        <v>22.8</v>
      </c>
      <c r="DF154" s="40">
        <f>Tabelle5897112140[[#This Row],[Durchschnittsauslastung durch]]*Tabelle5897112140[[#This Row],[installierte Leistung MW durch]]</f>
        <v>44.174444444444447</v>
      </c>
      <c r="DG154" s="40">
        <f>Tabelle5897112140[[#This Row],[Durchschnittsauslastung max]]*Tabelle5897112140[[#This Row],[installierte Leistung MW max]]</f>
        <v>81.62</v>
      </c>
      <c r="DH154" s="46">
        <f>Tabelle5897112140[[#This Row],[Maximalauslastung min]]*Tabelle5897112140[[#This Row],[installierte Leistung MW min]]</f>
        <v>0</v>
      </c>
      <c r="DI154" s="46">
        <f>Tabelle5897112140[[#This Row],[Maximalauslastung durch]]*Tabelle5897112140[[#This Row],[installierte Leistung MW durch]]</f>
        <v>0</v>
      </c>
      <c r="DJ154" s="19">
        <f>Tabelle5897112140[[#This Row],[Maximalauslastung max]]*Tabelle5897112140[[#This Row],[installierte Leistung MW durch]]</f>
        <v>0</v>
      </c>
      <c r="DK154" s="9">
        <v>0</v>
      </c>
      <c r="DL154" s="9">
        <v>0</v>
      </c>
      <c r="DM154" s="9">
        <v>0</v>
      </c>
      <c r="DN154" s="1">
        <v>83</v>
      </c>
      <c r="DO154" s="1">
        <v>60</v>
      </c>
      <c r="DP154" s="1">
        <v>106</v>
      </c>
      <c r="DQ154" s="19"/>
      <c r="DR154" s="19"/>
      <c r="DW154" s="1">
        <v>1.31</v>
      </c>
      <c r="DX154" s="1">
        <v>1</v>
      </c>
      <c r="DY154" s="1">
        <v>1.9</v>
      </c>
      <c r="EL154" s="1">
        <v>365</v>
      </c>
      <c r="EM154" s="1">
        <v>292</v>
      </c>
      <c r="EN154" s="1">
        <v>438</v>
      </c>
      <c r="EO154" s="11"/>
      <c r="EP154" s="11"/>
      <c r="EQ154" s="11"/>
      <c r="ER154" s="1">
        <v>365</v>
      </c>
      <c r="ES154" s="1">
        <v>292</v>
      </c>
      <c r="ET154" s="1">
        <v>438</v>
      </c>
      <c r="EV154" s="19"/>
      <c r="EW154" s="19"/>
      <c r="EX154" s="19"/>
      <c r="EY154" s="19"/>
      <c r="EZ154" s="19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O154" s="1">
        <v>67</v>
      </c>
      <c r="FP154" s="1">
        <v>67</v>
      </c>
      <c r="FQ154" s="1">
        <v>67</v>
      </c>
      <c r="FR154" s="13" t="s">
        <v>806</v>
      </c>
      <c r="FS154" s="13" t="s">
        <v>806</v>
      </c>
      <c r="FT154" s="13" t="s">
        <v>806</v>
      </c>
      <c r="FU154" s="13"/>
      <c r="FV154" s="13" t="s">
        <v>806</v>
      </c>
      <c r="FW154" s="13" t="s">
        <v>806</v>
      </c>
      <c r="FX154" s="13" t="s">
        <v>806</v>
      </c>
      <c r="FY154" s="13" t="s">
        <v>806</v>
      </c>
      <c r="FZ154" s="13" t="s">
        <v>806</v>
      </c>
      <c r="GA154" s="13" t="s">
        <v>806</v>
      </c>
      <c r="GB154" s="13" t="s">
        <v>806</v>
      </c>
      <c r="GE154" s="13" t="s">
        <v>806</v>
      </c>
      <c r="GF154" s="13" t="s">
        <v>806</v>
      </c>
      <c r="GH154" s="13" t="s">
        <v>806</v>
      </c>
    </row>
    <row r="155" spans="1:190" ht="12.75" customHeight="1" x14ac:dyDescent="0.25">
      <c r="A155" s="1" t="s">
        <v>711</v>
      </c>
      <c r="B155" s="1" t="s">
        <v>747</v>
      </c>
      <c r="C155" s="1" t="s">
        <v>663</v>
      </c>
      <c r="D155" s="1" t="s">
        <v>695</v>
      </c>
      <c r="E155" s="1" t="s">
        <v>127</v>
      </c>
      <c r="F155" s="1">
        <v>0</v>
      </c>
      <c r="G155" s="1">
        <v>2020</v>
      </c>
      <c r="H155" s="1">
        <v>1</v>
      </c>
      <c r="I155" s="1">
        <v>0</v>
      </c>
      <c r="J155" s="1">
        <v>0</v>
      </c>
      <c r="K15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23.484000000000002</v>
      </c>
      <c r="L15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45.499677777777777</v>
      </c>
      <c r="M15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84.068600000000004</v>
      </c>
      <c r="N155" s="19">
        <v>49.584200000000003</v>
      </c>
      <c r="O155" s="19">
        <v>35.844000000000001</v>
      </c>
      <c r="P155" s="19">
        <v>63.324399999999997</v>
      </c>
      <c r="Q155" s="19">
        <v>35.905799999999999</v>
      </c>
      <c r="R155" s="19">
        <v>25.956</v>
      </c>
      <c r="S155" s="19">
        <v>45.855600000000003</v>
      </c>
      <c r="T155" s="19">
        <v>49.584200000000003</v>
      </c>
      <c r="U155" s="19">
        <v>35.844000000000001</v>
      </c>
      <c r="V155" s="19">
        <v>63.324399999999997</v>
      </c>
      <c r="W155" s="19">
        <v>35.905799999999999</v>
      </c>
      <c r="X155" s="19">
        <v>25.956</v>
      </c>
      <c r="Y155" s="19">
        <v>45.855600000000003</v>
      </c>
      <c r="Z155" s="19">
        <v>65.827299999999994</v>
      </c>
      <c r="AA155" s="19">
        <v>47.586000000000006</v>
      </c>
      <c r="AB155" s="19">
        <v>84.068600000000004</v>
      </c>
      <c r="AC155" s="19">
        <v>19.662700000000001</v>
      </c>
      <c r="AD155" s="19">
        <v>14.214</v>
      </c>
      <c r="AE155" s="19">
        <v>25.1114</v>
      </c>
      <c r="AF155" s="19">
        <v>41.035200000000003</v>
      </c>
      <c r="AG155" s="19">
        <v>29.664000000000001</v>
      </c>
      <c r="AH155" s="19">
        <v>52.406400000000005</v>
      </c>
      <c r="AI155" s="19">
        <v>44.454799999999999</v>
      </c>
      <c r="AJ155" s="19">
        <v>32.136000000000003</v>
      </c>
      <c r="AK155" s="19">
        <v>56.773600000000002</v>
      </c>
      <c r="AL155" s="19">
        <v>41.035200000000003</v>
      </c>
      <c r="AM155" s="19">
        <v>29.664000000000001</v>
      </c>
      <c r="AN155" s="19">
        <v>52.406400000000005</v>
      </c>
      <c r="AO155" s="19">
        <v>44.454799999999999</v>
      </c>
      <c r="AP155" s="19">
        <v>32.136000000000003</v>
      </c>
      <c r="AQ155" s="19">
        <v>56.773600000000002</v>
      </c>
      <c r="AR155" s="19">
        <v>54.7136</v>
      </c>
      <c r="AS155" s="19">
        <v>39.552</v>
      </c>
      <c r="AT155" s="19">
        <v>69.875200000000007</v>
      </c>
      <c r="AU155" s="19">
        <v>30.776399999999999</v>
      </c>
      <c r="AV155" s="19">
        <v>22.248000000000001</v>
      </c>
      <c r="AW155" s="19">
        <v>39.3048</v>
      </c>
      <c r="AX155" s="19">
        <v>32.486199999999997</v>
      </c>
      <c r="AY155" s="19">
        <v>23.484000000000002</v>
      </c>
      <c r="AZ155" s="19">
        <v>41.488400000000006</v>
      </c>
      <c r="BA155" s="19">
        <v>53.003800000000005</v>
      </c>
      <c r="BB155" s="19">
        <v>38.316000000000003</v>
      </c>
      <c r="BC155" s="19">
        <v>67.691599999999994</v>
      </c>
      <c r="BD155" s="19">
        <v>32.486199999999997</v>
      </c>
      <c r="BE155" s="19">
        <v>23.484000000000002</v>
      </c>
      <c r="BF155" s="19">
        <v>41.488400000000006</v>
      </c>
      <c r="BG155" s="19">
        <v>53.003800000000005</v>
      </c>
      <c r="BH155" s="19">
        <v>38.316000000000003</v>
      </c>
      <c r="BI155" s="19">
        <v>67.691599999999994</v>
      </c>
      <c r="BJ155" s="19">
        <v>42.745000000000005</v>
      </c>
      <c r="BK155" s="19">
        <v>30.900000000000002</v>
      </c>
      <c r="BL155" s="19">
        <v>54.59</v>
      </c>
      <c r="BM155" s="19">
        <v>42.745000000000005</v>
      </c>
      <c r="BN155" s="19">
        <v>30.900000000000002</v>
      </c>
      <c r="BO155" s="19">
        <v>54.59</v>
      </c>
      <c r="BP155" s="19"/>
      <c r="BQ15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14.214</v>
      </c>
      <c r="BR15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39.990322222222225</v>
      </c>
      <c r="BS15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67.691599999999994</v>
      </c>
      <c r="BT155" s="11">
        <f>Tabelle5897112140[[#This Row],[Mindestauslastung min]]*Tabelle5897112140[[#This Row],[installierte Leistung MW min]]</f>
        <v>0</v>
      </c>
      <c r="BU155" s="11">
        <f>Tabelle5897112140[[#This Row],[Mindestauslastung durch]]*Tabelle5897112140[[#This Row],[installierte Leistung MW durch]]</f>
        <v>0</v>
      </c>
      <c r="BV155" s="11">
        <f>Tabelle5897112140[[#This Row],[Mindestauslastung max]]*Tabelle5897112140[[#This Row],[installierte Leistung MW max]]</f>
        <v>0</v>
      </c>
      <c r="BW155" s="9">
        <v>0</v>
      </c>
      <c r="BX155" s="9">
        <v>0</v>
      </c>
      <c r="BY155" s="9">
        <v>0</v>
      </c>
      <c r="BZ155" s="9"/>
      <c r="CA155" s="9">
        <v>0.57999999999999996</v>
      </c>
      <c r="CB155" s="9">
        <v>0.57999999999999996</v>
      </c>
      <c r="CC155" s="9">
        <v>0.57999999999999996</v>
      </c>
      <c r="CD155" s="9">
        <v>0.57999999999999996</v>
      </c>
      <c r="CE155" s="9">
        <v>0.57999999999999996</v>
      </c>
      <c r="CF155" s="9">
        <v>0.57999999999999996</v>
      </c>
      <c r="CG155" s="9">
        <v>0.77</v>
      </c>
      <c r="CH155" s="9">
        <v>0.77</v>
      </c>
      <c r="CI155" s="9">
        <v>0.77</v>
      </c>
      <c r="CJ155" s="9">
        <v>0.48</v>
      </c>
      <c r="CK155" s="9">
        <v>0.48</v>
      </c>
      <c r="CL155" s="9">
        <v>0.48</v>
      </c>
      <c r="CM155" s="9">
        <v>0.48</v>
      </c>
      <c r="CN155" s="9">
        <v>0.48</v>
      </c>
      <c r="CO155" s="9">
        <v>0.48</v>
      </c>
      <c r="CP155" s="9">
        <v>0.64</v>
      </c>
      <c r="CQ155" s="9">
        <v>0.64</v>
      </c>
      <c r="CR155" s="9">
        <v>0.64</v>
      </c>
      <c r="CS155" s="9">
        <v>0.38</v>
      </c>
      <c r="CT155" s="9">
        <v>0.38</v>
      </c>
      <c r="CU155" s="9">
        <v>0.38</v>
      </c>
      <c r="CV155" s="9">
        <v>0.38</v>
      </c>
      <c r="CW155" s="9">
        <v>0.38</v>
      </c>
      <c r="CX155" s="9">
        <v>0.38</v>
      </c>
      <c r="CY155" s="9">
        <v>0.5</v>
      </c>
      <c r="CZ155" s="9">
        <v>0.5</v>
      </c>
      <c r="DA155" s="9">
        <v>0.5</v>
      </c>
      <c r="DB155" s="9">
        <f>MIN(Tabelle5897112140[[#This Row],[Durchschnittsauslastung durch Sommer WTT]:[Durchschnittsauslastung max Winter SFN]])</f>
        <v>0.38</v>
      </c>
      <c r="DC15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5" s="9">
        <f>MAX(Tabelle5897112140[[#This Row],[Durchschnittsauslastung durch Sommer WTT]:[Durchschnittsauslastung max Winter SFN]])</f>
        <v>0.77</v>
      </c>
      <c r="DE155" s="40">
        <f>Tabelle5897112140[[#This Row],[Durchschnittsauslastung min]]*Tabelle5897112140[[#This Row],[installierte Leistung MW min]]</f>
        <v>23.483999999999998</v>
      </c>
      <c r="DF155" s="40">
        <f>Tabelle5897112140[[#This Row],[Durchschnittsauslastung durch]]*Tabelle5897112140[[#This Row],[installierte Leistung MW durch]]</f>
        <v>45.499677777777777</v>
      </c>
      <c r="DG155" s="40">
        <f>Tabelle5897112140[[#This Row],[Durchschnittsauslastung max]]*Tabelle5897112140[[#This Row],[installierte Leistung MW max]]</f>
        <v>84.068600000000004</v>
      </c>
      <c r="DH155" s="46">
        <f>Tabelle5897112140[[#This Row],[Maximalauslastung min]]*Tabelle5897112140[[#This Row],[installierte Leistung MW min]]</f>
        <v>13.596</v>
      </c>
      <c r="DI155" s="46">
        <f>Tabelle5897112140[[#This Row],[Maximalauslastung durch]]*Tabelle5897112140[[#This Row],[installierte Leistung MW durch]]</f>
        <v>20.517599999999998</v>
      </c>
      <c r="DJ155" s="19">
        <f>Tabelle5897112140[[#This Row],[Maximalauslastung max]]*Tabelle5897112140[[#This Row],[installierte Leistung MW durch]]</f>
        <v>22.227399999999999</v>
      </c>
      <c r="DK155" s="9">
        <v>0.22</v>
      </c>
      <c r="DL155" s="9">
        <v>0.24</v>
      </c>
      <c r="DM155" s="9">
        <v>0.26</v>
      </c>
      <c r="DN155" s="1">
        <v>85.49</v>
      </c>
      <c r="DO155" s="1">
        <v>61.8</v>
      </c>
      <c r="DP155" s="1">
        <v>109.18</v>
      </c>
      <c r="DQ155" s="19"/>
      <c r="DR155" s="19"/>
      <c r="DW155" s="1">
        <v>1.31</v>
      </c>
      <c r="DX155" s="1">
        <v>1</v>
      </c>
      <c r="DY155" s="1">
        <v>1.9</v>
      </c>
      <c r="EL155" s="1">
        <v>365</v>
      </c>
      <c r="EM155" s="1">
        <v>292</v>
      </c>
      <c r="EN155" s="1">
        <v>438</v>
      </c>
      <c r="EO155" s="11"/>
      <c r="EP155" s="11"/>
      <c r="EQ155" s="11"/>
      <c r="ER155" s="1">
        <v>365</v>
      </c>
      <c r="ES155" s="1">
        <v>292</v>
      </c>
      <c r="ET155" s="1">
        <v>438</v>
      </c>
      <c r="EV155" s="19"/>
      <c r="EW155" s="19"/>
      <c r="EX155" s="19"/>
      <c r="EY155" s="19"/>
      <c r="EZ155" s="19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O155" s="1">
        <v>67</v>
      </c>
      <c r="FP155" s="1">
        <v>67</v>
      </c>
      <c r="FQ155" s="1">
        <v>67</v>
      </c>
      <c r="FR155" s="13" t="s">
        <v>806</v>
      </c>
      <c r="FS155" s="13" t="s">
        <v>806</v>
      </c>
      <c r="FT155" s="13" t="s">
        <v>806</v>
      </c>
      <c r="FU155" s="13"/>
      <c r="FV155" s="13" t="s">
        <v>806</v>
      </c>
      <c r="FW155" s="13" t="s">
        <v>806</v>
      </c>
      <c r="FX155" s="13" t="s">
        <v>806</v>
      </c>
      <c r="FY155" s="13" t="s">
        <v>806</v>
      </c>
      <c r="FZ155" s="13" t="s">
        <v>806</v>
      </c>
      <c r="GA155" s="13" t="s">
        <v>806</v>
      </c>
      <c r="GB155" s="13" t="s">
        <v>806</v>
      </c>
      <c r="GE155" s="13" t="s">
        <v>806</v>
      </c>
      <c r="GF155" s="13" t="s">
        <v>806</v>
      </c>
      <c r="GH155" s="13" t="s">
        <v>806</v>
      </c>
    </row>
    <row r="156" spans="1:190" ht="12.75" customHeight="1" x14ac:dyDescent="0.25">
      <c r="A156" s="1" t="s">
        <v>711</v>
      </c>
      <c r="B156" s="1" t="s">
        <v>747</v>
      </c>
      <c r="C156" s="1" t="s">
        <v>663</v>
      </c>
      <c r="D156" s="1" t="s">
        <v>695</v>
      </c>
      <c r="E156" s="1" t="s">
        <v>127</v>
      </c>
      <c r="F156" s="1">
        <v>0</v>
      </c>
      <c r="G156" s="1">
        <v>2025</v>
      </c>
      <c r="H156" s="1">
        <v>1</v>
      </c>
      <c r="I156" s="1">
        <v>0</v>
      </c>
      <c r="J156" s="1">
        <v>0</v>
      </c>
      <c r="K15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24.624000000000002</v>
      </c>
      <c r="L15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47.708399999999997</v>
      </c>
      <c r="M15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88.149600000000007</v>
      </c>
      <c r="N156" s="19">
        <v>51.991200000000006</v>
      </c>
      <c r="O156" s="19">
        <v>37.583999999999996</v>
      </c>
      <c r="P156" s="19">
        <v>66.398399999999995</v>
      </c>
      <c r="Q156" s="19">
        <v>37.648800000000001</v>
      </c>
      <c r="R156" s="19">
        <v>27.216000000000001</v>
      </c>
      <c r="S156" s="19">
        <v>48.081600000000009</v>
      </c>
      <c r="T156" s="19">
        <v>51.991200000000006</v>
      </c>
      <c r="U156" s="19">
        <v>37.583999999999996</v>
      </c>
      <c r="V156" s="19">
        <v>66.398399999999995</v>
      </c>
      <c r="W156" s="19">
        <v>37.648800000000001</v>
      </c>
      <c r="X156" s="19">
        <v>27.216000000000001</v>
      </c>
      <c r="Y156" s="19">
        <v>48.081600000000009</v>
      </c>
      <c r="Z156" s="19">
        <v>69.022800000000004</v>
      </c>
      <c r="AA156" s="19">
        <v>49.896000000000008</v>
      </c>
      <c r="AB156" s="19">
        <v>88.149600000000007</v>
      </c>
      <c r="AC156" s="19">
        <v>20.6172</v>
      </c>
      <c r="AD156" s="19">
        <v>14.904000000000002</v>
      </c>
      <c r="AE156" s="19">
        <v>26.330400000000001</v>
      </c>
      <c r="AF156" s="19">
        <v>43.027200000000008</v>
      </c>
      <c r="AG156" s="19">
        <v>31.104000000000003</v>
      </c>
      <c r="AH156" s="19">
        <v>54.950400000000009</v>
      </c>
      <c r="AI156" s="19">
        <v>46.6128</v>
      </c>
      <c r="AJ156" s="19">
        <v>33.695999999999998</v>
      </c>
      <c r="AK156" s="19">
        <v>59.529600000000002</v>
      </c>
      <c r="AL156" s="19">
        <v>43.027200000000008</v>
      </c>
      <c r="AM156" s="19">
        <v>31.104000000000003</v>
      </c>
      <c r="AN156" s="19">
        <v>54.950400000000009</v>
      </c>
      <c r="AO156" s="19">
        <v>46.6128</v>
      </c>
      <c r="AP156" s="19">
        <v>33.695999999999998</v>
      </c>
      <c r="AQ156" s="19">
        <v>59.529600000000002</v>
      </c>
      <c r="AR156" s="19">
        <v>57.369599999999998</v>
      </c>
      <c r="AS156" s="19">
        <v>41.472000000000001</v>
      </c>
      <c r="AT156" s="19">
        <v>73.267200000000003</v>
      </c>
      <c r="AU156" s="19">
        <v>32.270400000000002</v>
      </c>
      <c r="AV156" s="19">
        <v>23.328000000000003</v>
      </c>
      <c r="AW156" s="19">
        <v>41.212800000000001</v>
      </c>
      <c r="AX156" s="19">
        <v>34.063200000000002</v>
      </c>
      <c r="AY156" s="19">
        <v>24.624000000000002</v>
      </c>
      <c r="AZ156" s="19">
        <v>43.502400000000002</v>
      </c>
      <c r="BA156" s="19">
        <v>55.576800000000006</v>
      </c>
      <c r="BB156" s="19">
        <v>40.176000000000009</v>
      </c>
      <c r="BC156" s="19">
        <v>70.97760000000001</v>
      </c>
      <c r="BD156" s="19">
        <v>34.063200000000002</v>
      </c>
      <c r="BE156" s="19">
        <v>24.624000000000002</v>
      </c>
      <c r="BF156" s="19">
        <v>43.502400000000002</v>
      </c>
      <c r="BG156" s="19">
        <v>55.576800000000006</v>
      </c>
      <c r="BH156" s="19">
        <v>40.176000000000009</v>
      </c>
      <c r="BI156" s="19">
        <v>70.97760000000001</v>
      </c>
      <c r="BJ156" s="19">
        <v>44.82</v>
      </c>
      <c r="BK156" s="19">
        <v>32.400000000000006</v>
      </c>
      <c r="BL156" s="19">
        <v>57.24</v>
      </c>
      <c r="BM156" s="19">
        <v>44.82</v>
      </c>
      <c r="BN156" s="19">
        <v>32.400000000000006</v>
      </c>
      <c r="BO156" s="19">
        <v>57.24</v>
      </c>
      <c r="BP156" s="19"/>
      <c r="BQ15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14.904000000000002</v>
      </c>
      <c r="BR15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41.931599999999996</v>
      </c>
      <c r="BS15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70.97760000000001</v>
      </c>
      <c r="BT156" s="11">
        <f>Tabelle5897112140[[#This Row],[Mindestauslastung min]]*Tabelle5897112140[[#This Row],[installierte Leistung MW min]]</f>
        <v>0</v>
      </c>
      <c r="BU156" s="11">
        <f>Tabelle5897112140[[#This Row],[Mindestauslastung durch]]*Tabelle5897112140[[#This Row],[installierte Leistung MW durch]]</f>
        <v>0</v>
      </c>
      <c r="BV156" s="11">
        <f>Tabelle5897112140[[#This Row],[Mindestauslastung max]]*Tabelle5897112140[[#This Row],[installierte Leistung MW max]]</f>
        <v>0</v>
      </c>
      <c r="BW156" s="9">
        <v>0</v>
      </c>
      <c r="BX156" s="9">
        <v>0</v>
      </c>
      <c r="BY156" s="9">
        <v>0</v>
      </c>
      <c r="BZ156" s="9"/>
      <c r="CA156" s="9">
        <v>0.57999999999999996</v>
      </c>
      <c r="CB156" s="9">
        <v>0.57999999999999996</v>
      </c>
      <c r="CC156" s="9">
        <v>0.57999999999999996</v>
      </c>
      <c r="CD156" s="9">
        <v>0.57999999999999996</v>
      </c>
      <c r="CE156" s="9">
        <v>0.57999999999999996</v>
      </c>
      <c r="CF156" s="9">
        <v>0.57999999999999996</v>
      </c>
      <c r="CG156" s="9">
        <v>0.77</v>
      </c>
      <c r="CH156" s="9">
        <v>0.77</v>
      </c>
      <c r="CI156" s="9">
        <v>0.77</v>
      </c>
      <c r="CJ156" s="9">
        <v>0.48</v>
      </c>
      <c r="CK156" s="9">
        <v>0.48</v>
      </c>
      <c r="CL156" s="9">
        <v>0.48</v>
      </c>
      <c r="CM156" s="9">
        <v>0.48</v>
      </c>
      <c r="CN156" s="9">
        <v>0.48</v>
      </c>
      <c r="CO156" s="9">
        <v>0.48</v>
      </c>
      <c r="CP156" s="9">
        <v>0.64</v>
      </c>
      <c r="CQ156" s="9">
        <v>0.64</v>
      </c>
      <c r="CR156" s="9">
        <v>0.64</v>
      </c>
      <c r="CS156" s="9">
        <v>0.38</v>
      </c>
      <c r="CT156" s="9">
        <v>0.38</v>
      </c>
      <c r="CU156" s="9">
        <v>0.38</v>
      </c>
      <c r="CV156" s="9">
        <v>0.38</v>
      </c>
      <c r="CW156" s="9">
        <v>0.38</v>
      </c>
      <c r="CX156" s="9">
        <v>0.38</v>
      </c>
      <c r="CY156" s="9">
        <v>0.5</v>
      </c>
      <c r="CZ156" s="9">
        <v>0.5</v>
      </c>
      <c r="DA156" s="9">
        <v>0.5</v>
      </c>
      <c r="DB156" s="9">
        <f>MIN(Tabelle5897112140[[#This Row],[Durchschnittsauslastung durch Sommer WTT]:[Durchschnittsauslastung max Winter SFN]])</f>
        <v>0.38</v>
      </c>
      <c r="DC15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6" s="9">
        <f>MAX(Tabelle5897112140[[#This Row],[Durchschnittsauslastung durch Sommer WTT]:[Durchschnittsauslastung max Winter SFN]])</f>
        <v>0.77</v>
      </c>
      <c r="DE156" s="40">
        <f>Tabelle5897112140[[#This Row],[Durchschnittsauslastung min]]*Tabelle5897112140[[#This Row],[installierte Leistung MW min]]</f>
        <v>24.623999999999999</v>
      </c>
      <c r="DF156" s="40">
        <f>Tabelle5897112140[[#This Row],[Durchschnittsauslastung durch]]*Tabelle5897112140[[#This Row],[installierte Leistung MW durch]]</f>
        <v>47.708400000000005</v>
      </c>
      <c r="DG156" s="40">
        <f>Tabelle5897112140[[#This Row],[Durchschnittsauslastung max]]*Tabelle5897112140[[#This Row],[installierte Leistung MW max]]</f>
        <v>88.149600000000007</v>
      </c>
      <c r="DH156" s="46">
        <f>Tabelle5897112140[[#This Row],[Maximalauslastung min]]*Tabelle5897112140[[#This Row],[installierte Leistung MW min]]</f>
        <v>14.256</v>
      </c>
      <c r="DI156" s="46">
        <f>Tabelle5897112140[[#This Row],[Maximalauslastung durch]]*Tabelle5897112140[[#This Row],[installierte Leistung MW durch]]</f>
        <v>21.5136</v>
      </c>
      <c r="DJ156" s="19">
        <f>Tabelle5897112140[[#This Row],[Maximalauslastung max]]*Tabelle5897112140[[#This Row],[installierte Leistung MW durch]]</f>
        <v>23.3064</v>
      </c>
      <c r="DK156" s="9">
        <v>0.22</v>
      </c>
      <c r="DL156" s="9">
        <v>0.24</v>
      </c>
      <c r="DM156" s="9">
        <v>0.26</v>
      </c>
      <c r="DN156" s="1">
        <v>89.64</v>
      </c>
      <c r="DO156" s="1">
        <v>64.8</v>
      </c>
      <c r="DP156" s="1">
        <v>114.48</v>
      </c>
      <c r="DQ156" s="19"/>
      <c r="DR156" s="19"/>
      <c r="DW156" s="1">
        <v>1.31</v>
      </c>
      <c r="DX156" s="1">
        <v>1</v>
      </c>
      <c r="DY156" s="1">
        <v>1.9</v>
      </c>
      <c r="EL156" s="1">
        <v>365</v>
      </c>
      <c r="EM156" s="1">
        <v>292</v>
      </c>
      <c r="EN156" s="1">
        <v>438</v>
      </c>
      <c r="EO156" s="11"/>
      <c r="EP156" s="11"/>
      <c r="EQ156" s="11"/>
      <c r="ER156" s="1">
        <v>365</v>
      </c>
      <c r="ES156" s="1">
        <v>292</v>
      </c>
      <c r="ET156" s="1">
        <v>438</v>
      </c>
      <c r="EV156" s="19"/>
      <c r="EW156" s="19"/>
      <c r="EX156" s="19"/>
      <c r="EY156" s="19"/>
      <c r="EZ156" s="19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O156" s="1">
        <v>67</v>
      </c>
      <c r="FP156" s="1">
        <v>67</v>
      </c>
      <c r="FQ156" s="1">
        <v>67</v>
      </c>
      <c r="FR156" s="13" t="s">
        <v>806</v>
      </c>
      <c r="FS156" s="13" t="s">
        <v>806</v>
      </c>
      <c r="FT156" s="13" t="s">
        <v>806</v>
      </c>
      <c r="FU156" s="13"/>
      <c r="FV156" s="13" t="s">
        <v>806</v>
      </c>
      <c r="FW156" s="13" t="s">
        <v>806</v>
      </c>
      <c r="FX156" s="13" t="s">
        <v>806</v>
      </c>
      <c r="FY156" s="13" t="s">
        <v>806</v>
      </c>
      <c r="FZ156" s="13" t="s">
        <v>806</v>
      </c>
      <c r="GA156" s="13" t="s">
        <v>806</v>
      </c>
      <c r="GB156" s="13" t="s">
        <v>806</v>
      </c>
      <c r="GE156" s="13" t="s">
        <v>806</v>
      </c>
      <c r="GF156" s="13" t="s">
        <v>806</v>
      </c>
      <c r="GH156" s="13" t="s">
        <v>806</v>
      </c>
    </row>
    <row r="157" spans="1:190" ht="12.75" customHeight="1" x14ac:dyDescent="0.25">
      <c r="A157" s="1" t="s">
        <v>711</v>
      </c>
      <c r="B157" s="1" t="s">
        <v>747</v>
      </c>
      <c r="C157" s="1" t="s">
        <v>663</v>
      </c>
      <c r="D157" s="1" t="s">
        <v>695</v>
      </c>
      <c r="E157" s="1" t="s">
        <v>127</v>
      </c>
      <c r="F157" s="1">
        <v>0</v>
      </c>
      <c r="G157" s="1">
        <v>2030</v>
      </c>
      <c r="H157" s="1">
        <v>1</v>
      </c>
      <c r="I157" s="1">
        <v>0</v>
      </c>
      <c r="J157" s="1">
        <v>0</v>
      </c>
      <c r="K15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26.448</v>
      </c>
      <c r="L15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51.242355555555555</v>
      </c>
      <c r="M15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94.679199999999994</v>
      </c>
      <c r="N157" s="19">
        <v>55.842399999999998</v>
      </c>
      <c r="O157" s="19">
        <v>40.367999999999995</v>
      </c>
      <c r="P157" s="19">
        <v>71.316799999999986</v>
      </c>
      <c r="Q157" s="19">
        <v>40.437599999999996</v>
      </c>
      <c r="R157" s="19">
        <v>29.231999999999996</v>
      </c>
      <c r="S157" s="19">
        <v>51.6432</v>
      </c>
      <c r="T157" s="19">
        <v>55.842399999999998</v>
      </c>
      <c r="U157" s="19">
        <v>40.367999999999995</v>
      </c>
      <c r="V157" s="19">
        <v>71.316799999999986</v>
      </c>
      <c r="W157" s="19">
        <v>40.437599999999996</v>
      </c>
      <c r="X157" s="19">
        <v>29.231999999999996</v>
      </c>
      <c r="Y157" s="19">
        <v>51.6432</v>
      </c>
      <c r="Z157" s="19">
        <v>74.135599999999997</v>
      </c>
      <c r="AA157" s="19">
        <v>53.591999999999999</v>
      </c>
      <c r="AB157" s="19">
        <v>94.679199999999994</v>
      </c>
      <c r="AC157" s="19">
        <v>22.144399999999997</v>
      </c>
      <c r="AD157" s="19">
        <v>16.007999999999999</v>
      </c>
      <c r="AE157" s="19">
        <v>28.280799999999996</v>
      </c>
      <c r="AF157" s="19">
        <v>46.214399999999998</v>
      </c>
      <c r="AG157" s="19">
        <v>33.408000000000001</v>
      </c>
      <c r="AH157" s="19">
        <v>59.020800000000001</v>
      </c>
      <c r="AI157" s="19">
        <v>50.065599999999989</v>
      </c>
      <c r="AJ157" s="19">
        <v>36.192</v>
      </c>
      <c r="AK157" s="19">
        <v>63.939199999999992</v>
      </c>
      <c r="AL157" s="19">
        <v>46.214399999999998</v>
      </c>
      <c r="AM157" s="19">
        <v>33.408000000000001</v>
      </c>
      <c r="AN157" s="19">
        <v>59.020800000000001</v>
      </c>
      <c r="AO157" s="19">
        <v>50.065599999999989</v>
      </c>
      <c r="AP157" s="19">
        <v>36.192</v>
      </c>
      <c r="AQ157" s="19">
        <v>63.939199999999992</v>
      </c>
      <c r="AR157" s="19">
        <v>61.619199999999992</v>
      </c>
      <c r="AS157" s="19">
        <v>44.543999999999997</v>
      </c>
      <c r="AT157" s="19">
        <v>78.694400000000002</v>
      </c>
      <c r="AU157" s="19">
        <v>34.660799999999995</v>
      </c>
      <c r="AV157" s="19">
        <v>25.056000000000001</v>
      </c>
      <c r="AW157" s="19">
        <v>44.265599999999992</v>
      </c>
      <c r="AX157" s="19">
        <v>36.586399999999998</v>
      </c>
      <c r="AY157" s="19">
        <v>26.448</v>
      </c>
      <c r="AZ157" s="19">
        <v>46.724799999999995</v>
      </c>
      <c r="BA157" s="19">
        <v>59.693599999999996</v>
      </c>
      <c r="BB157" s="19">
        <v>43.152000000000001</v>
      </c>
      <c r="BC157" s="19">
        <v>76.235199999999992</v>
      </c>
      <c r="BD157" s="19">
        <v>36.586399999999998</v>
      </c>
      <c r="BE157" s="19">
        <v>26.448</v>
      </c>
      <c r="BF157" s="19">
        <v>46.724799999999995</v>
      </c>
      <c r="BG157" s="19">
        <v>59.693599999999996</v>
      </c>
      <c r="BH157" s="19">
        <v>43.152000000000001</v>
      </c>
      <c r="BI157" s="19">
        <v>76.235199999999992</v>
      </c>
      <c r="BJ157" s="19">
        <v>48.139999999999993</v>
      </c>
      <c r="BK157" s="19">
        <v>34.799999999999997</v>
      </c>
      <c r="BL157" s="19">
        <v>61.48</v>
      </c>
      <c r="BM157" s="19">
        <v>48.139999999999993</v>
      </c>
      <c r="BN157" s="19">
        <v>34.799999999999997</v>
      </c>
      <c r="BO157" s="19">
        <v>61.48</v>
      </c>
      <c r="BP157" s="19"/>
      <c r="BQ15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16.007999999999999</v>
      </c>
      <c r="BR15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45.037644444444439</v>
      </c>
      <c r="BS15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76.235199999999992</v>
      </c>
      <c r="BT157" s="11">
        <f>Tabelle5897112140[[#This Row],[Mindestauslastung min]]*Tabelle5897112140[[#This Row],[installierte Leistung MW min]]</f>
        <v>0</v>
      </c>
      <c r="BU157" s="11">
        <f>Tabelle5897112140[[#This Row],[Mindestauslastung durch]]*Tabelle5897112140[[#This Row],[installierte Leistung MW durch]]</f>
        <v>0</v>
      </c>
      <c r="BV157" s="11">
        <f>Tabelle5897112140[[#This Row],[Mindestauslastung max]]*Tabelle5897112140[[#This Row],[installierte Leistung MW max]]</f>
        <v>0</v>
      </c>
      <c r="BW157" s="9">
        <v>0</v>
      </c>
      <c r="BX157" s="9">
        <v>0</v>
      </c>
      <c r="BY157" s="9">
        <v>0</v>
      </c>
      <c r="BZ157" s="9"/>
      <c r="CA157" s="9">
        <v>0.57999999999999996</v>
      </c>
      <c r="CB157" s="9">
        <v>0.57999999999999996</v>
      </c>
      <c r="CC157" s="9">
        <v>0.57999999999999996</v>
      </c>
      <c r="CD157" s="9">
        <v>0.57999999999999996</v>
      </c>
      <c r="CE157" s="9">
        <v>0.57999999999999996</v>
      </c>
      <c r="CF157" s="9">
        <v>0.57999999999999996</v>
      </c>
      <c r="CG157" s="9">
        <v>0.77</v>
      </c>
      <c r="CH157" s="9">
        <v>0.77</v>
      </c>
      <c r="CI157" s="9">
        <v>0.77</v>
      </c>
      <c r="CJ157" s="9">
        <v>0.48</v>
      </c>
      <c r="CK157" s="9">
        <v>0.48</v>
      </c>
      <c r="CL157" s="9">
        <v>0.48</v>
      </c>
      <c r="CM157" s="9">
        <v>0.48</v>
      </c>
      <c r="CN157" s="9">
        <v>0.48</v>
      </c>
      <c r="CO157" s="9">
        <v>0.48</v>
      </c>
      <c r="CP157" s="9">
        <v>0.64</v>
      </c>
      <c r="CQ157" s="9">
        <v>0.64</v>
      </c>
      <c r="CR157" s="9">
        <v>0.64</v>
      </c>
      <c r="CS157" s="9">
        <v>0.38</v>
      </c>
      <c r="CT157" s="9">
        <v>0.38</v>
      </c>
      <c r="CU157" s="9">
        <v>0.38</v>
      </c>
      <c r="CV157" s="9">
        <v>0.38</v>
      </c>
      <c r="CW157" s="9">
        <v>0.38</v>
      </c>
      <c r="CX157" s="9">
        <v>0.38</v>
      </c>
      <c r="CY157" s="9">
        <v>0.5</v>
      </c>
      <c r="CZ157" s="9">
        <v>0.5</v>
      </c>
      <c r="DA157" s="9">
        <v>0.5</v>
      </c>
      <c r="DB157" s="9">
        <f>MIN(Tabelle5897112140[[#This Row],[Durchschnittsauslastung durch Sommer WTT]:[Durchschnittsauslastung max Winter SFN]])</f>
        <v>0.38</v>
      </c>
      <c r="DC15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7" s="9">
        <f>MAX(Tabelle5897112140[[#This Row],[Durchschnittsauslastung durch Sommer WTT]:[Durchschnittsauslastung max Winter SFN]])</f>
        <v>0.77</v>
      </c>
      <c r="DE157" s="40">
        <f>Tabelle5897112140[[#This Row],[Durchschnittsauslastung min]]*Tabelle5897112140[[#This Row],[installierte Leistung MW min]]</f>
        <v>26.447999999999997</v>
      </c>
      <c r="DF157" s="40">
        <f>Tabelle5897112140[[#This Row],[Durchschnittsauslastung durch]]*Tabelle5897112140[[#This Row],[installierte Leistung MW durch]]</f>
        <v>51.242355555555562</v>
      </c>
      <c r="DG157" s="40">
        <f>Tabelle5897112140[[#This Row],[Durchschnittsauslastung max]]*Tabelle5897112140[[#This Row],[installierte Leistung MW max]]</f>
        <v>94.679199999999994</v>
      </c>
      <c r="DH157" s="46">
        <f>Tabelle5897112140[[#This Row],[Maximalauslastung min]]*Tabelle5897112140[[#This Row],[installierte Leistung MW min]]</f>
        <v>15.311999999999999</v>
      </c>
      <c r="DI157" s="46">
        <f>Tabelle5897112140[[#This Row],[Maximalauslastung durch]]*Tabelle5897112140[[#This Row],[installierte Leistung MW durch]]</f>
        <v>23.107199999999999</v>
      </c>
      <c r="DJ157" s="19">
        <f>Tabelle5897112140[[#This Row],[Maximalauslastung max]]*Tabelle5897112140[[#This Row],[installierte Leistung MW durch]]</f>
        <v>25.032800000000002</v>
      </c>
      <c r="DK157" s="9">
        <v>0.22</v>
      </c>
      <c r="DL157" s="9">
        <v>0.24</v>
      </c>
      <c r="DM157" s="9">
        <v>0.26</v>
      </c>
      <c r="DN157" s="1">
        <v>96.28</v>
      </c>
      <c r="DO157" s="1">
        <v>69.599999999999994</v>
      </c>
      <c r="DP157" s="1">
        <v>122.96</v>
      </c>
      <c r="DQ157" s="19"/>
      <c r="DR157" s="19"/>
      <c r="DW157" s="1">
        <v>1.31</v>
      </c>
      <c r="DX157" s="1">
        <v>1</v>
      </c>
      <c r="DY157" s="1">
        <v>1.9</v>
      </c>
      <c r="EL157" s="1">
        <v>365</v>
      </c>
      <c r="EM157" s="1">
        <v>292</v>
      </c>
      <c r="EN157" s="1">
        <v>438</v>
      </c>
      <c r="EO157" s="11"/>
      <c r="EP157" s="11"/>
      <c r="EQ157" s="11"/>
      <c r="ER157" s="1">
        <v>365</v>
      </c>
      <c r="ES157" s="1">
        <v>292</v>
      </c>
      <c r="ET157" s="1">
        <v>438</v>
      </c>
      <c r="EV157" s="19"/>
      <c r="EW157" s="19"/>
      <c r="EX157" s="19"/>
      <c r="EY157" s="19"/>
      <c r="EZ157" s="19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O157" s="1">
        <v>67</v>
      </c>
      <c r="FP157" s="1">
        <v>67</v>
      </c>
      <c r="FQ157" s="1">
        <v>67</v>
      </c>
      <c r="FR157" s="13" t="s">
        <v>806</v>
      </c>
      <c r="FS157" s="13" t="s">
        <v>806</v>
      </c>
      <c r="FT157" s="13" t="s">
        <v>806</v>
      </c>
      <c r="FU157" s="13"/>
      <c r="FV157" s="13" t="s">
        <v>806</v>
      </c>
      <c r="FW157" s="13" t="s">
        <v>806</v>
      </c>
      <c r="FX157" s="13" t="s">
        <v>806</v>
      </c>
      <c r="FY157" s="13" t="s">
        <v>806</v>
      </c>
      <c r="FZ157" s="13" t="s">
        <v>806</v>
      </c>
      <c r="GA157" s="13" t="s">
        <v>806</v>
      </c>
      <c r="GB157" s="13" t="s">
        <v>806</v>
      </c>
      <c r="GE157" s="13" t="s">
        <v>806</v>
      </c>
      <c r="GF157" s="13" t="s">
        <v>806</v>
      </c>
      <c r="GH157" s="13" t="s">
        <v>806</v>
      </c>
    </row>
    <row r="158" spans="1:190" ht="12.75" customHeight="1" x14ac:dyDescent="0.25">
      <c r="A158" s="1" t="s">
        <v>711</v>
      </c>
      <c r="B158" s="1" t="s">
        <v>747</v>
      </c>
      <c r="C158" s="1" t="s">
        <v>663</v>
      </c>
      <c r="D158" s="1" t="s">
        <v>695</v>
      </c>
      <c r="E158" s="1" t="s">
        <v>127</v>
      </c>
      <c r="F158" s="1">
        <v>0</v>
      </c>
      <c r="G158" s="1">
        <v>2035</v>
      </c>
      <c r="H158" s="1">
        <v>1</v>
      </c>
      <c r="I158" s="1">
        <v>0</v>
      </c>
      <c r="J158" s="1">
        <v>0</v>
      </c>
      <c r="K15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28.956000000000003</v>
      </c>
      <c r="L15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56.101544444444443</v>
      </c>
      <c r="M15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103.65740000000001</v>
      </c>
      <c r="N158" s="19">
        <v>61.137799999999999</v>
      </c>
      <c r="O158" s="19">
        <v>44.195999999999998</v>
      </c>
      <c r="P158" s="19">
        <v>78.079599999999999</v>
      </c>
      <c r="Q158" s="19">
        <v>44.272199999999998</v>
      </c>
      <c r="R158" s="19">
        <v>32.003999999999998</v>
      </c>
      <c r="S158" s="19">
        <v>56.540400000000005</v>
      </c>
      <c r="T158" s="19">
        <v>61.137799999999999</v>
      </c>
      <c r="U158" s="19">
        <v>44.195999999999998</v>
      </c>
      <c r="V158" s="19">
        <v>78.079599999999999</v>
      </c>
      <c r="W158" s="19">
        <v>44.272199999999998</v>
      </c>
      <c r="X158" s="19">
        <v>32.003999999999998</v>
      </c>
      <c r="Y158" s="19">
        <v>56.540400000000005</v>
      </c>
      <c r="Z158" s="19">
        <v>81.165700000000001</v>
      </c>
      <c r="AA158" s="19">
        <v>58.674000000000007</v>
      </c>
      <c r="AB158" s="19">
        <v>103.65740000000001</v>
      </c>
      <c r="AC158" s="19">
        <v>24.244299999999999</v>
      </c>
      <c r="AD158" s="19">
        <v>17.526</v>
      </c>
      <c r="AE158" s="19">
        <v>30.962599999999998</v>
      </c>
      <c r="AF158" s="19">
        <v>50.596800000000002</v>
      </c>
      <c r="AG158" s="19">
        <v>36.576000000000001</v>
      </c>
      <c r="AH158" s="19">
        <v>64.61760000000001</v>
      </c>
      <c r="AI158" s="19">
        <v>54.813199999999995</v>
      </c>
      <c r="AJ158" s="19">
        <v>39.624000000000002</v>
      </c>
      <c r="AK158" s="19">
        <v>70.002399999999994</v>
      </c>
      <c r="AL158" s="19">
        <v>50.596800000000002</v>
      </c>
      <c r="AM158" s="19">
        <v>36.576000000000001</v>
      </c>
      <c r="AN158" s="19">
        <v>64.61760000000001</v>
      </c>
      <c r="AO158" s="19">
        <v>54.813199999999995</v>
      </c>
      <c r="AP158" s="19">
        <v>39.624000000000002</v>
      </c>
      <c r="AQ158" s="19">
        <v>70.002399999999994</v>
      </c>
      <c r="AR158" s="19">
        <v>67.462400000000002</v>
      </c>
      <c r="AS158" s="19">
        <v>48.768000000000001</v>
      </c>
      <c r="AT158" s="19">
        <v>86.156800000000004</v>
      </c>
      <c r="AU158" s="19">
        <v>37.947600000000001</v>
      </c>
      <c r="AV158" s="19">
        <v>27.432000000000002</v>
      </c>
      <c r="AW158" s="19">
        <v>48.463199999999993</v>
      </c>
      <c r="AX158" s="19">
        <v>40.055799999999998</v>
      </c>
      <c r="AY158" s="19">
        <v>28.956000000000003</v>
      </c>
      <c r="AZ158" s="19">
        <v>51.1556</v>
      </c>
      <c r="BA158" s="19">
        <v>65.354200000000006</v>
      </c>
      <c r="BB158" s="19">
        <v>47.244000000000007</v>
      </c>
      <c r="BC158" s="19">
        <v>83.464399999999998</v>
      </c>
      <c r="BD158" s="19">
        <v>40.055799999999998</v>
      </c>
      <c r="BE158" s="19">
        <v>28.956000000000003</v>
      </c>
      <c r="BF158" s="19">
        <v>51.1556</v>
      </c>
      <c r="BG158" s="19">
        <v>65.354200000000006</v>
      </c>
      <c r="BH158" s="19">
        <v>47.244000000000007</v>
      </c>
      <c r="BI158" s="19">
        <v>83.464399999999998</v>
      </c>
      <c r="BJ158" s="19">
        <v>52.704999999999998</v>
      </c>
      <c r="BK158" s="19">
        <v>38.1</v>
      </c>
      <c r="BL158" s="19">
        <v>67.31</v>
      </c>
      <c r="BM158" s="19">
        <v>52.704999999999998</v>
      </c>
      <c r="BN158" s="19">
        <v>38.1</v>
      </c>
      <c r="BO158" s="19">
        <v>67.31</v>
      </c>
      <c r="BP158" s="19"/>
      <c r="BQ15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17.526</v>
      </c>
      <c r="BR15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49.308455555555554</v>
      </c>
      <c r="BS15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83.464399999999998</v>
      </c>
      <c r="BT158" s="11">
        <f>Tabelle5897112140[[#This Row],[Mindestauslastung min]]*Tabelle5897112140[[#This Row],[installierte Leistung MW min]]</f>
        <v>0</v>
      </c>
      <c r="BU158" s="11">
        <f>Tabelle5897112140[[#This Row],[Mindestauslastung durch]]*Tabelle5897112140[[#This Row],[installierte Leistung MW durch]]</f>
        <v>0</v>
      </c>
      <c r="BV158" s="11">
        <f>Tabelle5897112140[[#This Row],[Mindestauslastung max]]*Tabelle5897112140[[#This Row],[installierte Leistung MW max]]</f>
        <v>0</v>
      </c>
      <c r="BW158" s="9">
        <v>0</v>
      </c>
      <c r="BX158" s="9">
        <v>0</v>
      </c>
      <c r="BY158" s="9">
        <v>0</v>
      </c>
      <c r="BZ158" s="9"/>
      <c r="CA158" s="9">
        <v>0.57999999999999996</v>
      </c>
      <c r="CB158" s="9">
        <v>0.57999999999999996</v>
      </c>
      <c r="CC158" s="9">
        <v>0.57999999999999996</v>
      </c>
      <c r="CD158" s="9">
        <v>0.57999999999999996</v>
      </c>
      <c r="CE158" s="9">
        <v>0.57999999999999996</v>
      </c>
      <c r="CF158" s="9">
        <v>0.57999999999999996</v>
      </c>
      <c r="CG158" s="9">
        <v>0.77</v>
      </c>
      <c r="CH158" s="9">
        <v>0.77</v>
      </c>
      <c r="CI158" s="9">
        <v>0.77</v>
      </c>
      <c r="CJ158" s="9">
        <v>0.48</v>
      </c>
      <c r="CK158" s="9">
        <v>0.48</v>
      </c>
      <c r="CL158" s="9">
        <v>0.48</v>
      </c>
      <c r="CM158" s="9">
        <v>0.48</v>
      </c>
      <c r="CN158" s="9">
        <v>0.48</v>
      </c>
      <c r="CO158" s="9">
        <v>0.48</v>
      </c>
      <c r="CP158" s="9">
        <v>0.64</v>
      </c>
      <c r="CQ158" s="9">
        <v>0.64</v>
      </c>
      <c r="CR158" s="9">
        <v>0.64</v>
      </c>
      <c r="CS158" s="9">
        <v>0.38</v>
      </c>
      <c r="CT158" s="9">
        <v>0.38</v>
      </c>
      <c r="CU158" s="9">
        <v>0.38</v>
      </c>
      <c r="CV158" s="9">
        <v>0.38</v>
      </c>
      <c r="CW158" s="9">
        <v>0.38</v>
      </c>
      <c r="CX158" s="9">
        <v>0.38</v>
      </c>
      <c r="CY158" s="9">
        <v>0.5</v>
      </c>
      <c r="CZ158" s="9">
        <v>0.5</v>
      </c>
      <c r="DA158" s="9">
        <v>0.5</v>
      </c>
      <c r="DB158" s="9">
        <f>MIN(Tabelle5897112140[[#This Row],[Durchschnittsauslastung durch Sommer WTT]:[Durchschnittsauslastung max Winter SFN]])</f>
        <v>0.38</v>
      </c>
      <c r="DC15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8" s="9">
        <f>MAX(Tabelle5897112140[[#This Row],[Durchschnittsauslastung durch Sommer WTT]:[Durchschnittsauslastung max Winter SFN]])</f>
        <v>0.77</v>
      </c>
      <c r="DE158" s="40">
        <f>Tabelle5897112140[[#This Row],[Durchschnittsauslastung min]]*Tabelle5897112140[[#This Row],[installierte Leistung MW min]]</f>
        <v>28.956000000000003</v>
      </c>
      <c r="DF158" s="40">
        <f>Tabelle5897112140[[#This Row],[Durchschnittsauslastung durch]]*Tabelle5897112140[[#This Row],[installierte Leistung MW durch]]</f>
        <v>56.10154444444445</v>
      </c>
      <c r="DG158" s="40">
        <f>Tabelle5897112140[[#This Row],[Durchschnittsauslastung max]]*Tabelle5897112140[[#This Row],[installierte Leistung MW max]]</f>
        <v>103.65740000000001</v>
      </c>
      <c r="DH158" s="46">
        <f>Tabelle5897112140[[#This Row],[Maximalauslastung min]]*Tabelle5897112140[[#This Row],[installierte Leistung MW min]]</f>
        <v>16.763999999999999</v>
      </c>
      <c r="DI158" s="46">
        <f>Tabelle5897112140[[#This Row],[Maximalauslastung durch]]*Tabelle5897112140[[#This Row],[installierte Leistung MW durch]]</f>
        <v>25.298399999999997</v>
      </c>
      <c r="DJ158" s="19">
        <f>Tabelle5897112140[[#This Row],[Maximalauslastung max]]*Tabelle5897112140[[#This Row],[installierte Leistung MW durch]]</f>
        <v>27.406600000000001</v>
      </c>
      <c r="DK158" s="9">
        <v>0.22</v>
      </c>
      <c r="DL158" s="9">
        <v>0.24</v>
      </c>
      <c r="DM158" s="9">
        <v>0.26</v>
      </c>
      <c r="DN158" s="1">
        <v>105.41</v>
      </c>
      <c r="DO158" s="1">
        <v>76.2</v>
      </c>
      <c r="DP158" s="1">
        <v>134.62</v>
      </c>
      <c r="DQ158" s="19"/>
      <c r="DR158" s="19"/>
      <c r="DW158" s="1">
        <v>1.31</v>
      </c>
      <c r="DX158" s="1">
        <v>1</v>
      </c>
      <c r="DY158" s="1">
        <v>1.9</v>
      </c>
      <c r="EL158" s="1">
        <v>365</v>
      </c>
      <c r="EM158" s="1">
        <v>292</v>
      </c>
      <c r="EN158" s="1">
        <v>438</v>
      </c>
      <c r="EO158" s="11"/>
      <c r="EP158" s="11"/>
      <c r="EQ158" s="11"/>
      <c r="ER158" s="1">
        <v>365</v>
      </c>
      <c r="ES158" s="1">
        <v>292</v>
      </c>
      <c r="ET158" s="1">
        <v>438</v>
      </c>
      <c r="EV158" s="19"/>
      <c r="EW158" s="19"/>
      <c r="EX158" s="19"/>
      <c r="EY158" s="19"/>
      <c r="EZ158" s="19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O158" s="1">
        <v>67</v>
      </c>
      <c r="FP158" s="1">
        <v>67</v>
      </c>
      <c r="FQ158" s="1">
        <v>67</v>
      </c>
      <c r="FR158" s="13" t="s">
        <v>806</v>
      </c>
      <c r="FS158" s="13" t="s">
        <v>806</v>
      </c>
      <c r="FT158" s="13" t="s">
        <v>806</v>
      </c>
      <c r="FU158" s="13"/>
      <c r="FV158" s="13" t="s">
        <v>806</v>
      </c>
      <c r="FW158" s="13" t="s">
        <v>806</v>
      </c>
      <c r="FX158" s="13" t="s">
        <v>806</v>
      </c>
      <c r="FY158" s="13" t="s">
        <v>806</v>
      </c>
      <c r="FZ158" s="13" t="s">
        <v>806</v>
      </c>
      <c r="GA158" s="13" t="s">
        <v>806</v>
      </c>
      <c r="GB158" s="13" t="s">
        <v>806</v>
      </c>
      <c r="GE158" s="13" t="s">
        <v>806</v>
      </c>
      <c r="GF158" s="13" t="s">
        <v>806</v>
      </c>
      <c r="GH158" s="13" t="s">
        <v>806</v>
      </c>
    </row>
    <row r="159" spans="1:190" ht="12.75" customHeight="1" x14ac:dyDescent="0.25">
      <c r="A159" s="1" t="s">
        <v>711</v>
      </c>
      <c r="B159" s="1" t="s">
        <v>747</v>
      </c>
      <c r="C159" s="1" t="s">
        <v>663</v>
      </c>
      <c r="D159" s="1" t="s">
        <v>695</v>
      </c>
      <c r="E159" s="1" t="s">
        <v>127</v>
      </c>
      <c r="F159" s="1">
        <v>0</v>
      </c>
      <c r="G159" s="1">
        <v>2040</v>
      </c>
      <c r="H159" s="1">
        <v>1</v>
      </c>
      <c r="I159" s="1">
        <v>0</v>
      </c>
      <c r="J159" s="1">
        <v>0</v>
      </c>
      <c r="K15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32.147999999999996</v>
      </c>
      <c r="L15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62.285966666666667</v>
      </c>
      <c r="M15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115.0842</v>
      </c>
      <c r="N159" s="19">
        <v>67.877399999999994</v>
      </c>
      <c r="O159" s="19">
        <v>49.067999999999991</v>
      </c>
      <c r="P159" s="19">
        <v>86.686799999999991</v>
      </c>
      <c r="Q159" s="19">
        <v>49.1526</v>
      </c>
      <c r="R159" s="19">
        <v>35.531999999999996</v>
      </c>
      <c r="S159" s="19">
        <v>62.773200000000003</v>
      </c>
      <c r="T159" s="19">
        <v>67.877399999999994</v>
      </c>
      <c r="U159" s="19">
        <v>49.067999999999991</v>
      </c>
      <c r="V159" s="19">
        <v>86.686799999999991</v>
      </c>
      <c r="W159" s="19">
        <v>49.1526</v>
      </c>
      <c r="X159" s="19">
        <v>35.531999999999996</v>
      </c>
      <c r="Y159" s="19">
        <v>62.773200000000003</v>
      </c>
      <c r="Z159" s="19">
        <v>90.113099999999989</v>
      </c>
      <c r="AA159" s="19">
        <v>65.141999999999996</v>
      </c>
      <c r="AB159" s="19">
        <v>115.0842</v>
      </c>
      <c r="AC159" s="19">
        <v>26.916899999999998</v>
      </c>
      <c r="AD159" s="19">
        <v>19.457999999999998</v>
      </c>
      <c r="AE159" s="19">
        <v>34.375799999999998</v>
      </c>
      <c r="AF159" s="19">
        <v>56.174399999999999</v>
      </c>
      <c r="AG159" s="19">
        <v>40.607999999999997</v>
      </c>
      <c r="AH159" s="19">
        <v>71.740799999999993</v>
      </c>
      <c r="AI159" s="19">
        <v>60.855599999999988</v>
      </c>
      <c r="AJ159" s="19">
        <v>43.991999999999997</v>
      </c>
      <c r="AK159" s="19">
        <v>77.719199999999987</v>
      </c>
      <c r="AL159" s="19">
        <v>56.174399999999999</v>
      </c>
      <c r="AM159" s="19">
        <v>40.607999999999997</v>
      </c>
      <c r="AN159" s="19">
        <v>71.740799999999993</v>
      </c>
      <c r="AO159" s="19">
        <v>60.855599999999988</v>
      </c>
      <c r="AP159" s="19">
        <v>43.991999999999997</v>
      </c>
      <c r="AQ159" s="19">
        <v>77.719199999999987</v>
      </c>
      <c r="AR159" s="19">
        <v>74.899199999999993</v>
      </c>
      <c r="AS159" s="19">
        <v>54.143999999999998</v>
      </c>
      <c r="AT159" s="19">
        <v>95.654399999999995</v>
      </c>
      <c r="AU159" s="19">
        <v>42.130799999999994</v>
      </c>
      <c r="AV159" s="19">
        <v>30.456</v>
      </c>
      <c r="AW159" s="19">
        <v>53.805599999999991</v>
      </c>
      <c r="AX159" s="19">
        <v>44.471399999999996</v>
      </c>
      <c r="AY159" s="19">
        <v>32.147999999999996</v>
      </c>
      <c r="AZ159" s="19">
        <v>56.794799999999995</v>
      </c>
      <c r="BA159" s="19">
        <v>72.558599999999998</v>
      </c>
      <c r="BB159" s="19">
        <v>52.451999999999998</v>
      </c>
      <c r="BC159" s="19">
        <v>92.665199999999999</v>
      </c>
      <c r="BD159" s="19">
        <v>44.471399999999996</v>
      </c>
      <c r="BE159" s="19">
        <v>32.147999999999996</v>
      </c>
      <c r="BF159" s="19">
        <v>56.794799999999995</v>
      </c>
      <c r="BG159" s="19">
        <v>72.558599999999998</v>
      </c>
      <c r="BH159" s="19">
        <v>52.451999999999998</v>
      </c>
      <c r="BI159" s="19">
        <v>92.665199999999999</v>
      </c>
      <c r="BJ159" s="19">
        <v>58.514999999999993</v>
      </c>
      <c r="BK159" s="19">
        <v>42.3</v>
      </c>
      <c r="BL159" s="19">
        <v>74.72999999999999</v>
      </c>
      <c r="BM159" s="19">
        <v>58.514999999999993</v>
      </c>
      <c r="BN159" s="19">
        <v>42.3</v>
      </c>
      <c r="BO159" s="19">
        <v>74.72999999999999</v>
      </c>
      <c r="BP159" s="19"/>
      <c r="BQ15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19.457999999999998</v>
      </c>
      <c r="BR15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54.744033333333327</v>
      </c>
      <c r="BS15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92.665199999999999</v>
      </c>
      <c r="BT159" s="11">
        <f>Tabelle5897112140[[#This Row],[Mindestauslastung min]]*Tabelle5897112140[[#This Row],[installierte Leistung MW min]]</f>
        <v>0</v>
      </c>
      <c r="BU159" s="11">
        <f>Tabelle5897112140[[#This Row],[Mindestauslastung durch]]*Tabelle5897112140[[#This Row],[installierte Leistung MW durch]]</f>
        <v>0</v>
      </c>
      <c r="BV159" s="11">
        <f>Tabelle5897112140[[#This Row],[Mindestauslastung max]]*Tabelle5897112140[[#This Row],[installierte Leistung MW max]]</f>
        <v>0</v>
      </c>
      <c r="BW159" s="9">
        <v>0</v>
      </c>
      <c r="BX159" s="9">
        <v>0</v>
      </c>
      <c r="BY159" s="9">
        <v>0</v>
      </c>
      <c r="BZ159" s="9"/>
      <c r="CA159" s="9">
        <v>0.57999999999999996</v>
      </c>
      <c r="CB159" s="9">
        <v>0.57999999999999996</v>
      </c>
      <c r="CC159" s="9">
        <v>0.57999999999999996</v>
      </c>
      <c r="CD159" s="9">
        <v>0.57999999999999996</v>
      </c>
      <c r="CE159" s="9">
        <v>0.57999999999999996</v>
      </c>
      <c r="CF159" s="9">
        <v>0.57999999999999996</v>
      </c>
      <c r="CG159" s="9">
        <v>0.77</v>
      </c>
      <c r="CH159" s="9">
        <v>0.77</v>
      </c>
      <c r="CI159" s="9">
        <v>0.77</v>
      </c>
      <c r="CJ159" s="9">
        <v>0.48</v>
      </c>
      <c r="CK159" s="9">
        <v>0.48</v>
      </c>
      <c r="CL159" s="9">
        <v>0.48</v>
      </c>
      <c r="CM159" s="9">
        <v>0.48</v>
      </c>
      <c r="CN159" s="9">
        <v>0.48</v>
      </c>
      <c r="CO159" s="9">
        <v>0.48</v>
      </c>
      <c r="CP159" s="9">
        <v>0.64</v>
      </c>
      <c r="CQ159" s="9">
        <v>0.64</v>
      </c>
      <c r="CR159" s="9">
        <v>0.64</v>
      </c>
      <c r="CS159" s="9">
        <v>0.38</v>
      </c>
      <c r="CT159" s="9">
        <v>0.38</v>
      </c>
      <c r="CU159" s="9">
        <v>0.38</v>
      </c>
      <c r="CV159" s="9">
        <v>0.38</v>
      </c>
      <c r="CW159" s="9">
        <v>0.38</v>
      </c>
      <c r="CX159" s="9">
        <v>0.38</v>
      </c>
      <c r="CY159" s="9">
        <v>0.5</v>
      </c>
      <c r="CZ159" s="9">
        <v>0.5</v>
      </c>
      <c r="DA159" s="9">
        <v>0.5</v>
      </c>
      <c r="DB159" s="9">
        <f>MIN(Tabelle5897112140[[#This Row],[Durchschnittsauslastung durch Sommer WTT]:[Durchschnittsauslastung max Winter SFN]])</f>
        <v>0.38</v>
      </c>
      <c r="DC15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9" s="9">
        <f>MAX(Tabelle5897112140[[#This Row],[Durchschnittsauslastung durch Sommer WTT]:[Durchschnittsauslastung max Winter SFN]])</f>
        <v>0.77</v>
      </c>
      <c r="DE159" s="40">
        <f>Tabelle5897112140[[#This Row],[Durchschnittsauslastung min]]*Tabelle5897112140[[#This Row],[installierte Leistung MW min]]</f>
        <v>32.147999999999996</v>
      </c>
      <c r="DF159" s="40">
        <f>Tabelle5897112140[[#This Row],[Durchschnittsauslastung durch]]*Tabelle5897112140[[#This Row],[installierte Leistung MW durch]]</f>
        <v>62.285966666666674</v>
      </c>
      <c r="DG159" s="40">
        <f>Tabelle5897112140[[#This Row],[Durchschnittsauslastung max]]*Tabelle5897112140[[#This Row],[installierte Leistung MW max]]</f>
        <v>115.08420000000001</v>
      </c>
      <c r="DH159" s="46">
        <f>Tabelle5897112140[[#This Row],[Maximalauslastung min]]*Tabelle5897112140[[#This Row],[installierte Leistung MW min]]</f>
        <v>18.611999999999998</v>
      </c>
      <c r="DI159" s="46">
        <f>Tabelle5897112140[[#This Row],[Maximalauslastung durch]]*Tabelle5897112140[[#This Row],[installierte Leistung MW durch]]</f>
        <v>28.087199999999999</v>
      </c>
      <c r="DJ159" s="19">
        <f>Tabelle5897112140[[#This Row],[Maximalauslastung max]]*Tabelle5897112140[[#This Row],[installierte Leistung MW durch]]</f>
        <v>30.427800000000001</v>
      </c>
      <c r="DK159" s="9">
        <v>0.22</v>
      </c>
      <c r="DL159" s="9">
        <v>0.24</v>
      </c>
      <c r="DM159" s="9">
        <v>0.26</v>
      </c>
      <c r="DN159" s="1">
        <v>117.03</v>
      </c>
      <c r="DO159" s="1">
        <v>84.6</v>
      </c>
      <c r="DP159" s="1">
        <v>149.46</v>
      </c>
      <c r="DQ159" s="19"/>
      <c r="DR159" s="19"/>
      <c r="DW159" s="1">
        <v>1.31</v>
      </c>
      <c r="DX159" s="1">
        <v>1</v>
      </c>
      <c r="DY159" s="1">
        <v>1.9</v>
      </c>
      <c r="EL159" s="1">
        <v>365</v>
      </c>
      <c r="EM159" s="1">
        <v>292</v>
      </c>
      <c r="EN159" s="1">
        <v>438</v>
      </c>
      <c r="EO159" s="11"/>
      <c r="EP159" s="11"/>
      <c r="EQ159" s="11"/>
      <c r="ER159" s="1">
        <v>365</v>
      </c>
      <c r="ES159" s="1">
        <v>292</v>
      </c>
      <c r="ET159" s="1">
        <v>438</v>
      </c>
      <c r="EV159" s="19"/>
      <c r="EW159" s="19"/>
      <c r="EX159" s="19"/>
      <c r="EY159" s="19"/>
      <c r="EZ159" s="19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O159" s="1">
        <v>67</v>
      </c>
      <c r="FP159" s="1">
        <v>67</v>
      </c>
      <c r="FQ159" s="1">
        <v>67</v>
      </c>
      <c r="FR159" s="13" t="s">
        <v>806</v>
      </c>
      <c r="FS159" s="13" t="s">
        <v>806</v>
      </c>
      <c r="FT159" s="13" t="s">
        <v>806</v>
      </c>
      <c r="FU159" s="13"/>
      <c r="FV159" s="13" t="s">
        <v>806</v>
      </c>
      <c r="FW159" s="13" t="s">
        <v>806</v>
      </c>
      <c r="FX159" s="13" t="s">
        <v>806</v>
      </c>
      <c r="FY159" s="13" t="s">
        <v>806</v>
      </c>
      <c r="FZ159" s="13" t="s">
        <v>806</v>
      </c>
      <c r="GA159" s="13" t="s">
        <v>806</v>
      </c>
      <c r="GB159" s="13" t="s">
        <v>806</v>
      </c>
      <c r="GE159" s="13" t="s">
        <v>806</v>
      </c>
      <c r="GF159" s="13" t="s">
        <v>806</v>
      </c>
      <c r="GH159" s="13" t="s">
        <v>806</v>
      </c>
    </row>
    <row r="160" spans="1:190" ht="12.75" customHeight="1" x14ac:dyDescent="0.25">
      <c r="A160" s="1" t="s">
        <v>711</v>
      </c>
      <c r="B160" s="1" t="s">
        <v>747</v>
      </c>
      <c r="C160" s="1" t="s">
        <v>663</v>
      </c>
      <c r="D160" s="1" t="s">
        <v>695</v>
      </c>
      <c r="E160" s="1" t="s">
        <v>127</v>
      </c>
      <c r="F160" s="1">
        <v>0</v>
      </c>
      <c r="G160" s="1">
        <v>2045</v>
      </c>
      <c r="H160" s="1">
        <v>1</v>
      </c>
      <c r="I160" s="1">
        <v>0</v>
      </c>
      <c r="J160" s="1">
        <v>0</v>
      </c>
      <c r="K16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36.480000000000004</v>
      </c>
      <c r="L16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70.679111111111112</v>
      </c>
      <c r="M16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130.59200000000001</v>
      </c>
      <c r="N160" s="19">
        <v>77.024000000000001</v>
      </c>
      <c r="O160" s="19">
        <v>55.68</v>
      </c>
      <c r="P160" s="19">
        <v>98.367999999999995</v>
      </c>
      <c r="Q160" s="19">
        <v>55.776000000000003</v>
      </c>
      <c r="R160" s="19">
        <v>40.32</v>
      </c>
      <c r="S160" s="19">
        <v>71.232000000000014</v>
      </c>
      <c r="T160" s="19">
        <v>77.024000000000001</v>
      </c>
      <c r="U160" s="19">
        <v>55.68</v>
      </c>
      <c r="V160" s="19">
        <v>98.367999999999995</v>
      </c>
      <c r="W160" s="19">
        <v>55.776000000000003</v>
      </c>
      <c r="X160" s="19">
        <v>40.32</v>
      </c>
      <c r="Y160" s="19">
        <v>71.232000000000014</v>
      </c>
      <c r="Z160" s="19">
        <v>102.256</v>
      </c>
      <c r="AA160" s="19">
        <v>73.92</v>
      </c>
      <c r="AB160" s="19">
        <v>130.59200000000001</v>
      </c>
      <c r="AC160" s="19">
        <v>30.544</v>
      </c>
      <c r="AD160" s="19">
        <v>22.080000000000002</v>
      </c>
      <c r="AE160" s="19">
        <v>39.008000000000003</v>
      </c>
      <c r="AF160" s="19">
        <v>63.744000000000007</v>
      </c>
      <c r="AG160" s="19">
        <v>46.080000000000005</v>
      </c>
      <c r="AH160" s="19">
        <v>81.408000000000015</v>
      </c>
      <c r="AI160" s="19">
        <v>69.055999999999997</v>
      </c>
      <c r="AJ160" s="19">
        <v>49.92</v>
      </c>
      <c r="AK160" s="19">
        <v>88.192000000000007</v>
      </c>
      <c r="AL160" s="19">
        <v>63.744000000000007</v>
      </c>
      <c r="AM160" s="19">
        <v>46.080000000000005</v>
      </c>
      <c r="AN160" s="19">
        <v>81.408000000000015</v>
      </c>
      <c r="AO160" s="19">
        <v>69.055999999999997</v>
      </c>
      <c r="AP160" s="19">
        <v>49.92</v>
      </c>
      <c r="AQ160" s="19">
        <v>88.192000000000007</v>
      </c>
      <c r="AR160" s="19">
        <v>84.992000000000004</v>
      </c>
      <c r="AS160" s="19">
        <v>61.44</v>
      </c>
      <c r="AT160" s="19">
        <v>108.54400000000001</v>
      </c>
      <c r="AU160" s="19">
        <v>47.808</v>
      </c>
      <c r="AV160" s="19">
        <v>34.56</v>
      </c>
      <c r="AW160" s="19">
        <v>61.055999999999997</v>
      </c>
      <c r="AX160" s="19">
        <v>50.463999999999999</v>
      </c>
      <c r="AY160" s="19">
        <v>36.480000000000004</v>
      </c>
      <c r="AZ160" s="19">
        <v>64.448000000000008</v>
      </c>
      <c r="BA160" s="19">
        <v>82.336000000000013</v>
      </c>
      <c r="BB160" s="19">
        <v>59.52000000000001</v>
      </c>
      <c r="BC160" s="19">
        <v>105.152</v>
      </c>
      <c r="BD160" s="19">
        <v>50.463999999999999</v>
      </c>
      <c r="BE160" s="19">
        <v>36.480000000000004</v>
      </c>
      <c r="BF160" s="19">
        <v>64.448000000000008</v>
      </c>
      <c r="BG160" s="19">
        <v>82.336000000000013</v>
      </c>
      <c r="BH160" s="19">
        <v>59.52000000000001</v>
      </c>
      <c r="BI160" s="19">
        <v>105.152</v>
      </c>
      <c r="BJ160" s="19">
        <v>66.400000000000006</v>
      </c>
      <c r="BK160" s="19">
        <v>48</v>
      </c>
      <c r="BL160" s="19">
        <v>84.800000000000011</v>
      </c>
      <c r="BM160" s="19">
        <v>66.400000000000006</v>
      </c>
      <c r="BN160" s="19">
        <v>48</v>
      </c>
      <c r="BO160" s="19">
        <v>84.800000000000011</v>
      </c>
      <c r="BP160" s="19"/>
      <c r="BQ16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22.080000000000002</v>
      </c>
      <c r="BR16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62.120888888888885</v>
      </c>
      <c r="BS16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105.152</v>
      </c>
      <c r="BT160" s="11">
        <f>Tabelle5897112140[[#This Row],[Mindestauslastung min]]*Tabelle5897112140[[#This Row],[installierte Leistung MW min]]</f>
        <v>0</v>
      </c>
      <c r="BU160" s="11">
        <f>Tabelle5897112140[[#This Row],[Mindestauslastung durch]]*Tabelle5897112140[[#This Row],[installierte Leistung MW durch]]</f>
        <v>0</v>
      </c>
      <c r="BV160" s="11">
        <f>Tabelle5897112140[[#This Row],[Mindestauslastung max]]*Tabelle5897112140[[#This Row],[installierte Leistung MW max]]</f>
        <v>0</v>
      </c>
      <c r="BW160" s="9">
        <v>0</v>
      </c>
      <c r="BX160" s="9">
        <v>0</v>
      </c>
      <c r="BY160" s="9">
        <v>0</v>
      </c>
      <c r="BZ160" s="9"/>
      <c r="CA160" s="9">
        <v>0.57999999999999996</v>
      </c>
      <c r="CB160" s="9">
        <v>0.57999999999999996</v>
      </c>
      <c r="CC160" s="9">
        <v>0.57999999999999996</v>
      </c>
      <c r="CD160" s="9">
        <v>0.57999999999999996</v>
      </c>
      <c r="CE160" s="9">
        <v>0.57999999999999996</v>
      </c>
      <c r="CF160" s="9">
        <v>0.57999999999999996</v>
      </c>
      <c r="CG160" s="9">
        <v>0.77</v>
      </c>
      <c r="CH160" s="9">
        <v>0.77</v>
      </c>
      <c r="CI160" s="9">
        <v>0.77</v>
      </c>
      <c r="CJ160" s="9">
        <v>0.48</v>
      </c>
      <c r="CK160" s="9">
        <v>0.48</v>
      </c>
      <c r="CL160" s="9">
        <v>0.48</v>
      </c>
      <c r="CM160" s="9">
        <v>0.48</v>
      </c>
      <c r="CN160" s="9">
        <v>0.48</v>
      </c>
      <c r="CO160" s="9">
        <v>0.48</v>
      </c>
      <c r="CP160" s="9">
        <v>0.64</v>
      </c>
      <c r="CQ160" s="9">
        <v>0.64</v>
      </c>
      <c r="CR160" s="9">
        <v>0.64</v>
      </c>
      <c r="CS160" s="9">
        <v>0.38</v>
      </c>
      <c r="CT160" s="9">
        <v>0.38</v>
      </c>
      <c r="CU160" s="9">
        <v>0.38</v>
      </c>
      <c r="CV160" s="9">
        <v>0.38</v>
      </c>
      <c r="CW160" s="9">
        <v>0.38</v>
      </c>
      <c r="CX160" s="9">
        <v>0.38</v>
      </c>
      <c r="CY160" s="9">
        <v>0.5</v>
      </c>
      <c r="CZ160" s="9">
        <v>0.5</v>
      </c>
      <c r="DA160" s="9">
        <v>0.5</v>
      </c>
      <c r="DB160" s="9">
        <f>MIN(Tabelle5897112140[[#This Row],[Durchschnittsauslastung durch Sommer WTT]:[Durchschnittsauslastung max Winter SFN]])</f>
        <v>0.38</v>
      </c>
      <c r="DC16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60" s="9">
        <f>MAX(Tabelle5897112140[[#This Row],[Durchschnittsauslastung durch Sommer WTT]:[Durchschnittsauslastung max Winter SFN]])</f>
        <v>0.77</v>
      </c>
      <c r="DE160" s="40">
        <f>Tabelle5897112140[[#This Row],[Durchschnittsauslastung min]]*Tabelle5897112140[[#This Row],[installierte Leistung MW min]]</f>
        <v>36.480000000000004</v>
      </c>
      <c r="DF160" s="40">
        <f>Tabelle5897112140[[#This Row],[Durchschnittsauslastung durch]]*Tabelle5897112140[[#This Row],[installierte Leistung MW durch]]</f>
        <v>70.679111111111126</v>
      </c>
      <c r="DG160" s="40">
        <f>Tabelle5897112140[[#This Row],[Durchschnittsauslastung max]]*Tabelle5897112140[[#This Row],[installierte Leistung MW max]]</f>
        <v>130.59199999999998</v>
      </c>
      <c r="DH160" s="46">
        <f>Tabelle5897112140[[#This Row],[Maximalauslastung min]]*Tabelle5897112140[[#This Row],[installierte Leistung MW min]]</f>
        <v>21.12</v>
      </c>
      <c r="DI160" s="46">
        <f>Tabelle5897112140[[#This Row],[Maximalauslastung durch]]*Tabelle5897112140[[#This Row],[installierte Leistung MW durch]]</f>
        <v>31.872</v>
      </c>
      <c r="DJ160" s="19">
        <f>Tabelle5897112140[[#This Row],[Maximalauslastung max]]*Tabelle5897112140[[#This Row],[installierte Leistung MW durch]]</f>
        <v>34.528000000000006</v>
      </c>
      <c r="DK160" s="9">
        <v>0.22</v>
      </c>
      <c r="DL160" s="9">
        <v>0.24</v>
      </c>
      <c r="DM160" s="9">
        <v>0.26</v>
      </c>
      <c r="DN160" s="1">
        <v>132.80000000000001</v>
      </c>
      <c r="DO160" s="1">
        <v>96</v>
      </c>
      <c r="DP160" s="1">
        <v>169.6</v>
      </c>
      <c r="DQ160" s="19"/>
      <c r="DR160" s="19"/>
      <c r="DW160" s="1">
        <v>1.31</v>
      </c>
      <c r="DX160" s="1">
        <v>1</v>
      </c>
      <c r="DY160" s="1">
        <v>1.9</v>
      </c>
      <c r="EL160" s="1">
        <v>365</v>
      </c>
      <c r="EM160" s="1">
        <v>292</v>
      </c>
      <c r="EN160" s="1">
        <v>438</v>
      </c>
      <c r="EO160" s="11"/>
      <c r="EP160" s="11"/>
      <c r="EQ160" s="11"/>
      <c r="ER160" s="1">
        <v>365</v>
      </c>
      <c r="ES160" s="1">
        <v>292</v>
      </c>
      <c r="ET160" s="1">
        <v>438</v>
      </c>
      <c r="EV160" s="19"/>
      <c r="EW160" s="19"/>
      <c r="EX160" s="19"/>
      <c r="EY160" s="19"/>
      <c r="EZ160" s="19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O160" s="1">
        <v>67</v>
      </c>
      <c r="FP160" s="1">
        <v>67</v>
      </c>
      <c r="FQ160" s="1">
        <v>67</v>
      </c>
      <c r="FR160" s="13" t="s">
        <v>806</v>
      </c>
      <c r="FS160" s="13" t="s">
        <v>806</v>
      </c>
      <c r="FT160" s="13" t="s">
        <v>806</v>
      </c>
      <c r="FU160" s="13"/>
      <c r="FV160" s="13" t="s">
        <v>806</v>
      </c>
      <c r="FW160" s="13" t="s">
        <v>806</v>
      </c>
      <c r="FX160" s="13" t="s">
        <v>806</v>
      </c>
      <c r="FY160" s="13" t="s">
        <v>806</v>
      </c>
      <c r="FZ160" s="13" t="s">
        <v>806</v>
      </c>
      <c r="GA160" s="13" t="s">
        <v>806</v>
      </c>
      <c r="GB160" s="13" t="s">
        <v>806</v>
      </c>
      <c r="GE160" s="13" t="s">
        <v>806</v>
      </c>
      <c r="GF160" s="13" t="s">
        <v>806</v>
      </c>
      <c r="GH160" s="13" t="s">
        <v>806</v>
      </c>
    </row>
    <row r="161" spans="1:190" ht="12.75" customHeight="1" x14ac:dyDescent="0.25">
      <c r="A161" s="1" t="s">
        <v>711</v>
      </c>
      <c r="B161" s="1" t="s">
        <v>747</v>
      </c>
      <c r="C161" s="1" t="s">
        <v>663</v>
      </c>
      <c r="D161" s="1" t="s">
        <v>695</v>
      </c>
      <c r="E161" s="1" t="s">
        <v>127</v>
      </c>
      <c r="F161" s="1">
        <v>0</v>
      </c>
      <c r="G161" s="1">
        <v>2050</v>
      </c>
      <c r="H161" s="1">
        <v>1</v>
      </c>
      <c r="I161" s="1">
        <v>0</v>
      </c>
      <c r="J161" s="1">
        <v>0</v>
      </c>
      <c r="K16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41.952000000000005</v>
      </c>
      <c r="L16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81.280977777777778</v>
      </c>
      <c r="M16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150.1808</v>
      </c>
      <c r="N161" s="19">
        <v>88.577600000000004</v>
      </c>
      <c r="O161" s="19">
        <v>64.031999999999996</v>
      </c>
      <c r="P161" s="19">
        <v>113.1232</v>
      </c>
      <c r="Q161" s="19">
        <v>64.142399999999995</v>
      </c>
      <c r="R161" s="19">
        <v>46.368000000000002</v>
      </c>
      <c r="S161" s="19">
        <v>81.916800000000009</v>
      </c>
      <c r="T161" s="19">
        <v>88.577600000000004</v>
      </c>
      <c r="U161" s="19">
        <v>64.031999999999996</v>
      </c>
      <c r="V161" s="19">
        <v>113.1232</v>
      </c>
      <c r="W161" s="19">
        <v>64.142399999999995</v>
      </c>
      <c r="X161" s="19">
        <v>46.368000000000002</v>
      </c>
      <c r="Y161" s="19">
        <v>81.916800000000009</v>
      </c>
      <c r="Z161" s="19">
        <v>117.59439999999999</v>
      </c>
      <c r="AA161" s="19">
        <v>85.00800000000001</v>
      </c>
      <c r="AB161" s="19">
        <v>150.1808</v>
      </c>
      <c r="AC161" s="19">
        <v>35.125599999999999</v>
      </c>
      <c r="AD161" s="19">
        <v>25.392000000000003</v>
      </c>
      <c r="AE161" s="19">
        <v>44.859200000000001</v>
      </c>
      <c r="AF161" s="19">
        <v>73.305600000000013</v>
      </c>
      <c r="AG161" s="19">
        <v>52.992000000000004</v>
      </c>
      <c r="AH161" s="19">
        <v>93.619200000000006</v>
      </c>
      <c r="AI161" s="19">
        <v>79.414400000000001</v>
      </c>
      <c r="AJ161" s="19">
        <v>57.408000000000001</v>
      </c>
      <c r="AK161" s="19">
        <v>101.4208</v>
      </c>
      <c r="AL161" s="19">
        <v>73.305600000000013</v>
      </c>
      <c r="AM161" s="19">
        <v>52.992000000000004</v>
      </c>
      <c r="AN161" s="19">
        <v>93.619200000000006</v>
      </c>
      <c r="AO161" s="19">
        <v>79.414400000000001</v>
      </c>
      <c r="AP161" s="19">
        <v>57.408000000000001</v>
      </c>
      <c r="AQ161" s="19">
        <v>101.4208</v>
      </c>
      <c r="AR161" s="19">
        <v>97.740799999999993</v>
      </c>
      <c r="AS161" s="19">
        <v>70.656000000000006</v>
      </c>
      <c r="AT161" s="19">
        <v>124.82560000000001</v>
      </c>
      <c r="AU161" s="19">
        <v>54.979199999999999</v>
      </c>
      <c r="AV161" s="19">
        <v>39.744000000000007</v>
      </c>
      <c r="AW161" s="19">
        <v>70.214399999999998</v>
      </c>
      <c r="AX161" s="19">
        <v>58.0336</v>
      </c>
      <c r="AY161" s="19">
        <v>41.952000000000005</v>
      </c>
      <c r="AZ161" s="19">
        <v>74.115200000000002</v>
      </c>
      <c r="BA161" s="19">
        <v>94.686400000000006</v>
      </c>
      <c r="BB161" s="19">
        <v>68.448000000000008</v>
      </c>
      <c r="BC161" s="19">
        <v>120.9248</v>
      </c>
      <c r="BD161" s="19">
        <v>58.0336</v>
      </c>
      <c r="BE161" s="19">
        <v>41.952000000000005</v>
      </c>
      <c r="BF161" s="19">
        <v>74.115200000000002</v>
      </c>
      <c r="BG161" s="19">
        <v>94.686400000000006</v>
      </c>
      <c r="BH161" s="19">
        <v>68.448000000000008</v>
      </c>
      <c r="BI161" s="19">
        <v>120.9248</v>
      </c>
      <c r="BJ161" s="19">
        <v>76.36</v>
      </c>
      <c r="BK161" s="19">
        <v>55.2</v>
      </c>
      <c r="BL161" s="19">
        <v>97.52000000000001</v>
      </c>
      <c r="BM161" s="19">
        <v>76.36</v>
      </c>
      <c r="BN161" s="19">
        <v>55.2</v>
      </c>
      <c r="BO161" s="19">
        <v>97.52000000000001</v>
      </c>
      <c r="BP161" s="19"/>
      <c r="BQ16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25.392000000000003</v>
      </c>
      <c r="BR16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71.439022222222221</v>
      </c>
      <c r="BS16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120.9248</v>
      </c>
      <c r="BT161" s="11">
        <f>Tabelle5897112140[[#This Row],[Mindestauslastung min]]*Tabelle5897112140[[#This Row],[installierte Leistung MW min]]</f>
        <v>0</v>
      </c>
      <c r="BU161" s="11">
        <f>Tabelle5897112140[[#This Row],[Mindestauslastung durch]]*Tabelle5897112140[[#This Row],[installierte Leistung MW durch]]</f>
        <v>0</v>
      </c>
      <c r="BV161" s="11">
        <f>Tabelle5897112140[[#This Row],[Mindestauslastung max]]*Tabelle5897112140[[#This Row],[installierte Leistung MW max]]</f>
        <v>0</v>
      </c>
      <c r="BW161" s="9">
        <v>0</v>
      </c>
      <c r="BX161" s="9">
        <v>0</v>
      </c>
      <c r="BY161" s="9">
        <v>0</v>
      </c>
      <c r="BZ161" s="9"/>
      <c r="CA161" s="9">
        <v>0.57999999999999996</v>
      </c>
      <c r="CB161" s="9">
        <v>0.57999999999999996</v>
      </c>
      <c r="CC161" s="9">
        <v>0.57999999999999996</v>
      </c>
      <c r="CD161" s="9">
        <v>0.57999999999999996</v>
      </c>
      <c r="CE161" s="9">
        <v>0.57999999999999996</v>
      </c>
      <c r="CF161" s="9">
        <v>0.57999999999999996</v>
      </c>
      <c r="CG161" s="9">
        <v>0.77</v>
      </c>
      <c r="CH161" s="9">
        <v>0.77</v>
      </c>
      <c r="CI161" s="9">
        <v>0.77</v>
      </c>
      <c r="CJ161" s="9">
        <v>0.48</v>
      </c>
      <c r="CK161" s="9">
        <v>0.48</v>
      </c>
      <c r="CL161" s="9">
        <v>0.48</v>
      </c>
      <c r="CM161" s="9">
        <v>0.48</v>
      </c>
      <c r="CN161" s="9">
        <v>0.48</v>
      </c>
      <c r="CO161" s="9">
        <v>0.48</v>
      </c>
      <c r="CP161" s="9">
        <v>0.64</v>
      </c>
      <c r="CQ161" s="9">
        <v>0.64</v>
      </c>
      <c r="CR161" s="9">
        <v>0.64</v>
      </c>
      <c r="CS161" s="9">
        <v>0.38</v>
      </c>
      <c r="CT161" s="9">
        <v>0.38</v>
      </c>
      <c r="CU161" s="9">
        <v>0.38</v>
      </c>
      <c r="CV161" s="9">
        <v>0.38</v>
      </c>
      <c r="CW161" s="9">
        <v>0.38</v>
      </c>
      <c r="CX161" s="9">
        <v>0.38</v>
      </c>
      <c r="CY161" s="9">
        <v>0.5</v>
      </c>
      <c r="CZ161" s="9">
        <v>0.5</v>
      </c>
      <c r="DA161" s="9">
        <v>0.5</v>
      </c>
      <c r="DB161" s="9">
        <f>MIN(Tabelle5897112140[[#This Row],[Durchschnittsauslastung durch Sommer WTT]:[Durchschnittsauslastung max Winter SFN]])</f>
        <v>0.38</v>
      </c>
      <c r="DC16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61" s="9">
        <f>MAX(Tabelle5897112140[[#This Row],[Durchschnittsauslastung durch Sommer WTT]:[Durchschnittsauslastung max Winter SFN]])</f>
        <v>0.77</v>
      </c>
      <c r="DE161" s="40">
        <f>Tabelle5897112140[[#This Row],[Durchschnittsauslastung min]]*Tabelle5897112140[[#This Row],[installierte Leistung MW min]]</f>
        <v>41.952000000000005</v>
      </c>
      <c r="DF161" s="40">
        <f>Tabelle5897112140[[#This Row],[Durchschnittsauslastung durch]]*Tabelle5897112140[[#This Row],[installierte Leistung MW durch]]</f>
        <v>81.280977777777778</v>
      </c>
      <c r="DG161" s="40">
        <f>Tabelle5897112140[[#This Row],[Durchschnittsauslastung max]]*Tabelle5897112140[[#This Row],[installierte Leistung MW max]]</f>
        <v>150.1808</v>
      </c>
      <c r="DH161" s="46">
        <f>Tabelle5897112140[[#This Row],[Maximalauslastung min]]*Tabelle5897112140[[#This Row],[installierte Leistung MW min]]</f>
        <v>24.288</v>
      </c>
      <c r="DI161" s="46">
        <f>Tabelle5897112140[[#This Row],[Maximalauslastung durch]]*Tabelle5897112140[[#This Row],[installierte Leistung MW durch]]</f>
        <v>36.652799999999999</v>
      </c>
      <c r="DJ161" s="19">
        <f>Tabelle5897112140[[#This Row],[Maximalauslastung max]]*Tabelle5897112140[[#This Row],[installierte Leistung MW durch]]</f>
        <v>39.7072</v>
      </c>
      <c r="DK161" s="9">
        <v>0.22</v>
      </c>
      <c r="DL161" s="9">
        <v>0.24</v>
      </c>
      <c r="DM161" s="9">
        <v>0.26</v>
      </c>
      <c r="DN161" s="1">
        <v>152.72</v>
      </c>
      <c r="DO161" s="1">
        <v>110.4</v>
      </c>
      <c r="DP161" s="1">
        <v>195.04</v>
      </c>
      <c r="DQ161" s="19"/>
      <c r="DR161" s="19"/>
      <c r="DW161" s="1">
        <v>1.31</v>
      </c>
      <c r="DX161" s="1">
        <v>1</v>
      </c>
      <c r="DY161" s="1">
        <v>1.9</v>
      </c>
      <c r="EL161" s="1">
        <v>365</v>
      </c>
      <c r="EM161" s="1">
        <v>292</v>
      </c>
      <c r="EN161" s="1">
        <v>438</v>
      </c>
      <c r="EO161" s="11"/>
      <c r="EP161" s="11"/>
      <c r="EQ161" s="11"/>
      <c r="ER161" s="1">
        <v>365</v>
      </c>
      <c r="ES161" s="1">
        <v>292</v>
      </c>
      <c r="ET161" s="1">
        <v>438</v>
      </c>
      <c r="EV161" s="19"/>
      <c r="EW161" s="19"/>
      <c r="EX161" s="19"/>
      <c r="EY161" s="19"/>
      <c r="EZ161" s="19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O161" s="1">
        <v>67</v>
      </c>
      <c r="FP161" s="1">
        <v>67</v>
      </c>
      <c r="FQ161" s="1">
        <v>67</v>
      </c>
      <c r="FR161" s="13" t="s">
        <v>806</v>
      </c>
      <c r="FS161" s="13" t="s">
        <v>806</v>
      </c>
      <c r="FT161" s="13" t="s">
        <v>806</v>
      </c>
      <c r="FU161" s="13"/>
      <c r="FV161" s="13" t="s">
        <v>806</v>
      </c>
      <c r="FW161" s="13" t="s">
        <v>806</v>
      </c>
      <c r="FX161" s="13" t="s">
        <v>806</v>
      </c>
      <c r="FY161" s="13" t="s">
        <v>806</v>
      </c>
      <c r="FZ161" s="13" t="s">
        <v>806</v>
      </c>
      <c r="GA161" s="13" t="s">
        <v>806</v>
      </c>
      <c r="GB161" s="13" t="s">
        <v>806</v>
      </c>
      <c r="GE161" s="13" t="s">
        <v>806</v>
      </c>
      <c r="GF161" s="13" t="s">
        <v>806</v>
      </c>
      <c r="GH161" s="13" t="s">
        <v>806</v>
      </c>
    </row>
    <row r="162" spans="1:190" ht="12.75" customHeight="1" x14ac:dyDescent="0.25">
      <c r="A162" s="1" t="s">
        <v>208</v>
      </c>
      <c r="B162" s="1" t="s">
        <v>651</v>
      </c>
      <c r="C162" s="1" t="s">
        <v>663</v>
      </c>
      <c r="D162" s="1" t="s">
        <v>696</v>
      </c>
      <c r="E162" s="1" t="s">
        <v>127</v>
      </c>
      <c r="F162" s="1">
        <v>0</v>
      </c>
      <c r="G162" s="1">
        <v>2015</v>
      </c>
      <c r="H162" s="1">
        <v>1</v>
      </c>
      <c r="I162" s="1">
        <v>0</v>
      </c>
      <c r="J162" s="1">
        <v>0</v>
      </c>
      <c r="K16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32.94</v>
      </c>
      <c r="L16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56.800000000000004</v>
      </c>
      <c r="M16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85.86</v>
      </c>
      <c r="N162" s="19">
        <v>56.8</v>
      </c>
      <c r="O162" s="19">
        <v>32.94</v>
      </c>
      <c r="P162" s="19">
        <v>85.86</v>
      </c>
      <c r="Q162" s="19">
        <v>0</v>
      </c>
      <c r="R162" s="19">
        <v>0</v>
      </c>
      <c r="S162" s="19">
        <v>0</v>
      </c>
      <c r="T162" s="19">
        <v>56.8</v>
      </c>
      <c r="U162" s="19">
        <v>32.94</v>
      </c>
      <c r="V162" s="19">
        <v>85.86</v>
      </c>
      <c r="W162" s="19">
        <v>0</v>
      </c>
      <c r="X162" s="19">
        <v>0</v>
      </c>
      <c r="Y162" s="19">
        <v>0</v>
      </c>
      <c r="Z162" s="19">
        <v>56.8</v>
      </c>
      <c r="AA162" s="19">
        <v>32.94</v>
      </c>
      <c r="AB162" s="19">
        <v>85.86</v>
      </c>
      <c r="AC162" s="19">
        <v>0</v>
      </c>
      <c r="AD162" s="19">
        <v>0</v>
      </c>
      <c r="AE162" s="19">
        <v>0</v>
      </c>
      <c r="AF162" s="19">
        <v>56.8</v>
      </c>
      <c r="AG162" s="19">
        <v>32.94</v>
      </c>
      <c r="AH162" s="19">
        <v>85.86</v>
      </c>
      <c r="AI162" s="19">
        <v>0</v>
      </c>
      <c r="AJ162" s="19">
        <v>0</v>
      </c>
      <c r="AK162" s="19">
        <v>0</v>
      </c>
      <c r="AL162" s="19">
        <v>56.8</v>
      </c>
      <c r="AM162" s="19">
        <v>32.94</v>
      </c>
      <c r="AN162" s="19">
        <v>85.86</v>
      </c>
      <c r="AO162" s="19">
        <v>0</v>
      </c>
      <c r="AP162" s="19">
        <v>0</v>
      </c>
      <c r="AQ162" s="19">
        <v>0</v>
      </c>
      <c r="AR162" s="19">
        <v>56.8</v>
      </c>
      <c r="AS162" s="19">
        <v>32.94</v>
      </c>
      <c r="AT162" s="19">
        <v>85.86</v>
      </c>
      <c r="AU162" s="19">
        <v>0</v>
      </c>
      <c r="AV162" s="19">
        <v>0</v>
      </c>
      <c r="AW162" s="19">
        <v>0</v>
      </c>
      <c r="AX162" s="19">
        <v>56.8</v>
      </c>
      <c r="AY162" s="19">
        <v>32.94</v>
      </c>
      <c r="AZ162" s="19">
        <v>85.86</v>
      </c>
      <c r="BA162" s="19">
        <v>0</v>
      </c>
      <c r="BB162" s="19">
        <v>0</v>
      </c>
      <c r="BC162" s="19">
        <v>0</v>
      </c>
      <c r="BD162" s="19">
        <v>56.8</v>
      </c>
      <c r="BE162" s="19">
        <v>32.94</v>
      </c>
      <c r="BF162" s="19">
        <v>85.86</v>
      </c>
      <c r="BG162" s="19">
        <v>0</v>
      </c>
      <c r="BH162" s="19">
        <v>0</v>
      </c>
      <c r="BI162" s="19">
        <v>0</v>
      </c>
      <c r="BJ162" s="19">
        <v>56.8</v>
      </c>
      <c r="BK162" s="19">
        <v>32.94</v>
      </c>
      <c r="BL162" s="19">
        <v>85.86</v>
      </c>
      <c r="BM162" s="19">
        <v>0</v>
      </c>
      <c r="BN162" s="19">
        <v>0</v>
      </c>
      <c r="BO162" s="19">
        <v>0</v>
      </c>
      <c r="BP162" s="19"/>
      <c r="BQ16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2" s="11">
        <f>Tabelle5897112140[[#This Row],[Mindestauslastung min]]*Tabelle5897112140[[#This Row],[installierte Leistung MW min]]</f>
        <v>0</v>
      </c>
      <c r="BU162" s="11">
        <f>Tabelle5897112140[[#This Row],[Mindestauslastung durch]]*Tabelle5897112140[[#This Row],[installierte Leistung MW durch]]</f>
        <v>0</v>
      </c>
      <c r="BV162" s="11">
        <f>Tabelle5897112140[[#This Row],[Mindestauslastung max]]*Tabelle5897112140[[#This Row],[installierte Leistung MW max]]</f>
        <v>0</v>
      </c>
      <c r="BW162" s="9">
        <v>0</v>
      </c>
      <c r="BX162" s="9">
        <v>0</v>
      </c>
      <c r="BY162" s="9">
        <v>0</v>
      </c>
      <c r="BZ162" s="9"/>
      <c r="CA162" s="9">
        <v>0.71</v>
      </c>
      <c r="CB162" s="9">
        <v>0.61</v>
      </c>
      <c r="CC162" s="9">
        <v>0.81</v>
      </c>
      <c r="CD162" s="9">
        <v>0.71</v>
      </c>
      <c r="CE162" s="9">
        <v>0.61</v>
      </c>
      <c r="CF162" s="9">
        <v>0.81</v>
      </c>
      <c r="CG162" s="9">
        <v>0.71</v>
      </c>
      <c r="CH162" s="9">
        <v>0.61</v>
      </c>
      <c r="CI162" s="9">
        <v>0.81</v>
      </c>
      <c r="CJ162" s="9">
        <v>0.71</v>
      </c>
      <c r="CK162" s="9">
        <v>0.61</v>
      </c>
      <c r="CL162" s="9">
        <v>0.81</v>
      </c>
      <c r="CM162" s="9">
        <v>0.71</v>
      </c>
      <c r="CN162" s="9">
        <v>0.61</v>
      </c>
      <c r="CO162" s="9">
        <v>0.81</v>
      </c>
      <c r="CP162" s="9">
        <v>0.71</v>
      </c>
      <c r="CQ162" s="9">
        <v>0.61</v>
      </c>
      <c r="CR162" s="9">
        <v>0.81</v>
      </c>
      <c r="CS162" s="9">
        <v>0.71</v>
      </c>
      <c r="CT162" s="9">
        <v>0.61</v>
      </c>
      <c r="CU162" s="9">
        <v>0.81</v>
      </c>
      <c r="CV162" s="9">
        <v>0.71</v>
      </c>
      <c r="CW162" s="9">
        <v>0.61</v>
      </c>
      <c r="CX162" s="9">
        <v>0.81</v>
      </c>
      <c r="CY162" s="9">
        <v>0.71</v>
      </c>
      <c r="CZ162" s="9">
        <v>0.61</v>
      </c>
      <c r="DA162" s="9">
        <v>0.81</v>
      </c>
      <c r="DB162" s="9">
        <f>MIN(Tabelle5897112140[[#This Row],[Durchschnittsauslastung durch Sommer WTT]:[Durchschnittsauslastung max Winter SFN]])</f>
        <v>0.61</v>
      </c>
      <c r="DC16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2" s="9">
        <f>MAX(Tabelle5897112140[[#This Row],[Durchschnittsauslastung durch Sommer WTT]:[Durchschnittsauslastung max Winter SFN]])</f>
        <v>0.81</v>
      </c>
      <c r="DE162" s="40">
        <f>Tabelle5897112140[[#This Row],[Durchschnittsauslastung min]]*Tabelle5897112140[[#This Row],[installierte Leistung MW min]]</f>
        <v>32.94</v>
      </c>
      <c r="DF162" s="40">
        <f>Tabelle5897112140[[#This Row],[Durchschnittsauslastung durch]]*Tabelle5897112140[[#This Row],[installierte Leistung MW durch]]</f>
        <v>56.8</v>
      </c>
      <c r="DG162" s="40">
        <f>Tabelle5897112140[[#This Row],[Durchschnittsauslastung max]]*Tabelle5897112140[[#This Row],[installierte Leistung MW max]]</f>
        <v>85.86</v>
      </c>
      <c r="DH162" s="46">
        <f>Tabelle5897112140[[#This Row],[Maximalauslastung min]]*Tabelle5897112140[[#This Row],[installierte Leistung MW min]]</f>
        <v>11.88</v>
      </c>
      <c r="DI162" s="46">
        <f>Tabelle5897112140[[#This Row],[Maximalauslastung durch]]*Tabelle5897112140[[#This Row],[installierte Leistung MW durch]]</f>
        <v>19.2</v>
      </c>
      <c r="DJ162" s="19">
        <f>Tabelle5897112140[[#This Row],[Maximalauslastung max]]*Tabelle5897112140[[#This Row],[installierte Leistung MW durch]]</f>
        <v>20.8</v>
      </c>
      <c r="DK162" s="9">
        <v>0.22</v>
      </c>
      <c r="DL162" s="9">
        <v>0.24</v>
      </c>
      <c r="DM162" s="9">
        <v>0.26</v>
      </c>
      <c r="DN162" s="1">
        <v>80</v>
      </c>
      <c r="DO162" s="1">
        <v>54</v>
      </c>
      <c r="DP162" s="1">
        <v>106</v>
      </c>
      <c r="DQ162" s="19"/>
      <c r="DR162" s="19"/>
      <c r="DW162" s="1">
        <v>3.1</v>
      </c>
      <c r="DX162" s="1">
        <v>3.1</v>
      </c>
      <c r="DY162" s="1">
        <v>3.1</v>
      </c>
      <c r="EL162" s="1">
        <v>365</v>
      </c>
      <c r="EM162" s="1">
        <v>292</v>
      </c>
      <c r="EN162" s="1">
        <v>438</v>
      </c>
      <c r="EO162" s="11"/>
      <c r="EP162" s="11"/>
      <c r="EQ162" s="11"/>
      <c r="ER162" s="1">
        <v>365</v>
      </c>
      <c r="ES162" s="1">
        <v>292</v>
      </c>
      <c r="ET162" s="1">
        <v>438</v>
      </c>
      <c r="EV162" s="19"/>
      <c r="EW162" s="19"/>
      <c r="EX162" s="19"/>
      <c r="EY162" s="19"/>
      <c r="EZ162" s="19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O162" s="1">
        <v>67</v>
      </c>
      <c r="FP162" s="1">
        <v>67</v>
      </c>
      <c r="FQ162" s="1">
        <v>67</v>
      </c>
      <c r="FR162" s="13" t="s">
        <v>806</v>
      </c>
      <c r="FS162" s="13" t="s">
        <v>806</v>
      </c>
      <c r="FT162" s="13" t="s">
        <v>806</v>
      </c>
      <c r="FU162" s="13"/>
      <c r="FV162" s="13" t="s">
        <v>806</v>
      </c>
      <c r="FW162" s="13" t="s">
        <v>806</v>
      </c>
      <c r="FX162" s="13" t="s">
        <v>806</v>
      </c>
      <c r="FY162" s="13" t="s">
        <v>806</v>
      </c>
      <c r="FZ162" s="13" t="s">
        <v>806</v>
      </c>
      <c r="GA162" s="13" t="s">
        <v>806</v>
      </c>
      <c r="GB162" s="13" t="s">
        <v>806</v>
      </c>
      <c r="GE162" s="13" t="s">
        <v>806</v>
      </c>
      <c r="GF162" s="13" t="s">
        <v>806</v>
      </c>
      <c r="GH162" s="13" t="s">
        <v>806</v>
      </c>
    </row>
    <row r="163" spans="1:190" ht="12.75" customHeight="1" x14ac:dyDescent="0.25">
      <c r="A163" s="1" t="s">
        <v>208</v>
      </c>
      <c r="B163" s="1" t="s">
        <v>651</v>
      </c>
      <c r="C163" s="1" t="s">
        <v>663</v>
      </c>
      <c r="D163" s="1" t="s">
        <v>696</v>
      </c>
      <c r="E163" s="1" t="s">
        <v>127</v>
      </c>
      <c r="F163" s="1">
        <v>0</v>
      </c>
      <c r="G163" s="1">
        <v>2020</v>
      </c>
      <c r="H163" s="1">
        <v>1</v>
      </c>
      <c r="I163" s="1">
        <v>0</v>
      </c>
      <c r="J163" s="1">
        <v>0</v>
      </c>
      <c r="K16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33.928199999999997</v>
      </c>
      <c r="L16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58.504000000000005</v>
      </c>
      <c r="M16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88.4358</v>
      </c>
      <c r="N163" s="19">
        <v>58.503999999999998</v>
      </c>
      <c r="O163" s="19">
        <v>33.928199999999997</v>
      </c>
      <c r="P163" s="19">
        <v>88.4358</v>
      </c>
      <c r="Q163" s="19">
        <v>0</v>
      </c>
      <c r="R163" s="19">
        <v>0</v>
      </c>
      <c r="S163" s="19">
        <v>0</v>
      </c>
      <c r="T163" s="19">
        <v>58.503999999999998</v>
      </c>
      <c r="U163" s="19">
        <v>33.928199999999997</v>
      </c>
      <c r="V163" s="19">
        <v>88.4358</v>
      </c>
      <c r="W163" s="19">
        <v>0</v>
      </c>
      <c r="X163" s="19">
        <v>0</v>
      </c>
      <c r="Y163" s="19">
        <v>0</v>
      </c>
      <c r="Z163" s="19">
        <v>58.503999999999998</v>
      </c>
      <c r="AA163" s="19">
        <v>33.928199999999997</v>
      </c>
      <c r="AB163" s="19">
        <v>88.4358</v>
      </c>
      <c r="AC163" s="19">
        <v>0</v>
      </c>
      <c r="AD163" s="19">
        <v>0</v>
      </c>
      <c r="AE163" s="19">
        <v>0</v>
      </c>
      <c r="AF163" s="19">
        <v>58.503999999999998</v>
      </c>
      <c r="AG163" s="19">
        <v>33.928199999999997</v>
      </c>
      <c r="AH163" s="19">
        <v>88.4358</v>
      </c>
      <c r="AI163" s="19">
        <v>0</v>
      </c>
      <c r="AJ163" s="19">
        <v>0</v>
      </c>
      <c r="AK163" s="19">
        <v>0</v>
      </c>
      <c r="AL163" s="19">
        <v>58.503999999999998</v>
      </c>
      <c r="AM163" s="19">
        <v>33.928199999999997</v>
      </c>
      <c r="AN163" s="19">
        <v>88.4358</v>
      </c>
      <c r="AO163" s="19">
        <v>0</v>
      </c>
      <c r="AP163" s="19">
        <v>0</v>
      </c>
      <c r="AQ163" s="19">
        <v>0</v>
      </c>
      <c r="AR163" s="19">
        <v>58.503999999999998</v>
      </c>
      <c r="AS163" s="19">
        <v>33.928199999999997</v>
      </c>
      <c r="AT163" s="19">
        <v>88.4358</v>
      </c>
      <c r="AU163" s="19">
        <v>0</v>
      </c>
      <c r="AV163" s="19">
        <v>0</v>
      </c>
      <c r="AW163" s="19">
        <v>0</v>
      </c>
      <c r="AX163" s="19">
        <v>58.503999999999998</v>
      </c>
      <c r="AY163" s="19">
        <v>33.928199999999997</v>
      </c>
      <c r="AZ163" s="19">
        <v>88.4358</v>
      </c>
      <c r="BA163" s="19">
        <v>0</v>
      </c>
      <c r="BB163" s="19">
        <v>0</v>
      </c>
      <c r="BC163" s="19">
        <v>0</v>
      </c>
      <c r="BD163" s="19">
        <v>58.503999999999998</v>
      </c>
      <c r="BE163" s="19">
        <v>33.928199999999997</v>
      </c>
      <c r="BF163" s="19">
        <v>88.4358</v>
      </c>
      <c r="BG163" s="19">
        <v>0</v>
      </c>
      <c r="BH163" s="19">
        <v>0</v>
      </c>
      <c r="BI163" s="19">
        <v>0</v>
      </c>
      <c r="BJ163" s="19">
        <v>58.503999999999998</v>
      </c>
      <c r="BK163" s="19">
        <v>33.928199999999997</v>
      </c>
      <c r="BL163" s="19">
        <v>88.4358</v>
      </c>
      <c r="BM163" s="19">
        <v>0</v>
      </c>
      <c r="BN163" s="19">
        <v>0</v>
      </c>
      <c r="BO163" s="19">
        <v>0</v>
      </c>
      <c r="BP163" s="19"/>
      <c r="BQ16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3" s="11">
        <f>Tabelle5897112140[[#This Row],[Mindestauslastung min]]*Tabelle5897112140[[#This Row],[installierte Leistung MW min]]</f>
        <v>7.2305999999999999</v>
      </c>
      <c r="BU163" s="11">
        <f>Tabelle5897112140[[#This Row],[Mindestauslastung durch]]*Tabelle5897112140[[#This Row],[installierte Leistung MW durch]]</f>
        <v>12.360000000000001</v>
      </c>
      <c r="BV163" s="11">
        <f>Tabelle5897112140[[#This Row],[Mindestauslastung max]]*Tabelle5897112140[[#This Row],[installierte Leistung MW max]]</f>
        <v>18.560600000000001</v>
      </c>
      <c r="BW163" s="9">
        <v>0.13</v>
      </c>
      <c r="BX163" s="9">
        <v>0.15</v>
      </c>
      <c r="BY163" s="9">
        <v>0.17</v>
      </c>
      <c r="BZ163" s="9"/>
      <c r="CA163" s="9">
        <v>0.71</v>
      </c>
      <c r="CB163" s="9">
        <v>0.61</v>
      </c>
      <c r="CC163" s="9">
        <v>0.81</v>
      </c>
      <c r="CD163" s="9">
        <v>0.71</v>
      </c>
      <c r="CE163" s="9">
        <v>0.61</v>
      </c>
      <c r="CF163" s="9">
        <v>0.81</v>
      </c>
      <c r="CG163" s="9">
        <v>0.71</v>
      </c>
      <c r="CH163" s="9">
        <v>0.61</v>
      </c>
      <c r="CI163" s="9">
        <v>0.81</v>
      </c>
      <c r="CJ163" s="9">
        <v>0.71</v>
      </c>
      <c r="CK163" s="9">
        <v>0.61</v>
      </c>
      <c r="CL163" s="9">
        <v>0.81</v>
      </c>
      <c r="CM163" s="9">
        <v>0.71</v>
      </c>
      <c r="CN163" s="9">
        <v>0.61</v>
      </c>
      <c r="CO163" s="9">
        <v>0.81</v>
      </c>
      <c r="CP163" s="9">
        <v>0.71</v>
      </c>
      <c r="CQ163" s="9">
        <v>0.61</v>
      </c>
      <c r="CR163" s="9">
        <v>0.81</v>
      </c>
      <c r="CS163" s="9">
        <v>0.71</v>
      </c>
      <c r="CT163" s="9">
        <v>0.61</v>
      </c>
      <c r="CU163" s="9">
        <v>0.81</v>
      </c>
      <c r="CV163" s="9">
        <v>0.71</v>
      </c>
      <c r="CW163" s="9">
        <v>0.61</v>
      </c>
      <c r="CX163" s="9">
        <v>0.81</v>
      </c>
      <c r="CY163" s="9">
        <v>0.71</v>
      </c>
      <c r="CZ163" s="9">
        <v>0.61</v>
      </c>
      <c r="DA163" s="9">
        <v>0.81</v>
      </c>
      <c r="DB163" s="9">
        <f>MIN(Tabelle5897112140[[#This Row],[Durchschnittsauslastung durch Sommer WTT]:[Durchschnittsauslastung max Winter SFN]])</f>
        <v>0.61</v>
      </c>
      <c r="DC16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3" s="9">
        <f>MAX(Tabelle5897112140[[#This Row],[Durchschnittsauslastung durch Sommer WTT]:[Durchschnittsauslastung max Winter SFN]])</f>
        <v>0.81</v>
      </c>
      <c r="DE163" s="40">
        <f>Tabelle5897112140[[#This Row],[Durchschnittsauslastung min]]*Tabelle5897112140[[#This Row],[installierte Leistung MW min]]</f>
        <v>33.928199999999997</v>
      </c>
      <c r="DF163" s="40">
        <f>Tabelle5897112140[[#This Row],[Durchschnittsauslastung durch]]*Tabelle5897112140[[#This Row],[installierte Leistung MW durch]]</f>
        <v>58.503999999999998</v>
      </c>
      <c r="DG163" s="40">
        <f>Tabelle5897112140[[#This Row],[Durchschnittsauslastung max]]*Tabelle5897112140[[#This Row],[installierte Leistung MW max]]</f>
        <v>88.435800000000015</v>
      </c>
      <c r="DH163" s="46">
        <f>Tabelle5897112140[[#This Row],[Maximalauslastung min]]*Tabelle5897112140[[#This Row],[installierte Leistung MW min]]</f>
        <v>25.5852</v>
      </c>
      <c r="DI163" s="46">
        <f>Tabelle5897112140[[#This Row],[Maximalauslastung durch]]*Tabelle5897112140[[#This Row],[installierte Leistung MW durch]]</f>
        <v>42.024000000000001</v>
      </c>
      <c r="DJ163" s="19">
        <f>Tabelle5897112140[[#This Row],[Maximalauslastung max]]*Tabelle5897112140[[#This Row],[installierte Leistung MW durch]]</f>
        <v>46.144000000000005</v>
      </c>
      <c r="DK163" s="9">
        <v>0.46</v>
      </c>
      <c r="DL163" s="9">
        <v>0.51</v>
      </c>
      <c r="DM163" s="9">
        <v>0.56000000000000005</v>
      </c>
      <c r="DN163" s="1">
        <v>82.4</v>
      </c>
      <c r="DO163" s="1">
        <v>55.62</v>
      </c>
      <c r="DP163" s="1">
        <v>109.18</v>
      </c>
      <c r="DQ163" s="19"/>
      <c r="DR163" s="19"/>
      <c r="DW163" s="1">
        <v>3.1</v>
      </c>
      <c r="DX163" s="1">
        <v>3.1</v>
      </c>
      <c r="DY163" s="1">
        <v>3.1</v>
      </c>
      <c r="EL163" s="1">
        <v>365</v>
      </c>
      <c r="EM163" s="1">
        <v>292</v>
      </c>
      <c r="EN163" s="1">
        <v>438</v>
      </c>
      <c r="EO163" s="11"/>
      <c r="EP163" s="11"/>
      <c r="EQ163" s="11"/>
      <c r="ER163" s="1">
        <v>365</v>
      </c>
      <c r="ES163" s="1">
        <v>292</v>
      </c>
      <c r="ET163" s="1">
        <v>438</v>
      </c>
      <c r="EV163" s="19"/>
      <c r="EW163" s="19"/>
      <c r="EX163" s="19"/>
      <c r="EY163" s="19"/>
      <c r="EZ163" s="19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O163" s="1">
        <v>67</v>
      </c>
      <c r="FP163" s="1">
        <v>67</v>
      </c>
      <c r="FQ163" s="1">
        <v>67</v>
      </c>
      <c r="FR163" s="13" t="s">
        <v>806</v>
      </c>
      <c r="FS163" s="13" t="s">
        <v>806</v>
      </c>
      <c r="FT163" s="13" t="s">
        <v>806</v>
      </c>
      <c r="FU163" s="13"/>
      <c r="FV163" s="13" t="s">
        <v>806</v>
      </c>
      <c r="FW163" s="13" t="s">
        <v>806</v>
      </c>
      <c r="FX163" s="13" t="s">
        <v>806</v>
      </c>
      <c r="FY163" s="13" t="s">
        <v>806</v>
      </c>
      <c r="FZ163" s="13" t="s">
        <v>806</v>
      </c>
      <c r="GA163" s="13" t="s">
        <v>806</v>
      </c>
      <c r="GB163" s="13" t="s">
        <v>806</v>
      </c>
      <c r="GE163" s="13" t="s">
        <v>806</v>
      </c>
      <c r="GF163" s="13" t="s">
        <v>806</v>
      </c>
      <c r="GH163" s="13" t="s">
        <v>806</v>
      </c>
    </row>
    <row r="164" spans="1:190" ht="12.75" customHeight="1" x14ac:dyDescent="0.25">
      <c r="A164" s="1" t="s">
        <v>208</v>
      </c>
      <c r="B164" s="1" t="s">
        <v>651</v>
      </c>
      <c r="C164" s="1" t="s">
        <v>663</v>
      </c>
      <c r="D164" s="1" t="s">
        <v>696</v>
      </c>
      <c r="E164" s="1" t="s">
        <v>127</v>
      </c>
      <c r="F164" s="1">
        <v>0</v>
      </c>
      <c r="G164" s="1">
        <v>2025</v>
      </c>
      <c r="H164" s="1">
        <v>1</v>
      </c>
      <c r="I164" s="1">
        <v>0</v>
      </c>
      <c r="J164" s="1">
        <v>0</v>
      </c>
      <c r="K16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35.575200000000002</v>
      </c>
      <c r="L16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61.344000000000001</v>
      </c>
      <c r="M16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92.728800000000007</v>
      </c>
      <c r="N164" s="19">
        <v>61.344000000000001</v>
      </c>
      <c r="O164" s="19">
        <v>35.575200000000002</v>
      </c>
      <c r="P164" s="19">
        <v>92.728800000000007</v>
      </c>
      <c r="Q164" s="19">
        <v>0</v>
      </c>
      <c r="R164" s="19">
        <v>0</v>
      </c>
      <c r="S164" s="19">
        <v>0</v>
      </c>
      <c r="T164" s="19">
        <v>61.344000000000001</v>
      </c>
      <c r="U164" s="19">
        <v>35.575200000000002</v>
      </c>
      <c r="V164" s="19">
        <v>92.728800000000007</v>
      </c>
      <c r="W164" s="19">
        <v>0</v>
      </c>
      <c r="X164" s="19">
        <v>0</v>
      </c>
      <c r="Y164" s="19">
        <v>0</v>
      </c>
      <c r="Z164" s="19">
        <v>61.344000000000001</v>
      </c>
      <c r="AA164" s="19">
        <v>35.575200000000002</v>
      </c>
      <c r="AB164" s="19">
        <v>92.728800000000007</v>
      </c>
      <c r="AC164" s="19">
        <v>0</v>
      </c>
      <c r="AD164" s="19">
        <v>0</v>
      </c>
      <c r="AE164" s="19">
        <v>0</v>
      </c>
      <c r="AF164" s="19">
        <v>61.344000000000001</v>
      </c>
      <c r="AG164" s="19">
        <v>35.575200000000002</v>
      </c>
      <c r="AH164" s="19">
        <v>92.728800000000007</v>
      </c>
      <c r="AI164" s="19">
        <v>0</v>
      </c>
      <c r="AJ164" s="19">
        <v>0</v>
      </c>
      <c r="AK164" s="19">
        <v>0</v>
      </c>
      <c r="AL164" s="19">
        <v>61.344000000000001</v>
      </c>
      <c r="AM164" s="19">
        <v>35.575200000000002</v>
      </c>
      <c r="AN164" s="19">
        <v>92.728800000000007</v>
      </c>
      <c r="AO164" s="19">
        <v>0</v>
      </c>
      <c r="AP164" s="19">
        <v>0</v>
      </c>
      <c r="AQ164" s="19">
        <v>0</v>
      </c>
      <c r="AR164" s="19">
        <v>61.344000000000001</v>
      </c>
      <c r="AS164" s="19">
        <v>35.575200000000002</v>
      </c>
      <c r="AT164" s="19">
        <v>92.728800000000007</v>
      </c>
      <c r="AU164" s="19">
        <v>0</v>
      </c>
      <c r="AV164" s="19">
        <v>0</v>
      </c>
      <c r="AW164" s="19">
        <v>0</v>
      </c>
      <c r="AX164" s="19">
        <v>61.344000000000001</v>
      </c>
      <c r="AY164" s="19">
        <v>35.575200000000002</v>
      </c>
      <c r="AZ164" s="19">
        <v>92.728800000000007</v>
      </c>
      <c r="BA164" s="19">
        <v>0</v>
      </c>
      <c r="BB164" s="19">
        <v>0</v>
      </c>
      <c r="BC164" s="19">
        <v>0</v>
      </c>
      <c r="BD164" s="19">
        <v>61.344000000000001</v>
      </c>
      <c r="BE164" s="19">
        <v>35.575200000000002</v>
      </c>
      <c r="BF164" s="19">
        <v>92.728800000000007</v>
      </c>
      <c r="BG164" s="19">
        <v>0</v>
      </c>
      <c r="BH164" s="19">
        <v>0</v>
      </c>
      <c r="BI164" s="19">
        <v>0</v>
      </c>
      <c r="BJ164" s="19">
        <v>61.344000000000001</v>
      </c>
      <c r="BK164" s="19">
        <v>35.575200000000002</v>
      </c>
      <c r="BL164" s="19">
        <v>92.728800000000007</v>
      </c>
      <c r="BM164" s="19">
        <v>0</v>
      </c>
      <c r="BN164" s="19">
        <v>0</v>
      </c>
      <c r="BO164" s="19">
        <v>0</v>
      </c>
      <c r="BP164" s="19"/>
      <c r="BQ16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4" s="11">
        <f>Tabelle5897112140[[#This Row],[Mindestauslastung min]]*Tabelle5897112140[[#This Row],[installierte Leistung MW min]]</f>
        <v>7.5815999999999999</v>
      </c>
      <c r="BU164" s="11">
        <f>Tabelle5897112140[[#This Row],[Mindestauslastung durch]]*Tabelle5897112140[[#This Row],[installierte Leistung MW durch]]</f>
        <v>12.96</v>
      </c>
      <c r="BV164" s="11">
        <f>Tabelle5897112140[[#This Row],[Mindestauslastung max]]*Tabelle5897112140[[#This Row],[installierte Leistung MW max]]</f>
        <v>19.461600000000001</v>
      </c>
      <c r="BW164" s="9">
        <v>0.13</v>
      </c>
      <c r="BX164" s="9">
        <v>0.15</v>
      </c>
      <c r="BY164" s="9">
        <v>0.17</v>
      </c>
      <c r="BZ164" s="9"/>
      <c r="CA164" s="9">
        <v>0.71</v>
      </c>
      <c r="CB164" s="9">
        <v>0.61</v>
      </c>
      <c r="CC164" s="9">
        <v>0.81</v>
      </c>
      <c r="CD164" s="9">
        <v>0.71</v>
      </c>
      <c r="CE164" s="9">
        <v>0.61</v>
      </c>
      <c r="CF164" s="9">
        <v>0.81</v>
      </c>
      <c r="CG164" s="9">
        <v>0.71</v>
      </c>
      <c r="CH164" s="9">
        <v>0.61</v>
      </c>
      <c r="CI164" s="9">
        <v>0.81</v>
      </c>
      <c r="CJ164" s="9">
        <v>0.71</v>
      </c>
      <c r="CK164" s="9">
        <v>0.61</v>
      </c>
      <c r="CL164" s="9">
        <v>0.81</v>
      </c>
      <c r="CM164" s="9">
        <v>0.71</v>
      </c>
      <c r="CN164" s="9">
        <v>0.61</v>
      </c>
      <c r="CO164" s="9">
        <v>0.81</v>
      </c>
      <c r="CP164" s="9">
        <v>0.71</v>
      </c>
      <c r="CQ164" s="9">
        <v>0.61</v>
      </c>
      <c r="CR164" s="9">
        <v>0.81</v>
      </c>
      <c r="CS164" s="9">
        <v>0.71</v>
      </c>
      <c r="CT164" s="9">
        <v>0.61</v>
      </c>
      <c r="CU164" s="9">
        <v>0.81</v>
      </c>
      <c r="CV164" s="9">
        <v>0.71</v>
      </c>
      <c r="CW164" s="9">
        <v>0.61</v>
      </c>
      <c r="CX164" s="9">
        <v>0.81</v>
      </c>
      <c r="CY164" s="9">
        <v>0.71</v>
      </c>
      <c r="CZ164" s="9">
        <v>0.61</v>
      </c>
      <c r="DA164" s="9">
        <v>0.81</v>
      </c>
      <c r="DB164" s="9">
        <f>MIN(Tabelle5897112140[[#This Row],[Durchschnittsauslastung durch Sommer WTT]:[Durchschnittsauslastung max Winter SFN]])</f>
        <v>0.61</v>
      </c>
      <c r="DC16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4" s="9">
        <f>MAX(Tabelle5897112140[[#This Row],[Durchschnittsauslastung durch Sommer WTT]:[Durchschnittsauslastung max Winter SFN]])</f>
        <v>0.81</v>
      </c>
      <c r="DE164" s="40">
        <f>Tabelle5897112140[[#This Row],[Durchschnittsauslastung min]]*Tabelle5897112140[[#This Row],[installierte Leistung MW min]]</f>
        <v>35.575200000000002</v>
      </c>
      <c r="DF164" s="40">
        <f>Tabelle5897112140[[#This Row],[Durchschnittsauslastung durch]]*Tabelle5897112140[[#This Row],[installierte Leistung MW durch]]</f>
        <v>61.344000000000001</v>
      </c>
      <c r="DG164" s="40">
        <f>Tabelle5897112140[[#This Row],[Durchschnittsauslastung max]]*Tabelle5897112140[[#This Row],[installierte Leistung MW max]]</f>
        <v>92.728800000000007</v>
      </c>
      <c r="DH164" s="46">
        <f>Tabelle5897112140[[#This Row],[Maximalauslastung min]]*Tabelle5897112140[[#This Row],[installierte Leistung MW min]]</f>
        <v>26.827200000000001</v>
      </c>
      <c r="DI164" s="46">
        <f>Tabelle5897112140[[#This Row],[Maximalauslastung durch]]*Tabelle5897112140[[#This Row],[installierte Leistung MW durch]]</f>
        <v>44.064000000000007</v>
      </c>
      <c r="DJ164" s="19">
        <f>Tabelle5897112140[[#This Row],[Maximalauslastung max]]*Tabelle5897112140[[#This Row],[installierte Leistung MW durch]]</f>
        <v>48.384000000000007</v>
      </c>
      <c r="DK164" s="9">
        <v>0.46</v>
      </c>
      <c r="DL164" s="9">
        <v>0.51</v>
      </c>
      <c r="DM164" s="9">
        <v>0.56000000000000005</v>
      </c>
      <c r="DN164" s="1">
        <v>86.4</v>
      </c>
      <c r="DO164" s="1">
        <v>58.32</v>
      </c>
      <c r="DP164" s="1">
        <v>114.48</v>
      </c>
      <c r="DQ164" s="19"/>
      <c r="DR164" s="19"/>
      <c r="DW164" s="1">
        <v>3.1</v>
      </c>
      <c r="DX164" s="1">
        <v>3.1</v>
      </c>
      <c r="DY164" s="1">
        <v>3.1</v>
      </c>
      <c r="EL164" s="1">
        <v>365</v>
      </c>
      <c r="EM164" s="1">
        <v>292</v>
      </c>
      <c r="EN164" s="1">
        <v>438</v>
      </c>
      <c r="EO164" s="11"/>
      <c r="EP164" s="11"/>
      <c r="EQ164" s="11"/>
      <c r="ER164" s="1">
        <v>365</v>
      </c>
      <c r="ES164" s="1">
        <v>292</v>
      </c>
      <c r="ET164" s="1">
        <v>438</v>
      </c>
      <c r="EV164" s="19"/>
      <c r="EW164" s="19"/>
      <c r="EX164" s="19"/>
      <c r="EY164" s="19"/>
      <c r="EZ164" s="19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O164" s="1">
        <v>67</v>
      </c>
      <c r="FP164" s="1">
        <v>67</v>
      </c>
      <c r="FQ164" s="1">
        <v>67</v>
      </c>
      <c r="FR164" s="13" t="s">
        <v>806</v>
      </c>
      <c r="FS164" s="13" t="s">
        <v>806</v>
      </c>
      <c r="FT164" s="13" t="s">
        <v>806</v>
      </c>
      <c r="FU164" s="13"/>
      <c r="FV164" s="13" t="s">
        <v>806</v>
      </c>
      <c r="FW164" s="13" t="s">
        <v>806</v>
      </c>
      <c r="FX164" s="13" t="s">
        <v>806</v>
      </c>
      <c r="FY164" s="13" t="s">
        <v>806</v>
      </c>
      <c r="FZ164" s="13" t="s">
        <v>806</v>
      </c>
      <c r="GA164" s="13" t="s">
        <v>806</v>
      </c>
      <c r="GB164" s="13" t="s">
        <v>806</v>
      </c>
      <c r="GE164" s="13" t="s">
        <v>806</v>
      </c>
      <c r="GF164" s="13" t="s">
        <v>806</v>
      </c>
      <c r="GH164" s="13" t="s">
        <v>806</v>
      </c>
    </row>
    <row r="165" spans="1:190" ht="12.75" customHeight="1" x14ac:dyDescent="0.25">
      <c r="A165" s="1" t="s">
        <v>208</v>
      </c>
      <c r="B165" s="1" t="s">
        <v>651</v>
      </c>
      <c r="C165" s="1" t="s">
        <v>663</v>
      </c>
      <c r="D165" s="1" t="s">
        <v>696</v>
      </c>
      <c r="E165" s="1" t="s">
        <v>127</v>
      </c>
      <c r="F165" s="1">
        <v>0</v>
      </c>
      <c r="G165" s="1">
        <v>2030</v>
      </c>
      <c r="H165" s="1">
        <v>1</v>
      </c>
      <c r="I165" s="1">
        <v>0</v>
      </c>
      <c r="J165" s="1">
        <v>0</v>
      </c>
      <c r="K16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38.210399999999993</v>
      </c>
      <c r="L16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65.887999999999991</v>
      </c>
      <c r="M16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99.597599999999986</v>
      </c>
      <c r="N165" s="19">
        <v>65.887999999999991</v>
      </c>
      <c r="O165" s="19">
        <v>38.210399999999993</v>
      </c>
      <c r="P165" s="19">
        <v>99.597599999999986</v>
      </c>
      <c r="Q165" s="19">
        <v>0</v>
      </c>
      <c r="R165" s="19">
        <v>0</v>
      </c>
      <c r="S165" s="19">
        <v>0</v>
      </c>
      <c r="T165" s="19">
        <v>65.887999999999991</v>
      </c>
      <c r="U165" s="19">
        <v>38.210399999999993</v>
      </c>
      <c r="V165" s="19">
        <v>99.597599999999986</v>
      </c>
      <c r="W165" s="19">
        <v>0</v>
      </c>
      <c r="X165" s="19">
        <v>0</v>
      </c>
      <c r="Y165" s="19">
        <v>0</v>
      </c>
      <c r="Z165" s="19">
        <v>65.887999999999991</v>
      </c>
      <c r="AA165" s="19">
        <v>38.210399999999993</v>
      </c>
      <c r="AB165" s="19">
        <v>99.597599999999986</v>
      </c>
      <c r="AC165" s="19">
        <v>0</v>
      </c>
      <c r="AD165" s="19">
        <v>0</v>
      </c>
      <c r="AE165" s="19">
        <v>0</v>
      </c>
      <c r="AF165" s="19">
        <v>65.887999999999991</v>
      </c>
      <c r="AG165" s="19">
        <v>38.210399999999993</v>
      </c>
      <c r="AH165" s="19">
        <v>99.597599999999986</v>
      </c>
      <c r="AI165" s="19">
        <v>0</v>
      </c>
      <c r="AJ165" s="19">
        <v>0</v>
      </c>
      <c r="AK165" s="19">
        <v>0</v>
      </c>
      <c r="AL165" s="19">
        <v>65.887999999999991</v>
      </c>
      <c r="AM165" s="19">
        <v>38.210399999999993</v>
      </c>
      <c r="AN165" s="19">
        <v>99.597599999999986</v>
      </c>
      <c r="AO165" s="19">
        <v>0</v>
      </c>
      <c r="AP165" s="19">
        <v>0</v>
      </c>
      <c r="AQ165" s="19">
        <v>0</v>
      </c>
      <c r="AR165" s="19">
        <v>65.887999999999991</v>
      </c>
      <c r="AS165" s="19">
        <v>38.210399999999993</v>
      </c>
      <c r="AT165" s="19">
        <v>99.597599999999986</v>
      </c>
      <c r="AU165" s="19">
        <v>0</v>
      </c>
      <c r="AV165" s="19">
        <v>0</v>
      </c>
      <c r="AW165" s="19">
        <v>0</v>
      </c>
      <c r="AX165" s="19">
        <v>65.887999999999991</v>
      </c>
      <c r="AY165" s="19">
        <v>38.210399999999993</v>
      </c>
      <c r="AZ165" s="19">
        <v>99.597599999999986</v>
      </c>
      <c r="BA165" s="19">
        <v>0</v>
      </c>
      <c r="BB165" s="19">
        <v>0</v>
      </c>
      <c r="BC165" s="19">
        <v>0</v>
      </c>
      <c r="BD165" s="19">
        <v>65.887999999999991</v>
      </c>
      <c r="BE165" s="19">
        <v>38.210399999999993</v>
      </c>
      <c r="BF165" s="19">
        <v>99.597599999999986</v>
      </c>
      <c r="BG165" s="19">
        <v>0</v>
      </c>
      <c r="BH165" s="19">
        <v>0</v>
      </c>
      <c r="BI165" s="19">
        <v>0</v>
      </c>
      <c r="BJ165" s="19">
        <v>65.887999999999991</v>
      </c>
      <c r="BK165" s="19">
        <v>38.210399999999993</v>
      </c>
      <c r="BL165" s="19">
        <v>99.597599999999986</v>
      </c>
      <c r="BM165" s="19">
        <v>0</v>
      </c>
      <c r="BN165" s="19">
        <v>0</v>
      </c>
      <c r="BO165" s="19">
        <v>0</v>
      </c>
      <c r="BP165" s="19"/>
      <c r="BQ16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5" s="11">
        <f>Tabelle5897112140[[#This Row],[Mindestauslastung min]]*Tabelle5897112140[[#This Row],[installierte Leistung MW min]]</f>
        <v>8.1432000000000002</v>
      </c>
      <c r="BU165" s="11">
        <f>Tabelle5897112140[[#This Row],[Mindestauslastung durch]]*Tabelle5897112140[[#This Row],[installierte Leistung MW durch]]</f>
        <v>13.92</v>
      </c>
      <c r="BV165" s="11">
        <f>Tabelle5897112140[[#This Row],[Mindestauslastung max]]*Tabelle5897112140[[#This Row],[installierte Leistung MW max]]</f>
        <v>20.903200000000002</v>
      </c>
      <c r="BW165" s="9">
        <v>0.13</v>
      </c>
      <c r="BX165" s="9">
        <v>0.15</v>
      </c>
      <c r="BY165" s="9">
        <v>0.17</v>
      </c>
      <c r="BZ165" s="9"/>
      <c r="CA165" s="9">
        <v>0.71</v>
      </c>
      <c r="CB165" s="9">
        <v>0.61</v>
      </c>
      <c r="CC165" s="9">
        <v>0.81</v>
      </c>
      <c r="CD165" s="9">
        <v>0.71</v>
      </c>
      <c r="CE165" s="9">
        <v>0.61</v>
      </c>
      <c r="CF165" s="9">
        <v>0.81</v>
      </c>
      <c r="CG165" s="9">
        <v>0.71</v>
      </c>
      <c r="CH165" s="9">
        <v>0.61</v>
      </c>
      <c r="CI165" s="9">
        <v>0.81</v>
      </c>
      <c r="CJ165" s="9">
        <v>0.71</v>
      </c>
      <c r="CK165" s="9">
        <v>0.61</v>
      </c>
      <c r="CL165" s="9">
        <v>0.81</v>
      </c>
      <c r="CM165" s="9">
        <v>0.71</v>
      </c>
      <c r="CN165" s="9">
        <v>0.61</v>
      </c>
      <c r="CO165" s="9">
        <v>0.81</v>
      </c>
      <c r="CP165" s="9">
        <v>0.71</v>
      </c>
      <c r="CQ165" s="9">
        <v>0.61</v>
      </c>
      <c r="CR165" s="9">
        <v>0.81</v>
      </c>
      <c r="CS165" s="9">
        <v>0.71</v>
      </c>
      <c r="CT165" s="9">
        <v>0.61</v>
      </c>
      <c r="CU165" s="9">
        <v>0.81</v>
      </c>
      <c r="CV165" s="9">
        <v>0.71</v>
      </c>
      <c r="CW165" s="9">
        <v>0.61</v>
      </c>
      <c r="CX165" s="9">
        <v>0.81</v>
      </c>
      <c r="CY165" s="9">
        <v>0.71</v>
      </c>
      <c r="CZ165" s="9">
        <v>0.61</v>
      </c>
      <c r="DA165" s="9">
        <v>0.81</v>
      </c>
      <c r="DB165" s="9">
        <f>MIN(Tabelle5897112140[[#This Row],[Durchschnittsauslastung durch Sommer WTT]:[Durchschnittsauslastung max Winter SFN]])</f>
        <v>0.61</v>
      </c>
      <c r="DC16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5" s="9">
        <f>MAX(Tabelle5897112140[[#This Row],[Durchschnittsauslastung durch Sommer WTT]:[Durchschnittsauslastung max Winter SFN]])</f>
        <v>0.81</v>
      </c>
      <c r="DE165" s="40">
        <f>Tabelle5897112140[[#This Row],[Durchschnittsauslastung min]]*Tabelle5897112140[[#This Row],[installierte Leistung MW min]]</f>
        <v>38.2104</v>
      </c>
      <c r="DF165" s="40">
        <f>Tabelle5897112140[[#This Row],[Durchschnittsauslastung durch]]*Tabelle5897112140[[#This Row],[installierte Leistung MW durch]]</f>
        <v>65.887999999999991</v>
      </c>
      <c r="DG165" s="40">
        <f>Tabelle5897112140[[#This Row],[Durchschnittsauslastung max]]*Tabelle5897112140[[#This Row],[installierte Leistung MW max]]</f>
        <v>99.5976</v>
      </c>
      <c r="DH165" s="46">
        <f>Tabelle5897112140[[#This Row],[Maximalauslastung min]]*Tabelle5897112140[[#This Row],[installierte Leistung MW min]]</f>
        <v>28.814400000000003</v>
      </c>
      <c r="DI165" s="46">
        <f>Tabelle5897112140[[#This Row],[Maximalauslastung durch]]*Tabelle5897112140[[#This Row],[installierte Leistung MW durch]]</f>
        <v>47.327999999999996</v>
      </c>
      <c r="DJ165" s="19">
        <f>Tabelle5897112140[[#This Row],[Maximalauslastung max]]*Tabelle5897112140[[#This Row],[installierte Leistung MW durch]]</f>
        <v>51.968000000000004</v>
      </c>
      <c r="DK165" s="9">
        <v>0.46</v>
      </c>
      <c r="DL165" s="9">
        <v>0.51</v>
      </c>
      <c r="DM165" s="9">
        <v>0.56000000000000005</v>
      </c>
      <c r="DN165" s="1">
        <v>92.8</v>
      </c>
      <c r="DO165" s="1">
        <v>62.64</v>
      </c>
      <c r="DP165" s="1">
        <v>122.96</v>
      </c>
      <c r="DQ165" s="19"/>
      <c r="DR165" s="19"/>
      <c r="DW165" s="1">
        <v>3.1</v>
      </c>
      <c r="DX165" s="1">
        <v>3.1</v>
      </c>
      <c r="DY165" s="1">
        <v>3.1</v>
      </c>
      <c r="EL165" s="1">
        <v>365</v>
      </c>
      <c r="EM165" s="1">
        <v>292</v>
      </c>
      <c r="EN165" s="1">
        <v>438</v>
      </c>
      <c r="EO165" s="11"/>
      <c r="EP165" s="11"/>
      <c r="EQ165" s="11"/>
      <c r="ER165" s="1">
        <v>365</v>
      </c>
      <c r="ES165" s="1">
        <v>292</v>
      </c>
      <c r="ET165" s="1">
        <v>438</v>
      </c>
      <c r="EV165" s="19"/>
      <c r="EW165" s="19"/>
      <c r="EX165" s="19"/>
      <c r="EY165" s="19"/>
      <c r="EZ165" s="19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O165" s="1">
        <v>67</v>
      </c>
      <c r="FP165" s="1">
        <v>67</v>
      </c>
      <c r="FQ165" s="1">
        <v>67</v>
      </c>
      <c r="FR165" s="13" t="s">
        <v>806</v>
      </c>
      <c r="FS165" s="13" t="s">
        <v>806</v>
      </c>
      <c r="FT165" s="13" t="s">
        <v>806</v>
      </c>
      <c r="FU165" s="13"/>
      <c r="FV165" s="13" t="s">
        <v>806</v>
      </c>
      <c r="FW165" s="13" t="s">
        <v>806</v>
      </c>
      <c r="FX165" s="13" t="s">
        <v>806</v>
      </c>
      <c r="FY165" s="13" t="s">
        <v>806</v>
      </c>
      <c r="FZ165" s="13" t="s">
        <v>806</v>
      </c>
      <c r="GA165" s="13" t="s">
        <v>806</v>
      </c>
      <c r="GB165" s="13" t="s">
        <v>806</v>
      </c>
      <c r="GE165" s="13" t="s">
        <v>806</v>
      </c>
      <c r="GF165" s="13" t="s">
        <v>806</v>
      </c>
      <c r="GH165" s="13" t="s">
        <v>806</v>
      </c>
    </row>
    <row r="166" spans="1:190" ht="12.75" customHeight="1" x14ac:dyDescent="0.25">
      <c r="A166" s="1" t="s">
        <v>208</v>
      </c>
      <c r="B166" s="1" t="s">
        <v>651</v>
      </c>
      <c r="C166" s="1" t="s">
        <v>663</v>
      </c>
      <c r="D166" s="1" t="s">
        <v>696</v>
      </c>
      <c r="E166" s="1" t="s">
        <v>127</v>
      </c>
      <c r="F166" s="1">
        <v>0</v>
      </c>
      <c r="G166" s="1">
        <v>2035</v>
      </c>
      <c r="H166" s="1">
        <v>1</v>
      </c>
      <c r="I166" s="1">
        <v>0</v>
      </c>
      <c r="J166" s="1">
        <v>0</v>
      </c>
      <c r="K16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41.833799999999997</v>
      </c>
      <c r="L16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72.135999999999981</v>
      </c>
      <c r="M16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109.04219999999999</v>
      </c>
      <c r="N166" s="19">
        <v>72.135999999999996</v>
      </c>
      <c r="O166" s="19">
        <v>41.833799999999997</v>
      </c>
      <c r="P166" s="19">
        <v>109.04219999999999</v>
      </c>
      <c r="Q166" s="19">
        <v>0</v>
      </c>
      <c r="R166" s="19">
        <v>0</v>
      </c>
      <c r="S166" s="19">
        <v>0</v>
      </c>
      <c r="T166" s="19">
        <v>72.135999999999996</v>
      </c>
      <c r="U166" s="19">
        <v>41.833799999999997</v>
      </c>
      <c r="V166" s="19">
        <v>109.04219999999999</v>
      </c>
      <c r="W166" s="19">
        <v>0</v>
      </c>
      <c r="X166" s="19">
        <v>0</v>
      </c>
      <c r="Y166" s="19">
        <v>0</v>
      </c>
      <c r="Z166" s="19">
        <v>72.135999999999996</v>
      </c>
      <c r="AA166" s="19">
        <v>41.833799999999997</v>
      </c>
      <c r="AB166" s="19">
        <v>109.04219999999999</v>
      </c>
      <c r="AC166" s="19">
        <v>0</v>
      </c>
      <c r="AD166" s="19">
        <v>0</v>
      </c>
      <c r="AE166" s="19">
        <v>0</v>
      </c>
      <c r="AF166" s="19">
        <v>72.135999999999996</v>
      </c>
      <c r="AG166" s="19">
        <v>41.833799999999997</v>
      </c>
      <c r="AH166" s="19">
        <v>109.04219999999999</v>
      </c>
      <c r="AI166" s="19">
        <v>0</v>
      </c>
      <c r="AJ166" s="19">
        <v>0</v>
      </c>
      <c r="AK166" s="19">
        <v>0</v>
      </c>
      <c r="AL166" s="19">
        <v>72.135999999999996</v>
      </c>
      <c r="AM166" s="19">
        <v>41.833799999999997</v>
      </c>
      <c r="AN166" s="19">
        <v>109.04219999999999</v>
      </c>
      <c r="AO166" s="19">
        <v>0</v>
      </c>
      <c r="AP166" s="19">
        <v>0</v>
      </c>
      <c r="AQ166" s="19">
        <v>0</v>
      </c>
      <c r="AR166" s="19">
        <v>72.135999999999996</v>
      </c>
      <c r="AS166" s="19">
        <v>41.833799999999997</v>
      </c>
      <c r="AT166" s="19">
        <v>109.04219999999999</v>
      </c>
      <c r="AU166" s="19">
        <v>0</v>
      </c>
      <c r="AV166" s="19">
        <v>0</v>
      </c>
      <c r="AW166" s="19">
        <v>0</v>
      </c>
      <c r="AX166" s="19">
        <v>72.135999999999996</v>
      </c>
      <c r="AY166" s="19">
        <v>41.833799999999997</v>
      </c>
      <c r="AZ166" s="19">
        <v>109.04219999999999</v>
      </c>
      <c r="BA166" s="19">
        <v>0</v>
      </c>
      <c r="BB166" s="19">
        <v>0</v>
      </c>
      <c r="BC166" s="19">
        <v>0</v>
      </c>
      <c r="BD166" s="19">
        <v>72.135999999999996</v>
      </c>
      <c r="BE166" s="19">
        <v>41.833799999999997</v>
      </c>
      <c r="BF166" s="19">
        <v>109.04219999999999</v>
      </c>
      <c r="BG166" s="19">
        <v>0</v>
      </c>
      <c r="BH166" s="19">
        <v>0</v>
      </c>
      <c r="BI166" s="19">
        <v>0</v>
      </c>
      <c r="BJ166" s="19">
        <v>72.135999999999996</v>
      </c>
      <c r="BK166" s="19">
        <v>41.833799999999997</v>
      </c>
      <c r="BL166" s="19">
        <v>109.04219999999999</v>
      </c>
      <c r="BM166" s="19">
        <v>0</v>
      </c>
      <c r="BN166" s="19">
        <v>0</v>
      </c>
      <c r="BO166" s="19">
        <v>0</v>
      </c>
      <c r="BP166" s="19"/>
      <c r="BQ16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6" s="11">
        <f>Tabelle5897112140[[#This Row],[Mindestauslastung min]]*Tabelle5897112140[[#This Row],[installierte Leistung MW min]]</f>
        <v>8.9154</v>
      </c>
      <c r="BU166" s="11">
        <f>Tabelle5897112140[[#This Row],[Mindestauslastung durch]]*Tabelle5897112140[[#This Row],[installierte Leistung MW durch]]</f>
        <v>15.239999999999998</v>
      </c>
      <c r="BV166" s="11">
        <f>Tabelle5897112140[[#This Row],[Mindestauslastung max]]*Tabelle5897112140[[#This Row],[installierte Leistung MW max]]</f>
        <v>22.885400000000004</v>
      </c>
      <c r="BW166" s="9">
        <v>0.13</v>
      </c>
      <c r="BX166" s="9">
        <v>0.15</v>
      </c>
      <c r="BY166" s="9">
        <v>0.17</v>
      </c>
      <c r="BZ166" s="9"/>
      <c r="CA166" s="9">
        <v>0.71</v>
      </c>
      <c r="CB166" s="9">
        <v>0.61</v>
      </c>
      <c r="CC166" s="9">
        <v>0.81</v>
      </c>
      <c r="CD166" s="9">
        <v>0.71</v>
      </c>
      <c r="CE166" s="9">
        <v>0.61</v>
      </c>
      <c r="CF166" s="9">
        <v>0.81</v>
      </c>
      <c r="CG166" s="9">
        <v>0.71</v>
      </c>
      <c r="CH166" s="9">
        <v>0.61</v>
      </c>
      <c r="CI166" s="9">
        <v>0.81</v>
      </c>
      <c r="CJ166" s="9">
        <v>0.71</v>
      </c>
      <c r="CK166" s="9">
        <v>0.61</v>
      </c>
      <c r="CL166" s="9">
        <v>0.81</v>
      </c>
      <c r="CM166" s="9">
        <v>0.71</v>
      </c>
      <c r="CN166" s="9">
        <v>0.61</v>
      </c>
      <c r="CO166" s="9">
        <v>0.81</v>
      </c>
      <c r="CP166" s="9">
        <v>0.71</v>
      </c>
      <c r="CQ166" s="9">
        <v>0.61</v>
      </c>
      <c r="CR166" s="9">
        <v>0.81</v>
      </c>
      <c r="CS166" s="9">
        <v>0.71</v>
      </c>
      <c r="CT166" s="9">
        <v>0.61</v>
      </c>
      <c r="CU166" s="9">
        <v>0.81</v>
      </c>
      <c r="CV166" s="9">
        <v>0.71</v>
      </c>
      <c r="CW166" s="9">
        <v>0.61</v>
      </c>
      <c r="CX166" s="9">
        <v>0.81</v>
      </c>
      <c r="CY166" s="9">
        <v>0.71</v>
      </c>
      <c r="CZ166" s="9">
        <v>0.61</v>
      </c>
      <c r="DA166" s="9">
        <v>0.81</v>
      </c>
      <c r="DB166" s="9">
        <f>MIN(Tabelle5897112140[[#This Row],[Durchschnittsauslastung durch Sommer WTT]:[Durchschnittsauslastung max Winter SFN]])</f>
        <v>0.61</v>
      </c>
      <c r="DC16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6" s="9">
        <f>MAX(Tabelle5897112140[[#This Row],[Durchschnittsauslastung durch Sommer WTT]:[Durchschnittsauslastung max Winter SFN]])</f>
        <v>0.81</v>
      </c>
      <c r="DE166" s="40">
        <f>Tabelle5897112140[[#This Row],[Durchschnittsauslastung min]]*Tabelle5897112140[[#This Row],[installierte Leistung MW min]]</f>
        <v>41.833799999999997</v>
      </c>
      <c r="DF166" s="40">
        <f>Tabelle5897112140[[#This Row],[Durchschnittsauslastung durch]]*Tabelle5897112140[[#This Row],[installierte Leistung MW durch]]</f>
        <v>72.135999999999996</v>
      </c>
      <c r="DG166" s="40">
        <f>Tabelle5897112140[[#This Row],[Durchschnittsauslastung max]]*Tabelle5897112140[[#This Row],[installierte Leistung MW max]]</f>
        <v>109.04220000000001</v>
      </c>
      <c r="DH166" s="46">
        <f>Tabelle5897112140[[#This Row],[Maximalauslastung min]]*Tabelle5897112140[[#This Row],[installierte Leistung MW min]]</f>
        <v>31.546800000000001</v>
      </c>
      <c r="DI166" s="46">
        <f>Tabelle5897112140[[#This Row],[Maximalauslastung durch]]*Tabelle5897112140[[#This Row],[installierte Leistung MW durch]]</f>
        <v>51.815999999999995</v>
      </c>
      <c r="DJ166" s="19">
        <f>Tabelle5897112140[[#This Row],[Maximalauslastung max]]*Tabelle5897112140[[#This Row],[installierte Leistung MW durch]]</f>
        <v>56.896000000000001</v>
      </c>
      <c r="DK166" s="9">
        <v>0.46</v>
      </c>
      <c r="DL166" s="9">
        <v>0.51</v>
      </c>
      <c r="DM166" s="9">
        <v>0.56000000000000005</v>
      </c>
      <c r="DN166" s="1">
        <v>101.6</v>
      </c>
      <c r="DO166" s="1">
        <v>68.58</v>
      </c>
      <c r="DP166" s="1">
        <v>134.62</v>
      </c>
      <c r="DQ166" s="19"/>
      <c r="DR166" s="19"/>
      <c r="DW166" s="1">
        <v>3.1</v>
      </c>
      <c r="DX166" s="1">
        <v>3.1</v>
      </c>
      <c r="DY166" s="1">
        <v>3.1</v>
      </c>
      <c r="EL166" s="1">
        <v>365</v>
      </c>
      <c r="EM166" s="1">
        <v>292</v>
      </c>
      <c r="EN166" s="1">
        <v>438</v>
      </c>
      <c r="EO166" s="11"/>
      <c r="EP166" s="11"/>
      <c r="EQ166" s="11"/>
      <c r="ER166" s="1">
        <v>365</v>
      </c>
      <c r="ES166" s="1">
        <v>292</v>
      </c>
      <c r="ET166" s="1">
        <v>438</v>
      </c>
      <c r="EV166" s="19"/>
      <c r="EW166" s="19"/>
      <c r="EX166" s="19"/>
      <c r="EY166" s="19"/>
      <c r="EZ166" s="19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O166" s="1">
        <v>67</v>
      </c>
      <c r="FP166" s="1">
        <v>67</v>
      </c>
      <c r="FQ166" s="1">
        <v>67</v>
      </c>
      <c r="FR166" s="13" t="s">
        <v>806</v>
      </c>
      <c r="FS166" s="13" t="s">
        <v>806</v>
      </c>
      <c r="FT166" s="13" t="s">
        <v>806</v>
      </c>
      <c r="FU166" s="13"/>
      <c r="FV166" s="13" t="s">
        <v>806</v>
      </c>
      <c r="FW166" s="13" t="s">
        <v>806</v>
      </c>
      <c r="FX166" s="13" t="s">
        <v>806</v>
      </c>
      <c r="FY166" s="13" t="s">
        <v>806</v>
      </c>
      <c r="FZ166" s="13" t="s">
        <v>806</v>
      </c>
      <c r="GA166" s="13" t="s">
        <v>806</v>
      </c>
      <c r="GB166" s="13" t="s">
        <v>806</v>
      </c>
      <c r="GE166" s="13" t="s">
        <v>806</v>
      </c>
      <c r="GF166" s="13" t="s">
        <v>806</v>
      </c>
      <c r="GH166" s="13" t="s">
        <v>806</v>
      </c>
    </row>
    <row r="167" spans="1:190" ht="12.75" customHeight="1" x14ac:dyDescent="0.25">
      <c r="A167" s="1" t="s">
        <v>208</v>
      </c>
      <c r="B167" s="1" t="s">
        <v>651</v>
      </c>
      <c r="C167" s="1" t="s">
        <v>663</v>
      </c>
      <c r="D167" s="1" t="s">
        <v>696</v>
      </c>
      <c r="E167" s="1" t="s">
        <v>127</v>
      </c>
      <c r="F167" s="1">
        <v>0</v>
      </c>
      <c r="G167" s="1">
        <v>2040</v>
      </c>
      <c r="H167" s="1">
        <v>1</v>
      </c>
      <c r="I167" s="1">
        <v>0</v>
      </c>
      <c r="J167" s="1">
        <v>0</v>
      </c>
      <c r="K16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46.445399999999992</v>
      </c>
      <c r="L16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80.08799999999998</v>
      </c>
      <c r="M16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121.06259999999999</v>
      </c>
      <c r="N167" s="19">
        <v>80.087999999999994</v>
      </c>
      <c r="O167" s="19">
        <v>46.445399999999992</v>
      </c>
      <c r="P167" s="19">
        <v>121.06259999999999</v>
      </c>
      <c r="Q167" s="19">
        <v>0</v>
      </c>
      <c r="R167" s="19">
        <v>0</v>
      </c>
      <c r="S167" s="19">
        <v>0</v>
      </c>
      <c r="T167" s="19">
        <v>80.087999999999994</v>
      </c>
      <c r="U167" s="19">
        <v>46.445399999999992</v>
      </c>
      <c r="V167" s="19">
        <v>121.06259999999999</v>
      </c>
      <c r="W167" s="19">
        <v>0</v>
      </c>
      <c r="X167" s="19">
        <v>0</v>
      </c>
      <c r="Y167" s="19">
        <v>0</v>
      </c>
      <c r="Z167" s="19">
        <v>80.087999999999994</v>
      </c>
      <c r="AA167" s="19">
        <v>46.445399999999992</v>
      </c>
      <c r="AB167" s="19">
        <v>121.06259999999999</v>
      </c>
      <c r="AC167" s="19">
        <v>0</v>
      </c>
      <c r="AD167" s="19">
        <v>0</v>
      </c>
      <c r="AE167" s="19">
        <v>0</v>
      </c>
      <c r="AF167" s="19">
        <v>80.087999999999994</v>
      </c>
      <c r="AG167" s="19">
        <v>46.445399999999992</v>
      </c>
      <c r="AH167" s="19">
        <v>121.06259999999999</v>
      </c>
      <c r="AI167" s="19">
        <v>0</v>
      </c>
      <c r="AJ167" s="19">
        <v>0</v>
      </c>
      <c r="AK167" s="19">
        <v>0</v>
      </c>
      <c r="AL167" s="19">
        <v>80.087999999999994</v>
      </c>
      <c r="AM167" s="19">
        <v>46.445399999999992</v>
      </c>
      <c r="AN167" s="19">
        <v>121.06259999999999</v>
      </c>
      <c r="AO167" s="19">
        <v>0</v>
      </c>
      <c r="AP167" s="19">
        <v>0</v>
      </c>
      <c r="AQ167" s="19">
        <v>0</v>
      </c>
      <c r="AR167" s="19">
        <v>80.087999999999994</v>
      </c>
      <c r="AS167" s="19">
        <v>46.445399999999992</v>
      </c>
      <c r="AT167" s="19">
        <v>121.06259999999999</v>
      </c>
      <c r="AU167" s="19">
        <v>0</v>
      </c>
      <c r="AV167" s="19">
        <v>0</v>
      </c>
      <c r="AW167" s="19">
        <v>0</v>
      </c>
      <c r="AX167" s="19">
        <v>80.087999999999994</v>
      </c>
      <c r="AY167" s="19">
        <v>46.445399999999992</v>
      </c>
      <c r="AZ167" s="19">
        <v>121.06259999999999</v>
      </c>
      <c r="BA167" s="19">
        <v>0</v>
      </c>
      <c r="BB167" s="19">
        <v>0</v>
      </c>
      <c r="BC167" s="19">
        <v>0</v>
      </c>
      <c r="BD167" s="19">
        <v>80.087999999999994</v>
      </c>
      <c r="BE167" s="19">
        <v>46.445399999999992</v>
      </c>
      <c r="BF167" s="19">
        <v>121.06259999999999</v>
      </c>
      <c r="BG167" s="19">
        <v>0</v>
      </c>
      <c r="BH167" s="19">
        <v>0</v>
      </c>
      <c r="BI167" s="19">
        <v>0</v>
      </c>
      <c r="BJ167" s="19">
        <v>80.087999999999994</v>
      </c>
      <c r="BK167" s="19">
        <v>46.445399999999992</v>
      </c>
      <c r="BL167" s="19">
        <v>121.06259999999999</v>
      </c>
      <c r="BM167" s="19">
        <v>0</v>
      </c>
      <c r="BN167" s="19">
        <v>0</v>
      </c>
      <c r="BO167" s="19">
        <v>0</v>
      </c>
      <c r="BP167" s="19"/>
      <c r="BQ16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7" s="11">
        <f>Tabelle5897112140[[#This Row],[Mindestauslastung min]]*Tabelle5897112140[[#This Row],[installierte Leistung MW min]]</f>
        <v>9.898200000000001</v>
      </c>
      <c r="BU167" s="11">
        <f>Tabelle5897112140[[#This Row],[Mindestauslastung durch]]*Tabelle5897112140[[#This Row],[installierte Leistung MW durch]]</f>
        <v>16.919999999999998</v>
      </c>
      <c r="BV167" s="11">
        <f>Tabelle5897112140[[#This Row],[Mindestauslastung max]]*Tabelle5897112140[[#This Row],[installierte Leistung MW max]]</f>
        <v>25.408200000000004</v>
      </c>
      <c r="BW167" s="9">
        <v>0.13</v>
      </c>
      <c r="BX167" s="9">
        <v>0.15</v>
      </c>
      <c r="BY167" s="9">
        <v>0.17</v>
      </c>
      <c r="BZ167" s="9"/>
      <c r="CA167" s="9">
        <v>0.71</v>
      </c>
      <c r="CB167" s="9">
        <v>0.61</v>
      </c>
      <c r="CC167" s="9">
        <v>0.81</v>
      </c>
      <c r="CD167" s="9">
        <v>0.71</v>
      </c>
      <c r="CE167" s="9">
        <v>0.61</v>
      </c>
      <c r="CF167" s="9">
        <v>0.81</v>
      </c>
      <c r="CG167" s="9">
        <v>0.71</v>
      </c>
      <c r="CH167" s="9">
        <v>0.61</v>
      </c>
      <c r="CI167" s="9">
        <v>0.81</v>
      </c>
      <c r="CJ167" s="9">
        <v>0.71</v>
      </c>
      <c r="CK167" s="9">
        <v>0.61</v>
      </c>
      <c r="CL167" s="9">
        <v>0.81</v>
      </c>
      <c r="CM167" s="9">
        <v>0.71</v>
      </c>
      <c r="CN167" s="9">
        <v>0.61</v>
      </c>
      <c r="CO167" s="9">
        <v>0.81</v>
      </c>
      <c r="CP167" s="9">
        <v>0.71</v>
      </c>
      <c r="CQ167" s="9">
        <v>0.61</v>
      </c>
      <c r="CR167" s="9">
        <v>0.81</v>
      </c>
      <c r="CS167" s="9">
        <v>0.71</v>
      </c>
      <c r="CT167" s="9">
        <v>0.61</v>
      </c>
      <c r="CU167" s="9">
        <v>0.81</v>
      </c>
      <c r="CV167" s="9">
        <v>0.71</v>
      </c>
      <c r="CW167" s="9">
        <v>0.61</v>
      </c>
      <c r="CX167" s="9">
        <v>0.81</v>
      </c>
      <c r="CY167" s="9">
        <v>0.71</v>
      </c>
      <c r="CZ167" s="9">
        <v>0.61</v>
      </c>
      <c r="DA167" s="9">
        <v>0.81</v>
      </c>
      <c r="DB167" s="9">
        <f>MIN(Tabelle5897112140[[#This Row],[Durchschnittsauslastung durch Sommer WTT]:[Durchschnittsauslastung max Winter SFN]])</f>
        <v>0.61</v>
      </c>
      <c r="DC16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7" s="9">
        <f>MAX(Tabelle5897112140[[#This Row],[Durchschnittsauslastung durch Sommer WTT]:[Durchschnittsauslastung max Winter SFN]])</f>
        <v>0.81</v>
      </c>
      <c r="DE167" s="40">
        <f>Tabelle5897112140[[#This Row],[Durchschnittsauslastung min]]*Tabelle5897112140[[#This Row],[installierte Leistung MW min]]</f>
        <v>46.445399999999999</v>
      </c>
      <c r="DF167" s="40">
        <f>Tabelle5897112140[[#This Row],[Durchschnittsauslastung durch]]*Tabelle5897112140[[#This Row],[installierte Leistung MW durch]]</f>
        <v>80.087999999999994</v>
      </c>
      <c r="DG167" s="40">
        <f>Tabelle5897112140[[#This Row],[Durchschnittsauslastung max]]*Tabelle5897112140[[#This Row],[installierte Leistung MW max]]</f>
        <v>121.06260000000002</v>
      </c>
      <c r="DH167" s="46">
        <f>Tabelle5897112140[[#This Row],[Maximalauslastung min]]*Tabelle5897112140[[#This Row],[installierte Leistung MW min]]</f>
        <v>35.0244</v>
      </c>
      <c r="DI167" s="46">
        <f>Tabelle5897112140[[#This Row],[Maximalauslastung durch]]*Tabelle5897112140[[#This Row],[installierte Leistung MW durch]]</f>
        <v>57.527999999999999</v>
      </c>
      <c r="DJ167" s="19">
        <f>Tabelle5897112140[[#This Row],[Maximalauslastung max]]*Tabelle5897112140[[#This Row],[installierte Leistung MW durch]]</f>
        <v>63.168000000000006</v>
      </c>
      <c r="DK167" s="9">
        <v>0.46</v>
      </c>
      <c r="DL167" s="9">
        <v>0.51</v>
      </c>
      <c r="DM167" s="9">
        <v>0.56000000000000005</v>
      </c>
      <c r="DN167" s="1">
        <v>112.8</v>
      </c>
      <c r="DO167" s="1">
        <v>76.14</v>
      </c>
      <c r="DP167" s="1">
        <v>149.46</v>
      </c>
      <c r="DQ167" s="19"/>
      <c r="DR167" s="19"/>
      <c r="DW167" s="1">
        <v>3.1</v>
      </c>
      <c r="DX167" s="1">
        <v>3.1</v>
      </c>
      <c r="DY167" s="1">
        <v>3.1</v>
      </c>
      <c r="EL167" s="1">
        <v>365</v>
      </c>
      <c r="EM167" s="1">
        <v>292</v>
      </c>
      <c r="EN167" s="1">
        <v>438</v>
      </c>
      <c r="EO167" s="11"/>
      <c r="EP167" s="11"/>
      <c r="EQ167" s="11"/>
      <c r="ER167" s="1">
        <v>365</v>
      </c>
      <c r="ES167" s="1">
        <v>292</v>
      </c>
      <c r="ET167" s="1">
        <v>438</v>
      </c>
      <c r="EV167" s="19"/>
      <c r="EW167" s="19"/>
      <c r="EX167" s="19"/>
      <c r="EY167" s="19"/>
      <c r="EZ167" s="19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O167" s="1">
        <v>67</v>
      </c>
      <c r="FP167" s="1">
        <v>67</v>
      </c>
      <c r="FQ167" s="1">
        <v>67</v>
      </c>
      <c r="FR167" s="13" t="s">
        <v>806</v>
      </c>
      <c r="FS167" s="13" t="s">
        <v>806</v>
      </c>
      <c r="FT167" s="13" t="s">
        <v>806</v>
      </c>
      <c r="FU167" s="13"/>
      <c r="FV167" s="13" t="s">
        <v>806</v>
      </c>
      <c r="FW167" s="13" t="s">
        <v>806</v>
      </c>
      <c r="FX167" s="13" t="s">
        <v>806</v>
      </c>
      <c r="FY167" s="13" t="s">
        <v>806</v>
      </c>
      <c r="FZ167" s="13" t="s">
        <v>806</v>
      </c>
      <c r="GA167" s="13" t="s">
        <v>806</v>
      </c>
      <c r="GB167" s="13" t="s">
        <v>806</v>
      </c>
      <c r="GE167" s="13" t="s">
        <v>806</v>
      </c>
      <c r="GF167" s="13" t="s">
        <v>806</v>
      </c>
      <c r="GH167" s="13" t="s">
        <v>806</v>
      </c>
    </row>
    <row r="168" spans="1:190" ht="12.75" customHeight="1" x14ac:dyDescent="0.25">
      <c r="A168" s="1" t="s">
        <v>208</v>
      </c>
      <c r="B168" s="1" t="s">
        <v>651</v>
      </c>
      <c r="C168" s="1" t="s">
        <v>663</v>
      </c>
      <c r="D168" s="1" t="s">
        <v>696</v>
      </c>
      <c r="E168" s="1" t="s">
        <v>127</v>
      </c>
      <c r="F168" s="1">
        <v>0</v>
      </c>
      <c r="G168" s="1">
        <v>2045</v>
      </c>
      <c r="H168" s="1">
        <v>1</v>
      </c>
      <c r="I168" s="1">
        <v>0</v>
      </c>
      <c r="J168" s="1">
        <v>0</v>
      </c>
      <c r="K16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52.704000000000001</v>
      </c>
      <c r="L16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90.88</v>
      </c>
      <c r="M16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137.376</v>
      </c>
      <c r="N168" s="19">
        <v>90.88</v>
      </c>
      <c r="O168" s="19">
        <v>52.704000000000001</v>
      </c>
      <c r="P168" s="19">
        <v>137.376</v>
      </c>
      <c r="Q168" s="19">
        <v>0</v>
      </c>
      <c r="R168" s="19">
        <v>0</v>
      </c>
      <c r="S168" s="19">
        <v>0</v>
      </c>
      <c r="T168" s="19">
        <v>90.88</v>
      </c>
      <c r="U168" s="19">
        <v>52.704000000000001</v>
      </c>
      <c r="V168" s="19">
        <v>137.376</v>
      </c>
      <c r="W168" s="19">
        <v>0</v>
      </c>
      <c r="X168" s="19">
        <v>0</v>
      </c>
      <c r="Y168" s="19">
        <v>0</v>
      </c>
      <c r="Z168" s="19">
        <v>90.88</v>
      </c>
      <c r="AA168" s="19">
        <v>52.704000000000001</v>
      </c>
      <c r="AB168" s="19">
        <v>137.376</v>
      </c>
      <c r="AC168" s="19">
        <v>0</v>
      </c>
      <c r="AD168" s="19">
        <v>0</v>
      </c>
      <c r="AE168" s="19">
        <v>0</v>
      </c>
      <c r="AF168" s="19">
        <v>90.88</v>
      </c>
      <c r="AG168" s="19">
        <v>52.704000000000001</v>
      </c>
      <c r="AH168" s="19">
        <v>137.376</v>
      </c>
      <c r="AI168" s="19">
        <v>0</v>
      </c>
      <c r="AJ168" s="19">
        <v>0</v>
      </c>
      <c r="AK168" s="19">
        <v>0</v>
      </c>
      <c r="AL168" s="19">
        <v>90.88</v>
      </c>
      <c r="AM168" s="19">
        <v>52.704000000000001</v>
      </c>
      <c r="AN168" s="19">
        <v>137.376</v>
      </c>
      <c r="AO168" s="19">
        <v>0</v>
      </c>
      <c r="AP168" s="19">
        <v>0</v>
      </c>
      <c r="AQ168" s="19">
        <v>0</v>
      </c>
      <c r="AR168" s="19">
        <v>90.88</v>
      </c>
      <c r="AS168" s="19">
        <v>52.704000000000001</v>
      </c>
      <c r="AT168" s="19">
        <v>137.376</v>
      </c>
      <c r="AU168" s="19">
        <v>0</v>
      </c>
      <c r="AV168" s="19">
        <v>0</v>
      </c>
      <c r="AW168" s="19">
        <v>0</v>
      </c>
      <c r="AX168" s="19">
        <v>90.88</v>
      </c>
      <c r="AY168" s="19">
        <v>52.704000000000001</v>
      </c>
      <c r="AZ168" s="19">
        <v>137.376</v>
      </c>
      <c r="BA168" s="19">
        <v>0</v>
      </c>
      <c r="BB168" s="19">
        <v>0</v>
      </c>
      <c r="BC168" s="19">
        <v>0</v>
      </c>
      <c r="BD168" s="19">
        <v>90.88</v>
      </c>
      <c r="BE168" s="19">
        <v>52.704000000000001</v>
      </c>
      <c r="BF168" s="19">
        <v>137.376</v>
      </c>
      <c r="BG168" s="19">
        <v>0</v>
      </c>
      <c r="BH168" s="19">
        <v>0</v>
      </c>
      <c r="BI168" s="19">
        <v>0</v>
      </c>
      <c r="BJ168" s="19">
        <v>90.88</v>
      </c>
      <c r="BK168" s="19">
        <v>52.704000000000001</v>
      </c>
      <c r="BL168" s="19">
        <v>137.376</v>
      </c>
      <c r="BM168" s="19">
        <v>0</v>
      </c>
      <c r="BN168" s="19">
        <v>0</v>
      </c>
      <c r="BO168" s="19">
        <v>0</v>
      </c>
      <c r="BP168" s="19"/>
      <c r="BQ16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8" s="11">
        <f>Tabelle5897112140[[#This Row],[Mindestauslastung min]]*Tabelle5897112140[[#This Row],[installierte Leistung MW min]]</f>
        <v>11.232000000000001</v>
      </c>
      <c r="BU168" s="11">
        <f>Tabelle5897112140[[#This Row],[Mindestauslastung durch]]*Tabelle5897112140[[#This Row],[installierte Leistung MW durch]]</f>
        <v>19.2</v>
      </c>
      <c r="BV168" s="11">
        <f>Tabelle5897112140[[#This Row],[Mindestauslastung max]]*Tabelle5897112140[[#This Row],[installierte Leistung MW max]]</f>
        <v>28.832000000000001</v>
      </c>
      <c r="BW168" s="9">
        <v>0.13</v>
      </c>
      <c r="BX168" s="9">
        <v>0.15</v>
      </c>
      <c r="BY168" s="9">
        <v>0.17</v>
      </c>
      <c r="BZ168" s="9"/>
      <c r="CA168" s="9">
        <v>0.71</v>
      </c>
      <c r="CB168" s="9">
        <v>0.61</v>
      </c>
      <c r="CC168" s="9">
        <v>0.81</v>
      </c>
      <c r="CD168" s="9">
        <v>0.71</v>
      </c>
      <c r="CE168" s="9">
        <v>0.61</v>
      </c>
      <c r="CF168" s="9">
        <v>0.81</v>
      </c>
      <c r="CG168" s="9">
        <v>0.71</v>
      </c>
      <c r="CH168" s="9">
        <v>0.61</v>
      </c>
      <c r="CI168" s="9">
        <v>0.81</v>
      </c>
      <c r="CJ168" s="9">
        <v>0.71</v>
      </c>
      <c r="CK168" s="9">
        <v>0.61</v>
      </c>
      <c r="CL168" s="9">
        <v>0.81</v>
      </c>
      <c r="CM168" s="9">
        <v>0.71</v>
      </c>
      <c r="CN168" s="9">
        <v>0.61</v>
      </c>
      <c r="CO168" s="9">
        <v>0.81</v>
      </c>
      <c r="CP168" s="9">
        <v>0.71</v>
      </c>
      <c r="CQ168" s="9">
        <v>0.61</v>
      </c>
      <c r="CR168" s="9">
        <v>0.81</v>
      </c>
      <c r="CS168" s="9">
        <v>0.71</v>
      </c>
      <c r="CT168" s="9">
        <v>0.61</v>
      </c>
      <c r="CU168" s="9">
        <v>0.81</v>
      </c>
      <c r="CV168" s="9">
        <v>0.71</v>
      </c>
      <c r="CW168" s="9">
        <v>0.61</v>
      </c>
      <c r="CX168" s="9">
        <v>0.81</v>
      </c>
      <c r="CY168" s="9">
        <v>0.71</v>
      </c>
      <c r="CZ168" s="9">
        <v>0.61</v>
      </c>
      <c r="DA168" s="9">
        <v>0.81</v>
      </c>
      <c r="DB168" s="9">
        <f>MIN(Tabelle5897112140[[#This Row],[Durchschnittsauslastung durch Sommer WTT]:[Durchschnittsauslastung max Winter SFN]])</f>
        <v>0.61</v>
      </c>
      <c r="DC16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8" s="9">
        <f>MAX(Tabelle5897112140[[#This Row],[Durchschnittsauslastung durch Sommer WTT]:[Durchschnittsauslastung max Winter SFN]])</f>
        <v>0.81</v>
      </c>
      <c r="DE168" s="40">
        <f>Tabelle5897112140[[#This Row],[Durchschnittsauslastung min]]*Tabelle5897112140[[#This Row],[installierte Leistung MW min]]</f>
        <v>52.704000000000001</v>
      </c>
      <c r="DF168" s="40">
        <f>Tabelle5897112140[[#This Row],[Durchschnittsauslastung durch]]*Tabelle5897112140[[#This Row],[installierte Leistung MW durch]]</f>
        <v>90.88</v>
      </c>
      <c r="DG168" s="40">
        <f>Tabelle5897112140[[#This Row],[Durchschnittsauslastung max]]*Tabelle5897112140[[#This Row],[installierte Leistung MW max]]</f>
        <v>137.376</v>
      </c>
      <c r="DH168" s="46">
        <f>Tabelle5897112140[[#This Row],[Maximalauslastung min]]*Tabelle5897112140[[#This Row],[installierte Leistung MW min]]</f>
        <v>39.744000000000007</v>
      </c>
      <c r="DI168" s="46">
        <f>Tabelle5897112140[[#This Row],[Maximalauslastung durch]]*Tabelle5897112140[[#This Row],[installierte Leistung MW durch]]</f>
        <v>65.28</v>
      </c>
      <c r="DJ168" s="19">
        <f>Tabelle5897112140[[#This Row],[Maximalauslastung max]]*Tabelle5897112140[[#This Row],[installierte Leistung MW durch]]</f>
        <v>71.680000000000007</v>
      </c>
      <c r="DK168" s="9">
        <v>0.46</v>
      </c>
      <c r="DL168" s="9">
        <v>0.51</v>
      </c>
      <c r="DM168" s="9">
        <v>0.56000000000000005</v>
      </c>
      <c r="DN168" s="1">
        <v>128</v>
      </c>
      <c r="DO168" s="1">
        <v>86.4</v>
      </c>
      <c r="DP168" s="1">
        <v>169.6</v>
      </c>
      <c r="DQ168" s="19"/>
      <c r="DR168" s="19"/>
      <c r="DW168" s="1">
        <v>3.1</v>
      </c>
      <c r="DX168" s="1">
        <v>3.1</v>
      </c>
      <c r="DY168" s="1">
        <v>3.1</v>
      </c>
      <c r="EL168" s="1">
        <v>365</v>
      </c>
      <c r="EM168" s="1">
        <v>292</v>
      </c>
      <c r="EN168" s="1">
        <v>438</v>
      </c>
      <c r="EO168" s="11"/>
      <c r="EP168" s="11"/>
      <c r="EQ168" s="11"/>
      <c r="ER168" s="1">
        <v>365</v>
      </c>
      <c r="ES168" s="1">
        <v>292</v>
      </c>
      <c r="ET168" s="1">
        <v>438</v>
      </c>
      <c r="EV168" s="19"/>
      <c r="EW168" s="19"/>
      <c r="EX168" s="19"/>
      <c r="EY168" s="19"/>
      <c r="EZ168" s="19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O168" s="1">
        <v>67</v>
      </c>
      <c r="FP168" s="1">
        <v>67</v>
      </c>
      <c r="FQ168" s="1">
        <v>67</v>
      </c>
      <c r="FR168" s="13" t="s">
        <v>806</v>
      </c>
      <c r="FS168" s="13" t="s">
        <v>806</v>
      </c>
      <c r="FT168" s="13" t="s">
        <v>806</v>
      </c>
      <c r="FU168" s="13"/>
      <c r="FV168" s="13" t="s">
        <v>806</v>
      </c>
      <c r="FW168" s="13" t="s">
        <v>806</v>
      </c>
      <c r="FX168" s="13" t="s">
        <v>806</v>
      </c>
      <c r="FY168" s="13" t="s">
        <v>806</v>
      </c>
      <c r="FZ168" s="13" t="s">
        <v>806</v>
      </c>
      <c r="GA168" s="13" t="s">
        <v>806</v>
      </c>
      <c r="GB168" s="13" t="s">
        <v>806</v>
      </c>
      <c r="GE168" s="13" t="s">
        <v>806</v>
      </c>
      <c r="GF168" s="13" t="s">
        <v>806</v>
      </c>
      <c r="GH168" s="13" t="s">
        <v>806</v>
      </c>
    </row>
    <row r="169" spans="1:190" ht="12.75" customHeight="1" x14ac:dyDescent="0.25">
      <c r="A169" s="1" t="s">
        <v>208</v>
      </c>
      <c r="B169" s="1" t="s">
        <v>651</v>
      </c>
      <c r="C169" s="1" t="s">
        <v>663</v>
      </c>
      <c r="D169" s="1" t="s">
        <v>696</v>
      </c>
      <c r="E169" s="1" t="s">
        <v>127</v>
      </c>
      <c r="F169" s="1">
        <v>0</v>
      </c>
      <c r="G169" s="1">
        <v>2050</v>
      </c>
      <c r="H169" s="1">
        <v>1</v>
      </c>
      <c r="I169" s="1">
        <v>0</v>
      </c>
      <c r="J169" s="1">
        <v>0</v>
      </c>
      <c r="K16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60.6096</v>
      </c>
      <c r="L16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104.51199999999997</v>
      </c>
      <c r="M16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157.98240000000001</v>
      </c>
      <c r="N169" s="19">
        <v>104.512</v>
      </c>
      <c r="O169" s="19">
        <v>60.6096</v>
      </c>
      <c r="P169" s="19">
        <v>157.98240000000001</v>
      </c>
      <c r="Q169" s="19">
        <v>0</v>
      </c>
      <c r="R169" s="19">
        <v>0</v>
      </c>
      <c r="S169" s="19">
        <v>0</v>
      </c>
      <c r="T169" s="19">
        <v>104.512</v>
      </c>
      <c r="U169" s="19">
        <v>60.6096</v>
      </c>
      <c r="V169" s="19">
        <v>157.98240000000001</v>
      </c>
      <c r="W169" s="19">
        <v>0</v>
      </c>
      <c r="X169" s="19">
        <v>0</v>
      </c>
      <c r="Y169" s="19">
        <v>0</v>
      </c>
      <c r="Z169" s="19">
        <v>104.512</v>
      </c>
      <c r="AA169" s="19">
        <v>60.6096</v>
      </c>
      <c r="AB169" s="19">
        <v>157.98240000000001</v>
      </c>
      <c r="AC169" s="19">
        <v>0</v>
      </c>
      <c r="AD169" s="19">
        <v>0</v>
      </c>
      <c r="AE169" s="19">
        <v>0</v>
      </c>
      <c r="AF169" s="19">
        <v>104.512</v>
      </c>
      <c r="AG169" s="19">
        <v>60.6096</v>
      </c>
      <c r="AH169" s="19">
        <v>157.98240000000001</v>
      </c>
      <c r="AI169" s="19">
        <v>0</v>
      </c>
      <c r="AJ169" s="19">
        <v>0</v>
      </c>
      <c r="AK169" s="19">
        <v>0</v>
      </c>
      <c r="AL169" s="19">
        <v>104.512</v>
      </c>
      <c r="AM169" s="19">
        <v>60.6096</v>
      </c>
      <c r="AN169" s="19">
        <v>157.98240000000001</v>
      </c>
      <c r="AO169" s="19">
        <v>0</v>
      </c>
      <c r="AP169" s="19">
        <v>0</v>
      </c>
      <c r="AQ169" s="19">
        <v>0</v>
      </c>
      <c r="AR169" s="19">
        <v>104.512</v>
      </c>
      <c r="AS169" s="19">
        <v>60.6096</v>
      </c>
      <c r="AT169" s="19">
        <v>157.98240000000001</v>
      </c>
      <c r="AU169" s="19">
        <v>0</v>
      </c>
      <c r="AV169" s="19">
        <v>0</v>
      </c>
      <c r="AW169" s="19">
        <v>0</v>
      </c>
      <c r="AX169" s="19">
        <v>104.512</v>
      </c>
      <c r="AY169" s="19">
        <v>60.6096</v>
      </c>
      <c r="AZ169" s="19">
        <v>157.98240000000001</v>
      </c>
      <c r="BA169" s="19">
        <v>0</v>
      </c>
      <c r="BB169" s="19">
        <v>0</v>
      </c>
      <c r="BC169" s="19">
        <v>0</v>
      </c>
      <c r="BD169" s="19">
        <v>104.512</v>
      </c>
      <c r="BE169" s="19">
        <v>60.6096</v>
      </c>
      <c r="BF169" s="19">
        <v>157.98240000000001</v>
      </c>
      <c r="BG169" s="19">
        <v>0</v>
      </c>
      <c r="BH169" s="19">
        <v>0</v>
      </c>
      <c r="BI169" s="19">
        <v>0</v>
      </c>
      <c r="BJ169" s="19">
        <v>104.512</v>
      </c>
      <c r="BK169" s="19">
        <v>60.6096</v>
      </c>
      <c r="BL169" s="19">
        <v>157.98240000000001</v>
      </c>
      <c r="BM169" s="19">
        <v>0</v>
      </c>
      <c r="BN169" s="19">
        <v>0</v>
      </c>
      <c r="BO169" s="19">
        <v>0</v>
      </c>
      <c r="BP169" s="19"/>
      <c r="BQ16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9" s="11">
        <f>Tabelle5897112140[[#This Row],[Mindestauslastung min]]*Tabelle5897112140[[#This Row],[installierte Leistung MW min]]</f>
        <v>12.9168</v>
      </c>
      <c r="BU169" s="11">
        <f>Tabelle5897112140[[#This Row],[Mindestauslastung durch]]*Tabelle5897112140[[#This Row],[installierte Leistung MW durch]]</f>
        <v>22.08</v>
      </c>
      <c r="BV169" s="11">
        <f>Tabelle5897112140[[#This Row],[Mindestauslastung max]]*Tabelle5897112140[[#This Row],[installierte Leistung MW max]]</f>
        <v>33.156800000000004</v>
      </c>
      <c r="BW169" s="9">
        <v>0.13</v>
      </c>
      <c r="BX169" s="9">
        <v>0.15</v>
      </c>
      <c r="BY169" s="9">
        <v>0.17</v>
      </c>
      <c r="BZ169" s="9"/>
      <c r="CA169" s="9">
        <v>0.71</v>
      </c>
      <c r="CB169" s="9">
        <v>0.61</v>
      </c>
      <c r="CC169" s="9">
        <v>0.81</v>
      </c>
      <c r="CD169" s="9">
        <v>0.71</v>
      </c>
      <c r="CE169" s="9">
        <v>0.61</v>
      </c>
      <c r="CF169" s="9">
        <v>0.81</v>
      </c>
      <c r="CG169" s="9">
        <v>0.71</v>
      </c>
      <c r="CH169" s="9">
        <v>0.61</v>
      </c>
      <c r="CI169" s="9">
        <v>0.81</v>
      </c>
      <c r="CJ169" s="9">
        <v>0.71</v>
      </c>
      <c r="CK169" s="9">
        <v>0.61</v>
      </c>
      <c r="CL169" s="9">
        <v>0.81</v>
      </c>
      <c r="CM169" s="9">
        <v>0.71</v>
      </c>
      <c r="CN169" s="9">
        <v>0.61</v>
      </c>
      <c r="CO169" s="9">
        <v>0.81</v>
      </c>
      <c r="CP169" s="9">
        <v>0.71</v>
      </c>
      <c r="CQ169" s="9">
        <v>0.61</v>
      </c>
      <c r="CR169" s="9">
        <v>0.81</v>
      </c>
      <c r="CS169" s="9">
        <v>0.71</v>
      </c>
      <c r="CT169" s="9">
        <v>0.61</v>
      </c>
      <c r="CU169" s="9">
        <v>0.81</v>
      </c>
      <c r="CV169" s="9">
        <v>0.71</v>
      </c>
      <c r="CW169" s="9">
        <v>0.61</v>
      </c>
      <c r="CX169" s="9">
        <v>0.81</v>
      </c>
      <c r="CY169" s="9">
        <v>0.71</v>
      </c>
      <c r="CZ169" s="9">
        <v>0.61</v>
      </c>
      <c r="DA169" s="9">
        <v>0.81</v>
      </c>
      <c r="DB169" s="9">
        <f>MIN(Tabelle5897112140[[#This Row],[Durchschnittsauslastung durch Sommer WTT]:[Durchschnittsauslastung max Winter SFN]])</f>
        <v>0.61</v>
      </c>
      <c r="DC16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9" s="9">
        <f>MAX(Tabelle5897112140[[#This Row],[Durchschnittsauslastung durch Sommer WTT]:[Durchschnittsauslastung max Winter SFN]])</f>
        <v>0.81</v>
      </c>
      <c r="DE169" s="40">
        <f>Tabelle5897112140[[#This Row],[Durchschnittsauslastung min]]*Tabelle5897112140[[#This Row],[installierte Leistung MW min]]</f>
        <v>60.6096</v>
      </c>
      <c r="DF169" s="40">
        <f>Tabelle5897112140[[#This Row],[Durchschnittsauslastung durch]]*Tabelle5897112140[[#This Row],[installierte Leistung MW durch]]</f>
        <v>104.51199999999999</v>
      </c>
      <c r="DG169" s="40">
        <f>Tabelle5897112140[[#This Row],[Durchschnittsauslastung max]]*Tabelle5897112140[[#This Row],[installierte Leistung MW max]]</f>
        <v>157.98240000000001</v>
      </c>
      <c r="DH169" s="46">
        <f>Tabelle5897112140[[#This Row],[Maximalauslastung min]]*Tabelle5897112140[[#This Row],[installierte Leistung MW min]]</f>
        <v>45.705600000000004</v>
      </c>
      <c r="DI169" s="46">
        <f>Tabelle5897112140[[#This Row],[Maximalauslastung durch]]*Tabelle5897112140[[#This Row],[installierte Leistung MW durch]]</f>
        <v>75.071999999999989</v>
      </c>
      <c r="DJ169" s="19">
        <f>Tabelle5897112140[[#This Row],[Maximalauslastung max]]*Tabelle5897112140[[#This Row],[installierte Leistung MW durch]]</f>
        <v>82.432000000000002</v>
      </c>
      <c r="DK169" s="9">
        <v>0.46</v>
      </c>
      <c r="DL169" s="9">
        <v>0.51</v>
      </c>
      <c r="DM169" s="9">
        <v>0.56000000000000005</v>
      </c>
      <c r="DN169" s="1">
        <v>147.19999999999999</v>
      </c>
      <c r="DO169" s="1">
        <v>99.36</v>
      </c>
      <c r="DP169" s="1">
        <v>195.04</v>
      </c>
      <c r="DQ169" s="19"/>
      <c r="DR169" s="19"/>
      <c r="DW169" s="1">
        <v>3.1</v>
      </c>
      <c r="DX169" s="1">
        <v>3.1</v>
      </c>
      <c r="DY169" s="1">
        <v>3.1</v>
      </c>
      <c r="EL169" s="1">
        <v>365</v>
      </c>
      <c r="EM169" s="1">
        <v>292</v>
      </c>
      <c r="EN169" s="1">
        <v>438</v>
      </c>
      <c r="EO169" s="11"/>
      <c r="EP169" s="11"/>
      <c r="EQ169" s="11"/>
      <c r="ER169" s="1">
        <v>365</v>
      </c>
      <c r="ES169" s="1">
        <v>292</v>
      </c>
      <c r="ET169" s="1">
        <v>438</v>
      </c>
      <c r="EV169" s="19"/>
      <c r="EW169" s="19"/>
      <c r="EX169" s="19"/>
      <c r="EY169" s="19"/>
      <c r="EZ169" s="19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O169" s="1">
        <v>67</v>
      </c>
      <c r="FP169" s="1">
        <v>67</v>
      </c>
      <c r="FQ169" s="1">
        <v>67</v>
      </c>
      <c r="FR169" s="13" t="s">
        <v>806</v>
      </c>
      <c r="FS169" s="13" t="s">
        <v>806</v>
      </c>
      <c r="FT169" s="13" t="s">
        <v>806</v>
      </c>
      <c r="FU169" s="13"/>
      <c r="FV169" s="13" t="s">
        <v>806</v>
      </c>
      <c r="FW169" s="13" t="s">
        <v>806</v>
      </c>
      <c r="FX169" s="13" t="s">
        <v>806</v>
      </c>
      <c r="FY169" s="13" t="s">
        <v>806</v>
      </c>
      <c r="FZ169" s="13" t="s">
        <v>806</v>
      </c>
      <c r="GA169" s="13" t="s">
        <v>806</v>
      </c>
      <c r="GB169" s="13" t="s">
        <v>806</v>
      </c>
      <c r="GE169" s="13" t="s">
        <v>806</v>
      </c>
      <c r="GF169" s="13" t="s">
        <v>806</v>
      </c>
      <c r="GH169" s="13" t="s">
        <v>806</v>
      </c>
    </row>
    <row r="170" spans="1:190" ht="12.75" customHeight="1" x14ac:dyDescent="0.25">
      <c r="A170" s="1" t="s">
        <v>362</v>
      </c>
      <c r="B170" s="1" t="s">
        <v>650</v>
      </c>
      <c r="C170" s="1" t="s">
        <v>662</v>
      </c>
      <c r="D170" s="1" t="s">
        <v>692</v>
      </c>
      <c r="E170" s="1" t="s">
        <v>126</v>
      </c>
      <c r="F170" s="1">
        <v>0</v>
      </c>
      <c r="G170" s="1">
        <v>2015</v>
      </c>
      <c r="H170" s="1">
        <v>1</v>
      </c>
      <c r="I170" s="1">
        <v>0</v>
      </c>
      <c r="J170" s="1">
        <v>0</v>
      </c>
      <c r="K17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5.8266666666666662</v>
      </c>
      <c r="M17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67.260000000000005</v>
      </c>
      <c r="N170" s="19">
        <v>43.24</v>
      </c>
      <c r="O170" s="19">
        <v>24.42</v>
      </c>
      <c r="P170" s="19">
        <v>67.260000000000005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22.08</v>
      </c>
      <c r="X170" s="19">
        <v>14.52</v>
      </c>
      <c r="Y170" s="19">
        <v>30.68</v>
      </c>
      <c r="Z170" s="19">
        <v>0</v>
      </c>
      <c r="AA170" s="19">
        <v>0</v>
      </c>
      <c r="AB170" s="19">
        <v>0</v>
      </c>
      <c r="AC170" s="19">
        <v>22.08</v>
      </c>
      <c r="AD170" s="19">
        <v>14.52</v>
      </c>
      <c r="AE170" s="19">
        <v>30.68</v>
      </c>
      <c r="AF170" s="19">
        <v>9.1999999999999993</v>
      </c>
      <c r="AG170" s="19">
        <v>0</v>
      </c>
      <c r="AH170" s="19">
        <v>23.6</v>
      </c>
      <c r="AI170" s="19">
        <v>12.88</v>
      </c>
      <c r="AJ170" s="19">
        <v>1.32</v>
      </c>
      <c r="AK170" s="19">
        <v>30.68</v>
      </c>
      <c r="AL170" s="19">
        <v>0</v>
      </c>
      <c r="AM170" s="19">
        <v>0</v>
      </c>
      <c r="AN170" s="19">
        <v>0</v>
      </c>
      <c r="AO170" s="19">
        <v>22.08</v>
      </c>
      <c r="AP170" s="19">
        <v>14.52</v>
      </c>
      <c r="AQ170" s="19">
        <v>30.68</v>
      </c>
      <c r="AR170" s="19">
        <v>0</v>
      </c>
      <c r="AS170" s="19">
        <v>0</v>
      </c>
      <c r="AT170" s="19">
        <v>0</v>
      </c>
      <c r="AU170" s="19">
        <v>22.08</v>
      </c>
      <c r="AV170" s="19">
        <v>14.52</v>
      </c>
      <c r="AW170" s="19">
        <v>30.68</v>
      </c>
      <c r="AX170" s="19">
        <v>0</v>
      </c>
      <c r="AY170" s="19">
        <v>0</v>
      </c>
      <c r="AZ170" s="19">
        <v>0</v>
      </c>
      <c r="BA170" s="19">
        <v>22.08</v>
      </c>
      <c r="BB170" s="19">
        <v>14.52</v>
      </c>
      <c r="BC170" s="19">
        <v>30.68</v>
      </c>
      <c r="BD170" s="19">
        <v>0</v>
      </c>
      <c r="BE170" s="19">
        <v>0</v>
      </c>
      <c r="BF170" s="19">
        <v>0</v>
      </c>
      <c r="BG170" s="19">
        <v>22.08</v>
      </c>
      <c r="BH170" s="19">
        <v>14.52</v>
      </c>
      <c r="BI170" s="19">
        <v>30.68</v>
      </c>
      <c r="BJ170" s="19">
        <v>0</v>
      </c>
      <c r="BK170" s="19">
        <v>0</v>
      </c>
      <c r="BL170" s="19">
        <v>0</v>
      </c>
      <c r="BM170" s="19">
        <v>22.08</v>
      </c>
      <c r="BN170" s="19">
        <v>14.52</v>
      </c>
      <c r="BO170" s="19">
        <v>30.68</v>
      </c>
      <c r="BP170" s="19"/>
      <c r="BQ17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18.604444444444443</v>
      </c>
      <c r="BS17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30.68</v>
      </c>
      <c r="BT170" s="11">
        <f>Tabelle5897112140[[#This Row],[Mindestauslastung min]]*Tabelle5897112140[[#This Row],[installierte Leistung MW min]]</f>
        <v>7.92</v>
      </c>
      <c r="BU170" s="11">
        <f>Tabelle5897112140[[#This Row],[Mindestauslastung durch]]*Tabelle5897112140[[#This Row],[installierte Leistung MW durch]]</f>
        <v>12.88</v>
      </c>
      <c r="BV170" s="11">
        <f>Tabelle5897112140[[#This Row],[Mindestauslastung max]]*Tabelle5897112140[[#This Row],[installierte Leistung MW max]]</f>
        <v>18.88</v>
      </c>
      <c r="BW170" s="9">
        <v>0.12</v>
      </c>
      <c r="BX170" s="9">
        <v>0.14000000000000001</v>
      </c>
      <c r="BY170" s="9">
        <v>0.16</v>
      </c>
      <c r="BZ170" s="9"/>
      <c r="CA170" s="9">
        <v>0.47</v>
      </c>
      <c r="CB170" s="9">
        <v>0.37</v>
      </c>
      <c r="CC170" s="9">
        <v>0.56999999999999995</v>
      </c>
      <c r="CD170" s="9">
        <v>0</v>
      </c>
      <c r="CE170" s="9">
        <v>0</v>
      </c>
      <c r="CF170" s="9">
        <v>0</v>
      </c>
      <c r="CG170" s="9">
        <v>0</v>
      </c>
      <c r="CH170" s="9">
        <v>0</v>
      </c>
      <c r="CI170" s="9">
        <v>0</v>
      </c>
      <c r="CJ170" s="9">
        <v>0.1</v>
      </c>
      <c r="CK170" s="9">
        <v>0</v>
      </c>
      <c r="CL170" s="9">
        <v>0.2</v>
      </c>
      <c r="CM170" s="9">
        <v>0</v>
      </c>
      <c r="CN170" s="9">
        <v>0</v>
      </c>
      <c r="CO170" s="9">
        <v>0</v>
      </c>
      <c r="CP170" s="9">
        <v>0</v>
      </c>
      <c r="CQ170" s="9">
        <v>0</v>
      </c>
      <c r="CR170" s="9">
        <v>0</v>
      </c>
      <c r="CS170" s="9">
        <v>0</v>
      </c>
      <c r="CT170" s="9">
        <v>0</v>
      </c>
      <c r="CU170" s="9">
        <v>0</v>
      </c>
      <c r="CV170" s="9">
        <v>0</v>
      </c>
      <c r="CW170" s="9">
        <v>0</v>
      </c>
      <c r="CX170" s="9">
        <v>0</v>
      </c>
      <c r="CY170" s="9">
        <v>0</v>
      </c>
      <c r="CZ170" s="9">
        <v>0</v>
      </c>
      <c r="DA170" s="9">
        <v>0</v>
      </c>
      <c r="DB170" s="9">
        <f>MIN(Tabelle5897112140[[#This Row],[Durchschnittsauslastung durch Sommer WTT]:[Durchschnittsauslastung max Winter SFN]])</f>
        <v>0</v>
      </c>
      <c r="DC17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0" s="9">
        <f>MAX(Tabelle5897112140[[#This Row],[Durchschnittsauslastung durch Sommer WTT]:[Durchschnittsauslastung max Winter SFN]])</f>
        <v>0.56999999999999995</v>
      </c>
      <c r="DE170" s="40">
        <f>Tabelle5897112140[[#This Row],[Durchschnittsauslastung min]]*Tabelle5897112140[[#This Row],[installierte Leistung MW min]]</f>
        <v>0</v>
      </c>
      <c r="DF170" s="40">
        <f>Tabelle5897112140[[#This Row],[Durchschnittsauslastung durch]]*Tabelle5897112140[[#This Row],[installierte Leistung MW durch]]</f>
        <v>5.8266666666666662</v>
      </c>
      <c r="DG170" s="40">
        <f>Tabelle5897112140[[#This Row],[Durchschnittsauslastung max]]*Tabelle5897112140[[#This Row],[installierte Leistung MW max]]</f>
        <v>67.259999999999991</v>
      </c>
      <c r="DH170" s="46">
        <f>Tabelle5897112140[[#This Row],[Maximalauslastung min]]*Tabelle5897112140[[#This Row],[installierte Leistung MW min]]</f>
        <v>42.24</v>
      </c>
      <c r="DI170" s="46">
        <f>Tabelle5897112140[[#This Row],[Maximalauslastung durch]]*Tabelle5897112140[[#This Row],[installierte Leistung MW durch]]</f>
        <v>65.319999999999993</v>
      </c>
      <c r="DJ170" s="19">
        <f>Tabelle5897112140[[#This Row],[Maximalauslastung max]]*Tabelle5897112140[[#This Row],[installierte Leistung MW durch]]</f>
        <v>71.760000000000005</v>
      </c>
      <c r="DK170" s="9">
        <v>0.64</v>
      </c>
      <c r="DL170" s="9">
        <v>0.71</v>
      </c>
      <c r="DM170" s="9">
        <v>0.78</v>
      </c>
      <c r="DN170" s="1">
        <v>92</v>
      </c>
      <c r="DO170" s="1">
        <v>66</v>
      </c>
      <c r="DP170" s="1">
        <v>118</v>
      </c>
      <c r="DQ170" s="19"/>
      <c r="DR170" s="19"/>
      <c r="EL170" s="1">
        <v>365</v>
      </c>
      <c r="EM170" s="1">
        <v>292</v>
      </c>
      <c r="EN170" s="1">
        <v>438</v>
      </c>
      <c r="EO170" s="11"/>
      <c r="EP170" s="11"/>
      <c r="EQ170" s="11"/>
      <c r="ER170" s="1">
        <v>365</v>
      </c>
      <c r="ES170" s="1">
        <v>292</v>
      </c>
      <c r="ET170" s="1">
        <v>438</v>
      </c>
      <c r="EV170" s="19"/>
      <c r="EW170" s="19"/>
      <c r="EX170" s="19"/>
      <c r="EY170" s="19"/>
      <c r="EZ170" s="19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O170" s="1">
        <v>67</v>
      </c>
      <c r="FP170" s="1">
        <v>67</v>
      </c>
      <c r="FQ170" s="1">
        <v>67</v>
      </c>
      <c r="FR170" s="13" t="s">
        <v>806</v>
      </c>
      <c r="FS170" s="13" t="s">
        <v>806</v>
      </c>
      <c r="FT170" s="13" t="s">
        <v>806</v>
      </c>
      <c r="FU170" s="13"/>
      <c r="FV170" s="13" t="s">
        <v>806</v>
      </c>
      <c r="FW170" s="13" t="s">
        <v>806</v>
      </c>
      <c r="FX170" s="13" t="s">
        <v>806</v>
      </c>
      <c r="FY170" s="13" t="s">
        <v>806</v>
      </c>
      <c r="FZ170" s="13" t="s">
        <v>806</v>
      </c>
      <c r="GA170" s="13" t="s">
        <v>806</v>
      </c>
      <c r="GB170" s="13" t="s">
        <v>806</v>
      </c>
      <c r="GE170" s="13" t="s">
        <v>806</v>
      </c>
      <c r="GF170" s="13" t="s">
        <v>806</v>
      </c>
      <c r="GH170" s="13" t="s">
        <v>806</v>
      </c>
    </row>
    <row r="171" spans="1:190" ht="12.75" customHeight="1" x14ac:dyDescent="0.25">
      <c r="A171" s="1" t="s">
        <v>362</v>
      </c>
      <c r="B171" s="1" t="s">
        <v>650</v>
      </c>
      <c r="C171" s="1" t="s">
        <v>662</v>
      </c>
      <c r="D171" s="1" t="s">
        <v>692</v>
      </c>
      <c r="E171" s="1" t="s">
        <v>126</v>
      </c>
      <c r="F171" s="1">
        <v>0</v>
      </c>
      <c r="G171" s="1">
        <v>2020</v>
      </c>
      <c r="H171" s="1">
        <v>1</v>
      </c>
      <c r="I171" s="1">
        <v>0</v>
      </c>
      <c r="J171" s="1">
        <v>0</v>
      </c>
      <c r="K17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5.9432000000000009</v>
      </c>
      <c r="M17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68.605200000000011</v>
      </c>
      <c r="N171" s="19">
        <v>44.104800000000004</v>
      </c>
      <c r="O171" s="19">
        <v>24.908400000000004</v>
      </c>
      <c r="P171" s="19">
        <v>68.605200000000011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22.521599999999999</v>
      </c>
      <c r="X171" s="19">
        <v>14.8104</v>
      </c>
      <c r="Y171" s="19">
        <v>31.293600000000001</v>
      </c>
      <c r="Z171" s="19">
        <v>0</v>
      </c>
      <c r="AA171" s="19">
        <v>0</v>
      </c>
      <c r="AB171" s="19">
        <v>0</v>
      </c>
      <c r="AC171" s="19">
        <v>22.521599999999999</v>
      </c>
      <c r="AD171" s="19">
        <v>14.8104</v>
      </c>
      <c r="AE171" s="19">
        <v>31.293600000000001</v>
      </c>
      <c r="AF171" s="19">
        <v>9.3839999999999986</v>
      </c>
      <c r="AG171" s="19">
        <v>0</v>
      </c>
      <c r="AH171" s="19">
        <v>24.072000000000003</v>
      </c>
      <c r="AI171" s="19">
        <v>13.137600000000001</v>
      </c>
      <c r="AJ171" s="19">
        <v>1.3464</v>
      </c>
      <c r="AK171" s="19">
        <v>31.293600000000001</v>
      </c>
      <c r="AL171" s="19">
        <v>0</v>
      </c>
      <c r="AM171" s="19">
        <v>0</v>
      </c>
      <c r="AN171" s="19">
        <v>0</v>
      </c>
      <c r="AO171" s="19">
        <v>22.521599999999999</v>
      </c>
      <c r="AP171" s="19">
        <v>14.8104</v>
      </c>
      <c r="AQ171" s="19">
        <v>31.293600000000001</v>
      </c>
      <c r="AR171" s="19">
        <v>0</v>
      </c>
      <c r="AS171" s="19">
        <v>0</v>
      </c>
      <c r="AT171" s="19">
        <v>0</v>
      </c>
      <c r="AU171" s="19">
        <v>22.521599999999999</v>
      </c>
      <c r="AV171" s="19">
        <v>14.8104</v>
      </c>
      <c r="AW171" s="19">
        <v>31.293600000000001</v>
      </c>
      <c r="AX171" s="19">
        <v>0</v>
      </c>
      <c r="AY171" s="19">
        <v>0</v>
      </c>
      <c r="AZ171" s="19">
        <v>0</v>
      </c>
      <c r="BA171" s="19">
        <v>22.521599999999999</v>
      </c>
      <c r="BB171" s="19">
        <v>14.8104</v>
      </c>
      <c r="BC171" s="19">
        <v>31.293600000000001</v>
      </c>
      <c r="BD171" s="19">
        <v>0</v>
      </c>
      <c r="BE171" s="19">
        <v>0</v>
      </c>
      <c r="BF171" s="19">
        <v>0</v>
      </c>
      <c r="BG171" s="19">
        <v>22.521599999999999</v>
      </c>
      <c r="BH171" s="19">
        <v>14.8104</v>
      </c>
      <c r="BI171" s="19">
        <v>31.293600000000001</v>
      </c>
      <c r="BJ171" s="19">
        <v>0</v>
      </c>
      <c r="BK171" s="19">
        <v>0</v>
      </c>
      <c r="BL171" s="19">
        <v>0</v>
      </c>
      <c r="BM171" s="19">
        <v>22.521599999999999</v>
      </c>
      <c r="BN171" s="19">
        <v>14.8104</v>
      </c>
      <c r="BO171" s="19">
        <v>31.293600000000001</v>
      </c>
      <c r="BP171" s="19"/>
      <c r="BQ17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18.976533333333336</v>
      </c>
      <c r="BS17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31.293600000000001</v>
      </c>
      <c r="BT171" s="11">
        <f>Tabelle5897112140[[#This Row],[Mindestauslastung min]]*Tabelle5897112140[[#This Row],[installierte Leistung MW min]]</f>
        <v>0</v>
      </c>
      <c r="BU171" s="11">
        <f>Tabelle5897112140[[#This Row],[Mindestauslastung durch]]*Tabelle5897112140[[#This Row],[installierte Leistung MW durch]]</f>
        <v>0</v>
      </c>
      <c r="BV171" s="11">
        <f>Tabelle5897112140[[#This Row],[Mindestauslastung max]]*Tabelle5897112140[[#This Row],[installierte Leistung MW max]]</f>
        <v>0</v>
      </c>
      <c r="BW171" s="9">
        <v>0</v>
      </c>
      <c r="BX171" s="9">
        <v>0</v>
      </c>
      <c r="BY171" s="9">
        <v>0</v>
      </c>
      <c r="BZ171" s="9"/>
      <c r="CA171" s="9">
        <v>0.47</v>
      </c>
      <c r="CB171" s="9">
        <v>0.37</v>
      </c>
      <c r="CC171" s="9">
        <v>0.56999999999999995</v>
      </c>
      <c r="CD171" s="9">
        <v>0</v>
      </c>
      <c r="CE171" s="9">
        <v>0</v>
      </c>
      <c r="CF171" s="9">
        <v>0</v>
      </c>
      <c r="CG171" s="9">
        <v>0</v>
      </c>
      <c r="CH171" s="9">
        <v>0</v>
      </c>
      <c r="CI171" s="9">
        <v>0</v>
      </c>
      <c r="CJ171" s="9">
        <v>0.1</v>
      </c>
      <c r="CK171" s="9">
        <v>0</v>
      </c>
      <c r="CL171" s="9">
        <v>0.2</v>
      </c>
      <c r="CM171" s="9">
        <v>0</v>
      </c>
      <c r="CN171" s="9">
        <v>0</v>
      </c>
      <c r="CO171" s="9">
        <v>0</v>
      </c>
      <c r="CP171" s="9">
        <v>0</v>
      </c>
      <c r="CQ171" s="9">
        <v>0</v>
      </c>
      <c r="CR171" s="9">
        <v>0</v>
      </c>
      <c r="CS171" s="9">
        <v>0</v>
      </c>
      <c r="CT171" s="9">
        <v>0</v>
      </c>
      <c r="CU171" s="9">
        <v>0</v>
      </c>
      <c r="CV171" s="9">
        <v>0</v>
      </c>
      <c r="CW171" s="9">
        <v>0</v>
      </c>
      <c r="CX171" s="9">
        <v>0</v>
      </c>
      <c r="CY171" s="9">
        <v>0</v>
      </c>
      <c r="CZ171" s="9">
        <v>0</v>
      </c>
      <c r="DA171" s="9">
        <v>0</v>
      </c>
      <c r="DB171" s="9">
        <f>MIN(Tabelle5897112140[[#This Row],[Durchschnittsauslastung durch Sommer WTT]:[Durchschnittsauslastung max Winter SFN]])</f>
        <v>0</v>
      </c>
      <c r="DC17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1" s="9">
        <f>MAX(Tabelle5897112140[[#This Row],[Durchschnittsauslastung durch Sommer WTT]:[Durchschnittsauslastung max Winter SFN]])</f>
        <v>0.56999999999999995</v>
      </c>
      <c r="DE171" s="40">
        <f>Tabelle5897112140[[#This Row],[Durchschnittsauslastung min]]*Tabelle5897112140[[#This Row],[installierte Leistung MW min]]</f>
        <v>0</v>
      </c>
      <c r="DF171" s="40">
        <f>Tabelle5897112140[[#This Row],[Durchschnittsauslastung durch]]*Tabelle5897112140[[#This Row],[installierte Leistung MW durch]]</f>
        <v>5.9431999999999992</v>
      </c>
      <c r="DG171" s="40">
        <f>Tabelle5897112140[[#This Row],[Durchschnittsauslastung max]]*Tabelle5897112140[[#This Row],[installierte Leistung MW max]]</f>
        <v>68.605199999999996</v>
      </c>
      <c r="DH171" s="46">
        <f>Tabelle5897112140[[#This Row],[Maximalauslastung min]]*Tabelle5897112140[[#This Row],[installierte Leistung MW min]]</f>
        <v>20.195999999999998</v>
      </c>
      <c r="DI171" s="46">
        <f>Tabelle5897112140[[#This Row],[Maximalauslastung durch]]*Tabelle5897112140[[#This Row],[installierte Leistung MW durch]]</f>
        <v>30.967200000000002</v>
      </c>
      <c r="DJ171" s="19">
        <f>Tabelle5897112140[[#This Row],[Maximalauslastung max]]*Tabelle5897112140[[#This Row],[installierte Leistung MW durch]]</f>
        <v>33.782400000000003</v>
      </c>
      <c r="DK171" s="9">
        <v>0.3</v>
      </c>
      <c r="DL171" s="9">
        <v>0.33</v>
      </c>
      <c r="DM171" s="9">
        <v>0.36</v>
      </c>
      <c r="DN171" s="1">
        <v>93.84</v>
      </c>
      <c r="DO171" s="1">
        <v>67.319999999999993</v>
      </c>
      <c r="DP171" s="1">
        <v>120.36</v>
      </c>
      <c r="DQ171" s="19"/>
      <c r="DR171" s="19"/>
      <c r="EL171" s="1">
        <v>365</v>
      </c>
      <c r="EM171" s="1">
        <v>292</v>
      </c>
      <c r="EN171" s="1">
        <v>438</v>
      </c>
      <c r="EO171" s="11"/>
      <c r="EP171" s="11"/>
      <c r="EQ171" s="11"/>
      <c r="ER171" s="1">
        <v>365</v>
      </c>
      <c r="ES171" s="1">
        <v>292</v>
      </c>
      <c r="ET171" s="1">
        <v>438</v>
      </c>
      <c r="EV171" s="19"/>
      <c r="EW171" s="19"/>
      <c r="EX171" s="19"/>
      <c r="EY171" s="19"/>
      <c r="EZ171" s="19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O171" s="1">
        <v>67</v>
      </c>
      <c r="FP171" s="1">
        <v>67</v>
      </c>
      <c r="FQ171" s="1">
        <v>67</v>
      </c>
      <c r="FR171" s="13" t="s">
        <v>806</v>
      </c>
      <c r="FS171" s="13" t="s">
        <v>806</v>
      </c>
      <c r="FT171" s="13" t="s">
        <v>806</v>
      </c>
      <c r="FU171" s="13"/>
      <c r="FV171" s="13" t="s">
        <v>806</v>
      </c>
      <c r="FW171" s="13" t="s">
        <v>806</v>
      </c>
      <c r="FX171" s="13" t="s">
        <v>806</v>
      </c>
      <c r="FY171" s="13" t="s">
        <v>806</v>
      </c>
      <c r="FZ171" s="13" t="s">
        <v>806</v>
      </c>
      <c r="GA171" s="13" t="s">
        <v>806</v>
      </c>
      <c r="GB171" s="13" t="s">
        <v>806</v>
      </c>
      <c r="GE171" s="13" t="s">
        <v>806</v>
      </c>
      <c r="GF171" s="13" t="s">
        <v>806</v>
      </c>
      <c r="GH171" s="13" t="s">
        <v>806</v>
      </c>
    </row>
    <row r="172" spans="1:190" ht="12.75" customHeight="1" x14ac:dyDescent="0.25">
      <c r="A172" s="1" t="s">
        <v>362</v>
      </c>
      <c r="B172" s="1" t="s">
        <v>650</v>
      </c>
      <c r="C172" s="1" t="s">
        <v>662</v>
      </c>
      <c r="D172" s="1" t="s">
        <v>692</v>
      </c>
      <c r="E172" s="1" t="s">
        <v>126</v>
      </c>
      <c r="F172" s="1">
        <v>0</v>
      </c>
      <c r="G172" s="1">
        <v>2025</v>
      </c>
      <c r="H172" s="1">
        <v>1</v>
      </c>
      <c r="I172" s="1">
        <v>0</v>
      </c>
      <c r="J172" s="1">
        <v>0</v>
      </c>
      <c r="K17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6.0597333333333339</v>
      </c>
      <c r="M17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69.950400000000002</v>
      </c>
      <c r="N172" s="19">
        <v>44.969600000000007</v>
      </c>
      <c r="O172" s="19">
        <v>25.396800000000002</v>
      </c>
      <c r="P172" s="19">
        <v>69.950400000000002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22.963200000000001</v>
      </c>
      <c r="X172" s="19">
        <v>15.1008</v>
      </c>
      <c r="Y172" s="19">
        <v>31.9072</v>
      </c>
      <c r="Z172" s="19">
        <v>0</v>
      </c>
      <c r="AA172" s="19">
        <v>0</v>
      </c>
      <c r="AB172" s="19">
        <v>0</v>
      </c>
      <c r="AC172" s="19">
        <v>22.963200000000001</v>
      </c>
      <c r="AD172" s="19">
        <v>15.1008</v>
      </c>
      <c r="AE172" s="19">
        <v>31.9072</v>
      </c>
      <c r="AF172" s="19">
        <v>9.5679999999999996</v>
      </c>
      <c r="AG172" s="19">
        <v>0</v>
      </c>
      <c r="AH172" s="19">
        <v>24.544000000000004</v>
      </c>
      <c r="AI172" s="19">
        <v>13.395200000000001</v>
      </c>
      <c r="AJ172" s="19">
        <v>1.3728</v>
      </c>
      <c r="AK172" s="19">
        <v>31.9072</v>
      </c>
      <c r="AL172" s="19">
        <v>0</v>
      </c>
      <c r="AM172" s="19">
        <v>0</v>
      </c>
      <c r="AN172" s="19">
        <v>0</v>
      </c>
      <c r="AO172" s="19">
        <v>22.963200000000001</v>
      </c>
      <c r="AP172" s="19">
        <v>15.1008</v>
      </c>
      <c r="AQ172" s="19">
        <v>31.9072</v>
      </c>
      <c r="AR172" s="19">
        <v>0</v>
      </c>
      <c r="AS172" s="19">
        <v>0</v>
      </c>
      <c r="AT172" s="19">
        <v>0</v>
      </c>
      <c r="AU172" s="19">
        <v>22.963200000000001</v>
      </c>
      <c r="AV172" s="19">
        <v>15.1008</v>
      </c>
      <c r="AW172" s="19">
        <v>31.9072</v>
      </c>
      <c r="AX172" s="19">
        <v>0</v>
      </c>
      <c r="AY172" s="19">
        <v>0</v>
      </c>
      <c r="AZ172" s="19">
        <v>0</v>
      </c>
      <c r="BA172" s="19">
        <v>22.963200000000001</v>
      </c>
      <c r="BB172" s="19">
        <v>15.1008</v>
      </c>
      <c r="BC172" s="19">
        <v>31.9072</v>
      </c>
      <c r="BD172" s="19">
        <v>0</v>
      </c>
      <c r="BE172" s="19">
        <v>0</v>
      </c>
      <c r="BF172" s="19">
        <v>0</v>
      </c>
      <c r="BG172" s="19">
        <v>22.963200000000001</v>
      </c>
      <c r="BH172" s="19">
        <v>15.1008</v>
      </c>
      <c r="BI172" s="19">
        <v>31.9072</v>
      </c>
      <c r="BJ172" s="19">
        <v>0</v>
      </c>
      <c r="BK172" s="19">
        <v>0</v>
      </c>
      <c r="BL172" s="19">
        <v>0</v>
      </c>
      <c r="BM172" s="19">
        <v>22.963200000000001</v>
      </c>
      <c r="BN172" s="19">
        <v>15.1008</v>
      </c>
      <c r="BO172" s="19">
        <v>31.9072</v>
      </c>
      <c r="BP172" s="19"/>
      <c r="BQ17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19.348622222222225</v>
      </c>
      <c r="BS17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31.9072</v>
      </c>
      <c r="BT172" s="11">
        <f>Tabelle5897112140[[#This Row],[Mindestauslastung min]]*Tabelle5897112140[[#This Row],[installierte Leistung MW min]]</f>
        <v>0</v>
      </c>
      <c r="BU172" s="11">
        <f>Tabelle5897112140[[#This Row],[Mindestauslastung durch]]*Tabelle5897112140[[#This Row],[installierte Leistung MW durch]]</f>
        <v>0</v>
      </c>
      <c r="BV172" s="11">
        <f>Tabelle5897112140[[#This Row],[Mindestauslastung max]]*Tabelle5897112140[[#This Row],[installierte Leistung MW max]]</f>
        <v>0</v>
      </c>
      <c r="BW172" s="9">
        <v>0</v>
      </c>
      <c r="BX172" s="9">
        <v>0</v>
      </c>
      <c r="BY172" s="9">
        <v>0</v>
      </c>
      <c r="BZ172" s="9"/>
      <c r="CA172" s="9">
        <v>0.47</v>
      </c>
      <c r="CB172" s="9">
        <v>0.37</v>
      </c>
      <c r="CC172" s="9">
        <v>0.56999999999999995</v>
      </c>
      <c r="CD172" s="9">
        <v>0</v>
      </c>
      <c r="CE172" s="9">
        <v>0</v>
      </c>
      <c r="CF172" s="9">
        <v>0</v>
      </c>
      <c r="CG172" s="9">
        <v>0</v>
      </c>
      <c r="CH172" s="9">
        <v>0</v>
      </c>
      <c r="CI172" s="9">
        <v>0</v>
      </c>
      <c r="CJ172" s="9">
        <v>0.1</v>
      </c>
      <c r="CK172" s="9">
        <v>0</v>
      </c>
      <c r="CL172" s="9">
        <v>0.2</v>
      </c>
      <c r="CM172" s="9">
        <v>0</v>
      </c>
      <c r="CN172" s="9">
        <v>0</v>
      </c>
      <c r="CO172" s="9">
        <v>0</v>
      </c>
      <c r="CP172" s="9">
        <v>0</v>
      </c>
      <c r="CQ172" s="9">
        <v>0</v>
      </c>
      <c r="CR172" s="9">
        <v>0</v>
      </c>
      <c r="CS172" s="9">
        <v>0</v>
      </c>
      <c r="CT172" s="9">
        <v>0</v>
      </c>
      <c r="CU172" s="9">
        <v>0</v>
      </c>
      <c r="CV172" s="9">
        <v>0</v>
      </c>
      <c r="CW172" s="9">
        <v>0</v>
      </c>
      <c r="CX172" s="9">
        <v>0</v>
      </c>
      <c r="CY172" s="9">
        <v>0</v>
      </c>
      <c r="CZ172" s="9">
        <v>0</v>
      </c>
      <c r="DA172" s="9">
        <v>0</v>
      </c>
      <c r="DB172" s="9">
        <f>MIN(Tabelle5897112140[[#This Row],[Durchschnittsauslastung durch Sommer WTT]:[Durchschnittsauslastung max Winter SFN]])</f>
        <v>0</v>
      </c>
      <c r="DC17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2" s="9">
        <f>MAX(Tabelle5897112140[[#This Row],[Durchschnittsauslastung durch Sommer WTT]:[Durchschnittsauslastung max Winter SFN]])</f>
        <v>0.56999999999999995</v>
      </c>
      <c r="DE172" s="40">
        <f>Tabelle5897112140[[#This Row],[Durchschnittsauslastung min]]*Tabelle5897112140[[#This Row],[installierte Leistung MW min]]</f>
        <v>0</v>
      </c>
      <c r="DF172" s="40">
        <f>Tabelle5897112140[[#This Row],[Durchschnittsauslastung durch]]*Tabelle5897112140[[#This Row],[installierte Leistung MW durch]]</f>
        <v>6.059733333333333</v>
      </c>
      <c r="DG172" s="40">
        <f>Tabelle5897112140[[#This Row],[Durchschnittsauslastung max]]*Tabelle5897112140[[#This Row],[installierte Leistung MW max]]</f>
        <v>69.950399999999988</v>
      </c>
      <c r="DH172" s="46">
        <f>Tabelle5897112140[[#This Row],[Maximalauslastung min]]*Tabelle5897112140[[#This Row],[installierte Leistung MW min]]</f>
        <v>20.591999999999999</v>
      </c>
      <c r="DI172" s="46">
        <f>Tabelle5897112140[[#This Row],[Maximalauslastung durch]]*Tabelle5897112140[[#This Row],[installierte Leistung MW durch]]</f>
        <v>31.574400000000004</v>
      </c>
      <c r="DJ172" s="19">
        <f>Tabelle5897112140[[#This Row],[Maximalauslastung max]]*Tabelle5897112140[[#This Row],[installierte Leistung MW durch]]</f>
        <v>34.444800000000001</v>
      </c>
      <c r="DK172" s="9">
        <v>0.3</v>
      </c>
      <c r="DL172" s="9">
        <v>0.33</v>
      </c>
      <c r="DM172" s="9">
        <v>0.36</v>
      </c>
      <c r="DN172" s="1">
        <v>95.68</v>
      </c>
      <c r="DO172" s="1">
        <v>68.64</v>
      </c>
      <c r="DP172" s="1">
        <v>122.72</v>
      </c>
      <c r="DQ172" s="19"/>
      <c r="DR172" s="19"/>
      <c r="EL172" s="1">
        <v>365</v>
      </c>
      <c r="EM172" s="1">
        <v>292</v>
      </c>
      <c r="EN172" s="1">
        <v>438</v>
      </c>
      <c r="EO172" s="11"/>
      <c r="EP172" s="11"/>
      <c r="EQ172" s="11"/>
      <c r="ER172" s="1">
        <v>365</v>
      </c>
      <c r="ES172" s="1">
        <v>292</v>
      </c>
      <c r="ET172" s="1">
        <v>438</v>
      </c>
      <c r="EV172" s="19"/>
      <c r="EW172" s="19"/>
      <c r="EX172" s="19"/>
      <c r="EY172" s="19"/>
      <c r="EZ172" s="19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O172" s="1">
        <v>67</v>
      </c>
      <c r="FP172" s="1">
        <v>67</v>
      </c>
      <c r="FQ172" s="1">
        <v>67</v>
      </c>
      <c r="FR172" s="13" t="s">
        <v>806</v>
      </c>
      <c r="FS172" s="13" t="s">
        <v>806</v>
      </c>
      <c r="FT172" s="13" t="s">
        <v>806</v>
      </c>
      <c r="FU172" s="13"/>
      <c r="FV172" s="13" t="s">
        <v>806</v>
      </c>
      <c r="FW172" s="13" t="s">
        <v>806</v>
      </c>
      <c r="FX172" s="13" t="s">
        <v>806</v>
      </c>
      <c r="FY172" s="13" t="s">
        <v>806</v>
      </c>
      <c r="FZ172" s="13" t="s">
        <v>806</v>
      </c>
      <c r="GA172" s="13" t="s">
        <v>806</v>
      </c>
      <c r="GB172" s="13" t="s">
        <v>806</v>
      </c>
      <c r="GE172" s="13" t="s">
        <v>806</v>
      </c>
      <c r="GF172" s="13" t="s">
        <v>806</v>
      </c>
      <c r="GH172" s="13" t="s">
        <v>806</v>
      </c>
    </row>
    <row r="173" spans="1:190" ht="12.75" customHeight="1" x14ac:dyDescent="0.25">
      <c r="A173" s="1" t="s">
        <v>362</v>
      </c>
      <c r="B173" s="1" t="s">
        <v>650</v>
      </c>
      <c r="C173" s="1" t="s">
        <v>662</v>
      </c>
      <c r="D173" s="1" t="s">
        <v>692</v>
      </c>
      <c r="E173" s="1" t="s">
        <v>126</v>
      </c>
      <c r="F173" s="1">
        <v>0</v>
      </c>
      <c r="G173" s="1">
        <v>2030</v>
      </c>
      <c r="H173" s="1">
        <v>1</v>
      </c>
      <c r="I173" s="1">
        <v>0</v>
      </c>
      <c r="J173" s="1">
        <v>0</v>
      </c>
      <c r="K17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6.2345333333333341</v>
      </c>
      <c r="M17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71.96820000000001</v>
      </c>
      <c r="N173" s="19">
        <v>46.266800000000003</v>
      </c>
      <c r="O173" s="19">
        <v>26.129400000000004</v>
      </c>
      <c r="P173" s="19">
        <v>71.96820000000001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23.625599999999999</v>
      </c>
      <c r="X173" s="19">
        <v>15.5364</v>
      </c>
      <c r="Y173" s="19">
        <v>32.827600000000004</v>
      </c>
      <c r="Z173" s="19">
        <v>0</v>
      </c>
      <c r="AA173" s="19">
        <v>0</v>
      </c>
      <c r="AB173" s="19">
        <v>0</v>
      </c>
      <c r="AC173" s="19">
        <v>23.625599999999999</v>
      </c>
      <c r="AD173" s="19">
        <v>15.5364</v>
      </c>
      <c r="AE173" s="19">
        <v>32.827600000000004</v>
      </c>
      <c r="AF173" s="19">
        <v>9.8439999999999994</v>
      </c>
      <c r="AG173" s="19">
        <v>0</v>
      </c>
      <c r="AH173" s="19">
        <v>25.252000000000002</v>
      </c>
      <c r="AI173" s="19">
        <v>13.781600000000001</v>
      </c>
      <c r="AJ173" s="19">
        <v>1.4124000000000001</v>
      </c>
      <c r="AK173" s="19">
        <v>32.827600000000004</v>
      </c>
      <c r="AL173" s="19">
        <v>0</v>
      </c>
      <c r="AM173" s="19">
        <v>0</v>
      </c>
      <c r="AN173" s="19">
        <v>0</v>
      </c>
      <c r="AO173" s="19">
        <v>23.625599999999999</v>
      </c>
      <c r="AP173" s="19">
        <v>15.5364</v>
      </c>
      <c r="AQ173" s="19">
        <v>32.827600000000004</v>
      </c>
      <c r="AR173" s="19">
        <v>0</v>
      </c>
      <c r="AS173" s="19">
        <v>0</v>
      </c>
      <c r="AT173" s="19">
        <v>0</v>
      </c>
      <c r="AU173" s="19">
        <v>23.625599999999999</v>
      </c>
      <c r="AV173" s="19">
        <v>15.5364</v>
      </c>
      <c r="AW173" s="19">
        <v>32.827600000000004</v>
      </c>
      <c r="AX173" s="19">
        <v>0</v>
      </c>
      <c r="AY173" s="19">
        <v>0</v>
      </c>
      <c r="AZ173" s="19">
        <v>0</v>
      </c>
      <c r="BA173" s="19">
        <v>23.625599999999999</v>
      </c>
      <c r="BB173" s="19">
        <v>15.5364</v>
      </c>
      <c r="BC173" s="19">
        <v>32.827600000000004</v>
      </c>
      <c r="BD173" s="19">
        <v>0</v>
      </c>
      <c r="BE173" s="19">
        <v>0</v>
      </c>
      <c r="BF173" s="19">
        <v>0</v>
      </c>
      <c r="BG173" s="19">
        <v>23.625599999999999</v>
      </c>
      <c r="BH173" s="19">
        <v>15.5364</v>
      </c>
      <c r="BI173" s="19">
        <v>32.827600000000004</v>
      </c>
      <c r="BJ173" s="19">
        <v>0</v>
      </c>
      <c r="BK173" s="19">
        <v>0</v>
      </c>
      <c r="BL173" s="19">
        <v>0</v>
      </c>
      <c r="BM173" s="19">
        <v>23.625599999999999</v>
      </c>
      <c r="BN173" s="19">
        <v>15.5364</v>
      </c>
      <c r="BO173" s="19">
        <v>32.827600000000004</v>
      </c>
      <c r="BP173" s="19"/>
      <c r="BQ17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19.906755555555552</v>
      </c>
      <c r="BS17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32.827600000000004</v>
      </c>
      <c r="BT173" s="11">
        <f>Tabelle5897112140[[#This Row],[Mindestauslastung min]]*Tabelle5897112140[[#This Row],[installierte Leistung MW min]]</f>
        <v>0</v>
      </c>
      <c r="BU173" s="11">
        <f>Tabelle5897112140[[#This Row],[Mindestauslastung durch]]*Tabelle5897112140[[#This Row],[installierte Leistung MW durch]]</f>
        <v>0</v>
      </c>
      <c r="BV173" s="11">
        <f>Tabelle5897112140[[#This Row],[Mindestauslastung max]]*Tabelle5897112140[[#This Row],[installierte Leistung MW max]]</f>
        <v>0</v>
      </c>
      <c r="BW173" s="9">
        <v>0</v>
      </c>
      <c r="BX173" s="9">
        <v>0</v>
      </c>
      <c r="BY173" s="9">
        <v>0</v>
      </c>
      <c r="BZ173" s="9"/>
      <c r="CA173" s="9">
        <v>0.47</v>
      </c>
      <c r="CB173" s="9">
        <v>0.37</v>
      </c>
      <c r="CC173" s="9">
        <v>0.56999999999999995</v>
      </c>
      <c r="CD173" s="9">
        <v>0</v>
      </c>
      <c r="CE173" s="9">
        <v>0</v>
      </c>
      <c r="CF173" s="9">
        <v>0</v>
      </c>
      <c r="CG173" s="9">
        <v>0</v>
      </c>
      <c r="CH173" s="9">
        <v>0</v>
      </c>
      <c r="CI173" s="9">
        <v>0</v>
      </c>
      <c r="CJ173" s="9">
        <v>0.1</v>
      </c>
      <c r="CK173" s="9">
        <v>0</v>
      </c>
      <c r="CL173" s="9">
        <v>0.2</v>
      </c>
      <c r="CM173" s="9">
        <v>0</v>
      </c>
      <c r="CN173" s="9">
        <v>0</v>
      </c>
      <c r="CO173" s="9">
        <v>0</v>
      </c>
      <c r="CP173" s="9">
        <v>0</v>
      </c>
      <c r="CQ173" s="9">
        <v>0</v>
      </c>
      <c r="CR173" s="9">
        <v>0</v>
      </c>
      <c r="CS173" s="9">
        <v>0</v>
      </c>
      <c r="CT173" s="9">
        <v>0</v>
      </c>
      <c r="CU173" s="9">
        <v>0</v>
      </c>
      <c r="CV173" s="9">
        <v>0</v>
      </c>
      <c r="CW173" s="9">
        <v>0</v>
      </c>
      <c r="CX173" s="9">
        <v>0</v>
      </c>
      <c r="CY173" s="9">
        <v>0</v>
      </c>
      <c r="CZ173" s="9">
        <v>0</v>
      </c>
      <c r="DA173" s="9">
        <v>0</v>
      </c>
      <c r="DB173" s="9">
        <f>MIN(Tabelle5897112140[[#This Row],[Durchschnittsauslastung durch Sommer WTT]:[Durchschnittsauslastung max Winter SFN]])</f>
        <v>0</v>
      </c>
      <c r="DC17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3" s="9">
        <f>MAX(Tabelle5897112140[[#This Row],[Durchschnittsauslastung durch Sommer WTT]:[Durchschnittsauslastung max Winter SFN]])</f>
        <v>0.56999999999999995</v>
      </c>
      <c r="DE173" s="40">
        <f>Tabelle5897112140[[#This Row],[Durchschnittsauslastung min]]*Tabelle5897112140[[#This Row],[installierte Leistung MW min]]</f>
        <v>0</v>
      </c>
      <c r="DF173" s="40">
        <f>Tabelle5897112140[[#This Row],[Durchschnittsauslastung durch]]*Tabelle5897112140[[#This Row],[installierte Leistung MW durch]]</f>
        <v>6.2345333333333324</v>
      </c>
      <c r="DG173" s="40">
        <f>Tabelle5897112140[[#This Row],[Durchschnittsauslastung max]]*Tabelle5897112140[[#This Row],[installierte Leistung MW max]]</f>
        <v>71.968199999999996</v>
      </c>
      <c r="DH173" s="46">
        <f>Tabelle5897112140[[#This Row],[Maximalauslastung min]]*Tabelle5897112140[[#This Row],[installierte Leistung MW min]]</f>
        <v>21.186</v>
      </c>
      <c r="DI173" s="46">
        <f>Tabelle5897112140[[#This Row],[Maximalauslastung durch]]*Tabelle5897112140[[#This Row],[installierte Leistung MW durch]]</f>
        <v>32.485199999999999</v>
      </c>
      <c r="DJ173" s="19">
        <f>Tabelle5897112140[[#This Row],[Maximalauslastung max]]*Tabelle5897112140[[#This Row],[installierte Leistung MW durch]]</f>
        <v>35.438399999999994</v>
      </c>
      <c r="DK173" s="9">
        <v>0.3</v>
      </c>
      <c r="DL173" s="9">
        <v>0.33</v>
      </c>
      <c r="DM173" s="9">
        <v>0.36</v>
      </c>
      <c r="DN173" s="1">
        <v>98.44</v>
      </c>
      <c r="DO173" s="1">
        <v>70.62</v>
      </c>
      <c r="DP173" s="1">
        <v>126.26</v>
      </c>
      <c r="DQ173" s="19"/>
      <c r="DR173" s="19"/>
      <c r="EL173" s="1">
        <v>365</v>
      </c>
      <c r="EM173" s="1">
        <v>292</v>
      </c>
      <c r="EN173" s="1">
        <v>438</v>
      </c>
      <c r="EO173" s="11"/>
      <c r="EP173" s="11"/>
      <c r="EQ173" s="11"/>
      <c r="ER173" s="1">
        <v>365</v>
      </c>
      <c r="ES173" s="1">
        <v>292</v>
      </c>
      <c r="ET173" s="1">
        <v>438</v>
      </c>
      <c r="EV173" s="19"/>
      <c r="EW173" s="19"/>
      <c r="EX173" s="19"/>
      <c r="EY173" s="19"/>
      <c r="EZ173" s="19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O173" s="1">
        <v>67</v>
      </c>
      <c r="FP173" s="1">
        <v>67</v>
      </c>
      <c r="FQ173" s="1">
        <v>67</v>
      </c>
      <c r="FR173" s="13" t="s">
        <v>806</v>
      </c>
      <c r="FS173" s="13" t="s">
        <v>806</v>
      </c>
      <c r="FT173" s="13" t="s">
        <v>806</v>
      </c>
      <c r="FU173" s="13"/>
      <c r="FV173" s="13" t="s">
        <v>806</v>
      </c>
      <c r="FW173" s="13" t="s">
        <v>806</v>
      </c>
      <c r="FX173" s="13" t="s">
        <v>806</v>
      </c>
      <c r="FY173" s="13" t="s">
        <v>806</v>
      </c>
      <c r="FZ173" s="13" t="s">
        <v>806</v>
      </c>
      <c r="GA173" s="13" t="s">
        <v>806</v>
      </c>
      <c r="GB173" s="13" t="s">
        <v>806</v>
      </c>
      <c r="GE173" s="13" t="s">
        <v>806</v>
      </c>
      <c r="GF173" s="13" t="s">
        <v>806</v>
      </c>
      <c r="GH173" s="13" t="s">
        <v>806</v>
      </c>
    </row>
    <row r="174" spans="1:190" ht="12.75" customHeight="1" x14ac:dyDescent="0.25">
      <c r="A174" s="1" t="s">
        <v>362</v>
      </c>
      <c r="B174" s="1" t="s">
        <v>650</v>
      </c>
      <c r="C174" s="1" t="s">
        <v>662</v>
      </c>
      <c r="D174" s="1" t="s">
        <v>692</v>
      </c>
      <c r="E174" s="1" t="s">
        <v>126</v>
      </c>
      <c r="F174" s="1">
        <v>0</v>
      </c>
      <c r="G174" s="1">
        <v>2035</v>
      </c>
      <c r="H174" s="1">
        <v>1</v>
      </c>
      <c r="I174" s="1">
        <v>0</v>
      </c>
      <c r="J174" s="1">
        <v>0</v>
      </c>
      <c r="K17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6.3510666666666671</v>
      </c>
      <c r="M17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73.313400000000016</v>
      </c>
      <c r="N174" s="19">
        <v>47.131600000000006</v>
      </c>
      <c r="O174" s="19">
        <v>26.617800000000003</v>
      </c>
      <c r="P174" s="19">
        <v>73.313400000000016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24.0672</v>
      </c>
      <c r="X174" s="19">
        <v>15.8268</v>
      </c>
      <c r="Y174" s="19">
        <v>33.441200000000002</v>
      </c>
      <c r="Z174" s="19">
        <v>0</v>
      </c>
      <c r="AA174" s="19">
        <v>0</v>
      </c>
      <c r="AB174" s="19">
        <v>0</v>
      </c>
      <c r="AC174" s="19">
        <v>24.0672</v>
      </c>
      <c r="AD174" s="19">
        <v>15.8268</v>
      </c>
      <c r="AE174" s="19">
        <v>33.441200000000002</v>
      </c>
      <c r="AF174" s="19">
        <v>10.028</v>
      </c>
      <c r="AG174" s="19">
        <v>0</v>
      </c>
      <c r="AH174" s="19">
        <v>25.724000000000004</v>
      </c>
      <c r="AI174" s="19">
        <v>14.039200000000001</v>
      </c>
      <c r="AJ174" s="19">
        <v>1.4388000000000001</v>
      </c>
      <c r="AK174" s="19">
        <v>33.441200000000002</v>
      </c>
      <c r="AL174" s="19">
        <v>0</v>
      </c>
      <c r="AM174" s="19">
        <v>0</v>
      </c>
      <c r="AN174" s="19">
        <v>0</v>
      </c>
      <c r="AO174" s="19">
        <v>24.0672</v>
      </c>
      <c r="AP174" s="19">
        <v>15.8268</v>
      </c>
      <c r="AQ174" s="19">
        <v>33.441200000000002</v>
      </c>
      <c r="AR174" s="19">
        <v>0</v>
      </c>
      <c r="AS174" s="19">
        <v>0</v>
      </c>
      <c r="AT174" s="19">
        <v>0</v>
      </c>
      <c r="AU174" s="19">
        <v>24.0672</v>
      </c>
      <c r="AV174" s="19">
        <v>15.8268</v>
      </c>
      <c r="AW174" s="19">
        <v>33.441200000000002</v>
      </c>
      <c r="AX174" s="19">
        <v>0</v>
      </c>
      <c r="AY174" s="19">
        <v>0</v>
      </c>
      <c r="AZ174" s="19">
        <v>0</v>
      </c>
      <c r="BA174" s="19">
        <v>24.0672</v>
      </c>
      <c r="BB174" s="19">
        <v>15.8268</v>
      </c>
      <c r="BC174" s="19">
        <v>33.441200000000002</v>
      </c>
      <c r="BD174" s="19">
        <v>0</v>
      </c>
      <c r="BE174" s="19">
        <v>0</v>
      </c>
      <c r="BF174" s="19">
        <v>0</v>
      </c>
      <c r="BG174" s="19">
        <v>24.0672</v>
      </c>
      <c r="BH174" s="19">
        <v>15.8268</v>
      </c>
      <c r="BI174" s="19">
        <v>33.441200000000002</v>
      </c>
      <c r="BJ174" s="19">
        <v>0</v>
      </c>
      <c r="BK174" s="19">
        <v>0</v>
      </c>
      <c r="BL174" s="19">
        <v>0</v>
      </c>
      <c r="BM174" s="19">
        <v>24.0672</v>
      </c>
      <c r="BN174" s="19">
        <v>15.8268</v>
      </c>
      <c r="BO174" s="19">
        <v>33.441200000000002</v>
      </c>
      <c r="BP174" s="19"/>
      <c r="BQ17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20.278844444444449</v>
      </c>
      <c r="BS17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33.441200000000002</v>
      </c>
      <c r="BT174" s="11">
        <f>Tabelle5897112140[[#This Row],[Mindestauslastung min]]*Tabelle5897112140[[#This Row],[installierte Leistung MW min]]</f>
        <v>0</v>
      </c>
      <c r="BU174" s="11">
        <f>Tabelle5897112140[[#This Row],[Mindestauslastung durch]]*Tabelle5897112140[[#This Row],[installierte Leistung MW durch]]</f>
        <v>0</v>
      </c>
      <c r="BV174" s="11">
        <f>Tabelle5897112140[[#This Row],[Mindestauslastung max]]*Tabelle5897112140[[#This Row],[installierte Leistung MW max]]</f>
        <v>0</v>
      </c>
      <c r="BW174" s="9">
        <v>0</v>
      </c>
      <c r="BX174" s="9">
        <v>0</v>
      </c>
      <c r="BY174" s="9">
        <v>0</v>
      </c>
      <c r="BZ174" s="9"/>
      <c r="CA174" s="9">
        <v>0.47</v>
      </c>
      <c r="CB174" s="9">
        <v>0.37</v>
      </c>
      <c r="CC174" s="9">
        <v>0.56999999999999995</v>
      </c>
      <c r="CD174" s="9">
        <v>0</v>
      </c>
      <c r="CE174" s="9">
        <v>0</v>
      </c>
      <c r="CF174" s="9">
        <v>0</v>
      </c>
      <c r="CG174" s="9">
        <v>0</v>
      </c>
      <c r="CH174" s="9">
        <v>0</v>
      </c>
      <c r="CI174" s="9">
        <v>0</v>
      </c>
      <c r="CJ174" s="9">
        <v>0.1</v>
      </c>
      <c r="CK174" s="9">
        <v>0</v>
      </c>
      <c r="CL174" s="9">
        <v>0.2</v>
      </c>
      <c r="CM174" s="9">
        <v>0</v>
      </c>
      <c r="CN174" s="9">
        <v>0</v>
      </c>
      <c r="CO174" s="9">
        <v>0</v>
      </c>
      <c r="CP174" s="9">
        <v>0</v>
      </c>
      <c r="CQ174" s="9">
        <v>0</v>
      </c>
      <c r="CR174" s="9">
        <v>0</v>
      </c>
      <c r="CS174" s="9">
        <v>0</v>
      </c>
      <c r="CT174" s="9">
        <v>0</v>
      </c>
      <c r="CU174" s="9">
        <v>0</v>
      </c>
      <c r="CV174" s="9">
        <v>0</v>
      </c>
      <c r="CW174" s="9">
        <v>0</v>
      </c>
      <c r="CX174" s="9">
        <v>0</v>
      </c>
      <c r="CY174" s="9">
        <v>0</v>
      </c>
      <c r="CZ174" s="9">
        <v>0</v>
      </c>
      <c r="DA174" s="9">
        <v>0</v>
      </c>
      <c r="DB174" s="9">
        <f>MIN(Tabelle5897112140[[#This Row],[Durchschnittsauslastung durch Sommer WTT]:[Durchschnittsauslastung max Winter SFN]])</f>
        <v>0</v>
      </c>
      <c r="DC17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4" s="9">
        <f>MAX(Tabelle5897112140[[#This Row],[Durchschnittsauslastung durch Sommer WTT]:[Durchschnittsauslastung max Winter SFN]])</f>
        <v>0.56999999999999995</v>
      </c>
      <c r="DE174" s="40">
        <f>Tabelle5897112140[[#This Row],[Durchschnittsauslastung min]]*Tabelle5897112140[[#This Row],[installierte Leistung MW min]]</f>
        <v>0</v>
      </c>
      <c r="DF174" s="40">
        <f>Tabelle5897112140[[#This Row],[Durchschnittsauslastung durch]]*Tabelle5897112140[[#This Row],[installierte Leistung MW durch]]</f>
        <v>6.3510666666666662</v>
      </c>
      <c r="DG174" s="40">
        <f>Tabelle5897112140[[#This Row],[Durchschnittsauslastung max]]*Tabelle5897112140[[#This Row],[installierte Leistung MW max]]</f>
        <v>73.313400000000001</v>
      </c>
      <c r="DH174" s="46">
        <f>Tabelle5897112140[[#This Row],[Maximalauslastung min]]*Tabelle5897112140[[#This Row],[installierte Leistung MW min]]</f>
        <v>21.581999999999997</v>
      </c>
      <c r="DI174" s="46">
        <f>Tabelle5897112140[[#This Row],[Maximalauslastung durch]]*Tabelle5897112140[[#This Row],[installierte Leistung MW durch]]</f>
        <v>33.092400000000005</v>
      </c>
      <c r="DJ174" s="19">
        <f>Tabelle5897112140[[#This Row],[Maximalauslastung max]]*Tabelle5897112140[[#This Row],[installierte Leistung MW durch]]</f>
        <v>36.1008</v>
      </c>
      <c r="DK174" s="9">
        <v>0.3</v>
      </c>
      <c r="DL174" s="9">
        <v>0.33</v>
      </c>
      <c r="DM174" s="9">
        <v>0.36</v>
      </c>
      <c r="DN174" s="1">
        <v>100.28</v>
      </c>
      <c r="DO174" s="1">
        <v>71.94</v>
      </c>
      <c r="DP174" s="1">
        <v>128.62</v>
      </c>
      <c r="DQ174" s="19"/>
      <c r="DR174" s="19"/>
      <c r="EL174" s="1">
        <v>365</v>
      </c>
      <c r="EM174" s="1">
        <v>292</v>
      </c>
      <c r="EN174" s="1">
        <v>438</v>
      </c>
      <c r="EO174" s="11"/>
      <c r="EP174" s="11"/>
      <c r="EQ174" s="11"/>
      <c r="ER174" s="1">
        <v>365</v>
      </c>
      <c r="ES174" s="1">
        <v>292</v>
      </c>
      <c r="ET174" s="1">
        <v>438</v>
      </c>
      <c r="EV174" s="19"/>
      <c r="EW174" s="19"/>
      <c r="EX174" s="19"/>
      <c r="EY174" s="19"/>
      <c r="EZ174" s="19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O174" s="1">
        <v>67</v>
      </c>
      <c r="FP174" s="1">
        <v>67</v>
      </c>
      <c r="FQ174" s="1">
        <v>67</v>
      </c>
      <c r="FR174" s="13" t="s">
        <v>806</v>
      </c>
      <c r="FS174" s="13" t="s">
        <v>806</v>
      </c>
      <c r="FT174" s="13" t="s">
        <v>806</v>
      </c>
      <c r="FU174" s="13"/>
      <c r="FV174" s="13" t="s">
        <v>806</v>
      </c>
      <c r="FW174" s="13" t="s">
        <v>806</v>
      </c>
      <c r="FX174" s="13" t="s">
        <v>806</v>
      </c>
      <c r="FY174" s="13" t="s">
        <v>806</v>
      </c>
      <c r="FZ174" s="13" t="s">
        <v>806</v>
      </c>
      <c r="GA174" s="13" t="s">
        <v>806</v>
      </c>
      <c r="GB174" s="13" t="s">
        <v>806</v>
      </c>
      <c r="GE174" s="13" t="s">
        <v>806</v>
      </c>
      <c r="GF174" s="13" t="s">
        <v>806</v>
      </c>
      <c r="GH174" s="13" t="s">
        <v>806</v>
      </c>
    </row>
    <row r="175" spans="1:190" ht="12.75" customHeight="1" x14ac:dyDescent="0.25">
      <c r="A175" s="1" t="s">
        <v>362</v>
      </c>
      <c r="B175" s="1" t="s">
        <v>650</v>
      </c>
      <c r="C175" s="1" t="s">
        <v>662</v>
      </c>
      <c r="D175" s="1" t="s">
        <v>692</v>
      </c>
      <c r="E175" s="1" t="s">
        <v>126</v>
      </c>
      <c r="F175" s="1">
        <v>0</v>
      </c>
      <c r="G175" s="1">
        <v>2040</v>
      </c>
      <c r="H175" s="1">
        <v>1</v>
      </c>
      <c r="I175" s="1">
        <v>0</v>
      </c>
      <c r="J175" s="1">
        <v>0</v>
      </c>
      <c r="K17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6.5258666666666683</v>
      </c>
      <c r="M17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75.33120000000001</v>
      </c>
      <c r="N175" s="19">
        <v>48.42880000000001</v>
      </c>
      <c r="O175" s="19">
        <v>27.350400000000004</v>
      </c>
      <c r="P175" s="19">
        <v>75.33120000000001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24.729600000000001</v>
      </c>
      <c r="X175" s="19">
        <v>16.2624</v>
      </c>
      <c r="Y175" s="19">
        <v>34.361600000000003</v>
      </c>
      <c r="Z175" s="19">
        <v>0</v>
      </c>
      <c r="AA175" s="19">
        <v>0</v>
      </c>
      <c r="AB175" s="19">
        <v>0</v>
      </c>
      <c r="AC175" s="19">
        <v>24.729600000000001</v>
      </c>
      <c r="AD175" s="19">
        <v>16.2624</v>
      </c>
      <c r="AE175" s="19">
        <v>34.361600000000003</v>
      </c>
      <c r="AF175" s="19">
        <v>10.304</v>
      </c>
      <c r="AG175" s="19">
        <v>0</v>
      </c>
      <c r="AH175" s="19">
        <v>26.432000000000006</v>
      </c>
      <c r="AI175" s="19">
        <v>14.425600000000003</v>
      </c>
      <c r="AJ175" s="19">
        <v>1.4784000000000002</v>
      </c>
      <c r="AK175" s="19">
        <v>34.361600000000003</v>
      </c>
      <c r="AL175" s="19">
        <v>0</v>
      </c>
      <c r="AM175" s="19">
        <v>0</v>
      </c>
      <c r="AN175" s="19">
        <v>0</v>
      </c>
      <c r="AO175" s="19">
        <v>24.729600000000001</v>
      </c>
      <c r="AP175" s="19">
        <v>16.2624</v>
      </c>
      <c r="AQ175" s="19">
        <v>34.361600000000003</v>
      </c>
      <c r="AR175" s="19">
        <v>0</v>
      </c>
      <c r="AS175" s="19">
        <v>0</v>
      </c>
      <c r="AT175" s="19">
        <v>0</v>
      </c>
      <c r="AU175" s="19">
        <v>24.729600000000001</v>
      </c>
      <c r="AV175" s="19">
        <v>16.2624</v>
      </c>
      <c r="AW175" s="19">
        <v>34.361600000000003</v>
      </c>
      <c r="AX175" s="19">
        <v>0</v>
      </c>
      <c r="AY175" s="19">
        <v>0</v>
      </c>
      <c r="AZ175" s="19">
        <v>0</v>
      </c>
      <c r="BA175" s="19">
        <v>24.729600000000001</v>
      </c>
      <c r="BB175" s="19">
        <v>16.2624</v>
      </c>
      <c r="BC175" s="19">
        <v>34.361600000000003</v>
      </c>
      <c r="BD175" s="19">
        <v>0</v>
      </c>
      <c r="BE175" s="19">
        <v>0</v>
      </c>
      <c r="BF175" s="19">
        <v>0</v>
      </c>
      <c r="BG175" s="19">
        <v>24.729600000000001</v>
      </c>
      <c r="BH175" s="19">
        <v>16.2624</v>
      </c>
      <c r="BI175" s="19">
        <v>34.361600000000003</v>
      </c>
      <c r="BJ175" s="19">
        <v>0</v>
      </c>
      <c r="BK175" s="19">
        <v>0</v>
      </c>
      <c r="BL175" s="19">
        <v>0</v>
      </c>
      <c r="BM175" s="19">
        <v>24.729600000000001</v>
      </c>
      <c r="BN175" s="19">
        <v>16.2624</v>
      </c>
      <c r="BO175" s="19">
        <v>34.361600000000003</v>
      </c>
      <c r="BP175" s="19"/>
      <c r="BQ17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20.836977777777779</v>
      </c>
      <c r="BS17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34.361600000000003</v>
      </c>
      <c r="BT175" s="11">
        <f>Tabelle5897112140[[#This Row],[Mindestauslastung min]]*Tabelle5897112140[[#This Row],[installierte Leistung MW min]]</f>
        <v>0</v>
      </c>
      <c r="BU175" s="11">
        <f>Tabelle5897112140[[#This Row],[Mindestauslastung durch]]*Tabelle5897112140[[#This Row],[installierte Leistung MW durch]]</f>
        <v>0</v>
      </c>
      <c r="BV175" s="11">
        <f>Tabelle5897112140[[#This Row],[Mindestauslastung max]]*Tabelle5897112140[[#This Row],[installierte Leistung MW max]]</f>
        <v>0</v>
      </c>
      <c r="BW175" s="9">
        <v>0</v>
      </c>
      <c r="BX175" s="9">
        <v>0</v>
      </c>
      <c r="BY175" s="9">
        <v>0</v>
      </c>
      <c r="BZ175" s="9"/>
      <c r="CA175" s="9">
        <v>0.47</v>
      </c>
      <c r="CB175" s="9">
        <v>0.37</v>
      </c>
      <c r="CC175" s="9">
        <v>0.56999999999999995</v>
      </c>
      <c r="CD175" s="9">
        <v>0</v>
      </c>
      <c r="CE175" s="9">
        <v>0</v>
      </c>
      <c r="CF175" s="9">
        <v>0</v>
      </c>
      <c r="CG175" s="9">
        <v>0</v>
      </c>
      <c r="CH175" s="9">
        <v>0</v>
      </c>
      <c r="CI175" s="9">
        <v>0</v>
      </c>
      <c r="CJ175" s="9">
        <v>0.1</v>
      </c>
      <c r="CK175" s="9">
        <v>0</v>
      </c>
      <c r="CL175" s="9">
        <v>0.2</v>
      </c>
      <c r="CM175" s="9">
        <v>0</v>
      </c>
      <c r="CN175" s="9">
        <v>0</v>
      </c>
      <c r="CO175" s="9">
        <v>0</v>
      </c>
      <c r="CP175" s="9">
        <v>0</v>
      </c>
      <c r="CQ175" s="9">
        <v>0</v>
      </c>
      <c r="CR175" s="9">
        <v>0</v>
      </c>
      <c r="CS175" s="9">
        <v>0</v>
      </c>
      <c r="CT175" s="9">
        <v>0</v>
      </c>
      <c r="CU175" s="9">
        <v>0</v>
      </c>
      <c r="CV175" s="9">
        <v>0</v>
      </c>
      <c r="CW175" s="9">
        <v>0</v>
      </c>
      <c r="CX175" s="9">
        <v>0</v>
      </c>
      <c r="CY175" s="9">
        <v>0</v>
      </c>
      <c r="CZ175" s="9">
        <v>0</v>
      </c>
      <c r="DA175" s="9">
        <v>0</v>
      </c>
      <c r="DB175" s="9">
        <f>MIN(Tabelle5897112140[[#This Row],[Durchschnittsauslastung durch Sommer WTT]:[Durchschnittsauslastung max Winter SFN]])</f>
        <v>0</v>
      </c>
      <c r="DC17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5" s="9">
        <f>MAX(Tabelle5897112140[[#This Row],[Durchschnittsauslastung durch Sommer WTT]:[Durchschnittsauslastung max Winter SFN]])</f>
        <v>0.56999999999999995</v>
      </c>
      <c r="DE175" s="40">
        <f>Tabelle5897112140[[#This Row],[Durchschnittsauslastung min]]*Tabelle5897112140[[#This Row],[installierte Leistung MW min]]</f>
        <v>0</v>
      </c>
      <c r="DF175" s="40">
        <f>Tabelle5897112140[[#This Row],[Durchschnittsauslastung durch]]*Tabelle5897112140[[#This Row],[installierte Leistung MW durch]]</f>
        <v>6.5258666666666665</v>
      </c>
      <c r="DG175" s="40">
        <f>Tabelle5897112140[[#This Row],[Durchschnittsauslastung max]]*Tabelle5897112140[[#This Row],[installierte Leistung MW max]]</f>
        <v>75.331199999999995</v>
      </c>
      <c r="DH175" s="46">
        <f>Tabelle5897112140[[#This Row],[Maximalauslastung min]]*Tabelle5897112140[[#This Row],[installierte Leistung MW min]]</f>
        <v>22.175999999999998</v>
      </c>
      <c r="DI175" s="46">
        <f>Tabelle5897112140[[#This Row],[Maximalauslastung durch]]*Tabelle5897112140[[#This Row],[installierte Leistung MW durch]]</f>
        <v>34.003200000000007</v>
      </c>
      <c r="DJ175" s="19">
        <f>Tabelle5897112140[[#This Row],[Maximalauslastung max]]*Tabelle5897112140[[#This Row],[installierte Leistung MW durch]]</f>
        <v>37.0944</v>
      </c>
      <c r="DK175" s="9">
        <v>0.3</v>
      </c>
      <c r="DL175" s="9">
        <v>0.33</v>
      </c>
      <c r="DM175" s="9">
        <v>0.36</v>
      </c>
      <c r="DN175" s="1">
        <v>103.04</v>
      </c>
      <c r="DO175" s="1">
        <v>73.92</v>
      </c>
      <c r="DP175" s="1">
        <v>132.16</v>
      </c>
      <c r="DQ175" s="19"/>
      <c r="DR175" s="19"/>
      <c r="EL175" s="1">
        <v>365</v>
      </c>
      <c r="EM175" s="1">
        <v>292</v>
      </c>
      <c r="EN175" s="1">
        <v>438</v>
      </c>
      <c r="EO175" s="11"/>
      <c r="EP175" s="11"/>
      <c r="EQ175" s="11"/>
      <c r="ER175" s="1">
        <v>365</v>
      </c>
      <c r="ES175" s="1">
        <v>292</v>
      </c>
      <c r="ET175" s="1">
        <v>438</v>
      </c>
      <c r="EV175" s="19"/>
      <c r="EW175" s="19"/>
      <c r="EX175" s="19"/>
      <c r="EY175" s="19"/>
      <c r="EZ175" s="19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O175" s="1">
        <v>67</v>
      </c>
      <c r="FP175" s="1">
        <v>67</v>
      </c>
      <c r="FQ175" s="1">
        <v>67</v>
      </c>
      <c r="FR175" s="13" t="s">
        <v>806</v>
      </c>
      <c r="FS175" s="13" t="s">
        <v>806</v>
      </c>
      <c r="FT175" s="13" t="s">
        <v>806</v>
      </c>
      <c r="FU175" s="13"/>
      <c r="FV175" s="13" t="s">
        <v>806</v>
      </c>
      <c r="FW175" s="13" t="s">
        <v>806</v>
      </c>
      <c r="FX175" s="13" t="s">
        <v>806</v>
      </c>
      <c r="FY175" s="13" t="s">
        <v>806</v>
      </c>
      <c r="FZ175" s="13" t="s">
        <v>806</v>
      </c>
      <c r="GA175" s="13" t="s">
        <v>806</v>
      </c>
      <c r="GB175" s="13" t="s">
        <v>806</v>
      </c>
      <c r="GE175" s="13" t="s">
        <v>806</v>
      </c>
      <c r="GF175" s="13" t="s">
        <v>806</v>
      </c>
      <c r="GH175" s="13" t="s">
        <v>806</v>
      </c>
    </row>
    <row r="176" spans="1:190" ht="12.75" customHeight="1" x14ac:dyDescent="0.25">
      <c r="A176" s="1" t="s">
        <v>362</v>
      </c>
      <c r="B176" s="1" t="s">
        <v>650</v>
      </c>
      <c r="C176" s="1" t="s">
        <v>662</v>
      </c>
      <c r="D176" s="1" t="s">
        <v>692</v>
      </c>
      <c r="E176" s="1" t="s">
        <v>126</v>
      </c>
      <c r="F176" s="1">
        <v>0</v>
      </c>
      <c r="G176" s="1">
        <v>2045</v>
      </c>
      <c r="H176" s="1">
        <v>1</v>
      </c>
      <c r="I176" s="1">
        <v>0</v>
      </c>
      <c r="J176" s="1">
        <v>0</v>
      </c>
      <c r="K17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6.6423999999999994</v>
      </c>
      <c r="M17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76.676400000000001</v>
      </c>
      <c r="N176" s="19">
        <v>49.293599999999998</v>
      </c>
      <c r="O176" s="19">
        <v>27.838799999999999</v>
      </c>
      <c r="P176" s="19">
        <v>76.676400000000001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25.171199999999995</v>
      </c>
      <c r="X176" s="19">
        <v>16.552799999999998</v>
      </c>
      <c r="Y176" s="19">
        <v>34.975199999999994</v>
      </c>
      <c r="Z176" s="19">
        <v>0</v>
      </c>
      <c r="AA176" s="19">
        <v>0</v>
      </c>
      <c r="AB176" s="19">
        <v>0</v>
      </c>
      <c r="AC176" s="19">
        <v>25.171199999999995</v>
      </c>
      <c r="AD176" s="19">
        <v>16.552799999999998</v>
      </c>
      <c r="AE176" s="19">
        <v>34.975199999999994</v>
      </c>
      <c r="AF176" s="19">
        <v>10.487999999999998</v>
      </c>
      <c r="AG176" s="19">
        <v>0</v>
      </c>
      <c r="AH176" s="19">
        <v>26.904</v>
      </c>
      <c r="AI176" s="19">
        <v>14.683199999999999</v>
      </c>
      <c r="AJ176" s="19">
        <v>1.5047999999999999</v>
      </c>
      <c r="AK176" s="19">
        <v>34.975199999999994</v>
      </c>
      <c r="AL176" s="19">
        <v>0</v>
      </c>
      <c r="AM176" s="19">
        <v>0</v>
      </c>
      <c r="AN176" s="19">
        <v>0</v>
      </c>
      <c r="AO176" s="19">
        <v>25.171199999999995</v>
      </c>
      <c r="AP176" s="19">
        <v>16.552799999999998</v>
      </c>
      <c r="AQ176" s="19">
        <v>34.975199999999994</v>
      </c>
      <c r="AR176" s="19">
        <v>0</v>
      </c>
      <c r="AS176" s="19">
        <v>0</v>
      </c>
      <c r="AT176" s="19">
        <v>0</v>
      </c>
      <c r="AU176" s="19">
        <v>25.171199999999995</v>
      </c>
      <c r="AV176" s="19">
        <v>16.552799999999998</v>
      </c>
      <c r="AW176" s="19">
        <v>34.975199999999994</v>
      </c>
      <c r="AX176" s="19">
        <v>0</v>
      </c>
      <c r="AY176" s="19">
        <v>0</v>
      </c>
      <c r="AZ176" s="19">
        <v>0</v>
      </c>
      <c r="BA176" s="19">
        <v>25.171199999999995</v>
      </c>
      <c r="BB176" s="19">
        <v>16.552799999999998</v>
      </c>
      <c r="BC176" s="19">
        <v>34.975199999999994</v>
      </c>
      <c r="BD176" s="19">
        <v>0</v>
      </c>
      <c r="BE176" s="19">
        <v>0</v>
      </c>
      <c r="BF176" s="19">
        <v>0</v>
      </c>
      <c r="BG176" s="19">
        <v>25.171199999999995</v>
      </c>
      <c r="BH176" s="19">
        <v>16.552799999999998</v>
      </c>
      <c r="BI176" s="19">
        <v>34.975199999999994</v>
      </c>
      <c r="BJ176" s="19">
        <v>0</v>
      </c>
      <c r="BK176" s="19">
        <v>0</v>
      </c>
      <c r="BL176" s="19">
        <v>0</v>
      </c>
      <c r="BM176" s="19">
        <v>25.171199999999995</v>
      </c>
      <c r="BN176" s="19">
        <v>16.552799999999998</v>
      </c>
      <c r="BO176" s="19">
        <v>34.975199999999994</v>
      </c>
      <c r="BP176" s="19"/>
      <c r="BQ17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21.209066666666665</v>
      </c>
      <c r="BS17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34.975199999999994</v>
      </c>
      <c r="BT176" s="11">
        <f>Tabelle5897112140[[#This Row],[Mindestauslastung min]]*Tabelle5897112140[[#This Row],[installierte Leistung MW min]]</f>
        <v>0</v>
      </c>
      <c r="BU176" s="11">
        <f>Tabelle5897112140[[#This Row],[Mindestauslastung durch]]*Tabelle5897112140[[#This Row],[installierte Leistung MW durch]]</f>
        <v>0</v>
      </c>
      <c r="BV176" s="11">
        <f>Tabelle5897112140[[#This Row],[Mindestauslastung max]]*Tabelle5897112140[[#This Row],[installierte Leistung MW max]]</f>
        <v>0</v>
      </c>
      <c r="BW176" s="9">
        <v>0</v>
      </c>
      <c r="BX176" s="9">
        <v>0</v>
      </c>
      <c r="BY176" s="9">
        <v>0</v>
      </c>
      <c r="BZ176" s="9"/>
      <c r="CA176" s="9">
        <v>0.47</v>
      </c>
      <c r="CB176" s="9">
        <v>0.37</v>
      </c>
      <c r="CC176" s="9">
        <v>0.56999999999999995</v>
      </c>
      <c r="CD176" s="9">
        <v>0</v>
      </c>
      <c r="CE176" s="9">
        <v>0</v>
      </c>
      <c r="CF176" s="9">
        <v>0</v>
      </c>
      <c r="CG176" s="9">
        <v>0</v>
      </c>
      <c r="CH176" s="9">
        <v>0</v>
      </c>
      <c r="CI176" s="9">
        <v>0</v>
      </c>
      <c r="CJ176" s="9">
        <v>0.1</v>
      </c>
      <c r="CK176" s="9">
        <v>0</v>
      </c>
      <c r="CL176" s="9">
        <v>0.2</v>
      </c>
      <c r="CM176" s="9">
        <v>0</v>
      </c>
      <c r="CN176" s="9">
        <v>0</v>
      </c>
      <c r="CO176" s="9">
        <v>0</v>
      </c>
      <c r="CP176" s="9">
        <v>0</v>
      </c>
      <c r="CQ176" s="9">
        <v>0</v>
      </c>
      <c r="CR176" s="9">
        <v>0</v>
      </c>
      <c r="CS176" s="9">
        <v>0</v>
      </c>
      <c r="CT176" s="9">
        <v>0</v>
      </c>
      <c r="CU176" s="9">
        <v>0</v>
      </c>
      <c r="CV176" s="9">
        <v>0</v>
      </c>
      <c r="CW176" s="9">
        <v>0</v>
      </c>
      <c r="CX176" s="9">
        <v>0</v>
      </c>
      <c r="CY176" s="9">
        <v>0</v>
      </c>
      <c r="CZ176" s="9">
        <v>0</v>
      </c>
      <c r="DA176" s="9">
        <v>0</v>
      </c>
      <c r="DB176" s="9">
        <f>MIN(Tabelle5897112140[[#This Row],[Durchschnittsauslastung durch Sommer WTT]:[Durchschnittsauslastung max Winter SFN]])</f>
        <v>0</v>
      </c>
      <c r="DC17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6" s="9">
        <f>MAX(Tabelle5897112140[[#This Row],[Durchschnittsauslastung durch Sommer WTT]:[Durchschnittsauslastung max Winter SFN]])</f>
        <v>0.56999999999999995</v>
      </c>
      <c r="DE176" s="40">
        <f>Tabelle5897112140[[#This Row],[Durchschnittsauslastung min]]*Tabelle5897112140[[#This Row],[installierte Leistung MW min]]</f>
        <v>0</v>
      </c>
      <c r="DF176" s="40">
        <f>Tabelle5897112140[[#This Row],[Durchschnittsauslastung durch]]*Tabelle5897112140[[#This Row],[installierte Leistung MW durch]]</f>
        <v>6.6423999999999985</v>
      </c>
      <c r="DG176" s="40">
        <f>Tabelle5897112140[[#This Row],[Durchschnittsauslastung max]]*Tabelle5897112140[[#This Row],[installierte Leistung MW max]]</f>
        <v>76.676400000000001</v>
      </c>
      <c r="DH176" s="46">
        <f>Tabelle5897112140[[#This Row],[Maximalauslastung min]]*Tabelle5897112140[[#This Row],[installierte Leistung MW min]]</f>
        <v>22.571999999999999</v>
      </c>
      <c r="DI176" s="46">
        <f>Tabelle5897112140[[#This Row],[Maximalauslastung durch]]*Tabelle5897112140[[#This Row],[installierte Leistung MW durch]]</f>
        <v>34.610399999999998</v>
      </c>
      <c r="DJ176" s="19">
        <f>Tabelle5897112140[[#This Row],[Maximalauslastung max]]*Tabelle5897112140[[#This Row],[installierte Leistung MW durch]]</f>
        <v>37.756799999999998</v>
      </c>
      <c r="DK176" s="9">
        <v>0.3</v>
      </c>
      <c r="DL176" s="9">
        <v>0.33</v>
      </c>
      <c r="DM176" s="9">
        <v>0.36</v>
      </c>
      <c r="DN176" s="1">
        <v>104.88</v>
      </c>
      <c r="DO176" s="1">
        <v>75.239999999999995</v>
      </c>
      <c r="DP176" s="1">
        <v>134.52000000000001</v>
      </c>
      <c r="DQ176" s="19"/>
      <c r="DR176" s="19"/>
      <c r="EL176" s="1">
        <v>365</v>
      </c>
      <c r="EM176" s="1">
        <v>292</v>
      </c>
      <c r="EN176" s="1">
        <v>438</v>
      </c>
      <c r="EO176" s="11"/>
      <c r="EP176" s="11"/>
      <c r="EQ176" s="11"/>
      <c r="ER176" s="1">
        <v>365</v>
      </c>
      <c r="ES176" s="1">
        <v>292</v>
      </c>
      <c r="ET176" s="1">
        <v>438</v>
      </c>
      <c r="EV176" s="19"/>
      <c r="EW176" s="19"/>
      <c r="EX176" s="19"/>
      <c r="EY176" s="19"/>
      <c r="EZ176" s="19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O176" s="1">
        <v>67</v>
      </c>
      <c r="FP176" s="1">
        <v>67</v>
      </c>
      <c r="FQ176" s="1">
        <v>67</v>
      </c>
      <c r="FR176" s="13" t="s">
        <v>806</v>
      </c>
      <c r="FS176" s="13" t="s">
        <v>806</v>
      </c>
      <c r="FT176" s="13" t="s">
        <v>806</v>
      </c>
      <c r="FU176" s="13"/>
      <c r="FV176" s="13" t="s">
        <v>806</v>
      </c>
      <c r="FW176" s="13" t="s">
        <v>806</v>
      </c>
      <c r="FX176" s="13" t="s">
        <v>806</v>
      </c>
      <c r="FY176" s="13" t="s">
        <v>806</v>
      </c>
      <c r="FZ176" s="13" t="s">
        <v>806</v>
      </c>
      <c r="GA176" s="13" t="s">
        <v>806</v>
      </c>
      <c r="GB176" s="13" t="s">
        <v>806</v>
      </c>
      <c r="GE176" s="13" t="s">
        <v>806</v>
      </c>
      <c r="GF176" s="13" t="s">
        <v>806</v>
      </c>
      <c r="GH176" s="13" t="s">
        <v>806</v>
      </c>
    </row>
    <row r="177" spans="1:190" ht="12.75" customHeight="1" x14ac:dyDescent="0.25">
      <c r="A177" s="1" t="s">
        <v>362</v>
      </c>
      <c r="B177" s="1" t="s">
        <v>650</v>
      </c>
      <c r="C177" s="1" t="s">
        <v>662</v>
      </c>
      <c r="D177" s="1" t="s">
        <v>692</v>
      </c>
      <c r="E177" s="1" t="s">
        <v>126</v>
      </c>
      <c r="F177" s="1">
        <v>0</v>
      </c>
      <c r="G177" s="1">
        <v>2050</v>
      </c>
      <c r="H177" s="1">
        <v>1</v>
      </c>
      <c r="I177" s="1">
        <v>0</v>
      </c>
      <c r="J177" s="1">
        <v>0</v>
      </c>
      <c r="K17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6.8171999999999997</v>
      </c>
      <c r="M17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78.694199999999995</v>
      </c>
      <c r="N177" s="19">
        <v>50.590800000000002</v>
      </c>
      <c r="O177" s="19">
        <v>28.571400000000001</v>
      </c>
      <c r="P177" s="19">
        <v>78.694199999999995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25.833599999999997</v>
      </c>
      <c r="X177" s="19">
        <v>16.988399999999999</v>
      </c>
      <c r="Y177" s="19">
        <v>35.895599999999995</v>
      </c>
      <c r="Z177" s="19">
        <v>0</v>
      </c>
      <c r="AA177" s="19">
        <v>0</v>
      </c>
      <c r="AB177" s="19">
        <v>0</v>
      </c>
      <c r="AC177" s="19">
        <v>25.833599999999997</v>
      </c>
      <c r="AD177" s="19">
        <v>16.988399999999999</v>
      </c>
      <c r="AE177" s="19">
        <v>35.895599999999995</v>
      </c>
      <c r="AF177" s="19">
        <v>10.763999999999999</v>
      </c>
      <c r="AG177" s="19">
        <v>0</v>
      </c>
      <c r="AH177" s="19">
        <v>27.611999999999998</v>
      </c>
      <c r="AI177" s="19">
        <v>15.069599999999999</v>
      </c>
      <c r="AJ177" s="19">
        <v>1.5444</v>
      </c>
      <c r="AK177" s="19">
        <v>35.895599999999995</v>
      </c>
      <c r="AL177" s="19">
        <v>0</v>
      </c>
      <c r="AM177" s="19">
        <v>0</v>
      </c>
      <c r="AN177" s="19">
        <v>0</v>
      </c>
      <c r="AO177" s="19">
        <v>25.833599999999997</v>
      </c>
      <c r="AP177" s="19">
        <v>16.988399999999999</v>
      </c>
      <c r="AQ177" s="19">
        <v>35.895599999999995</v>
      </c>
      <c r="AR177" s="19">
        <v>0</v>
      </c>
      <c r="AS177" s="19">
        <v>0</v>
      </c>
      <c r="AT177" s="19">
        <v>0</v>
      </c>
      <c r="AU177" s="19">
        <v>25.833599999999997</v>
      </c>
      <c r="AV177" s="19">
        <v>16.988399999999999</v>
      </c>
      <c r="AW177" s="19">
        <v>35.895599999999995</v>
      </c>
      <c r="AX177" s="19">
        <v>0</v>
      </c>
      <c r="AY177" s="19">
        <v>0</v>
      </c>
      <c r="AZ177" s="19">
        <v>0</v>
      </c>
      <c r="BA177" s="19">
        <v>25.833599999999997</v>
      </c>
      <c r="BB177" s="19">
        <v>16.988399999999999</v>
      </c>
      <c r="BC177" s="19">
        <v>35.895599999999995</v>
      </c>
      <c r="BD177" s="19">
        <v>0</v>
      </c>
      <c r="BE177" s="19">
        <v>0</v>
      </c>
      <c r="BF177" s="19">
        <v>0</v>
      </c>
      <c r="BG177" s="19">
        <v>25.833599999999997</v>
      </c>
      <c r="BH177" s="19">
        <v>16.988399999999999</v>
      </c>
      <c r="BI177" s="19">
        <v>35.895599999999995</v>
      </c>
      <c r="BJ177" s="19">
        <v>0</v>
      </c>
      <c r="BK177" s="19">
        <v>0</v>
      </c>
      <c r="BL177" s="19">
        <v>0</v>
      </c>
      <c r="BM177" s="19">
        <v>25.833599999999997</v>
      </c>
      <c r="BN177" s="19">
        <v>16.988399999999999</v>
      </c>
      <c r="BO177" s="19">
        <v>35.895599999999995</v>
      </c>
      <c r="BP177" s="19"/>
      <c r="BQ17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21.767199999999992</v>
      </c>
      <c r="BS17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35.895599999999995</v>
      </c>
      <c r="BT177" s="11">
        <f>Tabelle5897112140[[#This Row],[Mindestauslastung min]]*Tabelle5897112140[[#This Row],[installierte Leistung MW min]]</f>
        <v>0</v>
      </c>
      <c r="BU177" s="11">
        <f>Tabelle5897112140[[#This Row],[Mindestauslastung durch]]*Tabelle5897112140[[#This Row],[installierte Leistung MW durch]]</f>
        <v>0</v>
      </c>
      <c r="BV177" s="11">
        <f>Tabelle5897112140[[#This Row],[Mindestauslastung max]]*Tabelle5897112140[[#This Row],[installierte Leistung MW max]]</f>
        <v>0</v>
      </c>
      <c r="BW177" s="9">
        <v>0</v>
      </c>
      <c r="BX177" s="9">
        <v>0</v>
      </c>
      <c r="BY177" s="9">
        <v>0</v>
      </c>
      <c r="BZ177" s="9"/>
      <c r="CA177" s="9">
        <v>0.47</v>
      </c>
      <c r="CB177" s="9">
        <v>0.37</v>
      </c>
      <c r="CC177" s="9">
        <v>0.56999999999999995</v>
      </c>
      <c r="CD177" s="9">
        <v>0</v>
      </c>
      <c r="CE177" s="9">
        <v>0</v>
      </c>
      <c r="CF177" s="9">
        <v>0</v>
      </c>
      <c r="CG177" s="9">
        <v>0</v>
      </c>
      <c r="CH177" s="9">
        <v>0</v>
      </c>
      <c r="CI177" s="9">
        <v>0</v>
      </c>
      <c r="CJ177" s="9">
        <v>0.1</v>
      </c>
      <c r="CK177" s="9">
        <v>0</v>
      </c>
      <c r="CL177" s="9">
        <v>0.2</v>
      </c>
      <c r="CM177" s="9">
        <v>0</v>
      </c>
      <c r="CN177" s="9">
        <v>0</v>
      </c>
      <c r="CO177" s="9">
        <v>0</v>
      </c>
      <c r="CP177" s="9">
        <v>0</v>
      </c>
      <c r="CQ177" s="9">
        <v>0</v>
      </c>
      <c r="CR177" s="9">
        <v>0</v>
      </c>
      <c r="CS177" s="9">
        <v>0</v>
      </c>
      <c r="CT177" s="9">
        <v>0</v>
      </c>
      <c r="CU177" s="9">
        <v>0</v>
      </c>
      <c r="CV177" s="9">
        <v>0</v>
      </c>
      <c r="CW177" s="9">
        <v>0</v>
      </c>
      <c r="CX177" s="9">
        <v>0</v>
      </c>
      <c r="CY177" s="9">
        <v>0</v>
      </c>
      <c r="CZ177" s="9">
        <v>0</v>
      </c>
      <c r="DA177" s="9">
        <v>0</v>
      </c>
      <c r="DB177" s="9">
        <f>MIN(Tabelle5897112140[[#This Row],[Durchschnittsauslastung durch Sommer WTT]:[Durchschnittsauslastung max Winter SFN]])</f>
        <v>0</v>
      </c>
      <c r="DC17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7" s="9">
        <f>MAX(Tabelle5897112140[[#This Row],[Durchschnittsauslastung durch Sommer WTT]:[Durchschnittsauslastung max Winter SFN]])</f>
        <v>0.56999999999999995</v>
      </c>
      <c r="DE177" s="40">
        <f>Tabelle5897112140[[#This Row],[Durchschnittsauslastung min]]*Tabelle5897112140[[#This Row],[installierte Leistung MW min]]</f>
        <v>0</v>
      </c>
      <c r="DF177" s="40">
        <f>Tabelle5897112140[[#This Row],[Durchschnittsauslastung durch]]*Tabelle5897112140[[#This Row],[installierte Leistung MW durch]]</f>
        <v>6.8171999999999988</v>
      </c>
      <c r="DG177" s="40">
        <f>Tabelle5897112140[[#This Row],[Durchschnittsauslastung max]]*Tabelle5897112140[[#This Row],[installierte Leistung MW max]]</f>
        <v>78.694199999999995</v>
      </c>
      <c r="DH177" s="46">
        <f>Tabelle5897112140[[#This Row],[Maximalauslastung min]]*Tabelle5897112140[[#This Row],[installierte Leistung MW min]]</f>
        <v>23.166</v>
      </c>
      <c r="DI177" s="46">
        <f>Tabelle5897112140[[#This Row],[Maximalauslastung durch]]*Tabelle5897112140[[#This Row],[installierte Leistung MW durch]]</f>
        <v>35.5212</v>
      </c>
      <c r="DJ177" s="19">
        <f>Tabelle5897112140[[#This Row],[Maximalauslastung max]]*Tabelle5897112140[[#This Row],[installierte Leistung MW durch]]</f>
        <v>38.750399999999999</v>
      </c>
      <c r="DK177" s="9">
        <v>0.3</v>
      </c>
      <c r="DL177" s="9">
        <v>0.33</v>
      </c>
      <c r="DM177" s="9">
        <v>0.36</v>
      </c>
      <c r="DN177" s="1">
        <v>107.64</v>
      </c>
      <c r="DO177" s="1">
        <v>77.22</v>
      </c>
      <c r="DP177" s="1">
        <v>138.06</v>
      </c>
      <c r="DQ177" s="19"/>
      <c r="DR177" s="19"/>
      <c r="EL177" s="1">
        <v>365</v>
      </c>
      <c r="EM177" s="1">
        <v>292</v>
      </c>
      <c r="EN177" s="1">
        <v>438</v>
      </c>
      <c r="EO177" s="11"/>
      <c r="EP177" s="11"/>
      <c r="EQ177" s="11"/>
      <c r="ER177" s="1">
        <v>365</v>
      </c>
      <c r="ES177" s="1">
        <v>292</v>
      </c>
      <c r="ET177" s="1">
        <v>438</v>
      </c>
      <c r="EV177" s="19"/>
      <c r="EW177" s="19"/>
      <c r="EX177" s="19"/>
      <c r="EY177" s="19"/>
      <c r="EZ177" s="19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O177" s="1">
        <v>67</v>
      </c>
      <c r="FP177" s="1">
        <v>67</v>
      </c>
      <c r="FQ177" s="1">
        <v>67</v>
      </c>
      <c r="FR177" s="13" t="s">
        <v>806</v>
      </c>
      <c r="FS177" s="13" t="s">
        <v>806</v>
      </c>
      <c r="FT177" s="13" t="s">
        <v>806</v>
      </c>
      <c r="FU177" s="13"/>
      <c r="FV177" s="13" t="s">
        <v>806</v>
      </c>
      <c r="FW177" s="13" t="s">
        <v>806</v>
      </c>
      <c r="FX177" s="13" t="s">
        <v>806</v>
      </c>
      <c r="FY177" s="13" t="s">
        <v>806</v>
      </c>
      <c r="FZ177" s="13" t="s">
        <v>806</v>
      </c>
      <c r="GA177" s="13" t="s">
        <v>806</v>
      </c>
      <c r="GB177" s="13" t="s">
        <v>806</v>
      </c>
      <c r="GE177" s="13" t="s">
        <v>806</v>
      </c>
      <c r="GF177" s="13" t="s">
        <v>806</v>
      </c>
      <c r="GH177" s="13" t="s">
        <v>806</v>
      </c>
    </row>
    <row r="178" spans="1:190" ht="12.75" customHeight="1" x14ac:dyDescent="0.25">
      <c r="A178" s="1" t="s">
        <v>208</v>
      </c>
      <c r="B178" s="1" t="s">
        <v>651</v>
      </c>
      <c r="C178" s="1" t="s">
        <v>662</v>
      </c>
      <c r="D178" s="1" t="s">
        <v>693</v>
      </c>
      <c r="E178" s="1" t="s">
        <v>126</v>
      </c>
      <c r="F178" s="1">
        <v>0</v>
      </c>
      <c r="G178" s="1">
        <v>2015</v>
      </c>
      <c r="H178" s="1">
        <v>1</v>
      </c>
      <c r="I178" s="1">
        <v>0</v>
      </c>
      <c r="J178" s="1">
        <v>0</v>
      </c>
      <c r="K17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0.42</v>
      </c>
      <c r="L17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4.7699999999999996</v>
      </c>
      <c r="M17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15.51</v>
      </c>
      <c r="N178" s="19">
        <v>9.4499999999999993</v>
      </c>
      <c r="O178" s="19">
        <v>4.83</v>
      </c>
      <c r="P178" s="19">
        <v>15.51</v>
      </c>
      <c r="Q178" s="19">
        <v>0.27</v>
      </c>
      <c r="R178" s="19">
        <v>0</v>
      </c>
      <c r="S178" s="19">
        <v>5.28</v>
      </c>
      <c r="T178" s="19">
        <v>2.4300000000000002</v>
      </c>
      <c r="U178" s="19">
        <v>0.42</v>
      </c>
      <c r="V178" s="19">
        <v>5.28</v>
      </c>
      <c r="W178" s="19">
        <v>7.29</v>
      </c>
      <c r="X178" s="19">
        <v>3.57</v>
      </c>
      <c r="Y178" s="19">
        <v>12.21</v>
      </c>
      <c r="Z178" s="19">
        <v>2.4300000000000002</v>
      </c>
      <c r="AA178" s="19">
        <v>0.42</v>
      </c>
      <c r="AB178" s="19">
        <v>5.28</v>
      </c>
      <c r="AC178" s="19">
        <v>7.29</v>
      </c>
      <c r="AD178" s="19">
        <v>3.57</v>
      </c>
      <c r="AE178" s="19">
        <v>12.21</v>
      </c>
      <c r="AF178" s="19">
        <v>9.4499999999999993</v>
      </c>
      <c r="AG178" s="19">
        <v>4.83</v>
      </c>
      <c r="AH178" s="19">
        <v>15.51</v>
      </c>
      <c r="AI178" s="19">
        <v>0.27</v>
      </c>
      <c r="AJ178" s="19">
        <v>0</v>
      </c>
      <c r="AK178" s="19">
        <v>5.28</v>
      </c>
      <c r="AL178" s="19">
        <v>2.4300000000000002</v>
      </c>
      <c r="AM178" s="19">
        <v>0.42</v>
      </c>
      <c r="AN178" s="19">
        <v>5.28</v>
      </c>
      <c r="AO178" s="19">
        <v>7.29</v>
      </c>
      <c r="AP178" s="19">
        <v>3.57</v>
      </c>
      <c r="AQ178" s="19">
        <v>12.21</v>
      </c>
      <c r="AR178" s="19">
        <v>2.4300000000000002</v>
      </c>
      <c r="AS178" s="19">
        <v>0.42</v>
      </c>
      <c r="AT178" s="19">
        <v>5.28</v>
      </c>
      <c r="AU178" s="19">
        <v>7.29</v>
      </c>
      <c r="AV178" s="19">
        <v>3.57</v>
      </c>
      <c r="AW178" s="19">
        <v>12.21</v>
      </c>
      <c r="AX178" s="19">
        <v>9.4499999999999993</v>
      </c>
      <c r="AY178" s="19">
        <v>4.83</v>
      </c>
      <c r="AZ178" s="19">
        <v>15.51</v>
      </c>
      <c r="BA178" s="19">
        <v>0.27</v>
      </c>
      <c r="BB178" s="19">
        <v>0</v>
      </c>
      <c r="BC178" s="19">
        <v>5.28</v>
      </c>
      <c r="BD178" s="19">
        <v>2.4300000000000002</v>
      </c>
      <c r="BE178" s="19">
        <v>0.42</v>
      </c>
      <c r="BF178" s="19">
        <v>5.28</v>
      </c>
      <c r="BG178" s="19">
        <v>7.29</v>
      </c>
      <c r="BH178" s="19">
        <v>3.57</v>
      </c>
      <c r="BI178" s="19">
        <v>12.21</v>
      </c>
      <c r="BJ178" s="19">
        <v>2.4300000000000002</v>
      </c>
      <c r="BK178" s="19">
        <v>0.42</v>
      </c>
      <c r="BL178" s="19">
        <v>5.28</v>
      </c>
      <c r="BM178" s="19">
        <v>7.29</v>
      </c>
      <c r="BN178" s="19">
        <v>3.57</v>
      </c>
      <c r="BO178" s="19">
        <v>12.21</v>
      </c>
      <c r="BP178" s="19"/>
      <c r="BQ17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4.9499999999999993</v>
      </c>
      <c r="BS17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12.21</v>
      </c>
      <c r="BT178" s="11">
        <f>Tabelle5897112140[[#This Row],[Mindestauslastung min]]*Tabelle5897112140[[#This Row],[installierte Leistung MW min]]</f>
        <v>0</v>
      </c>
      <c r="BU178" s="11">
        <f>Tabelle5897112140[[#This Row],[Mindestauslastung durch]]*Tabelle5897112140[[#This Row],[installierte Leistung MW durch]]</f>
        <v>0</v>
      </c>
      <c r="BV178" s="11">
        <f>Tabelle5897112140[[#This Row],[Mindestauslastung max]]*Tabelle5897112140[[#This Row],[installierte Leistung MW max]]</f>
        <v>0</v>
      </c>
      <c r="BW178" s="9">
        <v>0</v>
      </c>
      <c r="BX178" s="9">
        <v>0</v>
      </c>
      <c r="BY178" s="9">
        <v>0</v>
      </c>
      <c r="BZ178" s="9"/>
      <c r="CA178" s="9">
        <v>0.5</v>
      </c>
      <c r="CB178" s="9">
        <v>0.4</v>
      </c>
      <c r="CC178" s="9">
        <v>0.6</v>
      </c>
      <c r="CD178" s="9">
        <v>0.24</v>
      </c>
      <c r="CE178" s="9">
        <v>0.19</v>
      </c>
      <c r="CF178" s="9">
        <v>0.28999999999999998</v>
      </c>
      <c r="CG178" s="9">
        <v>0.24</v>
      </c>
      <c r="CH178" s="9">
        <v>0.19</v>
      </c>
      <c r="CI178" s="9">
        <v>0.28999999999999998</v>
      </c>
      <c r="CJ178" s="9">
        <v>0.5</v>
      </c>
      <c r="CK178" s="9">
        <v>0.4</v>
      </c>
      <c r="CL178" s="9">
        <v>0.6</v>
      </c>
      <c r="CM178" s="9">
        <v>0.24</v>
      </c>
      <c r="CN178" s="9">
        <v>0.19</v>
      </c>
      <c r="CO178" s="9">
        <v>0.28999999999999998</v>
      </c>
      <c r="CP178" s="9">
        <v>0.24</v>
      </c>
      <c r="CQ178" s="9">
        <v>0.19</v>
      </c>
      <c r="CR178" s="9">
        <v>0.28999999999999998</v>
      </c>
      <c r="CS178" s="9">
        <v>0.5</v>
      </c>
      <c r="CT178" s="9">
        <v>0.4</v>
      </c>
      <c r="CU178" s="9">
        <v>0.6</v>
      </c>
      <c r="CV178" s="9">
        <v>0.24</v>
      </c>
      <c r="CW178" s="9">
        <v>0.19</v>
      </c>
      <c r="CX178" s="9">
        <v>0.28999999999999998</v>
      </c>
      <c r="CY178" s="9">
        <v>0.24</v>
      </c>
      <c r="CZ178" s="9">
        <v>0.19</v>
      </c>
      <c r="DA178" s="9">
        <v>0.28999999999999998</v>
      </c>
      <c r="DB178" s="9">
        <f>MIN(Tabelle5897112140[[#This Row],[Durchschnittsauslastung durch Sommer WTT]:[Durchschnittsauslastung max Winter SFN]])</f>
        <v>0.19</v>
      </c>
      <c r="DC17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78" s="9">
        <f>MAX(Tabelle5897112140[[#This Row],[Durchschnittsauslastung durch Sommer WTT]:[Durchschnittsauslastung max Winter SFN]])</f>
        <v>0.6</v>
      </c>
      <c r="DE178" s="40">
        <f>Tabelle5897112140[[#This Row],[Durchschnittsauslastung min]]*Tabelle5897112140[[#This Row],[installierte Leistung MW min]]</f>
        <v>3.99</v>
      </c>
      <c r="DF178" s="40">
        <f>Tabelle5897112140[[#This Row],[Durchschnittsauslastung durch]]*Tabelle5897112140[[#This Row],[installierte Leistung MW durch]]</f>
        <v>8.8200000000000021</v>
      </c>
      <c r="DG178" s="40">
        <f>Tabelle5897112140[[#This Row],[Durchschnittsauslastung max]]*Tabelle5897112140[[#This Row],[installierte Leistung MW max]]</f>
        <v>19.8</v>
      </c>
      <c r="DH178" s="46">
        <f>Tabelle5897112140[[#This Row],[Maximalauslastung min]]*Tabelle5897112140[[#This Row],[installierte Leistung MW min]]</f>
        <v>6.3</v>
      </c>
      <c r="DI178" s="46">
        <f>Tabelle5897112140[[#This Row],[Maximalauslastung durch]]*Tabelle5897112140[[#This Row],[installierte Leistung MW durch]]</f>
        <v>8.91</v>
      </c>
      <c r="DJ178" s="19">
        <f>Tabelle5897112140[[#This Row],[Maximalauslastung max]]*Tabelle5897112140[[#This Row],[installierte Leistung MW durch]]</f>
        <v>9.7199999999999989</v>
      </c>
      <c r="DK178" s="9">
        <v>0.3</v>
      </c>
      <c r="DL178" s="9">
        <v>0.33</v>
      </c>
      <c r="DM178" s="9">
        <v>0.36</v>
      </c>
      <c r="DN178" s="1">
        <v>27</v>
      </c>
      <c r="DO178" s="1">
        <v>21</v>
      </c>
      <c r="DP178" s="1">
        <v>33</v>
      </c>
      <c r="DQ178" s="19"/>
      <c r="DR178" s="19"/>
      <c r="DW178" s="1">
        <v>1.1000000000000001</v>
      </c>
      <c r="DX178" s="1">
        <v>0.8</v>
      </c>
      <c r="DY178" s="1">
        <v>1.4</v>
      </c>
      <c r="EL178" s="1">
        <v>365</v>
      </c>
      <c r="EM178" s="1">
        <v>292</v>
      </c>
      <c r="EN178" s="1">
        <v>438</v>
      </c>
      <c r="EO178" s="11"/>
      <c r="EP178" s="11"/>
      <c r="EQ178" s="11"/>
      <c r="ER178" s="1">
        <v>365</v>
      </c>
      <c r="ES178" s="1">
        <v>292</v>
      </c>
      <c r="ET178" s="1">
        <v>438</v>
      </c>
      <c r="EV178" s="19"/>
      <c r="EW178" s="19"/>
      <c r="EX178" s="19"/>
      <c r="EY178" s="19"/>
      <c r="EZ178" s="19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O178" s="1">
        <v>67</v>
      </c>
      <c r="FP178" s="1">
        <v>67</v>
      </c>
      <c r="FQ178" s="1">
        <v>67</v>
      </c>
      <c r="FR178" s="13" t="s">
        <v>806</v>
      </c>
      <c r="FS178" s="13" t="s">
        <v>806</v>
      </c>
      <c r="FT178" s="13" t="s">
        <v>806</v>
      </c>
      <c r="FU178" s="13"/>
      <c r="FV178" s="13" t="s">
        <v>806</v>
      </c>
      <c r="FW178" s="13" t="s">
        <v>806</v>
      </c>
      <c r="FX178" s="13" t="s">
        <v>806</v>
      </c>
      <c r="FY178" s="13" t="s">
        <v>806</v>
      </c>
      <c r="FZ178" s="13" t="s">
        <v>806</v>
      </c>
      <c r="GA178" s="13" t="s">
        <v>806</v>
      </c>
      <c r="GB178" s="13" t="s">
        <v>806</v>
      </c>
      <c r="GE178" s="13" t="s">
        <v>806</v>
      </c>
      <c r="GF178" s="13" t="s">
        <v>806</v>
      </c>
      <c r="GH178" s="13" t="s">
        <v>806</v>
      </c>
    </row>
    <row r="179" spans="1:190" ht="12.75" customHeight="1" x14ac:dyDescent="0.25">
      <c r="A179" s="1" t="s">
        <v>208</v>
      </c>
      <c r="B179" s="1" t="s">
        <v>651</v>
      </c>
      <c r="C179" s="1" t="s">
        <v>662</v>
      </c>
      <c r="D179" s="1" t="s">
        <v>693</v>
      </c>
      <c r="E179" s="1" t="s">
        <v>126</v>
      </c>
      <c r="F179" s="1">
        <v>0</v>
      </c>
      <c r="G179" s="1">
        <v>2020</v>
      </c>
      <c r="H179" s="1">
        <v>1</v>
      </c>
      <c r="I179" s="1">
        <v>0</v>
      </c>
      <c r="J179" s="1">
        <v>0</v>
      </c>
      <c r="K17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0.4284</v>
      </c>
      <c r="L17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4.8654000000000002</v>
      </c>
      <c r="M17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15.8202</v>
      </c>
      <c r="N179" s="19">
        <v>9.6389999999999993</v>
      </c>
      <c r="O179" s="19">
        <v>4.9266000000000005</v>
      </c>
      <c r="P179" s="19">
        <v>15.8202</v>
      </c>
      <c r="Q179" s="19">
        <v>0.27540000000000003</v>
      </c>
      <c r="R179" s="19">
        <v>0</v>
      </c>
      <c r="S179" s="19">
        <v>5.3856000000000002</v>
      </c>
      <c r="T179" s="19">
        <v>2.4786000000000001</v>
      </c>
      <c r="U179" s="19">
        <v>0.4284</v>
      </c>
      <c r="V179" s="19">
        <v>5.3856000000000002</v>
      </c>
      <c r="W179" s="19">
        <v>7.4358000000000004</v>
      </c>
      <c r="X179" s="19">
        <v>3.6414</v>
      </c>
      <c r="Y179" s="19">
        <v>12.454200000000002</v>
      </c>
      <c r="Z179" s="19">
        <v>2.4786000000000001</v>
      </c>
      <c r="AA179" s="19">
        <v>0.4284</v>
      </c>
      <c r="AB179" s="19">
        <v>5.3856000000000002</v>
      </c>
      <c r="AC179" s="19">
        <v>7.4358000000000004</v>
      </c>
      <c r="AD179" s="19">
        <v>3.6414</v>
      </c>
      <c r="AE179" s="19">
        <v>12.454200000000002</v>
      </c>
      <c r="AF179" s="19">
        <v>9.6389999999999993</v>
      </c>
      <c r="AG179" s="19">
        <v>4.9266000000000005</v>
      </c>
      <c r="AH179" s="19">
        <v>15.8202</v>
      </c>
      <c r="AI179" s="19">
        <v>0.27540000000000003</v>
      </c>
      <c r="AJ179" s="19">
        <v>0</v>
      </c>
      <c r="AK179" s="19">
        <v>5.3856000000000002</v>
      </c>
      <c r="AL179" s="19">
        <v>2.4786000000000001</v>
      </c>
      <c r="AM179" s="19">
        <v>0.4284</v>
      </c>
      <c r="AN179" s="19">
        <v>5.3856000000000002</v>
      </c>
      <c r="AO179" s="19">
        <v>7.4358000000000004</v>
      </c>
      <c r="AP179" s="19">
        <v>3.6414</v>
      </c>
      <c r="AQ179" s="19">
        <v>12.454200000000002</v>
      </c>
      <c r="AR179" s="19">
        <v>2.4786000000000001</v>
      </c>
      <c r="AS179" s="19">
        <v>0.4284</v>
      </c>
      <c r="AT179" s="19">
        <v>5.3856000000000002</v>
      </c>
      <c r="AU179" s="19">
        <v>7.4358000000000004</v>
      </c>
      <c r="AV179" s="19">
        <v>3.6414</v>
      </c>
      <c r="AW179" s="19">
        <v>12.454200000000002</v>
      </c>
      <c r="AX179" s="19">
        <v>9.6389999999999993</v>
      </c>
      <c r="AY179" s="19">
        <v>4.9266000000000005</v>
      </c>
      <c r="AZ179" s="19">
        <v>15.8202</v>
      </c>
      <c r="BA179" s="19">
        <v>0.27540000000000003</v>
      </c>
      <c r="BB179" s="19">
        <v>0</v>
      </c>
      <c r="BC179" s="19">
        <v>5.3856000000000002</v>
      </c>
      <c r="BD179" s="19">
        <v>2.4786000000000001</v>
      </c>
      <c r="BE179" s="19">
        <v>0.4284</v>
      </c>
      <c r="BF179" s="19">
        <v>5.3856000000000002</v>
      </c>
      <c r="BG179" s="19">
        <v>7.4358000000000004</v>
      </c>
      <c r="BH179" s="19">
        <v>3.6414</v>
      </c>
      <c r="BI179" s="19">
        <v>12.454200000000002</v>
      </c>
      <c r="BJ179" s="19">
        <v>2.4786000000000001</v>
      </c>
      <c r="BK179" s="19">
        <v>0.4284</v>
      </c>
      <c r="BL179" s="19">
        <v>5.3856000000000002</v>
      </c>
      <c r="BM179" s="19">
        <v>7.4358000000000004</v>
      </c>
      <c r="BN179" s="19">
        <v>3.6414</v>
      </c>
      <c r="BO179" s="19">
        <v>12.454200000000002</v>
      </c>
      <c r="BP179" s="19"/>
      <c r="BQ17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5.0490000000000004</v>
      </c>
      <c r="BS17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12.454200000000002</v>
      </c>
      <c r="BT179" s="11">
        <f>Tabelle5897112140[[#This Row],[Mindestauslastung min]]*Tabelle5897112140[[#This Row],[installierte Leistung MW min]]</f>
        <v>0</v>
      </c>
      <c r="BU179" s="11">
        <f>Tabelle5897112140[[#This Row],[Mindestauslastung durch]]*Tabelle5897112140[[#This Row],[installierte Leistung MW durch]]</f>
        <v>0</v>
      </c>
      <c r="BV179" s="11">
        <f>Tabelle5897112140[[#This Row],[Mindestauslastung max]]*Tabelle5897112140[[#This Row],[installierte Leistung MW max]]</f>
        <v>0</v>
      </c>
      <c r="BW179" s="9">
        <v>0</v>
      </c>
      <c r="BX179" s="9">
        <v>0</v>
      </c>
      <c r="BY179" s="9">
        <v>0</v>
      </c>
      <c r="BZ179" s="9"/>
      <c r="CA179" s="9">
        <v>0.5</v>
      </c>
      <c r="CB179" s="9">
        <v>0.4</v>
      </c>
      <c r="CC179" s="9">
        <v>0.6</v>
      </c>
      <c r="CD179" s="9">
        <v>0.24</v>
      </c>
      <c r="CE179" s="9">
        <v>0.19</v>
      </c>
      <c r="CF179" s="9">
        <v>0.28999999999999998</v>
      </c>
      <c r="CG179" s="9">
        <v>0.24</v>
      </c>
      <c r="CH179" s="9">
        <v>0.19</v>
      </c>
      <c r="CI179" s="9">
        <v>0.28999999999999998</v>
      </c>
      <c r="CJ179" s="9">
        <v>0.5</v>
      </c>
      <c r="CK179" s="9">
        <v>0.4</v>
      </c>
      <c r="CL179" s="9">
        <v>0.6</v>
      </c>
      <c r="CM179" s="9">
        <v>0.24</v>
      </c>
      <c r="CN179" s="9">
        <v>0.19</v>
      </c>
      <c r="CO179" s="9">
        <v>0.28999999999999998</v>
      </c>
      <c r="CP179" s="9">
        <v>0.24</v>
      </c>
      <c r="CQ179" s="9">
        <v>0.19</v>
      </c>
      <c r="CR179" s="9">
        <v>0.28999999999999998</v>
      </c>
      <c r="CS179" s="9">
        <v>0.5</v>
      </c>
      <c r="CT179" s="9">
        <v>0.4</v>
      </c>
      <c r="CU179" s="9">
        <v>0.6</v>
      </c>
      <c r="CV179" s="9">
        <v>0.24</v>
      </c>
      <c r="CW179" s="9">
        <v>0.19</v>
      </c>
      <c r="CX179" s="9">
        <v>0.28999999999999998</v>
      </c>
      <c r="CY179" s="9">
        <v>0.24</v>
      </c>
      <c r="CZ179" s="9">
        <v>0.19</v>
      </c>
      <c r="DA179" s="9">
        <v>0.28999999999999998</v>
      </c>
      <c r="DB179" s="9">
        <f>MIN(Tabelle5897112140[[#This Row],[Durchschnittsauslastung durch Sommer WTT]:[Durchschnittsauslastung max Winter SFN]])</f>
        <v>0.19</v>
      </c>
      <c r="DC17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79" s="9">
        <f>MAX(Tabelle5897112140[[#This Row],[Durchschnittsauslastung durch Sommer WTT]:[Durchschnittsauslastung max Winter SFN]])</f>
        <v>0.6</v>
      </c>
      <c r="DE179" s="40">
        <f>Tabelle5897112140[[#This Row],[Durchschnittsauslastung min]]*Tabelle5897112140[[#This Row],[installierte Leistung MW min]]</f>
        <v>4.0698000000000008</v>
      </c>
      <c r="DF179" s="40">
        <f>Tabelle5897112140[[#This Row],[Durchschnittsauslastung durch]]*Tabelle5897112140[[#This Row],[installierte Leistung MW durch]]</f>
        <v>8.9964000000000013</v>
      </c>
      <c r="DG179" s="40">
        <f>Tabelle5897112140[[#This Row],[Durchschnittsauslastung max]]*Tabelle5897112140[[#This Row],[installierte Leistung MW max]]</f>
        <v>20.195999999999998</v>
      </c>
      <c r="DH179" s="46">
        <f>Tabelle5897112140[[#This Row],[Maximalauslastung min]]*Tabelle5897112140[[#This Row],[installierte Leistung MW min]]</f>
        <v>21.42</v>
      </c>
      <c r="DI179" s="46">
        <f>Tabelle5897112140[[#This Row],[Maximalauslastung durch]]*Tabelle5897112140[[#This Row],[installierte Leistung MW durch]]</f>
        <v>27.54</v>
      </c>
      <c r="DJ179" s="19">
        <f>Tabelle5897112140[[#This Row],[Maximalauslastung max]]*Tabelle5897112140[[#This Row],[installierte Leistung MW durch]]</f>
        <v>27.54</v>
      </c>
      <c r="DK179" s="9">
        <v>1</v>
      </c>
      <c r="DL179" s="9">
        <v>1</v>
      </c>
      <c r="DM179" s="9">
        <v>1</v>
      </c>
      <c r="DN179" s="1">
        <v>27.54</v>
      </c>
      <c r="DO179" s="1">
        <v>21.42</v>
      </c>
      <c r="DP179" s="1">
        <v>33.659999999999997</v>
      </c>
      <c r="DQ179" s="19"/>
      <c r="DR179" s="19"/>
      <c r="DW179" s="1">
        <v>1.1000000000000001</v>
      </c>
      <c r="DX179" s="1">
        <v>0.8</v>
      </c>
      <c r="DY179" s="1">
        <v>1.4</v>
      </c>
      <c r="EL179" s="1">
        <v>365</v>
      </c>
      <c r="EM179" s="1">
        <v>292</v>
      </c>
      <c r="EN179" s="1">
        <v>438</v>
      </c>
      <c r="EO179" s="11"/>
      <c r="EP179" s="11"/>
      <c r="EQ179" s="11"/>
      <c r="ER179" s="1">
        <v>365</v>
      </c>
      <c r="ES179" s="1">
        <v>292</v>
      </c>
      <c r="ET179" s="1">
        <v>438</v>
      </c>
      <c r="EV179" s="19"/>
      <c r="EW179" s="19"/>
      <c r="EX179" s="19"/>
      <c r="EY179" s="19"/>
      <c r="EZ179" s="19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O179" s="1">
        <v>67</v>
      </c>
      <c r="FP179" s="1">
        <v>67</v>
      </c>
      <c r="FQ179" s="1">
        <v>67</v>
      </c>
      <c r="FR179" s="13" t="s">
        <v>806</v>
      </c>
      <c r="FS179" s="13" t="s">
        <v>806</v>
      </c>
      <c r="FT179" s="13" t="s">
        <v>806</v>
      </c>
      <c r="FU179" s="13"/>
      <c r="FV179" s="13" t="s">
        <v>806</v>
      </c>
      <c r="FW179" s="13" t="s">
        <v>806</v>
      </c>
      <c r="FX179" s="13" t="s">
        <v>806</v>
      </c>
      <c r="FY179" s="13" t="s">
        <v>806</v>
      </c>
      <c r="FZ179" s="13" t="s">
        <v>806</v>
      </c>
      <c r="GA179" s="13" t="s">
        <v>806</v>
      </c>
      <c r="GB179" s="13" t="s">
        <v>806</v>
      </c>
      <c r="GE179" s="13" t="s">
        <v>806</v>
      </c>
      <c r="GF179" s="13" t="s">
        <v>806</v>
      </c>
      <c r="GH179" s="13" t="s">
        <v>806</v>
      </c>
    </row>
    <row r="180" spans="1:190" ht="12.75" customHeight="1" x14ac:dyDescent="0.25">
      <c r="A180" s="1" t="s">
        <v>208</v>
      </c>
      <c r="B180" s="1" t="s">
        <v>651</v>
      </c>
      <c r="C180" s="1" t="s">
        <v>662</v>
      </c>
      <c r="D180" s="1" t="s">
        <v>693</v>
      </c>
      <c r="E180" s="1" t="s">
        <v>126</v>
      </c>
      <c r="F180" s="1">
        <v>0</v>
      </c>
      <c r="G180" s="1">
        <v>2025</v>
      </c>
      <c r="H180" s="1">
        <v>1</v>
      </c>
      <c r="I180" s="1">
        <v>0</v>
      </c>
      <c r="J180" s="1">
        <v>0</v>
      </c>
      <c r="K18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0.43680000000000002</v>
      </c>
      <c r="L18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4.9607999999999999</v>
      </c>
      <c r="M18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16.130400000000002</v>
      </c>
      <c r="N180" s="19">
        <v>9.8279999999999994</v>
      </c>
      <c r="O180" s="19">
        <v>5.0232000000000001</v>
      </c>
      <c r="P180" s="19">
        <v>16.130400000000002</v>
      </c>
      <c r="Q180" s="19">
        <v>0.28080000000000005</v>
      </c>
      <c r="R180" s="19">
        <v>0</v>
      </c>
      <c r="S180" s="19">
        <v>5.4912000000000001</v>
      </c>
      <c r="T180" s="19">
        <v>2.5272000000000001</v>
      </c>
      <c r="U180" s="19">
        <v>0.43680000000000002</v>
      </c>
      <c r="V180" s="19">
        <v>5.4912000000000001</v>
      </c>
      <c r="W180" s="19">
        <v>7.5815999999999999</v>
      </c>
      <c r="X180" s="19">
        <v>3.7128000000000001</v>
      </c>
      <c r="Y180" s="19">
        <v>12.698400000000001</v>
      </c>
      <c r="Z180" s="19">
        <v>2.5272000000000001</v>
      </c>
      <c r="AA180" s="19">
        <v>0.43680000000000002</v>
      </c>
      <c r="AB180" s="19">
        <v>5.4912000000000001</v>
      </c>
      <c r="AC180" s="19">
        <v>7.5815999999999999</v>
      </c>
      <c r="AD180" s="19">
        <v>3.7128000000000001</v>
      </c>
      <c r="AE180" s="19">
        <v>12.698400000000001</v>
      </c>
      <c r="AF180" s="19">
        <v>9.8279999999999994</v>
      </c>
      <c r="AG180" s="19">
        <v>5.0232000000000001</v>
      </c>
      <c r="AH180" s="19">
        <v>16.130400000000002</v>
      </c>
      <c r="AI180" s="19">
        <v>0.28080000000000005</v>
      </c>
      <c r="AJ180" s="19">
        <v>0</v>
      </c>
      <c r="AK180" s="19">
        <v>5.4912000000000001</v>
      </c>
      <c r="AL180" s="19">
        <v>2.5272000000000001</v>
      </c>
      <c r="AM180" s="19">
        <v>0.43680000000000002</v>
      </c>
      <c r="AN180" s="19">
        <v>5.4912000000000001</v>
      </c>
      <c r="AO180" s="19">
        <v>7.5815999999999999</v>
      </c>
      <c r="AP180" s="19">
        <v>3.7128000000000001</v>
      </c>
      <c r="AQ180" s="19">
        <v>12.698400000000001</v>
      </c>
      <c r="AR180" s="19">
        <v>2.5272000000000001</v>
      </c>
      <c r="AS180" s="19">
        <v>0.43680000000000002</v>
      </c>
      <c r="AT180" s="19">
        <v>5.4912000000000001</v>
      </c>
      <c r="AU180" s="19">
        <v>7.5815999999999999</v>
      </c>
      <c r="AV180" s="19">
        <v>3.7128000000000001</v>
      </c>
      <c r="AW180" s="19">
        <v>12.698400000000001</v>
      </c>
      <c r="AX180" s="19">
        <v>9.8279999999999994</v>
      </c>
      <c r="AY180" s="19">
        <v>5.0232000000000001</v>
      </c>
      <c r="AZ180" s="19">
        <v>16.130400000000002</v>
      </c>
      <c r="BA180" s="19">
        <v>0.28080000000000005</v>
      </c>
      <c r="BB180" s="19">
        <v>0</v>
      </c>
      <c r="BC180" s="19">
        <v>5.4912000000000001</v>
      </c>
      <c r="BD180" s="19">
        <v>2.5272000000000001</v>
      </c>
      <c r="BE180" s="19">
        <v>0.43680000000000002</v>
      </c>
      <c r="BF180" s="19">
        <v>5.4912000000000001</v>
      </c>
      <c r="BG180" s="19">
        <v>7.5815999999999999</v>
      </c>
      <c r="BH180" s="19">
        <v>3.7128000000000001</v>
      </c>
      <c r="BI180" s="19">
        <v>12.698400000000001</v>
      </c>
      <c r="BJ180" s="19">
        <v>2.5272000000000001</v>
      </c>
      <c r="BK180" s="19">
        <v>0.43680000000000002</v>
      </c>
      <c r="BL180" s="19">
        <v>5.4912000000000001</v>
      </c>
      <c r="BM180" s="19">
        <v>7.5815999999999999</v>
      </c>
      <c r="BN180" s="19">
        <v>3.7128000000000001</v>
      </c>
      <c r="BO180" s="19">
        <v>12.698400000000001</v>
      </c>
      <c r="BP180" s="19"/>
      <c r="BQ18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5.1479999999999997</v>
      </c>
      <c r="BS18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12.698400000000001</v>
      </c>
      <c r="BT180" s="11">
        <f>Tabelle5897112140[[#This Row],[Mindestauslastung min]]*Tabelle5897112140[[#This Row],[installierte Leistung MW min]]</f>
        <v>0</v>
      </c>
      <c r="BU180" s="11">
        <f>Tabelle5897112140[[#This Row],[Mindestauslastung durch]]*Tabelle5897112140[[#This Row],[installierte Leistung MW durch]]</f>
        <v>0</v>
      </c>
      <c r="BV180" s="11">
        <f>Tabelle5897112140[[#This Row],[Mindestauslastung max]]*Tabelle5897112140[[#This Row],[installierte Leistung MW max]]</f>
        <v>0</v>
      </c>
      <c r="BW180" s="9">
        <v>0</v>
      </c>
      <c r="BX180" s="9">
        <v>0</v>
      </c>
      <c r="BY180" s="9">
        <v>0</v>
      </c>
      <c r="BZ180" s="9"/>
      <c r="CA180" s="9">
        <v>0.5</v>
      </c>
      <c r="CB180" s="9">
        <v>0.4</v>
      </c>
      <c r="CC180" s="9">
        <v>0.6</v>
      </c>
      <c r="CD180" s="9">
        <v>0.24</v>
      </c>
      <c r="CE180" s="9">
        <v>0.19</v>
      </c>
      <c r="CF180" s="9">
        <v>0.28999999999999998</v>
      </c>
      <c r="CG180" s="9">
        <v>0.24</v>
      </c>
      <c r="CH180" s="9">
        <v>0.19</v>
      </c>
      <c r="CI180" s="9">
        <v>0.28999999999999998</v>
      </c>
      <c r="CJ180" s="9">
        <v>0.5</v>
      </c>
      <c r="CK180" s="9">
        <v>0.4</v>
      </c>
      <c r="CL180" s="9">
        <v>0.6</v>
      </c>
      <c r="CM180" s="9">
        <v>0.24</v>
      </c>
      <c r="CN180" s="9">
        <v>0.19</v>
      </c>
      <c r="CO180" s="9">
        <v>0.28999999999999998</v>
      </c>
      <c r="CP180" s="9">
        <v>0.24</v>
      </c>
      <c r="CQ180" s="9">
        <v>0.19</v>
      </c>
      <c r="CR180" s="9">
        <v>0.28999999999999998</v>
      </c>
      <c r="CS180" s="9">
        <v>0.5</v>
      </c>
      <c r="CT180" s="9">
        <v>0.4</v>
      </c>
      <c r="CU180" s="9">
        <v>0.6</v>
      </c>
      <c r="CV180" s="9">
        <v>0.24</v>
      </c>
      <c r="CW180" s="9">
        <v>0.19</v>
      </c>
      <c r="CX180" s="9">
        <v>0.28999999999999998</v>
      </c>
      <c r="CY180" s="9">
        <v>0.24</v>
      </c>
      <c r="CZ180" s="9">
        <v>0.19</v>
      </c>
      <c r="DA180" s="9">
        <v>0.28999999999999998</v>
      </c>
      <c r="DB180" s="9">
        <f>MIN(Tabelle5897112140[[#This Row],[Durchschnittsauslastung durch Sommer WTT]:[Durchschnittsauslastung max Winter SFN]])</f>
        <v>0.19</v>
      </c>
      <c r="DC18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0" s="9">
        <f>MAX(Tabelle5897112140[[#This Row],[Durchschnittsauslastung durch Sommer WTT]:[Durchschnittsauslastung max Winter SFN]])</f>
        <v>0.6</v>
      </c>
      <c r="DE180" s="40">
        <f>Tabelle5897112140[[#This Row],[Durchschnittsauslastung min]]*Tabelle5897112140[[#This Row],[installierte Leistung MW min]]</f>
        <v>4.1496000000000004</v>
      </c>
      <c r="DF180" s="40">
        <f>Tabelle5897112140[[#This Row],[Durchschnittsauslastung durch]]*Tabelle5897112140[[#This Row],[installierte Leistung MW durch]]</f>
        <v>9.1728000000000005</v>
      </c>
      <c r="DG180" s="40">
        <f>Tabelle5897112140[[#This Row],[Durchschnittsauslastung max]]*Tabelle5897112140[[#This Row],[installierte Leistung MW max]]</f>
        <v>20.591999999999999</v>
      </c>
      <c r="DH180" s="46">
        <f>Tabelle5897112140[[#This Row],[Maximalauslastung min]]*Tabelle5897112140[[#This Row],[installierte Leistung MW min]]</f>
        <v>21.84</v>
      </c>
      <c r="DI180" s="46">
        <f>Tabelle5897112140[[#This Row],[Maximalauslastung durch]]*Tabelle5897112140[[#This Row],[installierte Leistung MW durch]]</f>
        <v>28.08</v>
      </c>
      <c r="DJ180" s="19">
        <f>Tabelle5897112140[[#This Row],[Maximalauslastung max]]*Tabelle5897112140[[#This Row],[installierte Leistung MW durch]]</f>
        <v>28.08</v>
      </c>
      <c r="DK180" s="9">
        <v>1</v>
      </c>
      <c r="DL180" s="9">
        <v>1</v>
      </c>
      <c r="DM180" s="9">
        <v>1</v>
      </c>
      <c r="DN180" s="1">
        <v>28.08</v>
      </c>
      <c r="DO180" s="1">
        <v>21.84</v>
      </c>
      <c r="DP180" s="1">
        <v>34.32</v>
      </c>
      <c r="DQ180" s="19"/>
      <c r="DR180" s="19"/>
      <c r="DW180" s="1">
        <v>1.1000000000000001</v>
      </c>
      <c r="DX180" s="1">
        <v>0.8</v>
      </c>
      <c r="DY180" s="1">
        <v>1.4</v>
      </c>
      <c r="EL180" s="1">
        <v>365</v>
      </c>
      <c r="EM180" s="1">
        <v>292</v>
      </c>
      <c r="EN180" s="1">
        <v>438</v>
      </c>
      <c r="EO180" s="11"/>
      <c r="EP180" s="11"/>
      <c r="EQ180" s="11"/>
      <c r="ER180" s="1">
        <v>365</v>
      </c>
      <c r="ES180" s="1">
        <v>292</v>
      </c>
      <c r="ET180" s="1">
        <v>438</v>
      </c>
      <c r="EV180" s="19"/>
      <c r="EW180" s="19"/>
      <c r="EX180" s="19"/>
      <c r="EY180" s="19"/>
      <c r="EZ180" s="19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O180" s="1">
        <v>67</v>
      </c>
      <c r="FP180" s="1">
        <v>67</v>
      </c>
      <c r="FQ180" s="1">
        <v>67</v>
      </c>
      <c r="FR180" s="13" t="s">
        <v>806</v>
      </c>
      <c r="FS180" s="13" t="s">
        <v>806</v>
      </c>
      <c r="FT180" s="13" t="s">
        <v>806</v>
      </c>
      <c r="FU180" s="13"/>
      <c r="FV180" s="13" t="s">
        <v>806</v>
      </c>
      <c r="FW180" s="13" t="s">
        <v>806</v>
      </c>
      <c r="FX180" s="13" t="s">
        <v>806</v>
      </c>
      <c r="FY180" s="13" t="s">
        <v>806</v>
      </c>
      <c r="FZ180" s="13" t="s">
        <v>806</v>
      </c>
      <c r="GA180" s="13" t="s">
        <v>806</v>
      </c>
      <c r="GB180" s="13" t="s">
        <v>806</v>
      </c>
      <c r="GE180" s="13" t="s">
        <v>806</v>
      </c>
      <c r="GF180" s="13" t="s">
        <v>806</v>
      </c>
      <c r="GH180" s="13" t="s">
        <v>806</v>
      </c>
    </row>
    <row r="181" spans="1:190" ht="12.75" customHeight="1" x14ac:dyDescent="0.25">
      <c r="A181" s="1" t="s">
        <v>208</v>
      </c>
      <c r="B181" s="1" t="s">
        <v>651</v>
      </c>
      <c r="C181" s="1" t="s">
        <v>662</v>
      </c>
      <c r="D181" s="1" t="s">
        <v>693</v>
      </c>
      <c r="E181" s="1" t="s">
        <v>126</v>
      </c>
      <c r="F181" s="1">
        <v>0</v>
      </c>
      <c r="G181" s="1">
        <v>2030</v>
      </c>
      <c r="H181" s="1">
        <v>1</v>
      </c>
      <c r="I181" s="1">
        <v>0</v>
      </c>
      <c r="J181" s="1">
        <v>0</v>
      </c>
      <c r="K18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0.44940000000000002</v>
      </c>
      <c r="L18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5.1038999999999994</v>
      </c>
      <c r="M18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16.595700000000001</v>
      </c>
      <c r="N181" s="19">
        <v>10.111499999999999</v>
      </c>
      <c r="O181" s="19">
        <v>5.1681000000000008</v>
      </c>
      <c r="P181" s="19">
        <v>16.595700000000001</v>
      </c>
      <c r="Q181" s="19">
        <v>0.28890000000000005</v>
      </c>
      <c r="R181" s="19">
        <v>0</v>
      </c>
      <c r="S181" s="19">
        <v>5.6496000000000004</v>
      </c>
      <c r="T181" s="19">
        <v>2.6001000000000003</v>
      </c>
      <c r="U181" s="19">
        <v>0.44940000000000002</v>
      </c>
      <c r="V181" s="19">
        <v>5.6496000000000004</v>
      </c>
      <c r="W181" s="19">
        <v>7.8003000000000009</v>
      </c>
      <c r="X181" s="19">
        <v>3.8199000000000001</v>
      </c>
      <c r="Y181" s="19">
        <v>13.064700000000002</v>
      </c>
      <c r="Z181" s="19">
        <v>2.6001000000000003</v>
      </c>
      <c r="AA181" s="19">
        <v>0.44940000000000002</v>
      </c>
      <c r="AB181" s="19">
        <v>5.6496000000000004</v>
      </c>
      <c r="AC181" s="19">
        <v>7.8003000000000009</v>
      </c>
      <c r="AD181" s="19">
        <v>3.8199000000000001</v>
      </c>
      <c r="AE181" s="19">
        <v>13.064700000000002</v>
      </c>
      <c r="AF181" s="19">
        <v>10.111499999999999</v>
      </c>
      <c r="AG181" s="19">
        <v>5.1681000000000008</v>
      </c>
      <c r="AH181" s="19">
        <v>16.595700000000001</v>
      </c>
      <c r="AI181" s="19">
        <v>0.28890000000000005</v>
      </c>
      <c r="AJ181" s="19">
        <v>0</v>
      </c>
      <c r="AK181" s="19">
        <v>5.6496000000000004</v>
      </c>
      <c r="AL181" s="19">
        <v>2.6001000000000003</v>
      </c>
      <c r="AM181" s="19">
        <v>0.44940000000000002</v>
      </c>
      <c r="AN181" s="19">
        <v>5.6496000000000004</v>
      </c>
      <c r="AO181" s="19">
        <v>7.8003000000000009</v>
      </c>
      <c r="AP181" s="19">
        <v>3.8199000000000001</v>
      </c>
      <c r="AQ181" s="19">
        <v>13.064700000000002</v>
      </c>
      <c r="AR181" s="19">
        <v>2.6001000000000003</v>
      </c>
      <c r="AS181" s="19">
        <v>0.44940000000000002</v>
      </c>
      <c r="AT181" s="19">
        <v>5.6496000000000004</v>
      </c>
      <c r="AU181" s="19">
        <v>7.8003000000000009</v>
      </c>
      <c r="AV181" s="19">
        <v>3.8199000000000001</v>
      </c>
      <c r="AW181" s="19">
        <v>13.064700000000002</v>
      </c>
      <c r="AX181" s="19">
        <v>10.111499999999999</v>
      </c>
      <c r="AY181" s="19">
        <v>5.1681000000000008</v>
      </c>
      <c r="AZ181" s="19">
        <v>16.595700000000001</v>
      </c>
      <c r="BA181" s="19">
        <v>0.28890000000000005</v>
      </c>
      <c r="BB181" s="19">
        <v>0</v>
      </c>
      <c r="BC181" s="19">
        <v>5.6496000000000004</v>
      </c>
      <c r="BD181" s="19">
        <v>2.6001000000000003</v>
      </c>
      <c r="BE181" s="19">
        <v>0.44940000000000002</v>
      </c>
      <c r="BF181" s="19">
        <v>5.6496000000000004</v>
      </c>
      <c r="BG181" s="19">
        <v>7.8003000000000009</v>
      </c>
      <c r="BH181" s="19">
        <v>3.8199000000000001</v>
      </c>
      <c r="BI181" s="19">
        <v>13.064700000000002</v>
      </c>
      <c r="BJ181" s="19">
        <v>2.6001000000000003</v>
      </c>
      <c r="BK181" s="19">
        <v>0.44940000000000002</v>
      </c>
      <c r="BL181" s="19">
        <v>5.6496000000000004</v>
      </c>
      <c r="BM181" s="19">
        <v>7.8003000000000009</v>
      </c>
      <c r="BN181" s="19">
        <v>3.8199000000000001</v>
      </c>
      <c r="BO181" s="19">
        <v>13.064700000000002</v>
      </c>
      <c r="BP181" s="19"/>
      <c r="BQ18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5.2965</v>
      </c>
      <c r="BS18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13.064700000000002</v>
      </c>
      <c r="BT181" s="11">
        <f>Tabelle5897112140[[#This Row],[Mindestauslastung min]]*Tabelle5897112140[[#This Row],[installierte Leistung MW min]]</f>
        <v>0</v>
      </c>
      <c r="BU181" s="11">
        <f>Tabelle5897112140[[#This Row],[Mindestauslastung durch]]*Tabelle5897112140[[#This Row],[installierte Leistung MW durch]]</f>
        <v>0</v>
      </c>
      <c r="BV181" s="11">
        <f>Tabelle5897112140[[#This Row],[Mindestauslastung max]]*Tabelle5897112140[[#This Row],[installierte Leistung MW max]]</f>
        <v>0</v>
      </c>
      <c r="BW181" s="9">
        <v>0</v>
      </c>
      <c r="BX181" s="9">
        <v>0</v>
      </c>
      <c r="BY181" s="9">
        <v>0</v>
      </c>
      <c r="BZ181" s="9"/>
      <c r="CA181" s="9">
        <v>0.5</v>
      </c>
      <c r="CB181" s="9">
        <v>0.4</v>
      </c>
      <c r="CC181" s="9">
        <v>0.6</v>
      </c>
      <c r="CD181" s="9">
        <v>0.24</v>
      </c>
      <c r="CE181" s="9">
        <v>0.19</v>
      </c>
      <c r="CF181" s="9">
        <v>0.28999999999999998</v>
      </c>
      <c r="CG181" s="9">
        <v>0.24</v>
      </c>
      <c r="CH181" s="9">
        <v>0.19</v>
      </c>
      <c r="CI181" s="9">
        <v>0.28999999999999998</v>
      </c>
      <c r="CJ181" s="9">
        <v>0.5</v>
      </c>
      <c r="CK181" s="9">
        <v>0.4</v>
      </c>
      <c r="CL181" s="9">
        <v>0.6</v>
      </c>
      <c r="CM181" s="9">
        <v>0.24</v>
      </c>
      <c r="CN181" s="9">
        <v>0.19</v>
      </c>
      <c r="CO181" s="9">
        <v>0.28999999999999998</v>
      </c>
      <c r="CP181" s="9">
        <v>0.24</v>
      </c>
      <c r="CQ181" s="9">
        <v>0.19</v>
      </c>
      <c r="CR181" s="9">
        <v>0.28999999999999998</v>
      </c>
      <c r="CS181" s="9">
        <v>0.5</v>
      </c>
      <c r="CT181" s="9">
        <v>0.4</v>
      </c>
      <c r="CU181" s="9">
        <v>0.6</v>
      </c>
      <c r="CV181" s="9">
        <v>0.24</v>
      </c>
      <c r="CW181" s="9">
        <v>0.19</v>
      </c>
      <c r="CX181" s="9">
        <v>0.28999999999999998</v>
      </c>
      <c r="CY181" s="9">
        <v>0.24</v>
      </c>
      <c r="CZ181" s="9">
        <v>0.19</v>
      </c>
      <c r="DA181" s="9">
        <v>0.28999999999999998</v>
      </c>
      <c r="DB181" s="9">
        <f>MIN(Tabelle5897112140[[#This Row],[Durchschnittsauslastung durch Sommer WTT]:[Durchschnittsauslastung max Winter SFN]])</f>
        <v>0.19</v>
      </c>
      <c r="DC18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1" s="9">
        <f>MAX(Tabelle5897112140[[#This Row],[Durchschnittsauslastung durch Sommer WTT]:[Durchschnittsauslastung max Winter SFN]])</f>
        <v>0.6</v>
      </c>
      <c r="DE181" s="40">
        <f>Tabelle5897112140[[#This Row],[Durchschnittsauslastung min]]*Tabelle5897112140[[#This Row],[installierte Leistung MW min]]</f>
        <v>4.2692999999999994</v>
      </c>
      <c r="DF181" s="40">
        <f>Tabelle5897112140[[#This Row],[Durchschnittsauslastung durch]]*Tabelle5897112140[[#This Row],[installierte Leistung MW durch]]</f>
        <v>9.437400000000002</v>
      </c>
      <c r="DG181" s="40">
        <f>Tabelle5897112140[[#This Row],[Durchschnittsauslastung max]]*Tabelle5897112140[[#This Row],[installierte Leistung MW max]]</f>
        <v>21.186</v>
      </c>
      <c r="DH181" s="46">
        <f>Tabelle5897112140[[#This Row],[Maximalauslastung min]]*Tabelle5897112140[[#This Row],[installierte Leistung MW min]]</f>
        <v>22.47</v>
      </c>
      <c r="DI181" s="46">
        <f>Tabelle5897112140[[#This Row],[Maximalauslastung durch]]*Tabelle5897112140[[#This Row],[installierte Leistung MW durch]]</f>
        <v>28.89</v>
      </c>
      <c r="DJ181" s="19">
        <f>Tabelle5897112140[[#This Row],[Maximalauslastung max]]*Tabelle5897112140[[#This Row],[installierte Leistung MW durch]]</f>
        <v>28.89</v>
      </c>
      <c r="DK181" s="9">
        <v>1</v>
      </c>
      <c r="DL181" s="9">
        <v>1</v>
      </c>
      <c r="DM181" s="9">
        <v>1</v>
      </c>
      <c r="DN181" s="1">
        <v>28.89</v>
      </c>
      <c r="DO181" s="1">
        <v>22.47</v>
      </c>
      <c r="DP181" s="1">
        <v>35.31</v>
      </c>
      <c r="DQ181" s="19"/>
      <c r="DR181" s="19"/>
      <c r="DW181" s="1">
        <v>1.1000000000000001</v>
      </c>
      <c r="DX181" s="1">
        <v>0.8</v>
      </c>
      <c r="DY181" s="1">
        <v>1.4</v>
      </c>
      <c r="EL181" s="1">
        <v>365</v>
      </c>
      <c r="EM181" s="1">
        <v>292</v>
      </c>
      <c r="EN181" s="1">
        <v>438</v>
      </c>
      <c r="EO181" s="11"/>
      <c r="EP181" s="11"/>
      <c r="EQ181" s="11"/>
      <c r="ER181" s="1">
        <v>365</v>
      </c>
      <c r="ES181" s="1">
        <v>292</v>
      </c>
      <c r="ET181" s="1">
        <v>438</v>
      </c>
      <c r="EV181" s="19"/>
      <c r="EW181" s="19"/>
      <c r="EX181" s="19"/>
      <c r="EY181" s="19"/>
      <c r="EZ181" s="19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O181" s="1">
        <v>67</v>
      </c>
      <c r="FP181" s="1">
        <v>67</v>
      </c>
      <c r="FQ181" s="1">
        <v>67</v>
      </c>
      <c r="FR181" s="13" t="s">
        <v>806</v>
      </c>
      <c r="FS181" s="13" t="s">
        <v>806</v>
      </c>
      <c r="FT181" s="13" t="s">
        <v>806</v>
      </c>
      <c r="FU181" s="13"/>
      <c r="FV181" s="13" t="s">
        <v>806</v>
      </c>
      <c r="FW181" s="13" t="s">
        <v>806</v>
      </c>
      <c r="FX181" s="13" t="s">
        <v>806</v>
      </c>
      <c r="FY181" s="13" t="s">
        <v>806</v>
      </c>
      <c r="FZ181" s="13" t="s">
        <v>806</v>
      </c>
      <c r="GA181" s="13" t="s">
        <v>806</v>
      </c>
      <c r="GB181" s="13" t="s">
        <v>806</v>
      </c>
      <c r="GE181" s="13" t="s">
        <v>806</v>
      </c>
      <c r="GF181" s="13" t="s">
        <v>806</v>
      </c>
      <c r="GH181" s="13" t="s">
        <v>806</v>
      </c>
    </row>
    <row r="182" spans="1:190" ht="12.75" customHeight="1" x14ac:dyDescent="0.25">
      <c r="A182" s="1" t="s">
        <v>208</v>
      </c>
      <c r="B182" s="1" t="s">
        <v>651</v>
      </c>
      <c r="C182" s="1" t="s">
        <v>662</v>
      </c>
      <c r="D182" s="1" t="s">
        <v>693</v>
      </c>
      <c r="E182" s="1" t="s">
        <v>126</v>
      </c>
      <c r="F182" s="1">
        <v>0</v>
      </c>
      <c r="G182" s="1">
        <v>2035</v>
      </c>
      <c r="H182" s="1">
        <v>1</v>
      </c>
      <c r="I182" s="1">
        <v>0</v>
      </c>
      <c r="J182" s="1">
        <v>0</v>
      </c>
      <c r="K18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0.45780000000000004</v>
      </c>
      <c r="L18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5.1993</v>
      </c>
      <c r="M18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16.905900000000003</v>
      </c>
      <c r="N182" s="19">
        <v>10.3005</v>
      </c>
      <c r="O182" s="19">
        <v>5.2647000000000004</v>
      </c>
      <c r="P182" s="19">
        <v>16.905900000000003</v>
      </c>
      <c r="Q182" s="19">
        <v>0.29430000000000006</v>
      </c>
      <c r="R182" s="19">
        <v>0</v>
      </c>
      <c r="S182" s="19">
        <v>5.7552000000000003</v>
      </c>
      <c r="T182" s="19">
        <v>2.6487000000000003</v>
      </c>
      <c r="U182" s="19">
        <v>0.45780000000000004</v>
      </c>
      <c r="V182" s="19">
        <v>5.7552000000000003</v>
      </c>
      <c r="W182" s="19">
        <v>7.9461000000000004</v>
      </c>
      <c r="X182" s="19">
        <v>3.8913000000000002</v>
      </c>
      <c r="Y182" s="19">
        <v>13.308900000000001</v>
      </c>
      <c r="Z182" s="19">
        <v>2.6487000000000003</v>
      </c>
      <c r="AA182" s="19">
        <v>0.45780000000000004</v>
      </c>
      <c r="AB182" s="19">
        <v>5.7552000000000003</v>
      </c>
      <c r="AC182" s="19">
        <v>7.9461000000000004</v>
      </c>
      <c r="AD182" s="19">
        <v>3.8913000000000002</v>
      </c>
      <c r="AE182" s="19">
        <v>13.308900000000001</v>
      </c>
      <c r="AF182" s="19">
        <v>10.3005</v>
      </c>
      <c r="AG182" s="19">
        <v>5.2647000000000004</v>
      </c>
      <c r="AH182" s="19">
        <v>16.905900000000003</v>
      </c>
      <c r="AI182" s="19">
        <v>0.29430000000000006</v>
      </c>
      <c r="AJ182" s="19">
        <v>0</v>
      </c>
      <c r="AK182" s="19">
        <v>5.7552000000000003</v>
      </c>
      <c r="AL182" s="19">
        <v>2.6487000000000003</v>
      </c>
      <c r="AM182" s="19">
        <v>0.45780000000000004</v>
      </c>
      <c r="AN182" s="19">
        <v>5.7552000000000003</v>
      </c>
      <c r="AO182" s="19">
        <v>7.9461000000000004</v>
      </c>
      <c r="AP182" s="19">
        <v>3.8913000000000002</v>
      </c>
      <c r="AQ182" s="19">
        <v>13.308900000000001</v>
      </c>
      <c r="AR182" s="19">
        <v>2.6487000000000003</v>
      </c>
      <c r="AS182" s="19">
        <v>0.45780000000000004</v>
      </c>
      <c r="AT182" s="19">
        <v>5.7552000000000003</v>
      </c>
      <c r="AU182" s="19">
        <v>7.9461000000000004</v>
      </c>
      <c r="AV182" s="19">
        <v>3.8913000000000002</v>
      </c>
      <c r="AW182" s="19">
        <v>13.308900000000001</v>
      </c>
      <c r="AX182" s="19">
        <v>10.3005</v>
      </c>
      <c r="AY182" s="19">
        <v>5.2647000000000004</v>
      </c>
      <c r="AZ182" s="19">
        <v>16.905900000000003</v>
      </c>
      <c r="BA182" s="19">
        <v>0.29430000000000006</v>
      </c>
      <c r="BB182" s="19">
        <v>0</v>
      </c>
      <c r="BC182" s="19">
        <v>5.7552000000000003</v>
      </c>
      <c r="BD182" s="19">
        <v>2.6487000000000003</v>
      </c>
      <c r="BE182" s="19">
        <v>0.45780000000000004</v>
      </c>
      <c r="BF182" s="19">
        <v>5.7552000000000003</v>
      </c>
      <c r="BG182" s="19">
        <v>7.9461000000000004</v>
      </c>
      <c r="BH182" s="19">
        <v>3.8913000000000002</v>
      </c>
      <c r="BI182" s="19">
        <v>13.308900000000001</v>
      </c>
      <c r="BJ182" s="19">
        <v>2.6487000000000003</v>
      </c>
      <c r="BK182" s="19">
        <v>0.45780000000000004</v>
      </c>
      <c r="BL182" s="19">
        <v>5.7552000000000003</v>
      </c>
      <c r="BM182" s="19">
        <v>7.9461000000000004</v>
      </c>
      <c r="BN182" s="19">
        <v>3.8913000000000002</v>
      </c>
      <c r="BO182" s="19">
        <v>13.308900000000001</v>
      </c>
      <c r="BP182" s="19"/>
      <c r="BQ18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5.3955000000000011</v>
      </c>
      <c r="BS18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13.308900000000001</v>
      </c>
      <c r="BT182" s="11">
        <f>Tabelle5897112140[[#This Row],[Mindestauslastung min]]*Tabelle5897112140[[#This Row],[installierte Leistung MW min]]</f>
        <v>0</v>
      </c>
      <c r="BU182" s="11">
        <f>Tabelle5897112140[[#This Row],[Mindestauslastung durch]]*Tabelle5897112140[[#This Row],[installierte Leistung MW durch]]</f>
        <v>0</v>
      </c>
      <c r="BV182" s="11">
        <f>Tabelle5897112140[[#This Row],[Mindestauslastung max]]*Tabelle5897112140[[#This Row],[installierte Leistung MW max]]</f>
        <v>0</v>
      </c>
      <c r="BW182" s="9">
        <v>0</v>
      </c>
      <c r="BX182" s="9">
        <v>0</v>
      </c>
      <c r="BY182" s="9">
        <v>0</v>
      </c>
      <c r="BZ182" s="9"/>
      <c r="CA182" s="9">
        <v>0.5</v>
      </c>
      <c r="CB182" s="9">
        <v>0.4</v>
      </c>
      <c r="CC182" s="9">
        <v>0.6</v>
      </c>
      <c r="CD182" s="9">
        <v>0.24</v>
      </c>
      <c r="CE182" s="9">
        <v>0.19</v>
      </c>
      <c r="CF182" s="9">
        <v>0.28999999999999998</v>
      </c>
      <c r="CG182" s="9">
        <v>0.24</v>
      </c>
      <c r="CH182" s="9">
        <v>0.19</v>
      </c>
      <c r="CI182" s="9">
        <v>0.28999999999999998</v>
      </c>
      <c r="CJ182" s="9">
        <v>0.5</v>
      </c>
      <c r="CK182" s="9">
        <v>0.4</v>
      </c>
      <c r="CL182" s="9">
        <v>0.6</v>
      </c>
      <c r="CM182" s="9">
        <v>0.24</v>
      </c>
      <c r="CN182" s="9">
        <v>0.19</v>
      </c>
      <c r="CO182" s="9">
        <v>0.28999999999999998</v>
      </c>
      <c r="CP182" s="9">
        <v>0.24</v>
      </c>
      <c r="CQ182" s="9">
        <v>0.19</v>
      </c>
      <c r="CR182" s="9">
        <v>0.28999999999999998</v>
      </c>
      <c r="CS182" s="9">
        <v>0.5</v>
      </c>
      <c r="CT182" s="9">
        <v>0.4</v>
      </c>
      <c r="CU182" s="9">
        <v>0.6</v>
      </c>
      <c r="CV182" s="9">
        <v>0.24</v>
      </c>
      <c r="CW182" s="9">
        <v>0.19</v>
      </c>
      <c r="CX182" s="9">
        <v>0.28999999999999998</v>
      </c>
      <c r="CY182" s="9">
        <v>0.24</v>
      </c>
      <c r="CZ182" s="9">
        <v>0.19</v>
      </c>
      <c r="DA182" s="9">
        <v>0.28999999999999998</v>
      </c>
      <c r="DB182" s="9">
        <f>MIN(Tabelle5897112140[[#This Row],[Durchschnittsauslastung durch Sommer WTT]:[Durchschnittsauslastung max Winter SFN]])</f>
        <v>0.19</v>
      </c>
      <c r="DC18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2" s="9">
        <f>MAX(Tabelle5897112140[[#This Row],[Durchschnittsauslastung durch Sommer WTT]:[Durchschnittsauslastung max Winter SFN]])</f>
        <v>0.6</v>
      </c>
      <c r="DE182" s="40">
        <f>Tabelle5897112140[[#This Row],[Durchschnittsauslastung min]]*Tabelle5897112140[[#This Row],[installierte Leistung MW min]]</f>
        <v>4.3491</v>
      </c>
      <c r="DF182" s="40">
        <f>Tabelle5897112140[[#This Row],[Durchschnittsauslastung durch]]*Tabelle5897112140[[#This Row],[installierte Leistung MW durch]]</f>
        <v>9.6138000000000012</v>
      </c>
      <c r="DG182" s="40">
        <f>Tabelle5897112140[[#This Row],[Durchschnittsauslastung max]]*Tabelle5897112140[[#This Row],[installierte Leistung MW max]]</f>
        <v>21.581999999999997</v>
      </c>
      <c r="DH182" s="46">
        <f>Tabelle5897112140[[#This Row],[Maximalauslastung min]]*Tabelle5897112140[[#This Row],[installierte Leistung MW min]]</f>
        <v>22.89</v>
      </c>
      <c r="DI182" s="46">
        <f>Tabelle5897112140[[#This Row],[Maximalauslastung durch]]*Tabelle5897112140[[#This Row],[installierte Leistung MW durch]]</f>
        <v>29.43</v>
      </c>
      <c r="DJ182" s="19">
        <f>Tabelle5897112140[[#This Row],[Maximalauslastung max]]*Tabelle5897112140[[#This Row],[installierte Leistung MW durch]]</f>
        <v>29.43</v>
      </c>
      <c r="DK182" s="9">
        <v>1</v>
      </c>
      <c r="DL182" s="9">
        <v>1</v>
      </c>
      <c r="DM182" s="9">
        <v>1</v>
      </c>
      <c r="DN182" s="1">
        <v>29.43</v>
      </c>
      <c r="DO182" s="1">
        <v>22.89</v>
      </c>
      <c r="DP182" s="1">
        <v>35.97</v>
      </c>
      <c r="DQ182" s="19"/>
      <c r="DR182" s="19"/>
      <c r="DW182" s="1">
        <v>1.1000000000000001</v>
      </c>
      <c r="DX182" s="1">
        <v>0.8</v>
      </c>
      <c r="DY182" s="1">
        <v>1.4</v>
      </c>
      <c r="EL182" s="1">
        <v>365</v>
      </c>
      <c r="EM182" s="1">
        <v>292</v>
      </c>
      <c r="EN182" s="1">
        <v>438</v>
      </c>
      <c r="EO182" s="11"/>
      <c r="EP182" s="11"/>
      <c r="EQ182" s="11"/>
      <c r="ER182" s="1">
        <v>365</v>
      </c>
      <c r="ES182" s="1">
        <v>292</v>
      </c>
      <c r="ET182" s="1">
        <v>438</v>
      </c>
      <c r="EV182" s="19"/>
      <c r="EW182" s="19"/>
      <c r="EX182" s="19"/>
      <c r="EY182" s="19"/>
      <c r="EZ182" s="19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O182" s="1">
        <v>67</v>
      </c>
      <c r="FP182" s="1">
        <v>67</v>
      </c>
      <c r="FQ182" s="1">
        <v>67</v>
      </c>
      <c r="FR182" s="13" t="s">
        <v>806</v>
      </c>
      <c r="FS182" s="13" t="s">
        <v>806</v>
      </c>
      <c r="FT182" s="13" t="s">
        <v>806</v>
      </c>
      <c r="FU182" s="13"/>
      <c r="FV182" s="13" t="s">
        <v>806</v>
      </c>
      <c r="FW182" s="13" t="s">
        <v>806</v>
      </c>
      <c r="FX182" s="13" t="s">
        <v>806</v>
      </c>
      <c r="FY182" s="13" t="s">
        <v>806</v>
      </c>
      <c r="FZ182" s="13" t="s">
        <v>806</v>
      </c>
      <c r="GA182" s="13" t="s">
        <v>806</v>
      </c>
      <c r="GB182" s="13" t="s">
        <v>806</v>
      </c>
      <c r="GE182" s="13" t="s">
        <v>806</v>
      </c>
      <c r="GF182" s="13" t="s">
        <v>806</v>
      </c>
      <c r="GH182" s="13" t="s">
        <v>806</v>
      </c>
    </row>
    <row r="183" spans="1:190" ht="12.75" customHeight="1" x14ac:dyDescent="0.25">
      <c r="A183" s="1" t="s">
        <v>208</v>
      </c>
      <c r="B183" s="1" t="s">
        <v>651</v>
      </c>
      <c r="C183" s="1" t="s">
        <v>662</v>
      </c>
      <c r="D183" s="1" t="s">
        <v>693</v>
      </c>
      <c r="E183" s="1" t="s">
        <v>126</v>
      </c>
      <c r="F183" s="1">
        <v>0</v>
      </c>
      <c r="G183" s="1">
        <v>2040</v>
      </c>
      <c r="H183" s="1">
        <v>1</v>
      </c>
      <c r="I183" s="1">
        <v>0</v>
      </c>
      <c r="J183" s="1">
        <v>0</v>
      </c>
      <c r="K18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0.47040000000000004</v>
      </c>
      <c r="L18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5.3424000000000014</v>
      </c>
      <c r="M18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17.371200000000002</v>
      </c>
      <c r="N183" s="19">
        <v>10.584</v>
      </c>
      <c r="O183" s="19">
        <v>5.4096000000000002</v>
      </c>
      <c r="P183" s="19">
        <v>17.371200000000002</v>
      </c>
      <c r="Q183" s="19">
        <v>0.30240000000000006</v>
      </c>
      <c r="R183" s="19">
        <v>0</v>
      </c>
      <c r="S183" s="19">
        <v>5.9136000000000006</v>
      </c>
      <c r="T183" s="19">
        <v>2.7216000000000005</v>
      </c>
      <c r="U183" s="19">
        <v>0.47040000000000004</v>
      </c>
      <c r="V183" s="19">
        <v>5.9136000000000006</v>
      </c>
      <c r="W183" s="19">
        <v>8.1648000000000014</v>
      </c>
      <c r="X183" s="19">
        <v>3.9984000000000002</v>
      </c>
      <c r="Y183" s="19">
        <v>13.675200000000002</v>
      </c>
      <c r="Z183" s="19">
        <v>2.7216000000000005</v>
      </c>
      <c r="AA183" s="19">
        <v>0.47040000000000004</v>
      </c>
      <c r="AB183" s="19">
        <v>5.9136000000000006</v>
      </c>
      <c r="AC183" s="19">
        <v>8.1648000000000014</v>
      </c>
      <c r="AD183" s="19">
        <v>3.9984000000000002</v>
      </c>
      <c r="AE183" s="19">
        <v>13.675200000000002</v>
      </c>
      <c r="AF183" s="19">
        <v>10.584</v>
      </c>
      <c r="AG183" s="19">
        <v>5.4096000000000002</v>
      </c>
      <c r="AH183" s="19">
        <v>17.371200000000002</v>
      </c>
      <c r="AI183" s="19">
        <v>0.30240000000000006</v>
      </c>
      <c r="AJ183" s="19">
        <v>0</v>
      </c>
      <c r="AK183" s="19">
        <v>5.9136000000000006</v>
      </c>
      <c r="AL183" s="19">
        <v>2.7216000000000005</v>
      </c>
      <c r="AM183" s="19">
        <v>0.47040000000000004</v>
      </c>
      <c r="AN183" s="19">
        <v>5.9136000000000006</v>
      </c>
      <c r="AO183" s="19">
        <v>8.1648000000000014</v>
      </c>
      <c r="AP183" s="19">
        <v>3.9984000000000002</v>
      </c>
      <c r="AQ183" s="19">
        <v>13.675200000000002</v>
      </c>
      <c r="AR183" s="19">
        <v>2.7216000000000005</v>
      </c>
      <c r="AS183" s="19">
        <v>0.47040000000000004</v>
      </c>
      <c r="AT183" s="19">
        <v>5.9136000000000006</v>
      </c>
      <c r="AU183" s="19">
        <v>8.1648000000000014</v>
      </c>
      <c r="AV183" s="19">
        <v>3.9984000000000002</v>
      </c>
      <c r="AW183" s="19">
        <v>13.675200000000002</v>
      </c>
      <c r="AX183" s="19">
        <v>10.584</v>
      </c>
      <c r="AY183" s="19">
        <v>5.4096000000000002</v>
      </c>
      <c r="AZ183" s="19">
        <v>17.371200000000002</v>
      </c>
      <c r="BA183" s="19">
        <v>0.30240000000000006</v>
      </c>
      <c r="BB183" s="19">
        <v>0</v>
      </c>
      <c r="BC183" s="19">
        <v>5.9136000000000006</v>
      </c>
      <c r="BD183" s="19">
        <v>2.7216000000000005</v>
      </c>
      <c r="BE183" s="19">
        <v>0.47040000000000004</v>
      </c>
      <c r="BF183" s="19">
        <v>5.9136000000000006</v>
      </c>
      <c r="BG183" s="19">
        <v>8.1648000000000014</v>
      </c>
      <c r="BH183" s="19">
        <v>3.9984000000000002</v>
      </c>
      <c r="BI183" s="19">
        <v>13.675200000000002</v>
      </c>
      <c r="BJ183" s="19">
        <v>2.7216000000000005</v>
      </c>
      <c r="BK183" s="19">
        <v>0.47040000000000004</v>
      </c>
      <c r="BL183" s="19">
        <v>5.9136000000000006</v>
      </c>
      <c r="BM183" s="19">
        <v>8.1648000000000014</v>
      </c>
      <c r="BN183" s="19">
        <v>3.9984000000000002</v>
      </c>
      <c r="BO183" s="19">
        <v>13.675200000000002</v>
      </c>
      <c r="BP183" s="19"/>
      <c r="BQ18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5.5440000000000005</v>
      </c>
      <c r="BS18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13.675200000000002</v>
      </c>
      <c r="BT183" s="11">
        <f>Tabelle5897112140[[#This Row],[Mindestauslastung min]]*Tabelle5897112140[[#This Row],[installierte Leistung MW min]]</f>
        <v>0</v>
      </c>
      <c r="BU183" s="11">
        <f>Tabelle5897112140[[#This Row],[Mindestauslastung durch]]*Tabelle5897112140[[#This Row],[installierte Leistung MW durch]]</f>
        <v>0</v>
      </c>
      <c r="BV183" s="11">
        <f>Tabelle5897112140[[#This Row],[Mindestauslastung max]]*Tabelle5897112140[[#This Row],[installierte Leistung MW max]]</f>
        <v>0</v>
      </c>
      <c r="BW183" s="9">
        <v>0</v>
      </c>
      <c r="BX183" s="9">
        <v>0</v>
      </c>
      <c r="BY183" s="9">
        <v>0</v>
      </c>
      <c r="BZ183" s="9"/>
      <c r="CA183" s="9">
        <v>0.5</v>
      </c>
      <c r="CB183" s="9">
        <v>0.4</v>
      </c>
      <c r="CC183" s="9">
        <v>0.6</v>
      </c>
      <c r="CD183" s="9">
        <v>0.24</v>
      </c>
      <c r="CE183" s="9">
        <v>0.19</v>
      </c>
      <c r="CF183" s="9">
        <v>0.28999999999999998</v>
      </c>
      <c r="CG183" s="9">
        <v>0.24</v>
      </c>
      <c r="CH183" s="9">
        <v>0.19</v>
      </c>
      <c r="CI183" s="9">
        <v>0.28999999999999998</v>
      </c>
      <c r="CJ183" s="9">
        <v>0.5</v>
      </c>
      <c r="CK183" s="9">
        <v>0.4</v>
      </c>
      <c r="CL183" s="9">
        <v>0.6</v>
      </c>
      <c r="CM183" s="9">
        <v>0.24</v>
      </c>
      <c r="CN183" s="9">
        <v>0.19</v>
      </c>
      <c r="CO183" s="9">
        <v>0.28999999999999998</v>
      </c>
      <c r="CP183" s="9">
        <v>0.24</v>
      </c>
      <c r="CQ183" s="9">
        <v>0.19</v>
      </c>
      <c r="CR183" s="9">
        <v>0.28999999999999998</v>
      </c>
      <c r="CS183" s="9">
        <v>0.5</v>
      </c>
      <c r="CT183" s="9">
        <v>0.4</v>
      </c>
      <c r="CU183" s="9">
        <v>0.6</v>
      </c>
      <c r="CV183" s="9">
        <v>0.24</v>
      </c>
      <c r="CW183" s="9">
        <v>0.19</v>
      </c>
      <c r="CX183" s="9">
        <v>0.28999999999999998</v>
      </c>
      <c r="CY183" s="9">
        <v>0.24</v>
      </c>
      <c r="CZ183" s="9">
        <v>0.19</v>
      </c>
      <c r="DA183" s="9">
        <v>0.28999999999999998</v>
      </c>
      <c r="DB183" s="9">
        <f>MIN(Tabelle5897112140[[#This Row],[Durchschnittsauslastung durch Sommer WTT]:[Durchschnittsauslastung max Winter SFN]])</f>
        <v>0.19</v>
      </c>
      <c r="DC18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3" s="9">
        <f>MAX(Tabelle5897112140[[#This Row],[Durchschnittsauslastung durch Sommer WTT]:[Durchschnittsauslastung max Winter SFN]])</f>
        <v>0.6</v>
      </c>
      <c r="DE183" s="40">
        <f>Tabelle5897112140[[#This Row],[Durchschnittsauslastung min]]*Tabelle5897112140[[#This Row],[installierte Leistung MW min]]</f>
        <v>4.4687999999999999</v>
      </c>
      <c r="DF183" s="40">
        <f>Tabelle5897112140[[#This Row],[Durchschnittsauslastung durch]]*Tabelle5897112140[[#This Row],[installierte Leistung MW durch]]</f>
        <v>9.878400000000001</v>
      </c>
      <c r="DG183" s="40">
        <f>Tabelle5897112140[[#This Row],[Durchschnittsauslastung max]]*Tabelle5897112140[[#This Row],[installierte Leistung MW max]]</f>
        <v>22.175999999999998</v>
      </c>
      <c r="DH183" s="46">
        <f>Tabelle5897112140[[#This Row],[Maximalauslastung min]]*Tabelle5897112140[[#This Row],[installierte Leistung MW min]]</f>
        <v>23.52</v>
      </c>
      <c r="DI183" s="46">
        <f>Tabelle5897112140[[#This Row],[Maximalauslastung durch]]*Tabelle5897112140[[#This Row],[installierte Leistung MW durch]]</f>
        <v>30.24</v>
      </c>
      <c r="DJ183" s="19">
        <f>Tabelle5897112140[[#This Row],[Maximalauslastung max]]*Tabelle5897112140[[#This Row],[installierte Leistung MW durch]]</f>
        <v>30.24</v>
      </c>
      <c r="DK183" s="9">
        <v>1</v>
      </c>
      <c r="DL183" s="9">
        <v>1</v>
      </c>
      <c r="DM183" s="9">
        <v>1</v>
      </c>
      <c r="DN183" s="1">
        <v>30.24</v>
      </c>
      <c r="DO183" s="1">
        <v>23.52</v>
      </c>
      <c r="DP183" s="1">
        <v>36.96</v>
      </c>
      <c r="DQ183" s="19"/>
      <c r="DR183" s="19"/>
      <c r="DW183" s="1">
        <v>1.1000000000000001</v>
      </c>
      <c r="DX183" s="1">
        <v>0.8</v>
      </c>
      <c r="DY183" s="1">
        <v>1.4</v>
      </c>
      <c r="EL183" s="1">
        <v>365</v>
      </c>
      <c r="EM183" s="1">
        <v>292</v>
      </c>
      <c r="EN183" s="1">
        <v>438</v>
      </c>
      <c r="EO183" s="11"/>
      <c r="EP183" s="11"/>
      <c r="EQ183" s="11"/>
      <c r="ER183" s="1">
        <v>365</v>
      </c>
      <c r="ES183" s="1">
        <v>292</v>
      </c>
      <c r="ET183" s="1">
        <v>438</v>
      </c>
      <c r="EV183" s="19"/>
      <c r="EW183" s="19"/>
      <c r="EX183" s="19"/>
      <c r="EY183" s="19"/>
      <c r="EZ183" s="19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O183" s="1">
        <v>67</v>
      </c>
      <c r="FP183" s="1">
        <v>67</v>
      </c>
      <c r="FQ183" s="1">
        <v>67</v>
      </c>
      <c r="FR183" s="13" t="s">
        <v>806</v>
      </c>
      <c r="FS183" s="13" t="s">
        <v>806</v>
      </c>
      <c r="FT183" s="13" t="s">
        <v>806</v>
      </c>
      <c r="FU183" s="13"/>
      <c r="FV183" s="13" t="s">
        <v>806</v>
      </c>
      <c r="FW183" s="13" t="s">
        <v>806</v>
      </c>
      <c r="FX183" s="13" t="s">
        <v>806</v>
      </c>
      <c r="FY183" s="13" t="s">
        <v>806</v>
      </c>
      <c r="FZ183" s="13" t="s">
        <v>806</v>
      </c>
      <c r="GA183" s="13" t="s">
        <v>806</v>
      </c>
      <c r="GB183" s="13" t="s">
        <v>806</v>
      </c>
      <c r="GE183" s="13" t="s">
        <v>806</v>
      </c>
      <c r="GF183" s="13" t="s">
        <v>806</v>
      </c>
      <c r="GH183" s="13" t="s">
        <v>806</v>
      </c>
    </row>
    <row r="184" spans="1:190" ht="12.75" customHeight="1" x14ac:dyDescent="0.25">
      <c r="A184" s="1" t="s">
        <v>208</v>
      </c>
      <c r="B184" s="1" t="s">
        <v>651</v>
      </c>
      <c r="C184" s="1" t="s">
        <v>662</v>
      </c>
      <c r="D184" s="1" t="s">
        <v>693</v>
      </c>
      <c r="E184" s="1" t="s">
        <v>126</v>
      </c>
      <c r="F184" s="1">
        <v>0</v>
      </c>
      <c r="G184" s="1">
        <v>2045</v>
      </c>
      <c r="H184" s="1">
        <v>1</v>
      </c>
      <c r="I184" s="1">
        <v>0</v>
      </c>
      <c r="J184" s="1">
        <v>0</v>
      </c>
      <c r="K18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0.47879999999999995</v>
      </c>
      <c r="L18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5.4377999999999993</v>
      </c>
      <c r="M18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17.6814</v>
      </c>
      <c r="N184" s="19">
        <v>10.772999999999998</v>
      </c>
      <c r="O184" s="19">
        <v>5.5061999999999998</v>
      </c>
      <c r="P184" s="19">
        <v>17.6814</v>
      </c>
      <c r="Q184" s="19">
        <v>0.30780000000000002</v>
      </c>
      <c r="R184" s="19">
        <v>0</v>
      </c>
      <c r="S184" s="19">
        <v>6.0191999999999997</v>
      </c>
      <c r="T184" s="19">
        <v>2.7702</v>
      </c>
      <c r="U184" s="19">
        <v>0.47879999999999995</v>
      </c>
      <c r="V184" s="19">
        <v>6.0191999999999997</v>
      </c>
      <c r="W184" s="19">
        <v>8.3105999999999991</v>
      </c>
      <c r="X184" s="19">
        <v>4.0697999999999999</v>
      </c>
      <c r="Y184" s="19">
        <v>13.9194</v>
      </c>
      <c r="Z184" s="19">
        <v>2.7702</v>
      </c>
      <c r="AA184" s="19">
        <v>0.47879999999999995</v>
      </c>
      <c r="AB184" s="19">
        <v>6.0191999999999997</v>
      </c>
      <c r="AC184" s="19">
        <v>8.3105999999999991</v>
      </c>
      <c r="AD184" s="19">
        <v>4.0697999999999999</v>
      </c>
      <c r="AE184" s="19">
        <v>13.9194</v>
      </c>
      <c r="AF184" s="19">
        <v>10.772999999999998</v>
      </c>
      <c r="AG184" s="19">
        <v>5.5061999999999998</v>
      </c>
      <c r="AH184" s="19">
        <v>17.6814</v>
      </c>
      <c r="AI184" s="19">
        <v>0.30780000000000002</v>
      </c>
      <c r="AJ184" s="19">
        <v>0</v>
      </c>
      <c r="AK184" s="19">
        <v>6.0191999999999997</v>
      </c>
      <c r="AL184" s="19">
        <v>2.7702</v>
      </c>
      <c r="AM184" s="19">
        <v>0.47879999999999995</v>
      </c>
      <c r="AN184" s="19">
        <v>6.0191999999999997</v>
      </c>
      <c r="AO184" s="19">
        <v>8.3105999999999991</v>
      </c>
      <c r="AP184" s="19">
        <v>4.0697999999999999</v>
      </c>
      <c r="AQ184" s="19">
        <v>13.9194</v>
      </c>
      <c r="AR184" s="19">
        <v>2.7702</v>
      </c>
      <c r="AS184" s="19">
        <v>0.47879999999999995</v>
      </c>
      <c r="AT184" s="19">
        <v>6.0191999999999997</v>
      </c>
      <c r="AU184" s="19">
        <v>8.3105999999999991</v>
      </c>
      <c r="AV184" s="19">
        <v>4.0697999999999999</v>
      </c>
      <c r="AW184" s="19">
        <v>13.9194</v>
      </c>
      <c r="AX184" s="19">
        <v>10.772999999999998</v>
      </c>
      <c r="AY184" s="19">
        <v>5.5061999999999998</v>
      </c>
      <c r="AZ184" s="19">
        <v>17.6814</v>
      </c>
      <c r="BA184" s="19">
        <v>0.30780000000000002</v>
      </c>
      <c r="BB184" s="19">
        <v>0</v>
      </c>
      <c r="BC184" s="19">
        <v>6.0191999999999997</v>
      </c>
      <c r="BD184" s="19">
        <v>2.7702</v>
      </c>
      <c r="BE184" s="19">
        <v>0.47879999999999995</v>
      </c>
      <c r="BF184" s="19">
        <v>6.0191999999999997</v>
      </c>
      <c r="BG184" s="19">
        <v>8.3105999999999991</v>
      </c>
      <c r="BH184" s="19">
        <v>4.0697999999999999</v>
      </c>
      <c r="BI184" s="19">
        <v>13.9194</v>
      </c>
      <c r="BJ184" s="19">
        <v>2.7702</v>
      </c>
      <c r="BK184" s="19">
        <v>0.47879999999999995</v>
      </c>
      <c r="BL184" s="19">
        <v>6.0191999999999997</v>
      </c>
      <c r="BM184" s="19">
        <v>8.3105999999999991</v>
      </c>
      <c r="BN184" s="19">
        <v>4.0697999999999999</v>
      </c>
      <c r="BO184" s="19">
        <v>13.9194</v>
      </c>
      <c r="BP184" s="19"/>
      <c r="BQ18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5.6429999999999998</v>
      </c>
      <c r="BS18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13.9194</v>
      </c>
      <c r="BT184" s="11">
        <f>Tabelle5897112140[[#This Row],[Mindestauslastung min]]*Tabelle5897112140[[#This Row],[installierte Leistung MW min]]</f>
        <v>0</v>
      </c>
      <c r="BU184" s="11">
        <f>Tabelle5897112140[[#This Row],[Mindestauslastung durch]]*Tabelle5897112140[[#This Row],[installierte Leistung MW durch]]</f>
        <v>0</v>
      </c>
      <c r="BV184" s="11">
        <f>Tabelle5897112140[[#This Row],[Mindestauslastung max]]*Tabelle5897112140[[#This Row],[installierte Leistung MW max]]</f>
        <v>0</v>
      </c>
      <c r="BW184" s="9">
        <v>0</v>
      </c>
      <c r="BX184" s="9">
        <v>0</v>
      </c>
      <c r="BY184" s="9">
        <v>0</v>
      </c>
      <c r="BZ184" s="9"/>
      <c r="CA184" s="9">
        <v>0.5</v>
      </c>
      <c r="CB184" s="9">
        <v>0.4</v>
      </c>
      <c r="CC184" s="9">
        <v>0.6</v>
      </c>
      <c r="CD184" s="9">
        <v>0.24</v>
      </c>
      <c r="CE184" s="9">
        <v>0.19</v>
      </c>
      <c r="CF184" s="9">
        <v>0.28999999999999998</v>
      </c>
      <c r="CG184" s="9">
        <v>0.24</v>
      </c>
      <c r="CH184" s="9">
        <v>0.19</v>
      </c>
      <c r="CI184" s="9">
        <v>0.28999999999999998</v>
      </c>
      <c r="CJ184" s="9">
        <v>0.5</v>
      </c>
      <c r="CK184" s="9">
        <v>0.4</v>
      </c>
      <c r="CL184" s="9">
        <v>0.6</v>
      </c>
      <c r="CM184" s="9">
        <v>0.24</v>
      </c>
      <c r="CN184" s="9">
        <v>0.19</v>
      </c>
      <c r="CO184" s="9">
        <v>0.28999999999999998</v>
      </c>
      <c r="CP184" s="9">
        <v>0.24</v>
      </c>
      <c r="CQ184" s="9">
        <v>0.19</v>
      </c>
      <c r="CR184" s="9">
        <v>0.28999999999999998</v>
      </c>
      <c r="CS184" s="9">
        <v>0.5</v>
      </c>
      <c r="CT184" s="9">
        <v>0.4</v>
      </c>
      <c r="CU184" s="9">
        <v>0.6</v>
      </c>
      <c r="CV184" s="9">
        <v>0.24</v>
      </c>
      <c r="CW184" s="9">
        <v>0.19</v>
      </c>
      <c r="CX184" s="9">
        <v>0.28999999999999998</v>
      </c>
      <c r="CY184" s="9">
        <v>0.24</v>
      </c>
      <c r="CZ184" s="9">
        <v>0.19</v>
      </c>
      <c r="DA184" s="9">
        <v>0.28999999999999998</v>
      </c>
      <c r="DB184" s="9">
        <f>MIN(Tabelle5897112140[[#This Row],[Durchschnittsauslastung durch Sommer WTT]:[Durchschnittsauslastung max Winter SFN]])</f>
        <v>0.19</v>
      </c>
      <c r="DC18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4" s="9">
        <f>MAX(Tabelle5897112140[[#This Row],[Durchschnittsauslastung durch Sommer WTT]:[Durchschnittsauslastung max Winter SFN]])</f>
        <v>0.6</v>
      </c>
      <c r="DE184" s="40">
        <f>Tabelle5897112140[[#This Row],[Durchschnittsauslastung min]]*Tabelle5897112140[[#This Row],[installierte Leistung MW min]]</f>
        <v>4.5486000000000004</v>
      </c>
      <c r="DF184" s="40">
        <f>Tabelle5897112140[[#This Row],[Durchschnittsauslastung durch]]*Tabelle5897112140[[#This Row],[installierte Leistung MW durch]]</f>
        <v>10.054800000000002</v>
      </c>
      <c r="DG184" s="40">
        <f>Tabelle5897112140[[#This Row],[Durchschnittsauslastung max]]*Tabelle5897112140[[#This Row],[installierte Leistung MW max]]</f>
        <v>22.571999999999999</v>
      </c>
      <c r="DH184" s="46">
        <f>Tabelle5897112140[[#This Row],[Maximalauslastung min]]*Tabelle5897112140[[#This Row],[installierte Leistung MW min]]</f>
        <v>23.94</v>
      </c>
      <c r="DI184" s="46">
        <f>Tabelle5897112140[[#This Row],[Maximalauslastung durch]]*Tabelle5897112140[[#This Row],[installierte Leistung MW durch]]</f>
        <v>30.78</v>
      </c>
      <c r="DJ184" s="19">
        <f>Tabelle5897112140[[#This Row],[Maximalauslastung max]]*Tabelle5897112140[[#This Row],[installierte Leistung MW durch]]</f>
        <v>30.78</v>
      </c>
      <c r="DK184" s="9">
        <v>1</v>
      </c>
      <c r="DL184" s="9">
        <v>1</v>
      </c>
      <c r="DM184" s="9">
        <v>1</v>
      </c>
      <c r="DN184" s="1">
        <v>30.78</v>
      </c>
      <c r="DO184" s="1">
        <v>23.94</v>
      </c>
      <c r="DP184" s="1">
        <v>37.619999999999997</v>
      </c>
      <c r="DQ184" s="19"/>
      <c r="DR184" s="19"/>
      <c r="DW184" s="1">
        <v>1.1000000000000001</v>
      </c>
      <c r="DX184" s="1">
        <v>0.8</v>
      </c>
      <c r="DY184" s="1">
        <v>1.4</v>
      </c>
      <c r="EL184" s="1">
        <v>365</v>
      </c>
      <c r="EM184" s="1">
        <v>292</v>
      </c>
      <c r="EN184" s="1">
        <v>438</v>
      </c>
      <c r="EO184" s="11"/>
      <c r="EP184" s="11"/>
      <c r="EQ184" s="11"/>
      <c r="ER184" s="1">
        <v>365</v>
      </c>
      <c r="ES184" s="1">
        <v>292</v>
      </c>
      <c r="ET184" s="1">
        <v>438</v>
      </c>
      <c r="EV184" s="19"/>
      <c r="EW184" s="19"/>
      <c r="EX184" s="19"/>
      <c r="EY184" s="19"/>
      <c r="EZ184" s="19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O184" s="1">
        <v>67</v>
      </c>
      <c r="FP184" s="1">
        <v>67</v>
      </c>
      <c r="FQ184" s="1">
        <v>67</v>
      </c>
      <c r="FR184" s="13" t="s">
        <v>806</v>
      </c>
      <c r="FS184" s="13" t="s">
        <v>806</v>
      </c>
      <c r="FT184" s="13" t="s">
        <v>806</v>
      </c>
      <c r="FU184" s="13"/>
      <c r="FV184" s="13" t="s">
        <v>806</v>
      </c>
      <c r="FW184" s="13" t="s">
        <v>806</v>
      </c>
      <c r="FX184" s="13" t="s">
        <v>806</v>
      </c>
      <c r="FY184" s="13" t="s">
        <v>806</v>
      </c>
      <c r="FZ184" s="13" t="s">
        <v>806</v>
      </c>
      <c r="GA184" s="13" t="s">
        <v>806</v>
      </c>
      <c r="GB184" s="13" t="s">
        <v>806</v>
      </c>
      <c r="GE184" s="13" t="s">
        <v>806</v>
      </c>
      <c r="GF184" s="13" t="s">
        <v>806</v>
      </c>
      <c r="GH184" s="13" t="s">
        <v>806</v>
      </c>
    </row>
    <row r="185" spans="1:190" ht="12.75" customHeight="1" x14ac:dyDescent="0.25">
      <c r="A185" s="1" t="s">
        <v>208</v>
      </c>
      <c r="B185" s="1" t="s">
        <v>651</v>
      </c>
      <c r="C185" s="1" t="s">
        <v>662</v>
      </c>
      <c r="D185" s="1" t="s">
        <v>693</v>
      </c>
      <c r="E185" s="1" t="s">
        <v>126</v>
      </c>
      <c r="F185" s="1">
        <v>0</v>
      </c>
      <c r="G185" s="1">
        <v>2050</v>
      </c>
      <c r="H185" s="1">
        <v>1</v>
      </c>
      <c r="I185" s="1">
        <v>0</v>
      </c>
      <c r="J185" s="1">
        <v>0</v>
      </c>
      <c r="K18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0.49139999999999995</v>
      </c>
      <c r="L18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5.5808999999999997</v>
      </c>
      <c r="M18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18.146699999999999</v>
      </c>
      <c r="N185" s="19">
        <v>11.056499999999998</v>
      </c>
      <c r="O185" s="19">
        <v>5.6510999999999996</v>
      </c>
      <c r="P185" s="19">
        <v>18.146699999999999</v>
      </c>
      <c r="Q185" s="19">
        <v>0.31590000000000001</v>
      </c>
      <c r="R185" s="19">
        <v>0</v>
      </c>
      <c r="S185" s="19">
        <v>6.1776</v>
      </c>
      <c r="T185" s="19">
        <v>2.8431000000000002</v>
      </c>
      <c r="U185" s="19">
        <v>0.49139999999999995</v>
      </c>
      <c r="V185" s="19">
        <v>6.1776</v>
      </c>
      <c r="W185" s="19">
        <v>8.5292999999999992</v>
      </c>
      <c r="X185" s="19">
        <v>4.1768999999999998</v>
      </c>
      <c r="Y185" s="19">
        <v>14.2857</v>
      </c>
      <c r="Z185" s="19">
        <v>2.8431000000000002</v>
      </c>
      <c r="AA185" s="19">
        <v>0.49139999999999995</v>
      </c>
      <c r="AB185" s="19">
        <v>6.1776</v>
      </c>
      <c r="AC185" s="19">
        <v>8.5292999999999992</v>
      </c>
      <c r="AD185" s="19">
        <v>4.1768999999999998</v>
      </c>
      <c r="AE185" s="19">
        <v>14.2857</v>
      </c>
      <c r="AF185" s="19">
        <v>11.056499999999998</v>
      </c>
      <c r="AG185" s="19">
        <v>5.6510999999999996</v>
      </c>
      <c r="AH185" s="19">
        <v>18.146699999999999</v>
      </c>
      <c r="AI185" s="19">
        <v>0.31590000000000001</v>
      </c>
      <c r="AJ185" s="19">
        <v>0</v>
      </c>
      <c r="AK185" s="19">
        <v>6.1776</v>
      </c>
      <c r="AL185" s="19">
        <v>2.8431000000000002</v>
      </c>
      <c r="AM185" s="19">
        <v>0.49139999999999995</v>
      </c>
      <c r="AN185" s="19">
        <v>6.1776</v>
      </c>
      <c r="AO185" s="19">
        <v>8.5292999999999992</v>
      </c>
      <c r="AP185" s="19">
        <v>4.1768999999999998</v>
      </c>
      <c r="AQ185" s="19">
        <v>14.2857</v>
      </c>
      <c r="AR185" s="19">
        <v>2.8431000000000002</v>
      </c>
      <c r="AS185" s="19">
        <v>0.49139999999999995</v>
      </c>
      <c r="AT185" s="19">
        <v>6.1776</v>
      </c>
      <c r="AU185" s="19">
        <v>8.5292999999999992</v>
      </c>
      <c r="AV185" s="19">
        <v>4.1768999999999998</v>
      </c>
      <c r="AW185" s="19">
        <v>14.2857</v>
      </c>
      <c r="AX185" s="19">
        <v>11.056499999999998</v>
      </c>
      <c r="AY185" s="19">
        <v>5.6510999999999996</v>
      </c>
      <c r="AZ185" s="19">
        <v>18.146699999999999</v>
      </c>
      <c r="BA185" s="19">
        <v>0.31590000000000001</v>
      </c>
      <c r="BB185" s="19">
        <v>0</v>
      </c>
      <c r="BC185" s="19">
        <v>6.1776</v>
      </c>
      <c r="BD185" s="19">
        <v>2.8431000000000002</v>
      </c>
      <c r="BE185" s="19">
        <v>0.49139999999999995</v>
      </c>
      <c r="BF185" s="19">
        <v>6.1776</v>
      </c>
      <c r="BG185" s="19">
        <v>8.5292999999999992</v>
      </c>
      <c r="BH185" s="19">
        <v>4.1768999999999998</v>
      </c>
      <c r="BI185" s="19">
        <v>14.2857</v>
      </c>
      <c r="BJ185" s="19">
        <v>2.8431000000000002</v>
      </c>
      <c r="BK185" s="19">
        <v>0.49139999999999995</v>
      </c>
      <c r="BL185" s="19">
        <v>6.1776</v>
      </c>
      <c r="BM185" s="19">
        <v>8.5292999999999992</v>
      </c>
      <c r="BN185" s="19">
        <v>4.1768999999999998</v>
      </c>
      <c r="BO185" s="19">
        <v>14.2857</v>
      </c>
      <c r="BP185" s="19"/>
      <c r="BQ18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5.7914999999999992</v>
      </c>
      <c r="BS18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14.2857</v>
      </c>
      <c r="BT185" s="11">
        <f>Tabelle5897112140[[#This Row],[Mindestauslastung min]]*Tabelle5897112140[[#This Row],[installierte Leistung MW min]]</f>
        <v>0</v>
      </c>
      <c r="BU185" s="11">
        <f>Tabelle5897112140[[#This Row],[Mindestauslastung durch]]*Tabelle5897112140[[#This Row],[installierte Leistung MW durch]]</f>
        <v>0</v>
      </c>
      <c r="BV185" s="11">
        <f>Tabelle5897112140[[#This Row],[Mindestauslastung max]]*Tabelle5897112140[[#This Row],[installierte Leistung MW max]]</f>
        <v>0</v>
      </c>
      <c r="BW185" s="9">
        <v>0</v>
      </c>
      <c r="BX185" s="9">
        <v>0</v>
      </c>
      <c r="BY185" s="9">
        <v>0</v>
      </c>
      <c r="BZ185" s="9"/>
      <c r="CA185" s="9">
        <v>0.5</v>
      </c>
      <c r="CB185" s="9">
        <v>0.4</v>
      </c>
      <c r="CC185" s="9">
        <v>0.6</v>
      </c>
      <c r="CD185" s="9">
        <v>0.24</v>
      </c>
      <c r="CE185" s="9">
        <v>0.19</v>
      </c>
      <c r="CF185" s="9">
        <v>0.28999999999999998</v>
      </c>
      <c r="CG185" s="9">
        <v>0.24</v>
      </c>
      <c r="CH185" s="9">
        <v>0.19</v>
      </c>
      <c r="CI185" s="9">
        <v>0.28999999999999998</v>
      </c>
      <c r="CJ185" s="9">
        <v>0.5</v>
      </c>
      <c r="CK185" s="9">
        <v>0.4</v>
      </c>
      <c r="CL185" s="9">
        <v>0.6</v>
      </c>
      <c r="CM185" s="9">
        <v>0.24</v>
      </c>
      <c r="CN185" s="9">
        <v>0.19</v>
      </c>
      <c r="CO185" s="9">
        <v>0.28999999999999998</v>
      </c>
      <c r="CP185" s="9">
        <v>0.24</v>
      </c>
      <c r="CQ185" s="9">
        <v>0.19</v>
      </c>
      <c r="CR185" s="9">
        <v>0.28999999999999998</v>
      </c>
      <c r="CS185" s="9">
        <v>0.5</v>
      </c>
      <c r="CT185" s="9">
        <v>0.4</v>
      </c>
      <c r="CU185" s="9">
        <v>0.6</v>
      </c>
      <c r="CV185" s="9">
        <v>0.24</v>
      </c>
      <c r="CW185" s="9">
        <v>0.19</v>
      </c>
      <c r="CX185" s="9">
        <v>0.28999999999999998</v>
      </c>
      <c r="CY185" s="9">
        <v>0.24</v>
      </c>
      <c r="CZ185" s="9">
        <v>0.19</v>
      </c>
      <c r="DA185" s="9">
        <v>0.28999999999999998</v>
      </c>
      <c r="DB185" s="9">
        <f>MIN(Tabelle5897112140[[#This Row],[Durchschnittsauslastung durch Sommer WTT]:[Durchschnittsauslastung max Winter SFN]])</f>
        <v>0.19</v>
      </c>
      <c r="DC18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5" s="9">
        <f>MAX(Tabelle5897112140[[#This Row],[Durchschnittsauslastung durch Sommer WTT]:[Durchschnittsauslastung max Winter SFN]])</f>
        <v>0.6</v>
      </c>
      <c r="DE185" s="40">
        <f>Tabelle5897112140[[#This Row],[Durchschnittsauslastung min]]*Tabelle5897112140[[#This Row],[installierte Leistung MW min]]</f>
        <v>4.6683000000000003</v>
      </c>
      <c r="DF185" s="40">
        <f>Tabelle5897112140[[#This Row],[Durchschnittsauslastung durch]]*Tabelle5897112140[[#This Row],[installierte Leistung MW durch]]</f>
        <v>10.319400000000002</v>
      </c>
      <c r="DG185" s="40">
        <f>Tabelle5897112140[[#This Row],[Durchschnittsauslastung max]]*Tabelle5897112140[[#This Row],[installierte Leistung MW max]]</f>
        <v>23.166</v>
      </c>
      <c r="DH185" s="46">
        <f>Tabelle5897112140[[#This Row],[Maximalauslastung min]]*Tabelle5897112140[[#This Row],[installierte Leistung MW min]]</f>
        <v>24.57</v>
      </c>
      <c r="DI185" s="46">
        <f>Tabelle5897112140[[#This Row],[Maximalauslastung durch]]*Tabelle5897112140[[#This Row],[installierte Leistung MW durch]]</f>
        <v>31.59</v>
      </c>
      <c r="DJ185" s="19">
        <f>Tabelle5897112140[[#This Row],[Maximalauslastung max]]*Tabelle5897112140[[#This Row],[installierte Leistung MW durch]]</f>
        <v>31.59</v>
      </c>
      <c r="DK185" s="9">
        <v>1</v>
      </c>
      <c r="DL185" s="9">
        <v>1</v>
      </c>
      <c r="DM185" s="9">
        <v>1</v>
      </c>
      <c r="DN185" s="1">
        <v>31.59</v>
      </c>
      <c r="DO185" s="1">
        <v>24.57</v>
      </c>
      <c r="DP185" s="1">
        <v>38.61</v>
      </c>
      <c r="DQ185" s="19"/>
      <c r="DR185" s="19"/>
      <c r="DW185" s="1">
        <v>1.1000000000000001</v>
      </c>
      <c r="DX185" s="1">
        <v>0.8</v>
      </c>
      <c r="DY185" s="1">
        <v>1.4</v>
      </c>
      <c r="EL185" s="1">
        <v>365</v>
      </c>
      <c r="EM185" s="1">
        <v>292</v>
      </c>
      <c r="EN185" s="1">
        <v>438</v>
      </c>
      <c r="EO185" s="11"/>
      <c r="EP185" s="11"/>
      <c r="EQ185" s="11"/>
      <c r="ER185" s="1">
        <v>365</v>
      </c>
      <c r="ES185" s="1">
        <v>292</v>
      </c>
      <c r="ET185" s="1">
        <v>438</v>
      </c>
      <c r="EV185" s="19"/>
      <c r="EW185" s="19"/>
      <c r="EX185" s="19"/>
      <c r="EY185" s="19"/>
      <c r="EZ185" s="19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O185" s="1">
        <v>67</v>
      </c>
      <c r="FP185" s="1">
        <v>67</v>
      </c>
      <c r="FQ185" s="1">
        <v>67</v>
      </c>
      <c r="FR185" s="13" t="s">
        <v>806</v>
      </c>
      <c r="FS185" s="13" t="s">
        <v>806</v>
      </c>
      <c r="FT185" s="13" t="s">
        <v>806</v>
      </c>
      <c r="FU185" s="13"/>
      <c r="FV185" s="13" t="s">
        <v>806</v>
      </c>
      <c r="FW185" s="13" t="s">
        <v>806</v>
      </c>
      <c r="FX185" s="13" t="s">
        <v>806</v>
      </c>
      <c r="FY185" s="13" t="s">
        <v>806</v>
      </c>
      <c r="FZ185" s="13" t="s">
        <v>806</v>
      </c>
      <c r="GA185" s="13" t="s">
        <v>806</v>
      </c>
      <c r="GB185" s="13" t="s">
        <v>806</v>
      </c>
      <c r="GE185" s="13" t="s">
        <v>806</v>
      </c>
      <c r="GF185" s="13" t="s">
        <v>806</v>
      </c>
      <c r="GH185" s="13" t="s">
        <v>806</v>
      </c>
    </row>
    <row r="186" spans="1:190" ht="12.75" customHeight="1" x14ac:dyDescent="0.25">
      <c r="A186" s="1" t="s">
        <v>1121</v>
      </c>
      <c r="B186" s="1" t="s">
        <v>747</v>
      </c>
      <c r="C186" s="1" t="s">
        <v>805</v>
      </c>
      <c r="D186" s="1" t="s">
        <v>697</v>
      </c>
      <c r="E186" s="1" t="s">
        <v>127</v>
      </c>
      <c r="F186" s="1">
        <v>0</v>
      </c>
      <c r="G186" s="1">
        <v>2015</v>
      </c>
      <c r="H186" s="1">
        <v>1</v>
      </c>
      <c r="I186" s="1">
        <v>0</v>
      </c>
      <c r="J186" s="1">
        <v>0</v>
      </c>
      <c r="K18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91.2</v>
      </c>
      <c r="L18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147.95777777777778</v>
      </c>
      <c r="M18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243.32</v>
      </c>
      <c r="N186" s="19">
        <v>161.24</v>
      </c>
      <c r="O186" s="19">
        <v>139.19999999999999</v>
      </c>
      <c r="P186" s="19">
        <v>183.28</v>
      </c>
      <c r="Q186" s="19">
        <v>0</v>
      </c>
      <c r="R186" s="19">
        <v>0</v>
      </c>
      <c r="S186" s="19">
        <v>0</v>
      </c>
      <c r="T186" s="19">
        <v>161.24</v>
      </c>
      <c r="U186" s="19">
        <v>139.19999999999999</v>
      </c>
      <c r="V186" s="19">
        <v>183.28</v>
      </c>
      <c r="W186" s="19">
        <v>0</v>
      </c>
      <c r="X186" s="19">
        <v>0</v>
      </c>
      <c r="Y186" s="19">
        <v>0</v>
      </c>
      <c r="Z186" s="19">
        <v>214.06</v>
      </c>
      <c r="AA186" s="19">
        <v>184.8</v>
      </c>
      <c r="AB186" s="19">
        <v>243.32</v>
      </c>
      <c r="AC186" s="19">
        <v>0</v>
      </c>
      <c r="AD186" s="19">
        <v>0</v>
      </c>
      <c r="AE186" s="19">
        <v>0</v>
      </c>
      <c r="AF186" s="19">
        <v>133.44</v>
      </c>
      <c r="AG186" s="19">
        <v>115.2</v>
      </c>
      <c r="AH186" s="19">
        <v>151.68</v>
      </c>
      <c r="AI186" s="19">
        <v>0</v>
      </c>
      <c r="AJ186" s="19">
        <v>0</v>
      </c>
      <c r="AK186" s="19">
        <v>0</v>
      </c>
      <c r="AL186" s="19">
        <v>133.44</v>
      </c>
      <c r="AM186" s="19">
        <v>115.2</v>
      </c>
      <c r="AN186" s="19">
        <v>151.68</v>
      </c>
      <c r="AO186" s="19">
        <v>0</v>
      </c>
      <c r="AP186" s="19">
        <v>0</v>
      </c>
      <c r="AQ186" s="19">
        <v>0</v>
      </c>
      <c r="AR186" s="19">
        <v>177.92</v>
      </c>
      <c r="AS186" s="19">
        <v>153.6</v>
      </c>
      <c r="AT186" s="19">
        <v>202.24</v>
      </c>
      <c r="AU186" s="19">
        <v>0</v>
      </c>
      <c r="AV186" s="19">
        <v>0</v>
      </c>
      <c r="AW186" s="19">
        <v>0</v>
      </c>
      <c r="AX186" s="19">
        <v>105.64</v>
      </c>
      <c r="AY186" s="19">
        <v>91.2</v>
      </c>
      <c r="AZ186" s="19">
        <v>120.08</v>
      </c>
      <c r="BA186" s="19">
        <v>0</v>
      </c>
      <c r="BB186" s="19">
        <v>0</v>
      </c>
      <c r="BC186" s="19">
        <v>0</v>
      </c>
      <c r="BD186" s="19">
        <v>105.64</v>
      </c>
      <c r="BE186" s="19">
        <v>91.2</v>
      </c>
      <c r="BF186" s="19">
        <v>120.08</v>
      </c>
      <c r="BG186" s="19">
        <v>0</v>
      </c>
      <c r="BH186" s="19">
        <v>0</v>
      </c>
      <c r="BI186" s="19">
        <v>0</v>
      </c>
      <c r="BJ186" s="19">
        <v>139</v>
      </c>
      <c r="BK186" s="19">
        <v>120</v>
      </c>
      <c r="BL186" s="19">
        <v>158</v>
      </c>
      <c r="BM186" s="19">
        <v>0</v>
      </c>
      <c r="BN186" s="19">
        <v>0</v>
      </c>
      <c r="BO186" s="19">
        <v>0</v>
      </c>
      <c r="BP186" s="19"/>
      <c r="BQ18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6" s="11">
        <f>Tabelle5897112140[[#This Row],[Mindestauslastung min]]*Tabelle5897112140[[#This Row],[installierte Leistung MW min]]</f>
        <v>12</v>
      </c>
      <c r="BU186" s="11">
        <f>Tabelle5897112140[[#This Row],[Mindestauslastung durch]]*Tabelle5897112140[[#This Row],[installierte Leistung MW durch]]</f>
        <v>13.9</v>
      </c>
      <c r="BV186" s="11">
        <f>Tabelle5897112140[[#This Row],[Mindestauslastung max]]*Tabelle5897112140[[#This Row],[installierte Leistung MW max]]</f>
        <v>15.8</v>
      </c>
      <c r="BW186" s="9">
        <v>0.05</v>
      </c>
      <c r="BX186" s="9">
        <v>0.05</v>
      </c>
      <c r="BY186" s="9">
        <v>0.05</v>
      </c>
      <c r="BZ186" s="9"/>
      <c r="CA186" s="9">
        <v>0.57999999999999996</v>
      </c>
      <c r="CB186" s="9">
        <v>0.57999999999999996</v>
      </c>
      <c r="CC186" s="9">
        <v>0.57999999999999996</v>
      </c>
      <c r="CD186" s="9">
        <v>0.57999999999999996</v>
      </c>
      <c r="CE186" s="9">
        <v>0.57999999999999996</v>
      </c>
      <c r="CF186" s="9">
        <v>0.57999999999999996</v>
      </c>
      <c r="CG186" s="9">
        <v>0.77</v>
      </c>
      <c r="CH186" s="9">
        <v>0.77</v>
      </c>
      <c r="CI186" s="9">
        <v>0.77</v>
      </c>
      <c r="CJ186" s="9">
        <v>0.48</v>
      </c>
      <c r="CK186" s="9">
        <v>0.48</v>
      </c>
      <c r="CL186" s="9">
        <v>0.48</v>
      </c>
      <c r="CM186" s="9">
        <v>0.48</v>
      </c>
      <c r="CN186" s="9">
        <v>0.48</v>
      </c>
      <c r="CO186" s="9">
        <v>0.48</v>
      </c>
      <c r="CP186" s="9">
        <v>0.64</v>
      </c>
      <c r="CQ186" s="9">
        <v>0.64</v>
      </c>
      <c r="CR186" s="9">
        <v>0.64</v>
      </c>
      <c r="CS186" s="9">
        <v>0.38</v>
      </c>
      <c r="CT186" s="9">
        <v>0.38</v>
      </c>
      <c r="CU186" s="9">
        <v>0.38</v>
      </c>
      <c r="CV186" s="9">
        <v>0.38</v>
      </c>
      <c r="CW186" s="9">
        <v>0.38</v>
      </c>
      <c r="CX186" s="9">
        <v>0.38</v>
      </c>
      <c r="CY186" s="9">
        <v>0.5</v>
      </c>
      <c r="CZ186" s="9">
        <v>0.5</v>
      </c>
      <c r="DA186" s="9">
        <v>0.5</v>
      </c>
      <c r="DB186" s="9">
        <f>MIN(Tabelle5897112140[[#This Row],[Durchschnittsauslastung durch Sommer WTT]:[Durchschnittsauslastung max Winter SFN]])</f>
        <v>0.38</v>
      </c>
      <c r="DC18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6" s="9">
        <f>MAX(Tabelle5897112140[[#This Row],[Durchschnittsauslastung durch Sommer WTT]:[Durchschnittsauslastung max Winter SFN]])</f>
        <v>0.77</v>
      </c>
      <c r="DE186" s="40">
        <f>Tabelle5897112140[[#This Row],[Durchschnittsauslastung min]]*Tabelle5897112140[[#This Row],[installierte Leistung MW min]]</f>
        <v>91.2</v>
      </c>
      <c r="DF186" s="40">
        <f>Tabelle5897112140[[#This Row],[Durchschnittsauslastung durch]]*Tabelle5897112140[[#This Row],[installierte Leistung MW durch]]</f>
        <v>147.95777777777778</v>
      </c>
      <c r="DG186" s="40">
        <f>Tabelle5897112140[[#This Row],[Durchschnittsauslastung max]]*Tabelle5897112140[[#This Row],[installierte Leistung MW max]]</f>
        <v>243.32</v>
      </c>
      <c r="DH186" s="46">
        <f>Tabelle5897112140[[#This Row],[Maximalauslastung min]]*Tabelle5897112140[[#This Row],[installierte Leistung MW min]]</f>
        <v>110.4</v>
      </c>
      <c r="DI186" s="46">
        <f>Tabelle5897112140[[#This Row],[Maximalauslastung durch]]*Tabelle5897112140[[#This Row],[installierte Leistung MW durch]]</f>
        <v>141.78</v>
      </c>
      <c r="DJ186" s="19">
        <f>Tabelle5897112140[[#This Row],[Maximalauslastung max]]*Tabelle5897112140[[#This Row],[installierte Leistung MW durch]]</f>
        <v>155.68</v>
      </c>
      <c r="DK186" s="9">
        <v>0.46</v>
      </c>
      <c r="DL186" s="9">
        <v>0.51</v>
      </c>
      <c r="DM186" s="9">
        <v>0.56000000000000005</v>
      </c>
      <c r="DN186" s="1">
        <v>278</v>
      </c>
      <c r="DO186" s="1">
        <v>240</v>
      </c>
      <c r="DP186" s="1">
        <v>316</v>
      </c>
      <c r="DQ186" s="19"/>
      <c r="DR186" s="19"/>
      <c r="DW186" s="1">
        <v>2.2416666666666671</v>
      </c>
      <c r="DX186" s="1">
        <v>1</v>
      </c>
      <c r="DY186" s="1">
        <v>5.8000000000000007</v>
      </c>
      <c r="EL186" s="1">
        <v>365</v>
      </c>
      <c r="EM186" s="1">
        <v>292</v>
      </c>
      <c r="EN186" s="1">
        <v>438</v>
      </c>
      <c r="EO186" s="11"/>
      <c r="EP186" s="11"/>
      <c r="EQ186" s="11"/>
      <c r="ER186" s="1">
        <v>365</v>
      </c>
      <c r="ES186" s="1">
        <v>292</v>
      </c>
      <c r="ET186" s="1">
        <v>438</v>
      </c>
      <c r="EV186" s="19"/>
      <c r="EW186" s="19"/>
      <c r="EX186" s="19"/>
      <c r="EY186" s="19"/>
      <c r="EZ186" s="19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O186" s="1">
        <v>67</v>
      </c>
      <c r="FP186" s="1">
        <v>67</v>
      </c>
      <c r="FQ186" s="1">
        <v>67</v>
      </c>
      <c r="FR186" s="13" t="s">
        <v>806</v>
      </c>
      <c r="FS186" s="13" t="s">
        <v>806</v>
      </c>
      <c r="FT186" s="13" t="s">
        <v>806</v>
      </c>
      <c r="FU186" s="13"/>
      <c r="FV186" s="13" t="s">
        <v>806</v>
      </c>
      <c r="FW186" s="13" t="s">
        <v>806</v>
      </c>
      <c r="FX186" s="13" t="s">
        <v>806</v>
      </c>
      <c r="FY186" s="13" t="s">
        <v>806</v>
      </c>
      <c r="FZ186" s="13" t="s">
        <v>806</v>
      </c>
      <c r="GA186" s="13" t="s">
        <v>806</v>
      </c>
      <c r="GB186" s="13" t="s">
        <v>806</v>
      </c>
      <c r="GE186" s="13" t="s">
        <v>806</v>
      </c>
      <c r="GF186" s="13" t="s">
        <v>806</v>
      </c>
      <c r="GH186" s="13" t="s">
        <v>806</v>
      </c>
    </row>
    <row r="187" spans="1:190" ht="12.75" customHeight="1" x14ac:dyDescent="0.25">
      <c r="A187" s="1" t="s">
        <v>1121</v>
      </c>
      <c r="B187" s="1" t="s">
        <v>747</v>
      </c>
      <c r="C187" s="1" t="s">
        <v>805</v>
      </c>
      <c r="D187" s="1" t="s">
        <v>697</v>
      </c>
      <c r="E187" s="1" t="s">
        <v>127</v>
      </c>
      <c r="F187" s="1">
        <v>0</v>
      </c>
      <c r="G187" s="1">
        <v>2020</v>
      </c>
      <c r="H187" s="1">
        <v>1</v>
      </c>
      <c r="I187" s="1">
        <v>0</v>
      </c>
      <c r="J187" s="1">
        <v>0</v>
      </c>
      <c r="K18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95.76</v>
      </c>
      <c r="L18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155.35566666666668</v>
      </c>
      <c r="M18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255.48599999999999</v>
      </c>
      <c r="N187" s="19">
        <v>169.30200000000002</v>
      </c>
      <c r="O187" s="19">
        <v>146.16</v>
      </c>
      <c r="P187" s="19">
        <v>192.44400000000002</v>
      </c>
      <c r="Q187" s="19">
        <v>0</v>
      </c>
      <c r="R187" s="19">
        <v>0</v>
      </c>
      <c r="S187" s="19">
        <v>0</v>
      </c>
      <c r="T187" s="19">
        <v>169.30200000000002</v>
      </c>
      <c r="U187" s="19">
        <v>146.16</v>
      </c>
      <c r="V187" s="19">
        <v>192.44400000000002</v>
      </c>
      <c r="W187" s="19">
        <v>0</v>
      </c>
      <c r="X187" s="19">
        <v>0</v>
      </c>
      <c r="Y187" s="19">
        <v>0</v>
      </c>
      <c r="Z187" s="19">
        <v>224.76300000000001</v>
      </c>
      <c r="AA187" s="19">
        <v>194.04000000000002</v>
      </c>
      <c r="AB187" s="19">
        <v>255.48599999999999</v>
      </c>
      <c r="AC187" s="19">
        <v>0</v>
      </c>
      <c r="AD187" s="19">
        <v>0</v>
      </c>
      <c r="AE187" s="19">
        <v>0</v>
      </c>
      <c r="AF187" s="19">
        <v>140.11199999999999</v>
      </c>
      <c r="AG187" s="19">
        <v>120.96000000000001</v>
      </c>
      <c r="AH187" s="19">
        <v>159.26400000000001</v>
      </c>
      <c r="AI187" s="19">
        <v>0</v>
      </c>
      <c r="AJ187" s="19">
        <v>0</v>
      </c>
      <c r="AK187" s="19">
        <v>0</v>
      </c>
      <c r="AL187" s="19">
        <v>140.11199999999999</v>
      </c>
      <c r="AM187" s="19">
        <v>120.96000000000001</v>
      </c>
      <c r="AN187" s="19">
        <v>159.26400000000001</v>
      </c>
      <c r="AO187" s="19">
        <v>0</v>
      </c>
      <c r="AP187" s="19">
        <v>0</v>
      </c>
      <c r="AQ187" s="19">
        <v>0</v>
      </c>
      <c r="AR187" s="19">
        <v>186.816</v>
      </c>
      <c r="AS187" s="19">
        <v>161.28</v>
      </c>
      <c r="AT187" s="19">
        <v>212.35200000000003</v>
      </c>
      <c r="AU187" s="19">
        <v>0</v>
      </c>
      <c r="AV187" s="19">
        <v>0</v>
      </c>
      <c r="AW187" s="19">
        <v>0</v>
      </c>
      <c r="AX187" s="19">
        <v>110.92200000000001</v>
      </c>
      <c r="AY187" s="19">
        <v>95.76</v>
      </c>
      <c r="AZ187" s="19">
        <v>126.084</v>
      </c>
      <c r="BA187" s="19">
        <v>0</v>
      </c>
      <c r="BB187" s="19">
        <v>0</v>
      </c>
      <c r="BC187" s="19">
        <v>0</v>
      </c>
      <c r="BD187" s="19">
        <v>110.92200000000001</v>
      </c>
      <c r="BE187" s="19">
        <v>95.76</v>
      </c>
      <c r="BF187" s="19">
        <v>126.084</v>
      </c>
      <c r="BG187" s="19">
        <v>0</v>
      </c>
      <c r="BH187" s="19">
        <v>0</v>
      </c>
      <c r="BI187" s="19">
        <v>0</v>
      </c>
      <c r="BJ187" s="19">
        <v>145.95000000000002</v>
      </c>
      <c r="BK187" s="19">
        <v>126</v>
      </c>
      <c r="BL187" s="19">
        <v>165.9</v>
      </c>
      <c r="BM187" s="19">
        <v>0</v>
      </c>
      <c r="BN187" s="19">
        <v>0</v>
      </c>
      <c r="BO187" s="19">
        <v>0</v>
      </c>
      <c r="BP187" s="19"/>
      <c r="BQ18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7" s="11">
        <f>Tabelle5897112140[[#This Row],[Mindestauslastung min]]*Tabelle5897112140[[#This Row],[installierte Leistung MW min]]</f>
        <v>12.600000000000001</v>
      </c>
      <c r="BU187" s="11">
        <f>Tabelle5897112140[[#This Row],[Mindestauslastung durch]]*Tabelle5897112140[[#This Row],[installierte Leistung MW durch]]</f>
        <v>14.594999999999999</v>
      </c>
      <c r="BV187" s="11">
        <f>Tabelle5897112140[[#This Row],[Mindestauslastung max]]*Tabelle5897112140[[#This Row],[installierte Leistung MW max]]</f>
        <v>16.59</v>
      </c>
      <c r="BW187" s="9">
        <v>0.05</v>
      </c>
      <c r="BX187" s="9">
        <v>0.05</v>
      </c>
      <c r="BY187" s="9">
        <v>0.05</v>
      </c>
      <c r="BZ187" s="9"/>
      <c r="CA187" s="9">
        <v>0.57999999999999996</v>
      </c>
      <c r="CB187" s="9">
        <v>0.57999999999999996</v>
      </c>
      <c r="CC187" s="9">
        <v>0.57999999999999996</v>
      </c>
      <c r="CD187" s="9">
        <v>0.57999999999999996</v>
      </c>
      <c r="CE187" s="9">
        <v>0.57999999999999996</v>
      </c>
      <c r="CF187" s="9">
        <v>0.57999999999999996</v>
      </c>
      <c r="CG187" s="9">
        <v>0.77</v>
      </c>
      <c r="CH187" s="9">
        <v>0.77</v>
      </c>
      <c r="CI187" s="9">
        <v>0.77</v>
      </c>
      <c r="CJ187" s="9">
        <v>0.48</v>
      </c>
      <c r="CK187" s="9">
        <v>0.48</v>
      </c>
      <c r="CL187" s="9">
        <v>0.48</v>
      </c>
      <c r="CM187" s="9">
        <v>0.48</v>
      </c>
      <c r="CN187" s="9">
        <v>0.48</v>
      </c>
      <c r="CO187" s="9">
        <v>0.48</v>
      </c>
      <c r="CP187" s="9">
        <v>0.64</v>
      </c>
      <c r="CQ187" s="9">
        <v>0.64</v>
      </c>
      <c r="CR187" s="9">
        <v>0.64</v>
      </c>
      <c r="CS187" s="9">
        <v>0.38</v>
      </c>
      <c r="CT187" s="9">
        <v>0.38</v>
      </c>
      <c r="CU187" s="9">
        <v>0.38</v>
      </c>
      <c r="CV187" s="9">
        <v>0.38</v>
      </c>
      <c r="CW187" s="9">
        <v>0.38</v>
      </c>
      <c r="CX187" s="9">
        <v>0.38</v>
      </c>
      <c r="CY187" s="9">
        <v>0.5</v>
      </c>
      <c r="CZ187" s="9">
        <v>0.5</v>
      </c>
      <c r="DA187" s="9">
        <v>0.5</v>
      </c>
      <c r="DB187" s="9">
        <f>MIN(Tabelle5897112140[[#This Row],[Durchschnittsauslastung durch Sommer WTT]:[Durchschnittsauslastung max Winter SFN]])</f>
        <v>0.38</v>
      </c>
      <c r="DC18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7" s="9">
        <f>MAX(Tabelle5897112140[[#This Row],[Durchschnittsauslastung durch Sommer WTT]:[Durchschnittsauslastung max Winter SFN]])</f>
        <v>0.77</v>
      </c>
      <c r="DE187" s="40">
        <f>Tabelle5897112140[[#This Row],[Durchschnittsauslastung min]]*Tabelle5897112140[[#This Row],[installierte Leistung MW min]]</f>
        <v>95.76</v>
      </c>
      <c r="DF187" s="40">
        <f>Tabelle5897112140[[#This Row],[Durchschnittsauslastung durch]]*Tabelle5897112140[[#This Row],[installierte Leistung MW durch]]</f>
        <v>155.35566666666668</v>
      </c>
      <c r="DG187" s="40">
        <f>Tabelle5897112140[[#This Row],[Durchschnittsauslastung max]]*Tabelle5897112140[[#This Row],[installierte Leistung MW max]]</f>
        <v>255.48600000000002</v>
      </c>
      <c r="DH187" s="46">
        <f>Tabelle5897112140[[#This Row],[Maximalauslastung min]]*Tabelle5897112140[[#This Row],[installierte Leistung MW min]]</f>
        <v>0</v>
      </c>
      <c r="DI187" s="46">
        <f>Tabelle5897112140[[#This Row],[Maximalauslastung durch]]*Tabelle5897112140[[#This Row],[installierte Leistung MW durch]]</f>
        <v>0</v>
      </c>
      <c r="DJ187" s="19">
        <f>Tabelle5897112140[[#This Row],[Maximalauslastung max]]*Tabelle5897112140[[#This Row],[installierte Leistung MW durch]]</f>
        <v>0</v>
      </c>
      <c r="DK187" s="9">
        <v>0</v>
      </c>
      <c r="DL187" s="9">
        <v>0</v>
      </c>
      <c r="DM187" s="9">
        <v>0</v>
      </c>
      <c r="DN187" s="1">
        <v>291.89999999999998</v>
      </c>
      <c r="DO187" s="1">
        <v>252</v>
      </c>
      <c r="DP187" s="1">
        <v>331.8</v>
      </c>
      <c r="DQ187" s="19"/>
      <c r="DR187" s="19"/>
      <c r="DW187" s="1">
        <v>2.2416666666666671</v>
      </c>
      <c r="DX187" s="1">
        <v>1</v>
      </c>
      <c r="DY187" s="1">
        <v>5.8000000000000007</v>
      </c>
      <c r="EL187" s="1">
        <v>365</v>
      </c>
      <c r="EM187" s="1">
        <v>292</v>
      </c>
      <c r="EN187" s="1">
        <v>438</v>
      </c>
      <c r="EO187" s="11"/>
      <c r="EP187" s="11"/>
      <c r="EQ187" s="11"/>
      <c r="ER187" s="1">
        <v>365</v>
      </c>
      <c r="ES187" s="1">
        <v>292</v>
      </c>
      <c r="ET187" s="1">
        <v>438</v>
      </c>
      <c r="EV187" s="19"/>
      <c r="EW187" s="19"/>
      <c r="EX187" s="19"/>
      <c r="EY187" s="19"/>
      <c r="EZ187" s="19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O187" s="1">
        <v>67</v>
      </c>
      <c r="FP187" s="1">
        <v>67</v>
      </c>
      <c r="FQ187" s="1">
        <v>67</v>
      </c>
      <c r="FR187" s="13" t="s">
        <v>806</v>
      </c>
      <c r="FS187" s="13" t="s">
        <v>806</v>
      </c>
      <c r="FT187" s="13" t="s">
        <v>806</v>
      </c>
      <c r="FU187" s="13"/>
      <c r="FV187" s="13" t="s">
        <v>806</v>
      </c>
      <c r="FW187" s="13" t="s">
        <v>806</v>
      </c>
      <c r="FX187" s="13" t="s">
        <v>806</v>
      </c>
      <c r="FY187" s="13" t="s">
        <v>806</v>
      </c>
      <c r="FZ187" s="13" t="s">
        <v>806</v>
      </c>
      <c r="GA187" s="13" t="s">
        <v>806</v>
      </c>
      <c r="GB187" s="13" t="s">
        <v>806</v>
      </c>
      <c r="GE187" s="13" t="s">
        <v>806</v>
      </c>
      <c r="GF187" s="13" t="s">
        <v>806</v>
      </c>
      <c r="GH187" s="13" t="s">
        <v>806</v>
      </c>
    </row>
    <row r="188" spans="1:190" ht="12.75" customHeight="1" x14ac:dyDescent="0.25">
      <c r="A188" s="1" t="s">
        <v>1121</v>
      </c>
      <c r="B188" s="1" t="s">
        <v>747</v>
      </c>
      <c r="C188" s="1" t="s">
        <v>805</v>
      </c>
      <c r="D188" s="1" t="s">
        <v>697</v>
      </c>
      <c r="E188" s="1" t="s">
        <v>127</v>
      </c>
      <c r="F188" s="1">
        <v>0</v>
      </c>
      <c r="G188" s="1">
        <v>2025</v>
      </c>
      <c r="H188" s="1">
        <v>1</v>
      </c>
      <c r="I188" s="1">
        <v>0</v>
      </c>
      <c r="J188" s="1">
        <v>0</v>
      </c>
      <c r="K18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100.32000000000001</v>
      </c>
      <c r="L18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162.75355555555558</v>
      </c>
      <c r="M18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267.65199999999999</v>
      </c>
      <c r="N188" s="19">
        <v>177.36400000000003</v>
      </c>
      <c r="O188" s="19">
        <v>153.12</v>
      </c>
      <c r="P188" s="19">
        <v>201.608</v>
      </c>
      <c r="Q188" s="19">
        <v>0</v>
      </c>
      <c r="R188" s="19">
        <v>0</v>
      </c>
      <c r="S188" s="19">
        <v>0</v>
      </c>
      <c r="T188" s="19">
        <v>177.36400000000003</v>
      </c>
      <c r="U188" s="19">
        <v>153.12</v>
      </c>
      <c r="V188" s="19">
        <v>201.608</v>
      </c>
      <c r="W188" s="19">
        <v>0</v>
      </c>
      <c r="X188" s="19">
        <v>0</v>
      </c>
      <c r="Y188" s="19">
        <v>0</v>
      </c>
      <c r="Z188" s="19">
        <v>235.46600000000001</v>
      </c>
      <c r="AA188" s="19">
        <v>203.28000000000003</v>
      </c>
      <c r="AB188" s="19">
        <v>267.65199999999999</v>
      </c>
      <c r="AC188" s="19">
        <v>0</v>
      </c>
      <c r="AD188" s="19">
        <v>0</v>
      </c>
      <c r="AE188" s="19">
        <v>0</v>
      </c>
      <c r="AF188" s="19">
        <v>146.78400000000002</v>
      </c>
      <c r="AG188" s="19">
        <v>126.72000000000001</v>
      </c>
      <c r="AH188" s="19">
        <v>166.84800000000001</v>
      </c>
      <c r="AI188" s="19">
        <v>0</v>
      </c>
      <c r="AJ188" s="19">
        <v>0</v>
      </c>
      <c r="AK188" s="19">
        <v>0</v>
      </c>
      <c r="AL188" s="19">
        <v>146.78400000000002</v>
      </c>
      <c r="AM188" s="19">
        <v>126.72000000000001</v>
      </c>
      <c r="AN188" s="19">
        <v>166.84800000000001</v>
      </c>
      <c r="AO188" s="19">
        <v>0</v>
      </c>
      <c r="AP188" s="19">
        <v>0</v>
      </c>
      <c r="AQ188" s="19">
        <v>0</v>
      </c>
      <c r="AR188" s="19">
        <v>195.71199999999999</v>
      </c>
      <c r="AS188" s="19">
        <v>168.96</v>
      </c>
      <c r="AT188" s="19">
        <v>222.46400000000003</v>
      </c>
      <c r="AU188" s="19">
        <v>0</v>
      </c>
      <c r="AV188" s="19">
        <v>0</v>
      </c>
      <c r="AW188" s="19">
        <v>0</v>
      </c>
      <c r="AX188" s="19">
        <v>116.20400000000001</v>
      </c>
      <c r="AY188" s="19">
        <v>100.32000000000001</v>
      </c>
      <c r="AZ188" s="19">
        <v>132.08800000000002</v>
      </c>
      <c r="BA188" s="19">
        <v>0</v>
      </c>
      <c r="BB188" s="19">
        <v>0</v>
      </c>
      <c r="BC188" s="19">
        <v>0</v>
      </c>
      <c r="BD188" s="19">
        <v>116.20400000000001</v>
      </c>
      <c r="BE188" s="19">
        <v>100.32000000000001</v>
      </c>
      <c r="BF188" s="19">
        <v>132.08800000000002</v>
      </c>
      <c r="BG188" s="19">
        <v>0</v>
      </c>
      <c r="BH188" s="19">
        <v>0</v>
      </c>
      <c r="BI188" s="19">
        <v>0</v>
      </c>
      <c r="BJ188" s="19">
        <v>152.9</v>
      </c>
      <c r="BK188" s="19">
        <v>132</v>
      </c>
      <c r="BL188" s="19">
        <v>173.8</v>
      </c>
      <c r="BM188" s="19">
        <v>0</v>
      </c>
      <c r="BN188" s="19">
        <v>0</v>
      </c>
      <c r="BO188" s="19">
        <v>0</v>
      </c>
      <c r="BP188" s="19"/>
      <c r="BQ18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8" s="11">
        <f>Tabelle5897112140[[#This Row],[Mindestauslastung min]]*Tabelle5897112140[[#This Row],[installierte Leistung MW min]]</f>
        <v>13.200000000000001</v>
      </c>
      <c r="BU188" s="11">
        <f>Tabelle5897112140[[#This Row],[Mindestauslastung durch]]*Tabelle5897112140[[#This Row],[installierte Leistung MW durch]]</f>
        <v>15.290000000000001</v>
      </c>
      <c r="BV188" s="11">
        <f>Tabelle5897112140[[#This Row],[Mindestauslastung max]]*Tabelle5897112140[[#This Row],[installierte Leistung MW max]]</f>
        <v>17.380000000000003</v>
      </c>
      <c r="BW188" s="9">
        <v>0.05</v>
      </c>
      <c r="BX188" s="9">
        <v>0.05</v>
      </c>
      <c r="BY188" s="9">
        <v>0.05</v>
      </c>
      <c r="BZ188" s="9"/>
      <c r="CA188" s="9">
        <v>0.57999999999999996</v>
      </c>
      <c r="CB188" s="9">
        <v>0.57999999999999996</v>
      </c>
      <c r="CC188" s="9">
        <v>0.57999999999999996</v>
      </c>
      <c r="CD188" s="9">
        <v>0.57999999999999996</v>
      </c>
      <c r="CE188" s="9">
        <v>0.57999999999999996</v>
      </c>
      <c r="CF188" s="9">
        <v>0.57999999999999996</v>
      </c>
      <c r="CG188" s="9">
        <v>0.77</v>
      </c>
      <c r="CH188" s="9">
        <v>0.77</v>
      </c>
      <c r="CI188" s="9">
        <v>0.77</v>
      </c>
      <c r="CJ188" s="9">
        <v>0.48</v>
      </c>
      <c r="CK188" s="9">
        <v>0.48</v>
      </c>
      <c r="CL188" s="9">
        <v>0.48</v>
      </c>
      <c r="CM188" s="9">
        <v>0.48</v>
      </c>
      <c r="CN188" s="9">
        <v>0.48</v>
      </c>
      <c r="CO188" s="9">
        <v>0.48</v>
      </c>
      <c r="CP188" s="9">
        <v>0.64</v>
      </c>
      <c r="CQ188" s="9">
        <v>0.64</v>
      </c>
      <c r="CR188" s="9">
        <v>0.64</v>
      </c>
      <c r="CS188" s="9">
        <v>0.38</v>
      </c>
      <c r="CT188" s="9">
        <v>0.38</v>
      </c>
      <c r="CU188" s="9">
        <v>0.38</v>
      </c>
      <c r="CV188" s="9">
        <v>0.38</v>
      </c>
      <c r="CW188" s="9">
        <v>0.38</v>
      </c>
      <c r="CX188" s="9">
        <v>0.38</v>
      </c>
      <c r="CY188" s="9">
        <v>0.5</v>
      </c>
      <c r="CZ188" s="9">
        <v>0.5</v>
      </c>
      <c r="DA188" s="9">
        <v>0.5</v>
      </c>
      <c r="DB188" s="9">
        <f>MIN(Tabelle5897112140[[#This Row],[Durchschnittsauslastung durch Sommer WTT]:[Durchschnittsauslastung max Winter SFN]])</f>
        <v>0.38</v>
      </c>
      <c r="DC18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8" s="9">
        <f>MAX(Tabelle5897112140[[#This Row],[Durchschnittsauslastung durch Sommer WTT]:[Durchschnittsauslastung max Winter SFN]])</f>
        <v>0.77</v>
      </c>
      <c r="DE188" s="40">
        <f>Tabelle5897112140[[#This Row],[Durchschnittsauslastung min]]*Tabelle5897112140[[#This Row],[installierte Leistung MW min]]</f>
        <v>100.32000000000001</v>
      </c>
      <c r="DF188" s="40">
        <f>Tabelle5897112140[[#This Row],[Durchschnittsauslastung durch]]*Tabelle5897112140[[#This Row],[installierte Leistung MW durch]]</f>
        <v>162.75355555555558</v>
      </c>
      <c r="DG188" s="40">
        <f>Tabelle5897112140[[#This Row],[Durchschnittsauslastung max]]*Tabelle5897112140[[#This Row],[installierte Leistung MW max]]</f>
        <v>267.65200000000004</v>
      </c>
      <c r="DH188" s="46">
        <f>Tabelle5897112140[[#This Row],[Maximalauslastung min]]*Tabelle5897112140[[#This Row],[installierte Leistung MW min]]</f>
        <v>0</v>
      </c>
      <c r="DI188" s="46">
        <f>Tabelle5897112140[[#This Row],[Maximalauslastung durch]]*Tabelle5897112140[[#This Row],[installierte Leistung MW durch]]</f>
        <v>0</v>
      </c>
      <c r="DJ188" s="19">
        <f>Tabelle5897112140[[#This Row],[Maximalauslastung max]]*Tabelle5897112140[[#This Row],[installierte Leistung MW durch]]</f>
        <v>0</v>
      </c>
      <c r="DK188" s="9">
        <v>0</v>
      </c>
      <c r="DL188" s="9">
        <v>0</v>
      </c>
      <c r="DM188" s="9">
        <v>0</v>
      </c>
      <c r="DN188" s="1">
        <v>305.8</v>
      </c>
      <c r="DO188" s="1">
        <v>264</v>
      </c>
      <c r="DP188" s="1">
        <v>347.6</v>
      </c>
      <c r="DQ188" s="19"/>
      <c r="DR188" s="19"/>
      <c r="DW188" s="1">
        <v>2.2416666666666671</v>
      </c>
      <c r="DX188" s="1">
        <v>1</v>
      </c>
      <c r="DY188" s="1">
        <v>5.8000000000000007</v>
      </c>
      <c r="EL188" s="1">
        <v>365</v>
      </c>
      <c r="EM188" s="1">
        <v>292</v>
      </c>
      <c r="EN188" s="1">
        <v>438</v>
      </c>
      <c r="EO188" s="11"/>
      <c r="EP188" s="11"/>
      <c r="EQ188" s="11"/>
      <c r="ER188" s="1">
        <v>365</v>
      </c>
      <c r="ES188" s="1">
        <v>292</v>
      </c>
      <c r="ET188" s="1">
        <v>438</v>
      </c>
      <c r="EV188" s="19"/>
      <c r="EW188" s="19"/>
      <c r="EX188" s="19"/>
      <c r="EY188" s="19"/>
      <c r="EZ188" s="19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O188" s="1">
        <v>67</v>
      </c>
      <c r="FP188" s="1">
        <v>67</v>
      </c>
      <c r="FQ188" s="1">
        <v>67</v>
      </c>
      <c r="FR188" s="13" t="s">
        <v>806</v>
      </c>
      <c r="FS188" s="13" t="s">
        <v>806</v>
      </c>
      <c r="FT188" s="13" t="s">
        <v>806</v>
      </c>
      <c r="FU188" s="13"/>
      <c r="FV188" s="13" t="s">
        <v>806</v>
      </c>
      <c r="FW188" s="13" t="s">
        <v>806</v>
      </c>
      <c r="FX188" s="13" t="s">
        <v>806</v>
      </c>
      <c r="FY188" s="13" t="s">
        <v>806</v>
      </c>
      <c r="FZ188" s="13" t="s">
        <v>806</v>
      </c>
      <c r="GA188" s="13" t="s">
        <v>806</v>
      </c>
      <c r="GB188" s="13" t="s">
        <v>806</v>
      </c>
      <c r="GE188" s="13" t="s">
        <v>806</v>
      </c>
      <c r="GF188" s="13" t="s">
        <v>806</v>
      </c>
      <c r="GH188" s="13" t="s">
        <v>806</v>
      </c>
    </row>
    <row r="189" spans="1:190" ht="12.75" customHeight="1" x14ac:dyDescent="0.25">
      <c r="A189" s="1" t="s">
        <v>1121</v>
      </c>
      <c r="B189" s="1" t="s">
        <v>747</v>
      </c>
      <c r="C189" s="1" t="s">
        <v>805</v>
      </c>
      <c r="D189" s="1" t="s">
        <v>697</v>
      </c>
      <c r="E189" s="1" t="s">
        <v>127</v>
      </c>
      <c r="F189" s="1">
        <v>0</v>
      </c>
      <c r="G189" s="1">
        <v>2030</v>
      </c>
      <c r="H189" s="1">
        <v>1</v>
      </c>
      <c r="I189" s="1">
        <v>0</v>
      </c>
      <c r="J189" s="1">
        <v>0</v>
      </c>
      <c r="K18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105.792</v>
      </c>
      <c r="L18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171.63102222222221</v>
      </c>
      <c r="M18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282.25119999999998</v>
      </c>
      <c r="N189" s="19">
        <v>187.0384</v>
      </c>
      <c r="O189" s="19">
        <v>161.47199999999998</v>
      </c>
      <c r="P189" s="19">
        <v>212.60479999999998</v>
      </c>
      <c r="Q189" s="19">
        <v>0</v>
      </c>
      <c r="R189" s="19">
        <v>0</v>
      </c>
      <c r="S189" s="19">
        <v>0</v>
      </c>
      <c r="T189" s="19">
        <v>187.0384</v>
      </c>
      <c r="U189" s="19">
        <v>161.47199999999998</v>
      </c>
      <c r="V189" s="19">
        <v>212.60479999999998</v>
      </c>
      <c r="W189" s="19">
        <v>0</v>
      </c>
      <c r="X189" s="19">
        <v>0</v>
      </c>
      <c r="Y189" s="19">
        <v>0</v>
      </c>
      <c r="Z189" s="19">
        <v>248.30959999999999</v>
      </c>
      <c r="AA189" s="19">
        <v>214.36799999999999</v>
      </c>
      <c r="AB189" s="19">
        <v>282.25119999999998</v>
      </c>
      <c r="AC189" s="19">
        <v>0</v>
      </c>
      <c r="AD189" s="19">
        <v>0</v>
      </c>
      <c r="AE189" s="19">
        <v>0</v>
      </c>
      <c r="AF189" s="19">
        <v>154.79039999999998</v>
      </c>
      <c r="AG189" s="19">
        <v>133.63200000000001</v>
      </c>
      <c r="AH189" s="19">
        <v>175.94880000000001</v>
      </c>
      <c r="AI189" s="19">
        <v>0</v>
      </c>
      <c r="AJ189" s="19">
        <v>0</v>
      </c>
      <c r="AK189" s="19">
        <v>0</v>
      </c>
      <c r="AL189" s="19">
        <v>154.79039999999998</v>
      </c>
      <c r="AM189" s="19">
        <v>133.63200000000001</v>
      </c>
      <c r="AN189" s="19">
        <v>175.94880000000001</v>
      </c>
      <c r="AO189" s="19">
        <v>0</v>
      </c>
      <c r="AP189" s="19">
        <v>0</v>
      </c>
      <c r="AQ189" s="19">
        <v>0</v>
      </c>
      <c r="AR189" s="19">
        <v>206.38719999999998</v>
      </c>
      <c r="AS189" s="19">
        <v>178.17599999999999</v>
      </c>
      <c r="AT189" s="19">
        <v>234.5984</v>
      </c>
      <c r="AU189" s="19">
        <v>0</v>
      </c>
      <c r="AV189" s="19">
        <v>0</v>
      </c>
      <c r="AW189" s="19">
        <v>0</v>
      </c>
      <c r="AX189" s="19">
        <v>122.54239999999999</v>
      </c>
      <c r="AY189" s="19">
        <v>105.792</v>
      </c>
      <c r="AZ189" s="19">
        <v>139.2928</v>
      </c>
      <c r="BA189" s="19">
        <v>0</v>
      </c>
      <c r="BB189" s="19">
        <v>0</v>
      </c>
      <c r="BC189" s="19">
        <v>0</v>
      </c>
      <c r="BD189" s="19">
        <v>122.54239999999999</v>
      </c>
      <c r="BE189" s="19">
        <v>105.792</v>
      </c>
      <c r="BF189" s="19">
        <v>139.2928</v>
      </c>
      <c r="BG189" s="19">
        <v>0</v>
      </c>
      <c r="BH189" s="19">
        <v>0</v>
      </c>
      <c r="BI189" s="19">
        <v>0</v>
      </c>
      <c r="BJ189" s="19">
        <v>161.23999999999998</v>
      </c>
      <c r="BK189" s="19">
        <v>139.19999999999999</v>
      </c>
      <c r="BL189" s="19">
        <v>183.28</v>
      </c>
      <c r="BM189" s="19">
        <v>0</v>
      </c>
      <c r="BN189" s="19">
        <v>0</v>
      </c>
      <c r="BO189" s="19">
        <v>0</v>
      </c>
      <c r="BP189" s="19"/>
      <c r="BQ18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9" s="11">
        <f>Tabelle5897112140[[#This Row],[Mindestauslastung min]]*Tabelle5897112140[[#This Row],[installierte Leistung MW min]]</f>
        <v>13.92</v>
      </c>
      <c r="BU189" s="11">
        <f>Tabelle5897112140[[#This Row],[Mindestauslastung durch]]*Tabelle5897112140[[#This Row],[installierte Leistung MW durch]]</f>
        <v>16.124000000000002</v>
      </c>
      <c r="BV189" s="11">
        <f>Tabelle5897112140[[#This Row],[Mindestauslastung max]]*Tabelle5897112140[[#This Row],[installierte Leistung MW max]]</f>
        <v>18.327999999999999</v>
      </c>
      <c r="BW189" s="9">
        <v>0.05</v>
      </c>
      <c r="BX189" s="9">
        <v>0.05</v>
      </c>
      <c r="BY189" s="9">
        <v>0.05</v>
      </c>
      <c r="BZ189" s="9"/>
      <c r="CA189" s="9">
        <v>0.57999999999999996</v>
      </c>
      <c r="CB189" s="9">
        <v>0.57999999999999996</v>
      </c>
      <c r="CC189" s="9">
        <v>0.57999999999999996</v>
      </c>
      <c r="CD189" s="9">
        <v>0.57999999999999996</v>
      </c>
      <c r="CE189" s="9">
        <v>0.57999999999999996</v>
      </c>
      <c r="CF189" s="9">
        <v>0.57999999999999996</v>
      </c>
      <c r="CG189" s="9">
        <v>0.77</v>
      </c>
      <c r="CH189" s="9">
        <v>0.77</v>
      </c>
      <c r="CI189" s="9">
        <v>0.77</v>
      </c>
      <c r="CJ189" s="9">
        <v>0.48</v>
      </c>
      <c r="CK189" s="9">
        <v>0.48</v>
      </c>
      <c r="CL189" s="9">
        <v>0.48</v>
      </c>
      <c r="CM189" s="9">
        <v>0.48</v>
      </c>
      <c r="CN189" s="9">
        <v>0.48</v>
      </c>
      <c r="CO189" s="9">
        <v>0.48</v>
      </c>
      <c r="CP189" s="9">
        <v>0.64</v>
      </c>
      <c r="CQ189" s="9">
        <v>0.64</v>
      </c>
      <c r="CR189" s="9">
        <v>0.64</v>
      </c>
      <c r="CS189" s="9">
        <v>0.38</v>
      </c>
      <c r="CT189" s="9">
        <v>0.38</v>
      </c>
      <c r="CU189" s="9">
        <v>0.38</v>
      </c>
      <c r="CV189" s="9">
        <v>0.38</v>
      </c>
      <c r="CW189" s="9">
        <v>0.38</v>
      </c>
      <c r="CX189" s="9">
        <v>0.38</v>
      </c>
      <c r="CY189" s="9">
        <v>0.5</v>
      </c>
      <c r="CZ189" s="9">
        <v>0.5</v>
      </c>
      <c r="DA189" s="9">
        <v>0.5</v>
      </c>
      <c r="DB189" s="9">
        <f>MIN(Tabelle5897112140[[#This Row],[Durchschnittsauslastung durch Sommer WTT]:[Durchschnittsauslastung max Winter SFN]])</f>
        <v>0.38</v>
      </c>
      <c r="DC18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9" s="9">
        <f>MAX(Tabelle5897112140[[#This Row],[Durchschnittsauslastung durch Sommer WTT]:[Durchschnittsauslastung max Winter SFN]])</f>
        <v>0.77</v>
      </c>
      <c r="DE189" s="40">
        <f>Tabelle5897112140[[#This Row],[Durchschnittsauslastung min]]*Tabelle5897112140[[#This Row],[installierte Leistung MW min]]</f>
        <v>105.79199999999999</v>
      </c>
      <c r="DF189" s="40">
        <f>Tabelle5897112140[[#This Row],[Durchschnittsauslastung durch]]*Tabelle5897112140[[#This Row],[installierte Leistung MW durch]]</f>
        <v>171.63102222222224</v>
      </c>
      <c r="DG189" s="40">
        <f>Tabelle5897112140[[#This Row],[Durchschnittsauslastung max]]*Tabelle5897112140[[#This Row],[installierte Leistung MW max]]</f>
        <v>282.25119999999998</v>
      </c>
      <c r="DH189" s="46">
        <f>Tabelle5897112140[[#This Row],[Maximalauslastung min]]*Tabelle5897112140[[#This Row],[installierte Leistung MW min]]</f>
        <v>0</v>
      </c>
      <c r="DI189" s="46">
        <f>Tabelle5897112140[[#This Row],[Maximalauslastung durch]]*Tabelle5897112140[[#This Row],[installierte Leistung MW durch]]</f>
        <v>0</v>
      </c>
      <c r="DJ189" s="19">
        <f>Tabelle5897112140[[#This Row],[Maximalauslastung max]]*Tabelle5897112140[[#This Row],[installierte Leistung MW durch]]</f>
        <v>0</v>
      </c>
      <c r="DK189" s="9">
        <v>0</v>
      </c>
      <c r="DL189" s="9">
        <v>0</v>
      </c>
      <c r="DM189" s="9">
        <v>0</v>
      </c>
      <c r="DN189" s="1">
        <v>322.48</v>
      </c>
      <c r="DO189" s="1">
        <v>278.39999999999998</v>
      </c>
      <c r="DP189" s="1">
        <v>366.56</v>
      </c>
      <c r="DQ189" s="19"/>
      <c r="DR189" s="19"/>
      <c r="DW189" s="1">
        <v>2.2416666666666671</v>
      </c>
      <c r="DX189" s="1">
        <v>1</v>
      </c>
      <c r="DY189" s="1">
        <v>5.8000000000000007</v>
      </c>
      <c r="EL189" s="1">
        <v>365</v>
      </c>
      <c r="EM189" s="1">
        <v>292</v>
      </c>
      <c r="EN189" s="1">
        <v>438</v>
      </c>
      <c r="EO189" s="11"/>
      <c r="EP189" s="11"/>
      <c r="EQ189" s="11"/>
      <c r="ER189" s="1">
        <v>365</v>
      </c>
      <c r="ES189" s="1">
        <v>292</v>
      </c>
      <c r="ET189" s="1">
        <v>438</v>
      </c>
      <c r="EV189" s="19"/>
      <c r="EW189" s="19"/>
      <c r="EX189" s="19"/>
      <c r="EY189" s="19"/>
      <c r="EZ189" s="19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O189" s="1">
        <v>67</v>
      </c>
      <c r="FP189" s="1">
        <v>67</v>
      </c>
      <c r="FQ189" s="1">
        <v>67</v>
      </c>
      <c r="FR189" s="13" t="s">
        <v>806</v>
      </c>
      <c r="FS189" s="13" t="s">
        <v>806</v>
      </c>
      <c r="FT189" s="13" t="s">
        <v>806</v>
      </c>
      <c r="FU189" s="13"/>
      <c r="FV189" s="13" t="s">
        <v>806</v>
      </c>
      <c r="FW189" s="13" t="s">
        <v>806</v>
      </c>
      <c r="FX189" s="13" t="s">
        <v>806</v>
      </c>
      <c r="FY189" s="13" t="s">
        <v>806</v>
      </c>
      <c r="FZ189" s="13" t="s">
        <v>806</v>
      </c>
      <c r="GA189" s="13" t="s">
        <v>806</v>
      </c>
      <c r="GB189" s="13" t="s">
        <v>806</v>
      </c>
      <c r="GE189" s="13" t="s">
        <v>806</v>
      </c>
      <c r="GF189" s="13" t="s">
        <v>806</v>
      </c>
      <c r="GH189" s="13" t="s">
        <v>806</v>
      </c>
    </row>
    <row r="190" spans="1:190" ht="12.75" customHeight="1" x14ac:dyDescent="0.25">
      <c r="A190" s="1" t="s">
        <v>1121</v>
      </c>
      <c r="B190" s="1" t="s">
        <v>747</v>
      </c>
      <c r="C190" s="1" t="s">
        <v>805</v>
      </c>
      <c r="D190" s="1" t="s">
        <v>697</v>
      </c>
      <c r="E190" s="1" t="s">
        <v>127</v>
      </c>
      <c r="F190" s="1">
        <v>0</v>
      </c>
      <c r="G190" s="1">
        <v>2035</v>
      </c>
      <c r="H190" s="1">
        <v>1</v>
      </c>
      <c r="I190" s="1">
        <v>0</v>
      </c>
      <c r="J190" s="1">
        <v>0</v>
      </c>
      <c r="K19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111.264</v>
      </c>
      <c r="L19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180.50848888888885</v>
      </c>
      <c r="M19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296.85039999999998</v>
      </c>
      <c r="N190" s="19">
        <v>196.71280000000002</v>
      </c>
      <c r="O190" s="19">
        <v>169.82399999999998</v>
      </c>
      <c r="P190" s="19">
        <v>223.60159999999999</v>
      </c>
      <c r="Q190" s="19">
        <v>0</v>
      </c>
      <c r="R190" s="19">
        <v>0</v>
      </c>
      <c r="S190" s="19">
        <v>0</v>
      </c>
      <c r="T190" s="19">
        <v>196.71280000000002</v>
      </c>
      <c r="U190" s="19">
        <v>169.82399999999998</v>
      </c>
      <c r="V190" s="19">
        <v>223.60159999999999</v>
      </c>
      <c r="W190" s="19">
        <v>0</v>
      </c>
      <c r="X190" s="19">
        <v>0</v>
      </c>
      <c r="Y190" s="19">
        <v>0</v>
      </c>
      <c r="Z190" s="19">
        <v>261.15319999999997</v>
      </c>
      <c r="AA190" s="19">
        <v>225.45600000000002</v>
      </c>
      <c r="AB190" s="19">
        <v>296.85039999999998</v>
      </c>
      <c r="AC190" s="19">
        <v>0</v>
      </c>
      <c r="AD190" s="19">
        <v>0</v>
      </c>
      <c r="AE190" s="19">
        <v>0</v>
      </c>
      <c r="AF190" s="19">
        <v>162.79679999999999</v>
      </c>
      <c r="AG190" s="19">
        <v>140.54400000000001</v>
      </c>
      <c r="AH190" s="19">
        <v>185.0496</v>
      </c>
      <c r="AI190" s="19">
        <v>0</v>
      </c>
      <c r="AJ190" s="19">
        <v>0</v>
      </c>
      <c r="AK190" s="19">
        <v>0</v>
      </c>
      <c r="AL190" s="19">
        <v>162.79679999999999</v>
      </c>
      <c r="AM190" s="19">
        <v>140.54400000000001</v>
      </c>
      <c r="AN190" s="19">
        <v>185.0496</v>
      </c>
      <c r="AO190" s="19">
        <v>0</v>
      </c>
      <c r="AP190" s="19">
        <v>0</v>
      </c>
      <c r="AQ190" s="19">
        <v>0</v>
      </c>
      <c r="AR190" s="19">
        <v>217.06239999999997</v>
      </c>
      <c r="AS190" s="19">
        <v>187.392</v>
      </c>
      <c r="AT190" s="19">
        <v>246.7328</v>
      </c>
      <c r="AU190" s="19">
        <v>0</v>
      </c>
      <c r="AV190" s="19">
        <v>0</v>
      </c>
      <c r="AW190" s="19">
        <v>0</v>
      </c>
      <c r="AX190" s="19">
        <v>128.88079999999999</v>
      </c>
      <c r="AY190" s="19">
        <v>111.264</v>
      </c>
      <c r="AZ190" s="19">
        <v>146.49760000000001</v>
      </c>
      <c r="BA190" s="19">
        <v>0</v>
      </c>
      <c r="BB190" s="19">
        <v>0</v>
      </c>
      <c r="BC190" s="19">
        <v>0</v>
      </c>
      <c r="BD190" s="19">
        <v>128.88079999999999</v>
      </c>
      <c r="BE190" s="19">
        <v>111.264</v>
      </c>
      <c r="BF190" s="19">
        <v>146.49760000000001</v>
      </c>
      <c r="BG190" s="19">
        <v>0</v>
      </c>
      <c r="BH190" s="19">
        <v>0</v>
      </c>
      <c r="BI190" s="19">
        <v>0</v>
      </c>
      <c r="BJ190" s="19">
        <v>169.57999999999998</v>
      </c>
      <c r="BK190" s="19">
        <v>146.4</v>
      </c>
      <c r="BL190" s="19">
        <v>192.76</v>
      </c>
      <c r="BM190" s="19">
        <v>0</v>
      </c>
      <c r="BN190" s="19">
        <v>0</v>
      </c>
      <c r="BO190" s="19">
        <v>0</v>
      </c>
      <c r="BP190" s="19"/>
      <c r="BQ19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0" s="11">
        <f>Tabelle5897112140[[#This Row],[Mindestauslastung min]]*Tabelle5897112140[[#This Row],[installierte Leistung MW min]]</f>
        <v>14.64</v>
      </c>
      <c r="BU190" s="11">
        <f>Tabelle5897112140[[#This Row],[Mindestauslastung durch]]*Tabelle5897112140[[#This Row],[installierte Leistung MW durch]]</f>
        <v>16.958000000000002</v>
      </c>
      <c r="BV190" s="11">
        <f>Tabelle5897112140[[#This Row],[Mindestauslastung max]]*Tabelle5897112140[[#This Row],[installierte Leistung MW max]]</f>
        <v>19.276</v>
      </c>
      <c r="BW190" s="9">
        <v>0.05</v>
      </c>
      <c r="BX190" s="9">
        <v>0.05</v>
      </c>
      <c r="BY190" s="9">
        <v>0.05</v>
      </c>
      <c r="BZ190" s="9"/>
      <c r="CA190" s="9">
        <v>0.57999999999999996</v>
      </c>
      <c r="CB190" s="9">
        <v>0.57999999999999996</v>
      </c>
      <c r="CC190" s="9">
        <v>0.57999999999999996</v>
      </c>
      <c r="CD190" s="9">
        <v>0.57999999999999996</v>
      </c>
      <c r="CE190" s="9">
        <v>0.57999999999999996</v>
      </c>
      <c r="CF190" s="9">
        <v>0.57999999999999996</v>
      </c>
      <c r="CG190" s="9">
        <v>0.77</v>
      </c>
      <c r="CH190" s="9">
        <v>0.77</v>
      </c>
      <c r="CI190" s="9">
        <v>0.77</v>
      </c>
      <c r="CJ190" s="9">
        <v>0.48</v>
      </c>
      <c r="CK190" s="9">
        <v>0.48</v>
      </c>
      <c r="CL190" s="9">
        <v>0.48</v>
      </c>
      <c r="CM190" s="9">
        <v>0.48</v>
      </c>
      <c r="CN190" s="9">
        <v>0.48</v>
      </c>
      <c r="CO190" s="9">
        <v>0.48</v>
      </c>
      <c r="CP190" s="9">
        <v>0.64</v>
      </c>
      <c r="CQ190" s="9">
        <v>0.64</v>
      </c>
      <c r="CR190" s="9">
        <v>0.64</v>
      </c>
      <c r="CS190" s="9">
        <v>0.38</v>
      </c>
      <c r="CT190" s="9">
        <v>0.38</v>
      </c>
      <c r="CU190" s="9">
        <v>0.38</v>
      </c>
      <c r="CV190" s="9">
        <v>0.38</v>
      </c>
      <c r="CW190" s="9">
        <v>0.38</v>
      </c>
      <c r="CX190" s="9">
        <v>0.38</v>
      </c>
      <c r="CY190" s="9">
        <v>0.5</v>
      </c>
      <c r="CZ190" s="9">
        <v>0.5</v>
      </c>
      <c r="DA190" s="9">
        <v>0.5</v>
      </c>
      <c r="DB190" s="9">
        <f>MIN(Tabelle5897112140[[#This Row],[Durchschnittsauslastung durch Sommer WTT]:[Durchschnittsauslastung max Winter SFN]])</f>
        <v>0.38</v>
      </c>
      <c r="DC19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0" s="9">
        <f>MAX(Tabelle5897112140[[#This Row],[Durchschnittsauslastung durch Sommer WTT]:[Durchschnittsauslastung max Winter SFN]])</f>
        <v>0.77</v>
      </c>
      <c r="DE190" s="40">
        <f>Tabelle5897112140[[#This Row],[Durchschnittsauslastung min]]*Tabelle5897112140[[#This Row],[installierte Leistung MW min]]</f>
        <v>111.26400000000001</v>
      </c>
      <c r="DF190" s="40">
        <f>Tabelle5897112140[[#This Row],[Durchschnittsauslastung durch]]*Tabelle5897112140[[#This Row],[installierte Leistung MW durch]]</f>
        <v>180.50848888888891</v>
      </c>
      <c r="DG190" s="40">
        <f>Tabelle5897112140[[#This Row],[Durchschnittsauslastung max]]*Tabelle5897112140[[#This Row],[installierte Leistung MW max]]</f>
        <v>296.85039999999998</v>
      </c>
      <c r="DH190" s="46">
        <f>Tabelle5897112140[[#This Row],[Maximalauslastung min]]*Tabelle5897112140[[#This Row],[installierte Leistung MW min]]</f>
        <v>0</v>
      </c>
      <c r="DI190" s="46">
        <f>Tabelle5897112140[[#This Row],[Maximalauslastung durch]]*Tabelle5897112140[[#This Row],[installierte Leistung MW durch]]</f>
        <v>0</v>
      </c>
      <c r="DJ190" s="19">
        <f>Tabelle5897112140[[#This Row],[Maximalauslastung max]]*Tabelle5897112140[[#This Row],[installierte Leistung MW durch]]</f>
        <v>0</v>
      </c>
      <c r="DK190" s="9">
        <v>0</v>
      </c>
      <c r="DL190" s="9">
        <v>0</v>
      </c>
      <c r="DM190" s="9">
        <v>0</v>
      </c>
      <c r="DN190" s="1">
        <v>339.16</v>
      </c>
      <c r="DO190" s="1">
        <v>292.8</v>
      </c>
      <c r="DP190" s="1">
        <v>385.52</v>
      </c>
      <c r="DQ190" s="19"/>
      <c r="DR190" s="19"/>
      <c r="DW190" s="1">
        <v>2.2416666666666671</v>
      </c>
      <c r="DX190" s="1">
        <v>1</v>
      </c>
      <c r="DY190" s="1">
        <v>5.8000000000000007</v>
      </c>
      <c r="EL190" s="1">
        <v>365</v>
      </c>
      <c r="EM190" s="1">
        <v>292</v>
      </c>
      <c r="EN190" s="1">
        <v>438</v>
      </c>
      <c r="EO190" s="11"/>
      <c r="EP190" s="11"/>
      <c r="EQ190" s="11"/>
      <c r="ER190" s="1">
        <v>365</v>
      </c>
      <c r="ES190" s="1">
        <v>292</v>
      </c>
      <c r="ET190" s="1">
        <v>438</v>
      </c>
      <c r="EV190" s="19"/>
      <c r="EW190" s="19"/>
      <c r="EX190" s="19"/>
      <c r="EY190" s="19"/>
      <c r="EZ190" s="19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O190" s="1">
        <v>67</v>
      </c>
      <c r="FP190" s="1">
        <v>67</v>
      </c>
      <c r="FQ190" s="1">
        <v>67</v>
      </c>
      <c r="FR190" s="13" t="s">
        <v>806</v>
      </c>
      <c r="FS190" s="13" t="s">
        <v>806</v>
      </c>
      <c r="FT190" s="13" t="s">
        <v>806</v>
      </c>
      <c r="FU190" s="13"/>
      <c r="FV190" s="13" t="s">
        <v>806</v>
      </c>
      <c r="FW190" s="13" t="s">
        <v>806</v>
      </c>
      <c r="FX190" s="13" t="s">
        <v>806</v>
      </c>
      <c r="FY190" s="13" t="s">
        <v>806</v>
      </c>
      <c r="FZ190" s="13" t="s">
        <v>806</v>
      </c>
      <c r="GA190" s="13" t="s">
        <v>806</v>
      </c>
      <c r="GB190" s="13" t="s">
        <v>806</v>
      </c>
      <c r="GE190" s="13" t="s">
        <v>806</v>
      </c>
      <c r="GF190" s="13" t="s">
        <v>806</v>
      </c>
      <c r="GH190" s="13" t="s">
        <v>806</v>
      </c>
    </row>
    <row r="191" spans="1:190" ht="12.75" customHeight="1" x14ac:dyDescent="0.25">
      <c r="A191" s="1" t="s">
        <v>1121</v>
      </c>
      <c r="B191" s="1" t="s">
        <v>747</v>
      </c>
      <c r="C191" s="1" t="s">
        <v>805</v>
      </c>
      <c r="D191" s="1" t="s">
        <v>697</v>
      </c>
      <c r="E191" s="1" t="s">
        <v>127</v>
      </c>
      <c r="F191" s="1">
        <v>0</v>
      </c>
      <c r="G191" s="1">
        <v>2040</v>
      </c>
      <c r="H191" s="1">
        <v>1</v>
      </c>
      <c r="I191" s="1">
        <v>0</v>
      </c>
      <c r="J191" s="1">
        <v>0</v>
      </c>
      <c r="K19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116.736</v>
      </c>
      <c r="L19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189.38595555555557</v>
      </c>
      <c r="M19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311.44959999999998</v>
      </c>
      <c r="N191" s="19">
        <v>206.38720000000001</v>
      </c>
      <c r="O191" s="19">
        <v>178.17599999999999</v>
      </c>
      <c r="P191" s="19">
        <v>234.5984</v>
      </c>
      <c r="Q191" s="19">
        <v>0</v>
      </c>
      <c r="R191" s="19">
        <v>0</v>
      </c>
      <c r="S191" s="19">
        <v>0</v>
      </c>
      <c r="T191" s="19">
        <v>206.38720000000001</v>
      </c>
      <c r="U191" s="19">
        <v>178.17599999999999</v>
      </c>
      <c r="V191" s="19">
        <v>234.5984</v>
      </c>
      <c r="W191" s="19">
        <v>0</v>
      </c>
      <c r="X191" s="19">
        <v>0</v>
      </c>
      <c r="Y191" s="19">
        <v>0</v>
      </c>
      <c r="Z191" s="19">
        <v>273.99680000000001</v>
      </c>
      <c r="AA191" s="19">
        <v>236.54400000000001</v>
      </c>
      <c r="AB191" s="19">
        <v>311.44959999999998</v>
      </c>
      <c r="AC191" s="19">
        <v>0</v>
      </c>
      <c r="AD191" s="19">
        <v>0</v>
      </c>
      <c r="AE191" s="19">
        <v>0</v>
      </c>
      <c r="AF191" s="19">
        <v>170.8032</v>
      </c>
      <c r="AG191" s="19">
        <v>147.45600000000002</v>
      </c>
      <c r="AH191" s="19">
        <v>194.15040000000002</v>
      </c>
      <c r="AI191" s="19">
        <v>0</v>
      </c>
      <c r="AJ191" s="19">
        <v>0</v>
      </c>
      <c r="AK191" s="19">
        <v>0</v>
      </c>
      <c r="AL191" s="19">
        <v>170.8032</v>
      </c>
      <c r="AM191" s="19">
        <v>147.45600000000002</v>
      </c>
      <c r="AN191" s="19">
        <v>194.15040000000002</v>
      </c>
      <c r="AO191" s="19">
        <v>0</v>
      </c>
      <c r="AP191" s="19">
        <v>0</v>
      </c>
      <c r="AQ191" s="19">
        <v>0</v>
      </c>
      <c r="AR191" s="19">
        <v>227.73759999999999</v>
      </c>
      <c r="AS191" s="19">
        <v>196.608</v>
      </c>
      <c r="AT191" s="19">
        <v>258.86720000000003</v>
      </c>
      <c r="AU191" s="19">
        <v>0</v>
      </c>
      <c r="AV191" s="19">
        <v>0</v>
      </c>
      <c r="AW191" s="19">
        <v>0</v>
      </c>
      <c r="AX191" s="19">
        <v>135.2192</v>
      </c>
      <c r="AY191" s="19">
        <v>116.736</v>
      </c>
      <c r="AZ191" s="19">
        <v>153.70240000000001</v>
      </c>
      <c r="BA191" s="19">
        <v>0</v>
      </c>
      <c r="BB191" s="19">
        <v>0</v>
      </c>
      <c r="BC191" s="19">
        <v>0</v>
      </c>
      <c r="BD191" s="19">
        <v>135.2192</v>
      </c>
      <c r="BE191" s="19">
        <v>116.736</v>
      </c>
      <c r="BF191" s="19">
        <v>153.70240000000001</v>
      </c>
      <c r="BG191" s="19">
        <v>0</v>
      </c>
      <c r="BH191" s="19">
        <v>0</v>
      </c>
      <c r="BI191" s="19">
        <v>0</v>
      </c>
      <c r="BJ191" s="19">
        <v>177.92000000000002</v>
      </c>
      <c r="BK191" s="19">
        <v>153.6</v>
      </c>
      <c r="BL191" s="19">
        <v>202.24</v>
      </c>
      <c r="BM191" s="19">
        <v>0</v>
      </c>
      <c r="BN191" s="19">
        <v>0</v>
      </c>
      <c r="BO191" s="19">
        <v>0</v>
      </c>
      <c r="BP191" s="19"/>
      <c r="BQ19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1" s="11">
        <f>Tabelle5897112140[[#This Row],[Mindestauslastung min]]*Tabelle5897112140[[#This Row],[installierte Leistung MW min]]</f>
        <v>15.36</v>
      </c>
      <c r="BU191" s="11">
        <f>Tabelle5897112140[[#This Row],[Mindestauslastung durch]]*Tabelle5897112140[[#This Row],[installierte Leistung MW durch]]</f>
        <v>17.791999999999998</v>
      </c>
      <c r="BV191" s="11">
        <f>Tabelle5897112140[[#This Row],[Mindestauslastung max]]*Tabelle5897112140[[#This Row],[installierte Leistung MW max]]</f>
        <v>20.224000000000004</v>
      </c>
      <c r="BW191" s="9">
        <v>0.05</v>
      </c>
      <c r="BX191" s="9">
        <v>0.05</v>
      </c>
      <c r="BY191" s="9">
        <v>0.05</v>
      </c>
      <c r="BZ191" s="9"/>
      <c r="CA191" s="9">
        <v>0.57999999999999996</v>
      </c>
      <c r="CB191" s="9">
        <v>0.57999999999999996</v>
      </c>
      <c r="CC191" s="9">
        <v>0.57999999999999996</v>
      </c>
      <c r="CD191" s="9">
        <v>0.57999999999999996</v>
      </c>
      <c r="CE191" s="9">
        <v>0.57999999999999996</v>
      </c>
      <c r="CF191" s="9">
        <v>0.57999999999999996</v>
      </c>
      <c r="CG191" s="9">
        <v>0.77</v>
      </c>
      <c r="CH191" s="9">
        <v>0.77</v>
      </c>
      <c r="CI191" s="9">
        <v>0.77</v>
      </c>
      <c r="CJ191" s="9">
        <v>0.48</v>
      </c>
      <c r="CK191" s="9">
        <v>0.48</v>
      </c>
      <c r="CL191" s="9">
        <v>0.48</v>
      </c>
      <c r="CM191" s="9">
        <v>0.48</v>
      </c>
      <c r="CN191" s="9">
        <v>0.48</v>
      </c>
      <c r="CO191" s="9">
        <v>0.48</v>
      </c>
      <c r="CP191" s="9">
        <v>0.64</v>
      </c>
      <c r="CQ191" s="9">
        <v>0.64</v>
      </c>
      <c r="CR191" s="9">
        <v>0.64</v>
      </c>
      <c r="CS191" s="9">
        <v>0.38</v>
      </c>
      <c r="CT191" s="9">
        <v>0.38</v>
      </c>
      <c r="CU191" s="9">
        <v>0.38</v>
      </c>
      <c r="CV191" s="9">
        <v>0.38</v>
      </c>
      <c r="CW191" s="9">
        <v>0.38</v>
      </c>
      <c r="CX191" s="9">
        <v>0.38</v>
      </c>
      <c r="CY191" s="9">
        <v>0.5</v>
      </c>
      <c r="CZ191" s="9">
        <v>0.5</v>
      </c>
      <c r="DA191" s="9">
        <v>0.5</v>
      </c>
      <c r="DB191" s="9">
        <f>MIN(Tabelle5897112140[[#This Row],[Durchschnittsauslastung durch Sommer WTT]:[Durchschnittsauslastung max Winter SFN]])</f>
        <v>0.38</v>
      </c>
      <c r="DC19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1" s="9">
        <f>MAX(Tabelle5897112140[[#This Row],[Durchschnittsauslastung durch Sommer WTT]:[Durchschnittsauslastung max Winter SFN]])</f>
        <v>0.77</v>
      </c>
      <c r="DE191" s="40">
        <f>Tabelle5897112140[[#This Row],[Durchschnittsauslastung min]]*Tabelle5897112140[[#This Row],[installierte Leistung MW min]]</f>
        <v>116.73599999999999</v>
      </c>
      <c r="DF191" s="40">
        <f>Tabelle5897112140[[#This Row],[Durchschnittsauslastung durch]]*Tabelle5897112140[[#This Row],[installierte Leistung MW durch]]</f>
        <v>189.38595555555557</v>
      </c>
      <c r="DG191" s="40">
        <f>Tabelle5897112140[[#This Row],[Durchschnittsauslastung max]]*Tabelle5897112140[[#This Row],[installierte Leistung MW max]]</f>
        <v>311.44960000000003</v>
      </c>
      <c r="DH191" s="46">
        <f>Tabelle5897112140[[#This Row],[Maximalauslastung min]]*Tabelle5897112140[[#This Row],[installierte Leistung MW min]]</f>
        <v>0</v>
      </c>
      <c r="DI191" s="46">
        <f>Tabelle5897112140[[#This Row],[Maximalauslastung durch]]*Tabelle5897112140[[#This Row],[installierte Leistung MW durch]]</f>
        <v>0</v>
      </c>
      <c r="DJ191" s="19">
        <f>Tabelle5897112140[[#This Row],[Maximalauslastung max]]*Tabelle5897112140[[#This Row],[installierte Leistung MW durch]]</f>
        <v>0</v>
      </c>
      <c r="DK191" s="9">
        <v>0</v>
      </c>
      <c r="DL191" s="9">
        <v>0</v>
      </c>
      <c r="DM191" s="9">
        <v>0</v>
      </c>
      <c r="DN191" s="1">
        <v>355.84</v>
      </c>
      <c r="DO191" s="1">
        <v>307.2</v>
      </c>
      <c r="DP191" s="1">
        <v>404.48</v>
      </c>
      <c r="DQ191" s="19"/>
      <c r="DR191" s="19"/>
      <c r="DW191" s="1">
        <v>2.2416666666666671</v>
      </c>
      <c r="DX191" s="1">
        <v>1</v>
      </c>
      <c r="DY191" s="1">
        <v>5.8000000000000007</v>
      </c>
      <c r="EL191" s="1">
        <v>365</v>
      </c>
      <c r="EM191" s="1">
        <v>292</v>
      </c>
      <c r="EN191" s="1">
        <v>438</v>
      </c>
      <c r="EO191" s="11"/>
      <c r="EP191" s="11"/>
      <c r="EQ191" s="11"/>
      <c r="ER191" s="1">
        <v>365</v>
      </c>
      <c r="ES191" s="1">
        <v>292</v>
      </c>
      <c r="ET191" s="1">
        <v>438</v>
      </c>
      <c r="EV191" s="19"/>
      <c r="EW191" s="19"/>
      <c r="EX191" s="19"/>
      <c r="EY191" s="19"/>
      <c r="EZ191" s="19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O191" s="1">
        <v>67</v>
      </c>
      <c r="FP191" s="1">
        <v>67</v>
      </c>
      <c r="FQ191" s="1">
        <v>67</v>
      </c>
      <c r="FR191" s="13" t="s">
        <v>806</v>
      </c>
      <c r="FS191" s="13" t="s">
        <v>806</v>
      </c>
      <c r="FT191" s="13" t="s">
        <v>806</v>
      </c>
      <c r="FU191" s="13"/>
      <c r="FV191" s="13" t="s">
        <v>806</v>
      </c>
      <c r="FW191" s="13" t="s">
        <v>806</v>
      </c>
      <c r="FX191" s="13" t="s">
        <v>806</v>
      </c>
      <c r="FY191" s="13" t="s">
        <v>806</v>
      </c>
      <c r="FZ191" s="13" t="s">
        <v>806</v>
      </c>
      <c r="GA191" s="13" t="s">
        <v>806</v>
      </c>
      <c r="GB191" s="13" t="s">
        <v>806</v>
      </c>
      <c r="GE191" s="13" t="s">
        <v>806</v>
      </c>
      <c r="GF191" s="13" t="s">
        <v>806</v>
      </c>
      <c r="GH191" s="13" t="s">
        <v>806</v>
      </c>
    </row>
    <row r="192" spans="1:190" ht="12.75" customHeight="1" x14ac:dyDescent="0.25">
      <c r="A192" s="1" t="s">
        <v>1121</v>
      </c>
      <c r="B192" s="1" t="s">
        <v>747</v>
      </c>
      <c r="C192" s="1" t="s">
        <v>805</v>
      </c>
      <c r="D192" s="1" t="s">
        <v>697</v>
      </c>
      <c r="E192" s="1" t="s">
        <v>127</v>
      </c>
      <c r="F192" s="1">
        <v>0</v>
      </c>
      <c r="G192" s="1">
        <v>2045</v>
      </c>
      <c r="H192" s="1">
        <v>1</v>
      </c>
      <c r="I192" s="1">
        <v>0</v>
      </c>
      <c r="J192" s="1">
        <v>0</v>
      </c>
      <c r="K19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123.12000000000002</v>
      </c>
      <c r="L19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199.74300000000005</v>
      </c>
      <c r="M19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328.48200000000003</v>
      </c>
      <c r="N192" s="19">
        <v>217.67400000000004</v>
      </c>
      <c r="O192" s="19">
        <v>187.92</v>
      </c>
      <c r="P192" s="19">
        <v>247.42800000000003</v>
      </c>
      <c r="Q192" s="19">
        <v>0</v>
      </c>
      <c r="R192" s="19">
        <v>0</v>
      </c>
      <c r="S192" s="19">
        <v>0</v>
      </c>
      <c r="T192" s="19">
        <v>217.67400000000004</v>
      </c>
      <c r="U192" s="19">
        <v>187.92</v>
      </c>
      <c r="V192" s="19">
        <v>247.42800000000003</v>
      </c>
      <c r="W192" s="19">
        <v>0</v>
      </c>
      <c r="X192" s="19">
        <v>0</v>
      </c>
      <c r="Y192" s="19">
        <v>0</v>
      </c>
      <c r="Z192" s="19">
        <v>288.98099999999999</v>
      </c>
      <c r="AA192" s="19">
        <v>249.48000000000002</v>
      </c>
      <c r="AB192" s="19">
        <v>328.48200000000003</v>
      </c>
      <c r="AC192" s="19">
        <v>0</v>
      </c>
      <c r="AD192" s="19">
        <v>0</v>
      </c>
      <c r="AE192" s="19">
        <v>0</v>
      </c>
      <c r="AF192" s="19">
        <v>180.14400000000001</v>
      </c>
      <c r="AG192" s="19">
        <v>155.52000000000001</v>
      </c>
      <c r="AH192" s="19">
        <v>204.76800000000003</v>
      </c>
      <c r="AI192" s="19">
        <v>0</v>
      </c>
      <c r="AJ192" s="19">
        <v>0</v>
      </c>
      <c r="AK192" s="19">
        <v>0</v>
      </c>
      <c r="AL192" s="19">
        <v>180.14400000000001</v>
      </c>
      <c r="AM192" s="19">
        <v>155.52000000000001</v>
      </c>
      <c r="AN192" s="19">
        <v>204.76800000000003</v>
      </c>
      <c r="AO192" s="19">
        <v>0</v>
      </c>
      <c r="AP192" s="19">
        <v>0</v>
      </c>
      <c r="AQ192" s="19">
        <v>0</v>
      </c>
      <c r="AR192" s="19">
        <v>240.19200000000001</v>
      </c>
      <c r="AS192" s="19">
        <v>207.36</v>
      </c>
      <c r="AT192" s="19">
        <v>273.02400000000006</v>
      </c>
      <c r="AU192" s="19">
        <v>0</v>
      </c>
      <c r="AV192" s="19">
        <v>0</v>
      </c>
      <c r="AW192" s="19">
        <v>0</v>
      </c>
      <c r="AX192" s="19">
        <v>142.614</v>
      </c>
      <c r="AY192" s="19">
        <v>123.12000000000002</v>
      </c>
      <c r="AZ192" s="19">
        <v>162.108</v>
      </c>
      <c r="BA192" s="19">
        <v>0</v>
      </c>
      <c r="BB192" s="19">
        <v>0</v>
      </c>
      <c r="BC192" s="19">
        <v>0</v>
      </c>
      <c r="BD192" s="19">
        <v>142.614</v>
      </c>
      <c r="BE192" s="19">
        <v>123.12000000000002</v>
      </c>
      <c r="BF192" s="19">
        <v>162.108</v>
      </c>
      <c r="BG192" s="19">
        <v>0</v>
      </c>
      <c r="BH192" s="19">
        <v>0</v>
      </c>
      <c r="BI192" s="19">
        <v>0</v>
      </c>
      <c r="BJ192" s="19">
        <v>187.65</v>
      </c>
      <c r="BK192" s="19">
        <v>162</v>
      </c>
      <c r="BL192" s="19">
        <v>213.3</v>
      </c>
      <c r="BM192" s="19">
        <v>0</v>
      </c>
      <c r="BN192" s="19">
        <v>0</v>
      </c>
      <c r="BO192" s="19">
        <v>0</v>
      </c>
      <c r="BP192" s="19"/>
      <c r="BQ19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2" s="11">
        <f>Tabelle5897112140[[#This Row],[Mindestauslastung min]]*Tabelle5897112140[[#This Row],[installierte Leistung MW min]]</f>
        <v>16.2</v>
      </c>
      <c r="BU192" s="11">
        <f>Tabelle5897112140[[#This Row],[Mindestauslastung durch]]*Tabelle5897112140[[#This Row],[installierte Leistung MW durch]]</f>
        <v>18.765000000000001</v>
      </c>
      <c r="BV192" s="11">
        <f>Tabelle5897112140[[#This Row],[Mindestauslastung max]]*Tabelle5897112140[[#This Row],[installierte Leistung MW max]]</f>
        <v>21.330000000000002</v>
      </c>
      <c r="BW192" s="9">
        <v>0.05</v>
      </c>
      <c r="BX192" s="9">
        <v>0.05</v>
      </c>
      <c r="BY192" s="9">
        <v>0.05</v>
      </c>
      <c r="BZ192" s="9"/>
      <c r="CA192" s="9">
        <v>0.57999999999999996</v>
      </c>
      <c r="CB192" s="9">
        <v>0.57999999999999996</v>
      </c>
      <c r="CC192" s="9">
        <v>0.57999999999999996</v>
      </c>
      <c r="CD192" s="9">
        <v>0.57999999999999996</v>
      </c>
      <c r="CE192" s="9">
        <v>0.57999999999999996</v>
      </c>
      <c r="CF192" s="9">
        <v>0.57999999999999996</v>
      </c>
      <c r="CG192" s="9">
        <v>0.77</v>
      </c>
      <c r="CH192" s="9">
        <v>0.77</v>
      </c>
      <c r="CI192" s="9">
        <v>0.77</v>
      </c>
      <c r="CJ192" s="9">
        <v>0.48</v>
      </c>
      <c r="CK192" s="9">
        <v>0.48</v>
      </c>
      <c r="CL192" s="9">
        <v>0.48</v>
      </c>
      <c r="CM192" s="9">
        <v>0.48</v>
      </c>
      <c r="CN192" s="9">
        <v>0.48</v>
      </c>
      <c r="CO192" s="9">
        <v>0.48</v>
      </c>
      <c r="CP192" s="9">
        <v>0.64</v>
      </c>
      <c r="CQ192" s="9">
        <v>0.64</v>
      </c>
      <c r="CR192" s="9">
        <v>0.64</v>
      </c>
      <c r="CS192" s="9">
        <v>0.38</v>
      </c>
      <c r="CT192" s="9">
        <v>0.38</v>
      </c>
      <c r="CU192" s="9">
        <v>0.38</v>
      </c>
      <c r="CV192" s="9">
        <v>0.38</v>
      </c>
      <c r="CW192" s="9">
        <v>0.38</v>
      </c>
      <c r="CX192" s="9">
        <v>0.38</v>
      </c>
      <c r="CY192" s="9">
        <v>0.5</v>
      </c>
      <c r="CZ192" s="9">
        <v>0.5</v>
      </c>
      <c r="DA192" s="9">
        <v>0.5</v>
      </c>
      <c r="DB192" s="9">
        <f>MIN(Tabelle5897112140[[#This Row],[Durchschnittsauslastung durch Sommer WTT]:[Durchschnittsauslastung max Winter SFN]])</f>
        <v>0.38</v>
      </c>
      <c r="DC19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2" s="9">
        <f>MAX(Tabelle5897112140[[#This Row],[Durchschnittsauslastung durch Sommer WTT]:[Durchschnittsauslastung max Winter SFN]])</f>
        <v>0.77</v>
      </c>
      <c r="DE192" s="40">
        <f>Tabelle5897112140[[#This Row],[Durchschnittsauslastung min]]*Tabelle5897112140[[#This Row],[installierte Leistung MW min]]</f>
        <v>123.12</v>
      </c>
      <c r="DF192" s="40">
        <f>Tabelle5897112140[[#This Row],[Durchschnittsauslastung durch]]*Tabelle5897112140[[#This Row],[installierte Leistung MW durch]]</f>
        <v>199.74300000000002</v>
      </c>
      <c r="DG192" s="40">
        <f>Tabelle5897112140[[#This Row],[Durchschnittsauslastung max]]*Tabelle5897112140[[#This Row],[installierte Leistung MW max]]</f>
        <v>328.48200000000003</v>
      </c>
      <c r="DH192" s="46">
        <f>Tabelle5897112140[[#This Row],[Maximalauslastung min]]*Tabelle5897112140[[#This Row],[installierte Leistung MW min]]</f>
        <v>0</v>
      </c>
      <c r="DI192" s="46">
        <f>Tabelle5897112140[[#This Row],[Maximalauslastung durch]]*Tabelle5897112140[[#This Row],[installierte Leistung MW durch]]</f>
        <v>0</v>
      </c>
      <c r="DJ192" s="19">
        <f>Tabelle5897112140[[#This Row],[Maximalauslastung max]]*Tabelle5897112140[[#This Row],[installierte Leistung MW durch]]</f>
        <v>0</v>
      </c>
      <c r="DK192" s="9">
        <v>0</v>
      </c>
      <c r="DL192" s="9">
        <v>0</v>
      </c>
      <c r="DM192" s="9">
        <v>0</v>
      </c>
      <c r="DN192" s="1">
        <v>375.3</v>
      </c>
      <c r="DO192" s="1">
        <v>324</v>
      </c>
      <c r="DP192" s="1">
        <v>426.6</v>
      </c>
      <c r="DQ192" s="19"/>
      <c r="DR192" s="19"/>
      <c r="DW192" s="1">
        <v>2.2416666666666671</v>
      </c>
      <c r="DX192" s="1">
        <v>1</v>
      </c>
      <c r="DY192" s="1">
        <v>5.8000000000000007</v>
      </c>
      <c r="EL192" s="1">
        <v>365</v>
      </c>
      <c r="EM192" s="1">
        <v>292</v>
      </c>
      <c r="EN192" s="1">
        <v>438</v>
      </c>
      <c r="EO192" s="11"/>
      <c r="EP192" s="11"/>
      <c r="EQ192" s="11"/>
      <c r="ER192" s="1">
        <v>365</v>
      </c>
      <c r="ES192" s="1">
        <v>292</v>
      </c>
      <c r="ET192" s="1">
        <v>438</v>
      </c>
      <c r="EV192" s="19"/>
      <c r="EW192" s="19"/>
      <c r="EX192" s="19"/>
      <c r="EY192" s="19"/>
      <c r="EZ192" s="19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O192" s="1">
        <v>67</v>
      </c>
      <c r="FP192" s="1">
        <v>67</v>
      </c>
      <c r="FQ192" s="1">
        <v>67</v>
      </c>
      <c r="FR192" s="13" t="s">
        <v>806</v>
      </c>
      <c r="FS192" s="13" t="s">
        <v>806</v>
      </c>
      <c r="FT192" s="13" t="s">
        <v>806</v>
      </c>
      <c r="FU192" s="13"/>
      <c r="FV192" s="13" t="s">
        <v>806</v>
      </c>
      <c r="FW192" s="13" t="s">
        <v>806</v>
      </c>
      <c r="FX192" s="13" t="s">
        <v>806</v>
      </c>
      <c r="FY192" s="13" t="s">
        <v>806</v>
      </c>
      <c r="FZ192" s="13" t="s">
        <v>806</v>
      </c>
      <c r="GA192" s="13" t="s">
        <v>806</v>
      </c>
      <c r="GB192" s="13" t="s">
        <v>806</v>
      </c>
      <c r="GE192" s="13" t="s">
        <v>806</v>
      </c>
      <c r="GF192" s="13" t="s">
        <v>806</v>
      </c>
      <c r="GH192" s="13" t="s">
        <v>806</v>
      </c>
    </row>
    <row r="193" spans="1:190" ht="12.75" customHeight="1" x14ac:dyDescent="0.25">
      <c r="A193" s="1" t="s">
        <v>1121</v>
      </c>
      <c r="B193" s="1" t="s">
        <v>747</v>
      </c>
      <c r="C193" s="1" t="s">
        <v>805</v>
      </c>
      <c r="D193" s="1" t="s">
        <v>697</v>
      </c>
      <c r="E193" s="1" t="s">
        <v>127</v>
      </c>
      <c r="F193" s="1">
        <v>0</v>
      </c>
      <c r="G193" s="1">
        <v>2050</v>
      </c>
      <c r="H193" s="1">
        <v>1</v>
      </c>
      <c r="I193" s="1">
        <v>0</v>
      </c>
      <c r="J193" s="1">
        <v>0</v>
      </c>
      <c r="K19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129.50399999999999</v>
      </c>
      <c r="L19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210.10004444444445</v>
      </c>
      <c r="M19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345.51439999999997</v>
      </c>
      <c r="N193" s="19">
        <v>228.96080000000001</v>
      </c>
      <c r="O193" s="19">
        <v>197.66399999999999</v>
      </c>
      <c r="P193" s="19">
        <v>260.25759999999997</v>
      </c>
      <c r="Q193" s="19">
        <v>0</v>
      </c>
      <c r="R193" s="19">
        <v>0</v>
      </c>
      <c r="S193" s="19">
        <v>0</v>
      </c>
      <c r="T193" s="19">
        <v>228.96080000000001</v>
      </c>
      <c r="U193" s="19">
        <v>197.66399999999999</v>
      </c>
      <c r="V193" s="19">
        <v>260.25759999999997</v>
      </c>
      <c r="W193" s="19">
        <v>0</v>
      </c>
      <c r="X193" s="19">
        <v>0</v>
      </c>
      <c r="Y193" s="19">
        <v>0</v>
      </c>
      <c r="Z193" s="19">
        <v>303.96519999999998</v>
      </c>
      <c r="AA193" s="19">
        <v>262.416</v>
      </c>
      <c r="AB193" s="19">
        <v>345.51439999999997</v>
      </c>
      <c r="AC193" s="19">
        <v>0</v>
      </c>
      <c r="AD193" s="19">
        <v>0</v>
      </c>
      <c r="AE193" s="19">
        <v>0</v>
      </c>
      <c r="AF193" s="19">
        <v>189.48479999999998</v>
      </c>
      <c r="AG193" s="19">
        <v>163.584</v>
      </c>
      <c r="AH193" s="19">
        <v>215.38560000000001</v>
      </c>
      <c r="AI193" s="19">
        <v>0</v>
      </c>
      <c r="AJ193" s="19">
        <v>0</v>
      </c>
      <c r="AK193" s="19">
        <v>0</v>
      </c>
      <c r="AL193" s="19">
        <v>189.48479999999998</v>
      </c>
      <c r="AM193" s="19">
        <v>163.584</v>
      </c>
      <c r="AN193" s="19">
        <v>215.38560000000001</v>
      </c>
      <c r="AO193" s="19">
        <v>0</v>
      </c>
      <c r="AP193" s="19">
        <v>0</v>
      </c>
      <c r="AQ193" s="19">
        <v>0</v>
      </c>
      <c r="AR193" s="19">
        <v>252.64639999999997</v>
      </c>
      <c r="AS193" s="19">
        <v>218.11199999999999</v>
      </c>
      <c r="AT193" s="19">
        <v>287.18079999999998</v>
      </c>
      <c r="AU193" s="19">
        <v>0</v>
      </c>
      <c r="AV193" s="19">
        <v>0</v>
      </c>
      <c r="AW193" s="19">
        <v>0</v>
      </c>
      <c r="AX193" s="19">
        <v>150.00879999999998</v>
      </c>
      <c r="AY193" s="19">
        <v>129.50399999999999</v>
      </c>
      <c r="AZ193" s="19">
        <v>170.5136</v>
      </c>
      <c r="BA193" s="19">
        <v>0</v>
      </c>
      <c r="BB193" s="19">
        <v>0</v>
      </c>
      <c r="BC193" s="19">
        <v>0</v>
      </c>
      <c r="BD193" s="19">
        <v>150.00879999999998</v>
      </c>
      <c r="BE193" s="19">
        <v>129.50399999999999</v>
      </c>
      <c r="BF193" s="19">
        <v>170.5136</v>
      </c>
      <c r="BG193" s="19">
        <v>0</v>
      </c>
      <c r="BH193" s="19">
        <v>0</v>
      </c>
      <c r="BI193" s="19">
        <v>0</v>
      </c>
      <c r="BJ193" s="19">
        <v>197.38</v>
      </c>
      <c r="BK193" s="19">
        <v>170.39999999999998</v>
      </c>
      <c r="BL193" s="19">
        <v>224.35999999999999</v>
      </c>
      <c r="BM193" s="19">
        <v>0</v>
      </c>
      <c r="BN193" s="19">
        <v>0</v>
      </c>
      <c r="BO193" s="19">
        <v>0</v>
      </c>
      <c r="BP193" s="19"/>
      <c r="BQ19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3" s="11">
        <f>Tabelle5897112140[[#This Row],[Mindestauslastung min]]*Tabelle5897112140[[#This Row],[installierte Leistung MW min]]</f>
        <v>17.040000000000003</v>
      </c>
      <c r="BU193" s="11">
        <f>Tabelle5897112140[[#This Row],[Mindestauslastung durch]]*Tabelle5897112140[[#This Row],[installierte Leistung MW durch]]</f>
        <v>19.738</v>
      </c>
      <c r="BV193" s="11">
        <f>Tabelle5897112140[[#This Row],[Mindestauslastung max]]*Tabelle5897112140[[#This Row],[installierte Leistung MW max]]</f>
        <v>22.436000000000003</v>
      </c>
      <c r="BW193" s="9">
        <v>0.05</v>
      </c>
      <c r="BX193" s="9">
        <v>0.05</v>
      </c>
      <c r="BY193" s="9">
        <v>0.05</v>
      </c>
      <c r="BZ193" s="9"/>
      <c r="CA193" s="9">
        <v>0.57999999999999996</v>
      </c>
      <c r="CB193" s="9">
        <v>0.57999999999999996</v>
      </c>
      <c r="CC193" s="9">
        <v>0.57999999999999996</v>
      </c>
      <c r="CD193" s="9">
        <v>0.57999999999999996</v>
      </c>
      <c r="CE193" s="9">
        <v>0.57999999999999996</v>
      </c>
      <c r="CF193" s="9">
        <v>0.57999999999999996</v>
      </c>
      <c r="CG193" s="9">
        <v>0.77</v>
      </c>
      <c r="CH193" s="9">
        <v>0.77</v>
      </c>
      <c r="CI193" s="9">
        <v>0.77</v>
      </c>
      <c r="CJ193" s="9">
        <v>0.48</v>
      </c>
      <c r="CK193" s="9">
        <v>0.48</v>
      </c>
      <c r="CL193" s="9">
        <v>0.48</v>
      </c>
      <c r="CM193" s="9">
        <v>0.48</v>
      </c>
      <c r="CN193" s="9">
        <v>0.48</v>
      </c>
      <c r="CO193" s="9">
        <v>0.48</v>
      </c>
      <c r="CP193" s="9">
        <v>0.64</v>
      </c>
      <c r="CQ193" s="9">
        <v>0.64</v>
      </c>
      <c r="CR193" s="9">
        <v>0.64</v>
      </c>
      <c r="CS193" s="9">
        <v>0.38</v>
      </c>
      <c r="CT193" s="9">
        <v>0.38</v>
      </c>
      <c r="CU193" s="9">
        <v>0.38</v>
      </c>
      <c r="CV193" s="9">
        <v>0.38</v>
      </c>
      <c r="CW193" s="9">
        <v>0.38</v>
      </c>
      <c r="CX193" s="9">
        <v>0.38</v>
      </c>
      <c r="CY193" s="9">
        <v>0.5</v>
      </c>
      <c r="CZ193" s="9">
        <v>0.5</v>
      </c>
      <c r="DA193" s="9">
        <v>0.5</v>
      </c>
      <c r="DB193" s="9">
        <f>MIN(Tabelle5897112140[[#This Row],[Durchschnittsauslastung durch Sommer WTT]:[Durchschnittsauslastung max Winter SFN]])</f>
        <v>0.38</v>
      </c>
      <c r="DC19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3" s="9">
        <f>MAX(Tabelle5897112140[[#This Row],[Durchschnittsauslastung durch Sommer WTT]:[Durchschnittsauslastung max Winter SFN]])</f>
        <v>0.77</v>
      </c>
      <c r="DE193" s="40">
        <f>Tabelle5897112140[[#This Row],[Durchschnittsauslastung min]]*Tabelle5897112140[[#This Row],[installierte Leistung MW min]]</f>
        <v>129.50400000000002</v>
      </c>
      <c r="DF193" s="40">
        <f>Tabelle5897112140[[#This Row],[Durchschnittsauslastung durch]]*Tabelle5897112140[[#This Row],[installierte Leistung MW durch]]</f>
        <v>210.10004444444445</v>
      </c>
      <c r="DG193" s="40">
        <f>Tabelle5897112140[[#This Row],[Durchschnittsauslastung max]]*Tabelle5897112140[[#This Row],[installierte Leistung MW max]]</f>
        <v>345.51440000000002</v>
      </c>
      <c r="DH193" s="46">
        <f>Tabelle5897112140[[#This Row],[Maximalauslastung min]]*Tabelle5897112140[[#This Row],[installierte Leistung MW min]]</f>
        <v>0</v>
      </c>
      <c r="DI193" s="46">
        <f>Tabelle5897112140[[#This Row],[Maximalauslastung durch]]*Tabelle5897112140[[#This Row],[installierte Leistung MW durch]]</f>
        <v>0</v>
      </c>
      <c r="DJ193" s="19">
        <f>Tabelle5897112140[[#This Row],[Maximalauslastung max]]*Tabelle5897112140[[#This Row],[installierte Leistung MW durch]]</f>
        <v>0</v>
      </c>
      <c r="DK193" s="9">
        <v>0</v>
      </c>
      <c r="DL193" s="9">
        <v>0</v>
      </c>
      <c r="DM193" s="9">
        <v>0</v>
      </c>
      <c r="DN193" s="1">
        <v>394.76</v>
      </c>
      <c r="DO193" s="1">
        <v>340.8</v>
      </c>
      <c r="DP193" s="1">
        <v>448.72</v>
      </c>
      <c r="DQ193" s="19"/>
      <c r="DR193" s="19"/>
      <c r="DW193" s="1">
        <v>2.2416666666666671</v>
      </c>
      <c r="DX193" s="1">
        <v>1</v>
      </c>
      <c r="DY193" s="1">
        <v>5.8000000000000007</v>
      </c>
      <c r="EL193" s="1">
        <v>365</v>
      </c>
      <c r="EM193" s="1">
        <v>292</v>
      </c>
      <c r="EN193" s="1">
        <v>438</v>
      </c>
      <c r="EO193" s="11"/>
      <c r="EP193" s="11"/>
      <c r="EQ193" s="11"/>
      <c r="ER193" s="1">
        <v>365</v>
      </c>
      <c r="ES193" s="1">
        <v>292</v>
      </c>
      <c r="ET193" s="1">
        <v>438</v>
      </c>
      <c r="EV193" s="19"/>
      <c r="EW193" s="19"/>
      <c r="EX193" s="19"/>
      <c r="EY193" s="19"/>
      <c r="EZ193" s="19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O193" s="1">
        <v>67</v>
      </c>
      <c r="FP193" s="1">
        <v>67</v>
      </c>
      <c r="FQ193" s="1">
        <v>67</v>
      </c>
      <c r="FR193" s="13" t="s">
        <v>806</v>
      </c>
      <c r="FS193" s="13" t="s">
        <v>806</v>
      </c>
      <c r="FT193" s="13" t="s">
        <v>806</v>
      </c>
      <c r="FU193" s="13"/>
      <c r="FV193" s="13" t="s">
        <v>806</v>
      </c>
      <c r="FW193" s="13" t="s">
        <v>806</v>
      </c>
      <c r="FX193" s="13" t="s">
        <v>806</v>
      </c>
      <c r="FY193" s="13" t="s">
        <v>806</v>
      </c>
      <c r="FZ193" s="13" t="s">
        <v>806</v>
      </c>
      <c r="GA193" s="13" t="s">
        <v>806</v>
      </c>
      <c r="GB193" s="13" t="s">
        <v>806</v>
      </c>
      <c r="GE193" s="13" t="s">
        <v>806</v>
      </c>
      <c r="GF193" s="13" t="s">
        <v>806</v>
      </c>
      <c r="GH193" s="13" t="s">
        <v>806</v>
      </c>
    </row>
    <row r="194" spans="1:190" ht="12.75" customHeight="1" x14ac:dyDescent="0.25">
      <c r="A194" s="1" t="s">
        <v>99</v>
      </c>
      <c r="B194" s="1" t="s">
        <v>747</v>
      </c>
      <c r="C194" s="1" t="s">
        <v>664</v>
      </c>
      <c r="D194" s="1" t="s">
        <v>698</v>
      </c>
      <c r="E194" s="1" t="s">
        <v>127</v>
      </c>
      <c r="F194" s="1">
        <v>0</v>
      </c>
      <c r="G194" s="1">
        <v>2015</v>
      </c>
      <c r="H194" s="1">
        <v>1</v>
      </c>
      <c r="I194" s="1">
        <v>0</v>
      </c>
      <c r="J194" s="1">
        <v>0</v>
      </c>
      <c r="K19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11.4</v>
      </c>
      <c r="L19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22.933333333333326</v>
      </c>
      <c r="M19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</v>
      </c>
      <c r="N194" s="19">
        <v>30.4</v>
      </c>
      <c r="O194" s="19">
        <v>22.8</v>
      </c>
      <c r="P194" s="19">
        <v>38</v>
      </c>
      <c r="Q194" s="19">
        <v>0</v>
      </c>
      <c r="R194" s="19">
        <v>0</v>
      </c>
      <c r="S194" s="19">
        <v>0</v>
      </c>
      <c r="T194" s="19">
        <v>30.4</v>
      </c>
      <c r="U194" s="19">
        <v>22.8</v>
      </c>
      <c r="V194" s="19">
        <v>38</v>
      </c>
      <c r="W194" s="19">
        <v>0</v>
      </c>
      <c r="X194" s="19">
        <v>0</v>
      </c>
      <c r="Y194" s="19">
        <v>0</v>
      </c>
      <c r="Z194" s="19">
        <v>30.4</v>
      </c>
      <c r="AA194" s="19">
        <v>22.8</v>
      </c>
      <c r="AB194" s="19">
        <v>38</v>
      </c>
      <c r="AC194" s="19">
        <v>0</v>
      </c>
      <c r="AD194" s="19">
        <v>0</v>
      </c>
      <c r="AE194" s="19">
        <v>0</v>
      </c>
      <c r="AF194" s="19">
        <v>23.2</v>
      </c>
      <c r="AG194" s="19">
        <v>17.399999999999999</v>
      </c>
      <c r="AH194" s="19">
        <v>29</v>
      </c>
      <c r="AI194" s="19">
        <v>0</v>
      </c>
      <c r="AJ194" s="19">
        <v>0</v>
      </c>
      <c r="AK194" s="19">
        <v>0</v>
      </c>
      <c r="AL194" s="19">
        <v>23.2</v>
      </c>
      <c r="AM194" s="19">
        <v>17.399999999999999</v>
      </c>
      <c r="AN194" s="19">
        <v>29</v>
      </c>
      <c r="AO194" s="19">
        <v>0</v>
      </c>
      <c r="AP194" s="19">
        <v>0</v>
      </c>
      <c r="AQ194" s="19">
        <v>0</v>
      </c>
      <c r="AR194" s="19">
        <v>23.2</v>
      </c>
      <c r="AS194" s="19">
        <v>17.399999999999999</v>
      </c>
      <c r="AT194" s="19">
        <v>29</v>
      </c>
      <c r="AU194" s="19">
        <v>0</v>
      </c>
      <c r="AV194" s="19">
        <v>0</v>
      </c>
      <c r="AW194" s="19">
        <v>0</v>
      </c>
      <c r="AX194" s="19">
        <v>15.2</v>
      </c>
      <c r="AY194" s="19">
        <v>11.4</v>
      </c>
      <c r="AZ194" s="19">
        <v>19</v>
      </c>
      <c r="BA194" s="19">
        <v>0</v>
      </c>
      <c r="BB194" s="19">
        <v>0</v>
      </c>
      <c r="BC194" s="19">
        <v>0</v>
      </c>
      <c r="BD194" s="19">
        <v>15.2</v>
      </c>
      <c r="BE194" s="19">
        <v>11.4</v>
      </c>
      <c r="BF194" s="19">
        <v>19</v>
      </c>
      <c r="BG194" s="19">
        <v>0</v>
      </c>
      <c r="BH194" s="19">
        <v>0</v>
      </c>
      <c r="BI194" s="19">
        <v>0</v>
      </c>
      <c r="BJ194" s="19">
        <v>15.2</v>
      </c>
      <c r="BK194" s="19">
        <v>11.4</v>
      </c>
      <c r="BL194" s="19">
        <v>19</v>
      </c>
      <c r="BM194" s="19">
        <v>0</v>
      </c>
      <c r="BN194" s="19">
        <v>0</v>
      </c>
      <c r="BO194" s="19">
        <v>0</v>
      </c>
      <c r="BP194" s="19"/>
      <c r="BQ19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4" s="11">
        <f>Tabelle5897112140[[#This Row],[Mindestauslastung min]]*Tabelle5897112140[[#This Row],[installierte Leistung MW min]]</f>
        <v>0</v>
      </c>
      <c r="BU194" s="11">
        <f>Tabelle5897112140[[#This Row],[Mindestauslastung durch]]*Tabelle5897112140[[#This Row],[installierte Leistung MW durch]]</f>
        <v>0</v>
      </c>
      <c r="BV194" s="11">
        <f>Tabelle5897112140[[#This Row],[Mindestauslastung max]]*Tabelle5897112140[[#This Row],[installierte Leistung MW max]]</f>
        <v>0</v>
      </c>
      <c r="BW194" s="9">
        <v>0</v>
      </c>
      <c r="BX194" s="9">
        <v>0</v>
      </c>
      <c r="BY194" s="9">
        <v>0</v>
      </c>
      <c r="BZ194" s="9"/>
      <c r="CA194" s="9">
        <v>0.38</v>
      </c>
      <c r="CB194" s="9">
        <v>0.38</v>
      </c>
      <c r="CC194" s="9">
        <v>0.38</v>
      </c>
      <c r="CD194" s="9">
        <v>0.38</v>
      </c>
      <c r="CE194" s="9">
        <v>0.38</v>
      </c>
      <c r="CF194" s="9">
        <v>0.38</v>
      </c>
      <c r="CG194" s="9">
        <v>0.38</v>
      </c>
      <c r="CH194" s="9">
        <v>0.38</v>
      </c>
      <c r="CI194" s="9">
        <v>0.38</v>
      </c>
      <c r="CJ194" s="9">
        <v>0.28999999999999998</v>
      </c>
      <c r="CK194" s="9">
        <v>0.28999999999999998</v>
      </c>
      <c r="CL194" s="9">
        <v>0.28999999999999998</v>
      </c>
      <c r="CM194" s="9">
        <v>0.28999999999999998</v>
      </c>
      <c r="CN194" s="9">
        <v>0.28999999999999998</v>
      </c>
      <c r="CO194" s="9">
        <v>0.28999999999999998</v>
      </c>
      <c r="CP194" s="9">
        <v>0.28999999999999998</v>
      </c>
      <c r="CQ194" s="9">
        <v>0.28999999999999998</v>
      </c>
      <c r="CR194" s="9">
        <v>0.28999999999999998</v>
      </c>
      <c r="CS194" s="9">
        <v>0.19</v>
      </c>
      <c r="CT194" s="9">
        <v>0.19</v>
      </c>
      <c r="CU194" s="9">
        <v>0.19</v>
      </c>
      <c r="CV194" s="9">
        <v>0.19</v>
      </c>
      <c r="CW194" s="9">
        <v>0.19</v>
      </c>
      <c r="CX194" s="9">
        <v>0.19</v>
      </c>
      <c r="CY194" s="9">
        <v>0.19</v>
      </c>
      <c r="CZ194" s="9">
        <v>0.19</v>
      </c>
      <c r="DA194" s="9">
        <v>0.19</v>
      </c>
      <c r="DB194" s="9">
        <f>MIN(Tabelle5897112140[[#This Row],[Durchschnittsauslastung durch Sommer WTT]:[Durchschnittsauslastung max Winter SFN]])</f>
        <v>0.19</v>
      </c>
      <c r="DC19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4" s="9">
        <f>MAX(Tabelle5897112140[[#This Row],[Durchschnittsauslastung durch Sommer WTT]:[Durchschnittsauslastung max Winter SFN]])</f>
        <v>0.38</v>
      </c>
      <c r="DE194" s="40">
        <f>Tabelle5897112140[[#This Row],[Durchschnittsauslastung min]]*Tabelle5897112140[[#This Row],[installierte Leistung MW min]]</f>
        <v>11.4</v>
      </c>
      <c r="DF194" s="40">
        <f>Tabelle5897112140[[#This Row],[Durchschnittsauslastung durch]]*Tabelle5897112140[[#This Row],[installierte Leistung MW durch]]</f>
        <v>22.933333333333334</v>
      </c>
      <c r="DG194" s="40">
        <f>Tabelle5897112140[[#This Row],[Durchschnittsauslastung max]]*Tabelle5897112140[[#This Row],[installierte Leistung MW max]]</f>
        <v>38</v>
      </c>
      <c r="DH194" s="46">
        <f>Tabelle5897112140[[#This Row],[Maximalauslastung min]]*Tabelle5897112140[[#This Row],[installierte Leistung MW min]]</f>
        <v>0</v>
      </c>
      <c r="DI194" s="46">
        <f>Tabelle5897112140[[#This Row],[Maximalauslastung durch]]*Tabelle5897112140[[#This Row],[installierte Leistung MW durch]]</f>
        <v>0</v>
      </c>
      <c r="DJ194" s="19">
        <f>Tabelle5897112140[[#This Row],[Maximalauslastung max]]*Tabelle5897112140[[#This Row],[installierte Leistung MW durch]]</f>
        <v>0</v>
      </c>
      <c r="DK194" s="9">
        <v>0</v>
      </c>
      <c r="DL194" s="9">
        <v>0</v>
      </c>
      <c r="DM194" s="9">
        <v>0</v>
      </c>
      <c r="DN194" s="1">
        <v>80</v>
      </c>
      <c r="DO194" s="1">
        <v>60</v>
      </c>
      <c r="DP194" s="1">
        <v>100</v>
      </c>
      <c r="DQ194" s="19"/>
      <c r="DR194" s="19"/>
      <c r="DW194" s="1">
        <v>2.541666666666667</v>
      </c>
      <c r="DX194" s="1">
        <v>1.2</v>
      </c>
      <c r="DY194" s="1">
        <v>4.2</v>
      </c>
      <c r="EL194" s="1">
        <v>365</v>
      </c>
      <c r="EM194" s="1">
        <v>292</v>
      </c>
      <c r="EN194" s="1">
        <v>438</v>
      </c>
      <c r="EO194" s="11"/>
      <c r="EP194" s="11"/>
      <c r="EQ194" s="11"/>
      <c r="ER194" s="1">
        <v>365</v>
      </c>
      <c r="ES194" s="1">
        <v>292</v>
      </c>
      <c r="ET194" s="1">
        <v>438</v>
      </c>
      <c r="EV194" s="19"/>
      <c r="EW194" s="19"/>
      <c r="EX194" s="19"/>
      <c r="EY194" s="19"/>
      <c r="EZ194" s="19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O194" s="1">
        <v>67</v>
      </c>
      <c r="FP194" s="1">
        <v>67</v>
      </c>
      <c r="FQ194" s="1">
        <v>67</v>
      </c>
      <c r="FR194" s="13" t="s">
        <v>806</v>
      </c>
      <c r="FS194" s="13" t="s">
        <v>806</v>
      </c>
      <c r="FT194" s="13" t="s">
        <v>806</v>
      </c>
      <c r="FU194" s="13"/>
      <c r="FV194" s="13" t="s">
        <v>806</v>
      </c>
      <c r="FW194" s="13" t="s">
        <v>806</v>
      </c>
      <c r="FX194" s="13" t="s">
        <v>806</v>
      </c>
      <c r="FY194" s="13" t="s">
        <v>806</v>
      </c>
      <c r="FZ194" s="13" t="s">
        <v>806</v>
      </c>
      <c r="GA194" s="13" t="s">
        <v>806</v>
      </c>
      <c r="GB194" s="13" t="s">
        <v>806</v>
      </c>
      <c r="GE194" s="13" t="s">
        <v>806</v>
      </c>
      <c r="GF194" s="13" t="s">
        <v>806</v>
      </c>
      <c r="GH194" s="13" t="s">
        <v>806</v>
      </c>
    </row>
    <row r="195" spans="1:190" ht="12.75" customHeight="1" x14ac:dyDescent="0.25">
      <c r="A195" s="1" t="s">
        <v>99</v>
      </c>
      <c r="B195" s="1" t="s">
        <v>747</v>
      </c>
      <c r="C195" s="1" t="s">
        <v>664</v>
      </c>
      <c r="D195" s="1" t="s">
        <v>698</v>
      </c>
      <c r="E195" s="1" t="s">
        <v>127</v>
      </c>
      <c r="F195" s="1">
        <v>0</v>
      </c>
      <c r="G195" s="1">
        <v>2020</v>
      </c>
      <c r="H195" s="1">
        <v>1</v>
      </c>
      <c r="I195" s="1">
        <v>0</v>
      </c>
      <c r="J195" s="1">
        <v>0</v>
      </c>
      <c r="K19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11.058</v>
      </c>
      <c r="L19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22.245333333333331</v>
      </c>
      <c r="M19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36.86</v>
      </c>
      <c r="N195" s="19">
        <v>29.488</v>
      </c>
      <c r="O195" s="19">
        <v>22.116</v>
      </c>
      <c r="P195" s="19">
        <v>36.86</v>
      </c>
      <c r="Q195" s="19">
        <v>0</v>
      </c>
      <c r="R195" s="19">
        <v>0</v>
      </c>
      <c r="S195" s="19">
        <v>0</v>
      </c>
      <c r="T195" s="19">
        <v>29.488</v>
      </c>
      <c r="U195" s="19">
        <v>22.116</v>
      </c>
      <c r="V195" s="19">
        <v>36.86</v>
      </c>
      <c r="W195" s="19">
        <v>0</v>
      </c>
      <c r="X195" s="19">
        <v>0</v>
      </c>
      <c r="Y195" s="19">
        <v>0</v>
      </c>
      <c r="Z195" s="19">
        <v>29.488</v>
      </c>
      <c r="AA195" s="19">
        <v>22.116</v>
      </c>
      <c r="AB195" s="19">
        <v>36.86</v>
      </c>
      <c r="AC195" s="19">
        <v>0</v>
      </c>
      <c r="AD195" s="19">
        <v>0</v>
      </c>
      <c r="AE195" s="19">
        <v>0</v>
      </c>
      <c r="AF195" s="19">
        <v>22.503999999999998</v>
      </c>
      <c r="AG195" s="19">
        <v>16.877999999999997</v>
      </c>
      <c r="AH195" s="19">
        <v>28.13</v>
      </c>
      <c r="AI195" s="19">
        <v>0</v>
      </c>
      <c r="AJ195" s="19">
        <v>0</v>
      </c>
      <c r="AK195" s="19">
        <v>0</v>
      </c>
      <c r="AL195" s="19">
        <v>22.503999999999998</v>
      </c>
      <c r="AM195" s="19">
        <v>16.877999999999997</v>
      </c>
      <c r="AN195" s="19">
        <v>28.13</v>
      </c>
      <c r="AO195" s="19">
        <v>0</v>
      </c>
      <c r="AP195" s="19">
        <v>0</v>
      </c>
      <c r="AQ195" s="19">
        <v>0</v>
      </c>
      <c r="AR195" s="19">
        <v>22.503999999999998</v>
      </c>
      <c r="AS195" s="19">
        <v>16.877999999999997</v>
      </c>
      <c r="AT195" s="19">
        <v>28.13</v>
      </c>
      <c r="AU195" s="19">
        <v>0</v>
      </c>
      <c r="AV195" s="19">
        <v>0</v>
      </c>
      <c r="AW195" s="19">
        <v>0</v>
      </c>
      <c r="AX195" s="19">
        <v>14.744</v>
      </c>
      <c r="AY195" s="19">
        <v>11.058</v>
      </c>
      <c r="AZ195" s="19">
        <v>18.43</v>
      </c>
      <c r="BA195" s="19">
        <v>0</v>
      </c>
      <c r="BB195" s="19">
        <v>0</v>
      </c>
      <c r="BC195" s="19">
        <v>0</v>
      </c>
      <c r="BD195" s="19">
        <v>14.744</v>
      </c>
      <c r="BE195" s="19">
        <v>11.058</v>
      </c>
      <c r="BF195" s="19">
        <v>18.43</v>
      </c>
      <c r="BG195" s="19">
        <v>0</v>
      </c>
      <c r="BH195" s="19">
        <v>0</v>
      </c>
      <c r="BI195" s="19">
        <v>0</v>
      </c>
      <c r="BJ195" s="19">
        <v>14.744</v>
      </c>
      <c r="BK195" s="19">
        <v>11.058</v>
      </c>
      <c r="BL195" s="19">
        <v>18.43</v>
      </c>
      <c r="BM195" s="19">
        <v>0</v>
      </c>
      <c r="BN195" s="19">
        <v>0</v>
      </c>
      <c r="BO195" s="19">
        <v>0</v>
      </c>
      <c r="BP195" s="19"/>
      <c r="BQ19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5" s="11">
        <f>Tabelle5897112140[[#This Row],[Mindestauslastung min]]*Tabelle5897112140[[#This Row],[installierte Leistung MW min]]</f>
        <v>0</v>
      </c>
      <c r="BU195" s="11">
        <f>Tabelle5897112140[[#This Row],[Mindestauslastung durch]]*Tabelle5897112140[[#This Row],[installierte Leistung MW durch]]</f>
        <v>0</v>
      </c>
      <c r="BV195" s="11">
        <f>Tabelle5897112140[[#This Row],[Mindestauslastung max]]*Tabelle5897112140[[#This Row],[installierte Leistung MW max]]</f>
        <v>0</v>
      </c>
      <c r="BW195" s="9">
        <v>0</v>
      </c>
      <c r="BX195" s="9">
        <v>0</v>
      </c>
      <c r="BY195" s="9">
        <v>0</v>
      </c>
      <c r="BZ195" s="9"/>
      <c r="CA195" s="9">
        <v>0.38</v>
      </c>
      <c r="CB195" s="9">
        <v>0.38</v>
      </c>
      <c r="CC195" s="9">
        <v>0.38</v>
      </c>
      <c r="CD195" s="9">
        <v>0.38</v>
      </c>
      <c r="CE195" s="9">
        <v>0.38</v>
      </c>
      <c r="CF195" s="9">
        <v>0.38</v>
      </c>
      <c r="CG195" s="9">
        <v>0.38</v>
      </c>
      <c r="CH195" s="9">
        <v>0.38</v>
      </c>
      <c r="CI195" s="9">
        <v>0.38</v>
      </c>
      <c r="CJ195" s="9">
        <v>0.28999999999999998</v>
      </c>
      <c r="CK195" s="9">
        <v>0.28999999999999998</v>
      </c>
      <c r="CL195" s="9">
        <v>0.28999999999999998</v>
      </c>
      <c r="CM195" s="9">
        <v>0.28999999999999998</v>
      </c>
      <c r="CN195" s="9">
        <v>0.28999999999999998</v>
      </c>
      <c r="CO195" s="9">
        <v>0.28999999999999998</v>
      </c>
      <c r="CP195" s="9">
        <v>0.28999999999999998</v>
      </c>
      <c r="CQ195" s="9">
        <v>0.28999999999999998</v>
      </c>
      <c r="CR195" s="9">
        <v>0.28999999999999998</v>
      </c>
      <c r="CS195" s="9">
        <v>0.19</v>
      </c>
      <c r="CT195" s="9">
        <v>0.19</v>
      </c>
      <c r="CU195" s="9">
        <v>0.19</v>
      </c>
      <c r="CV195" s="9">
        <v>0.19</v>
      </c>
      <c r="CW195" s="9">
        <v>0.19</v>
      </c>
      <c r="CX195" s="9">
        <v>0.19</v>
      </c>
      <c r="CY195" s="9">
        <v>0.19</v>
      </c>
      <c r="CZ195" s="9">
        <v>0.19</v>
      </c>
      <c r="DA195" s="9">
        <v>0.19</v>
      </c>
      <c r="DB195" s="9">
        <f>MIN(Tabelle5897112140[[#This Row],[Durchschnittsauslastung durch Sommer WTT]:[Durchschnittsauslastung max Winter SFN]])</f>
        <v>0.19</v>
      </c>
      <c r="DC19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5" s="9">
        <f>MAX(Tabelle5897112140[[#This Row],[Durchschnittsauslastung durch Sommer WTT]:[Durchschnittsauslastung max Winter SFN]])</f>
        <v>0.38</v>
      </c>
      <c r="DE195" s="40">
        <f>Tabelle5897112140[[#This Row],[Durchschnittsauslastung min]]*Tabelle5897112140[[#This Row],[installierte Leistung MW min]]</f>
        <v>11.058</v>
      </c>
      <c r="DF195" s="40">
        <f>Tabelle5897112140[[#This Row],[Durchschnittsauslastung durch]]*Tabelle5897112140[[#This Row],[installierte Leistung MW durch]]</f>
        <v>22.245333333333331</v>
      </c>
      <c r="DG195" s="40">
        <f>Tabelle5897112140[[#This Row],[Durchschnittsauslastung max]]*Tabelle5897112140[[#This Row],[installierte Leistung MW max]]</f>
        <v>36.86</v>
      </c>
      <c r="DH195" s="46">
        <f>Tabelle5897112140[[#This Row],[Maximalauslastung min]]*Tabelle5897112140[[#This Row],[installierte Leistung MW min]]</f>
        <v>0</v>
      </c>
      <c r="DI195" s="46">
        <f>Tabelle5897112140[[#This Row],[Maximalauslastung durch]]*Tabelle5897112140[[#This Row],[installierte Leistung MW durch]]</f>
        <v>0</v>
      </c>
      <c r="DJ195" s="19">
        <f>Tabelle5897112140[[#This Row],[Maximalauslastung max]]*Tabelle5897112140[[#This Row],[installierte Leistung MW durch]]</f>
        <v>0</v>
      </c>
      <c r="DK195" s="9">
        <v>0</v>
      </c>
      <c r="DL195" s="9">
        <v>0</v>
      </c>
      <c r="DM195" s="9">
        <v>0</v>
      </c>
      <c r="DN195" s="1">
        <v>77.599999999999994</v>
      </c>
      <c r="DO195" s="1">
        <v>58.2</v>
      </c>
      <c r="DP195" s="1">
        <v>97</v>
      </c>
      <c r="DQ195" s="19"/>
      <c r="DR195" s="19"/>
      <c r="DW195" s="1">
        <v>2.541666666666667</v>
      </c>
      <c r="DX195" s="1">
        <v>1.2</v>
      </c>
      <c r="DY195" s="1">
        <v>4.2</v>
      </c>
      <c r="EL195" s="1">
        <v>365</v>
      </c>
      <c r="EM195" s="1">
        <v>292</v>
      </c>
      <c r="EN195" s="1">
        <v>438</v>
      </c>
      <c r="EO195" s="11"/>
      <c r="EP195" s="11"/>
      <c r="EQ195" s="11"/>
      <c r="ER195" s="1">
        <v>365</v>
      </c>
      <c r="ES195" s="1">
        <v>292</v>
      </c>
      <c r="ET195" s="1">
        <v>438</v>
      </c>
      <c r="EV195" s="19"/>
      <c r="EW195" s="19"/>
      <c r="EX195" s="19"/>
      <c r="EY195" s="19"/>
      <c r="EZ195" s="19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O195" s="1">
        <v>67</v>
      </c>
      <c r="FP195" s="1">
        <v>67</v>
      </c>
      <c r="FQ195" s="1">
        <v>67</v>
      </c>
      <c r="FR195" s="13" t="s">
        <v>806</v>
      </c>
      <c r="FS195" s="13" t="s">
        <v>806</v>
      </c>
      <c r="FT195" s="13" t="s">
        <v>806</v>
      </c>
      <c r="FU195" s="13"/>
      <c r="FV195" s="13" t="s">
        <v>806</v>
      </c>
      <c r="FW195" s="13" t="s">
        <v>806</v>
      </c>
      <c r="FX195" s="13" t="s">
        <v>806</v>
      </c>
      <c r="FY195" s="13" t="s">
        <v>806</v>
      </c>
      <c r="FZ195" s="13" t="s">
        <v>806</v>
      </c>
      <c r="GA195" s="13" t="s">
        <v>806</v>
      </c>
      <c r="GB195" s="13" t="s">
        <v>806</v>
      </c>
      <c r="GE195" s="13" t="s">
        <v>806</v>
      </c>
      <c r="GF195" s="13" t="s">
        <v>806</v>
      </c>
      <c r="GH195" s="13" t="s">
        <v>806</v>
      </c>
    </row>
    <row r="196" spans="1:190" ht="12.75" customHeight="1" x14ac:dyDescent="0.25">
      <c r="A196" s="1" t="s">
        <v>99</v>
      </c>
      <c r="B196" s="1" t="s">
        <v>747</v>
      </c>
      <c r="C196" s="1" t="s">
        <v>664</v>
      </c>
      <c r="D196" s="1" t="s">
        <v>698</v>
      </c>
      <c r="E196" s="1" t="s">
        <v>127</v>
      </c>
      <c r="F196" s="1">
        <v>0</v>
      </c>
      <c r="G196" s="1">
        <v>2025</v>
      </c>
      <c r="H196" s="1">
        <v>1</v>
      </c>
      <c r="I196" s="1">
        <v>0</v>
      </c>
      <c r="J196" s="1">
        <v>0</v>
      </c>
      <c r="K19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10.83</v>
      </c>
      <c r="L19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21.786666666666665</v>
      </c>
      <c r="M19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36.1</v>
      </c>
      <c r="N196" s="19">
        <v>28.88</v>
      </c>
      <c r="O196" s="19">
        <v>21.66</v>
      </c>
      <c r="P196" s="19">
        <v>36.1</v>
      </c>
      <c r="Q196" s="19">
        <v>0</v>
      </c>
      <c r="R196" s="19">
        <v>0</v>
      </c>
      <c r="S196" s="19">
        <v>0</v>
      </c>
      <c r="T196" s="19">
        <v>28.88</v>
      </c>
      <c r="U196" s="19">
        <v>21.66</v>
      </c>
      <c r="V196" s="19">
        <v>36.1</v>
      </c>
      <c r="W196" s="19">
        <v>0</v>
      </c>
      <c r="X196" s="19">
        <v>0</v>
      </c>
      <c r="Y196" s="19">
        <v>0</v>
      </c>
      <c r="Z196" s="19">
        <v>28.88</v>
      </c>
      <c r="AA196" s="19">
        <v>21.66</v>
      </c>
      <c r="AB196" s="19">
        <v>36.1</v>
      </c>
      <c r="AC196" s="19">
        <v>0</v>
      </c>
      <c r="AD196" s="19">
        <v>0</v>
      </c>
      <c r="AE196" s="19">
        <v>0</v>
      </c>
      <c r="AF196" s="19">
        <v>22.04</v>
      </c>
      <c r="AG196" s="19">
        <v>16.529999999999998</v>
      </c>
      <c r="AH196" s="19">
        <v>27.549999999999997</v>
      </c>
      <c r="AI196" s="19">
        <v>0</v>
      </c>
      <c r="AJ196" s="19">
        <v>0</v>
      </c>
      <c r="AK196" s="19">
        <v>0</v>
      </c>
      <c r="AL196" s="19">
        <v>22.04</v>
      </c>
      <c r="AM196" s="19">
        <v>16.529999999999998</v>
      </c>
      <c r="AN196" s="19">
        <v>27.549999999999997</v>
      </c>
      <c r="AO196" s="19">
        <v>0</v>
      </c>
      <c r="AP196" s="19">
        <v>0</v>
      </c>
      <c r="AQ196" s="19">
        <v>0</v>
      </c>
      <c r="AR196" s="19">
        <v>22.04</v>
      </c>
      <c r="AS196" s="19">
        <v>16.529999999999998</v>
      </c>
      <c r="AT196" s="19">
        <v>27.549999999999997</v>
      </c>
      <c r="AU196" s="19">
        <v>0</v>
      </c>
      <c r="AV196" s="19">
        <v>0</v>
      </c>
      <c r="AW196" s="19">
        <v>0</v>
      </c>
      <c r="AX196" s="19">
        <v>14.44</v>
      </c>
      <c r="AY196" s="19">
        <v>10.83</v>
      </c>
      <c r="AZ196" s="19">
        <v>18.05</v>
      </c>
      <c r="BA196" s="19">
        <v>0</v>
      </c>
      <c r="BB196" s="19">
        <v>0</v>
      </c>
      <c r="BC196" s="19">
        <v>0</v>
      </c>
      <c r="BD196" s="19">
        <v>14.44</v>
      </c>
      <c r="BE196" s="19">
        <v>10.83</v>
      </c>
      <c r="BF196" s="19">
        <v>18.05</v>
      </c>
      <c r="BG196" s="19">
        <v>0</v>
      </c>
      <c r="BH196" s="19">
        <v>0</v>
      </c>
      <c r="BI196" s="19">
        <v>0</v>
      </c>
      <c r="BJ196" s="19">
        <v>14.44</v>
      </c>
      <c r="BK196" s="19">
        <v>10.83</v>
      </c>
      <c r="BL196" s="19">
        <v>18.05</v>
      </c>
      <c r="BM196" s="19">
        <v>0</v>
      </c>
      <c r="BN196" s="19">
        <v>0</v>
      </c>
      <c r="BO196" s="19">
        <v>0</v>
      </c>
      <c r="BP196" s="19"/>
      <c r="BQ19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6" s="11">
        <f>Tabelle5897112140[[#This Row],[Mindestauslastung min]]*Tabelle5897112140[[#This Row],[installierte Leistung MW min]]</f>
        <v>0</v>
      </c>
      <c r="BU196" s="11">
        <f>Tabelle5897112140[[#This Row],[Mindestauslastung durch]]*Tabelle5897112140[[#This Row],[installierte Leistung MW durch]]</f>
        <v>0</v>
      </c>
      <c r="BV196" s="11">
        <f>Tabelle5897112140[[#This Row],[Mindestauslastung max]]*Tabelle5897112140[[#This Row],[installierte Leistung MW max]]</f>
        <v>0</v>
      </c>
      <c r="BW196" s="9">
        <v>0</v>
      </c>
      <c r="BX196" s="9">
        <v>0</v>
      </c>
      <c r="BY196" s="9">
        <v>0</v>
      </c>
      <c r="BZ196" s="9"/>
      <c r="CA196" s="9">
        <v>0.38</v>
      </c>
      <c r="CB196" s="9">
        <v>0.38</v>
      </c>
      <c r="CC196" s="9">
        <v>0.38</v>
      </c>
      <c r="CD196" s="9">
        <v>0.38</v>
      </c>
      <c r="CE196" s="9">
        <v>0.38</v>
      </c>
      <c r="CF196" s="9">
        <v>0.38</v>
      </c>
      <c r="CG196" s="9">
        <v>0.38</v>
      </c>
      <c r="CH196" s="9">
        <v>0.38</v>
      </c>
      <c r="CI196" s="9">
        <v>0.38</v>
      </c>
      <c r="CJ196" s="9">
        <v>0.28999999999999998</v>
      </c>
      <c r="CK196" s="9">
        <v>0.28999999999999998</v>
      </c>
      <c r="CL196" s="9">
        <v>0.28999999999999998</v>
      </c>
      <c r="CM196" s="9">
        <v>0.28999999999999998</v>
      </c>
      <c r="CN196" s="9">
        <v>0.28999999999999998</v>
      </c>
      <c r="CO196" s="9">
        <v>0.28999999999999998</v>
      </c>
      <c r="CP196" s="9">
        <v>0.28999999999999998</v>
      </c>
      <c r="CQ196" s="9">
        <v>0.28999999999999998</v>
      </c>
      <c r="CR196" s="9">
        <v>0.28999999999999998</v>
      </c>
      <c r="CS196" s="9">
        <v>0.19</v>
      </c>
      <c r="CT196" s="9">
        <v>0.19</v>
      </c>
      <c r="CU196" s="9">
        <v>0.19</v>
      </c>
      <c r="CV196" s="9">
        <v>0.19</v>
      </c>
      <c r="CW196" s="9">
        <v>0.19</v>
      </c>
      <c r="CX196" s="9">
        <v>0.19</v>
      </c>
      <c r="CY196" s="9">
        <v>0.19</v>
      </c>
      <c r="CZ196" s="9">
        <v>0.19</v>
      </c>
      <c r="DA196" s="9">
        <v>0.19</v>
      </c>
      <c r="DB196" s="9">
        <f>MIN(Tabelle5897112140[[#This Row],[Durchschnittsauslastung durch Sommer WTT]:[Durchschnittsauslastung max Winter SFN]])</f>
        <v>0.19</v>
      </c>
      <c r="DC19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6" s="9">
        <f>MAX(Tabelle5897112140[[#This Row],[Durchschnittsauslastung durch Sommer WTT]:[Durchschnittsauslastung max Winter SFN]])</f>
        <v>0.38</v>
      </c>
      <c r="DE196" s="40">
        <f>Tabelle5897112140[[#This Row],[Durchschnittsauslastung min]]*Tabelle5897112140[[#This Row],[installierte Leistung MW min]]</f>
        <v>10.83</v>
      </c>
      <c r="DF196" s="40">
        <f>Tabelle5897112140[[#This Row],[Durchschnittsauslastung durch]]*Tabelle5897112140[[#This Row],[installierte Leistung MW durch]]</f>
        <v>21.786666666666669</v>
      </c>
      <c r="DG196" s="40">
        <f>Tabelle5897112140[[#This Row],[Durchschnittsauslastung max]]*Tabelle5897112140[[#This Row],[installierte Leistung MW max]]</f>
        <v>36.1</v>
      </c>
      <c r="DH196" s="46">
        <f>Tabelle5897112140[[#This Row],[Maximalauslastung min]]*Tabelle5897112140[[#This Row],[installierte Leistung MW min]]</f>
        <v>0</v>
      </c>
      <c r="DI196" s="46">
        <f>Tabelle5897112140[[#This Row],[Maximalauslastung durch]]*Tabelle5897112140[[#This Row],[installierte Leistung MW durch]]</f>
        <v>0</v>
      </c>
      <c r="DJ196" s="19">
        <f>Tabelle5897112140[[#This Row],[Maximalauslastung max]]*Tabelle5897112140[[#This Row],[installierte Leistung MW durch]]</f>
        <v>0</v>
      </c>
      <c r="DK196" s="9">
        <v>0</v>
      </c>
      <c r="DL196" s="9">
        <v>0</v>
      </c>
      <c r="DM196" s="9">
        <v>0</v>
      </c>
      <c r="DN196" s="1">
        <v>76</v>
      </c>
      <c r="DO196" s="1">
        <v>57</v>
      </c>
      <c r="DP196" s="1">
        <v>95</v>
      </c>
      <c r="DQ196" s="19"/>
      <c r="DR196" s="19"/>
      <c r="DW196" s="1">
        <v>2.541666666666667</v>
      </c>
      <c r="DX196" s="1">
        <v>1.2</v>
      </c>
      <c r="DY196" s="1">
        <v>4.2</v>
      </c>
      <c r="EL196" s="1">
        <v>365</v>
      </c>
      <c r="EM196" s="1">
        <v>292</v>
      </c>
      <c r="EN196" s="1">
        <v>438</v>
      </c>
      <c r="EO196" s="11"/>
      <c r="EP196" s="11"/>
      <c r="EQ196" s="11"/>
      <c r="ER196" s="1">
        <v>365</v>
      </c>
      <c r="ES196" s="1">
        <v>292</v>
      </c>
      <c r="ET196" s="1">
        <v>438</v>
      </c>
      <c r="EV196" s="19"/>
      <c r="EW196" s="19"/>
      <c r="EX196" s="19"/>
      <c r="EY196" s="19"/>
      <c r="EZ196" s="19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O196" s="1">
        <v>67</v>
      </c>
      <c r="FP196" s="1">
        <v>67</v>
      </c>
      <c r="FQ196" s="1">
        <v>67</v>
      </c>
      <c r="FR196" s="13" t="s">
        <v>806</v>
      </c>
      <c r="FS196" s="13" t="s">
        <v>806</v>
      </c>
      <c r="FT196" s="13" t="s">
        <v>806</v>
      </c>
      <c r="FU196" s="13"/>
      <c r="FV196" s="13" t="s">
        <v>806</v>
      </c>
      <c r="FW196" s="13" t="s">
        <v>806</v>
      </c>
      <c r="FX196" s="13" t="s">
        <v>806</v>
      </c>
      <c r="FY196" s="13" t="s">
        <v>806</v>
      </c>
      <c r="FZ196" s="13" t="s">
        <v>806</v>
      </c>
      <c r="GA196" s="13" t="s">
        <v>806</v>
      </c>
      <c r="GB196" s="13" t="s">
        <v>806</v>
      </c>
      <c r="GE196" s="13" t="s">
        <v>806</v>
      </c>
      <c r="GF196" s="13" t="s">
        <v>806</v>
      </c>
      <c r="GH196" s="13" t="s">
        <v>806</v>
      </c>
    </row>
    <row r="197" spans="1:190" ht="12.75" customHeight="1" x14ac:dyDescent="0.25">
      <c r="A197" s="1" t="s">
        <v>99</v>
      </c>
      <c r="B197" s="1" t="s">
        <v>747</v>
      </c>
      <c r="C197" s="1" t="s">
        <v>664</v>
      </c>
      <c r="D197" s="1" t="s">
        <v>698</v>
      </c>
      <c r="E197" s="1" t="s">
        <v>127</v>
      </c>
      <c r="F197" s="1">
        <v>0</v>
      </c>
      <c r="G197" s="1">
        <v>2030</v>
      </c>
      <c r="H197" s="1">
        <v>1</v>
      </c>
      <c r="I197" s="1">
        <v>0</v>
      </c>
      <c r="J197" s="1">
        <v>0</v>
      </c>
      <c r="K19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10.488000000000001</v>
      </c>
      <c r="L19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21.098666666666666</v>
      </c>
      <c r="M19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34.96</v>
      </c>
      <c r="N197" s="19">
        <v>27.968</v>
      </c>
      <c r="O197" s="19">
        <v>20.976000000000003</v>
      </c>
      <c r="P197" s="19">
        <v>34.96</v>
      </c>
      <c r="Q197" s="19">
        <v>0</v>
      </c>
      <c r="R197" s="19">
        <v>0</v>
      </c>
      <c r="S197" s="19">
        <v>0</v>
      </c>
      <c r="T197" s="19">
        <v>27.968</v>
      </c>
      <c r="U197" s="19">
        <v>20.976000000000003</v>
      </c>
      <c r="V197" s="19">
        <v>34.96</v>
      </c>
      <c r="W197" s="19">
        <v>0</v>
      </c>
      <c r="X197" s="19">
        <v>0</v>
      </c>
      <c r="Y197" s="19">
        <v>0</v>
      </c>
      <c r="Z197" s="19">
        <v>27.968</v>
      </c>
      <c r="AA197" s="19">
        <v>20.976000000000003</v>
      </c>
      <c r="AB197" s="19">
        <v>34.96</v>
      </c>
      <c r="AC197" s="19">
        <v>0</v>
      </c>
      <c r="AD197" s="19">
        <v>0</v>
      </c>
      <c r="AE197" s="19">
        <v>0</v>
      </c>
      <c r="AF197" s="19">
        <v>21.344000000000001</v>
      </c>
      <c r="AG197" s="19">
        <v>16.007999999999999</v>
      </c>
      <c r="AH197" s="19">
        <v>26.68</v>
      </c>
      <c r="AI197" s="19">
        <v>0</v>
      </c>
      <c r="AJ197" s="19">
        <v>0</v>
      </c>
      <c r="AK197" s="19">
        <v>0</v>
      </c>
      <c r="AL197" s="19">
        <v>21.344000000000001</v>
      </c>
      <c r="AM197" s="19">
        <v>16.007999999999999</v>
      </c>
      <c r="AN197" s="19">
        <v>26.68</v>
      </c>
      <c r="AO197" s="19">
        <v>0</v>
      </c>
      <c r="AP197" s="19">
        <v>0</v>
      </c>
      <c r="AQ197" s="19">
        <v>0</v>
      </c>
      <c r="AR197" s="19">
        <v>21.344000000000001</v>
      </c>
      <c r="AS197" s="19">
        <v>16.007999999999999</v>
      </c>
      <c r="AT197" s="19">
        <v>26.68</v>
      </c>
      <c r="AU197" s="19">
        <v>0</v>
      </c>
      <c r="AV197" s="19">
        <v>0</v>
      </c>
      <c r="AW197" s="19">
        <v>0</v>
      </c>
      <c r="AX197" s="19">
        <v>13.984</v>
      </c>
      <c r="AY197" s="19">
        <v>10.488000000000001</v>
      </c>
      <c r="AZ197" s="19">
        <v>17.48</v>
      </c>
      <c r="BA197" s="19">
        <v>0</v>
      </c>
      <c r="BB197" s="19">
        <v>0</v>
      </c>
      <c r="BC197" s="19">
        <v>0</v>
      </c>
      <c r="BD197" s="19">
        <v>13.984</v>
      </c>
      <c r="BE197" s="19">
        <v>10.488000000000001</v>
      </c>
      <c r="BF197" s="19">
        <v>17.48</v>
      </c>
      <c r="BG197" s="19">
        <v>0</v>
      </c>
      <c r="BH197" s="19">
        <v>0</v>
      </c>
      <c r="BI197" s="19">
        <v>0</v>
      </c>
      <c r="BJ197" s="19">
        <v>13.984</v>
      </c>
      <c r="BK197" s="19">
        <v>10.488000000000001</v>
      </c>
      <c r="BL197" s="19">
        <v>17.48</v>
      </c>
      <c r="BM197" s="19">
        <v>0</v>
      </c>
      <c r="BN197" s="19">
        <v>0</v>
      </c>
      <c r="BO197" s="19">
        <v>0</v>
      </c>
      <c r="BP197" s="19"/>
      <c r="BQ19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7" s="11">
        <f>Tabelle5897112140[[#This Row],[Mindestauslastung min]]*Tabelle5897112140[[#This Row],[installierte Leistung MW min]]</f>
        <v>0</v>
      </c>
      <c r="BU197" s="11">
        <f>Tabelle5897112140[[#This Row],[Mindestauslastung durch]]*Tabelle5897112140[[#This Row],[installierte Leistung MW durch]]</f>
        <v>0</v>
      </c>
      <c r="BV197" s="11">
        <f>Tabelle5897112140[[#This Row],[Mindestauslastung max]]*Tabelle5897112140[[#This Row],[installierte Leistung MW max]]</f>
        <v>0</v>
      </c>
      <c r="BW197" s="9">
        <v>0</v>
      </c>
      <c r="BX197" s="9">
        <v>0</v>
      </c>
      <c r="BY197" s="9">
        <v>0</v>
      </c>
      <c r="BZ197" s="9"/>
      <c r="CA197" s="9">
        <v>0.38</v>
      </c>
      <c r="CB197" s="9">
        <v>0.38</v>
      </c>
      <c r="CC197" s="9">
        <v>0.38</v>
      </c>
      <c r="CD197" s="9">
        <v>0.38</v>
      </c>
      <c r="CE197" s="9">
        <v>0.38</v>
      </c>
      <c r="CF197" s="9">
        <v>0.38</v>
      </c>
      <c r="CG197" s="9">
        <v>0.38</v>
      </c>
      <c r="CH197" s="9">
        <v>0.38</v>
      </c>
      <c r="CI197" s="9">
        <v>0.38</v>
      </c>
      <c r="CJ197" s="9">
        <v>0.28999999999999998</v>
      </c>
      <c r="CK197" s="9">
        <v>0.28999999999999998</v>
      </c>
      <c r="CL197" s="9">
        <v>0.28999999999999998</v>
      </c>
      <c r="CM197" s="9">
        <v>0.28999999999999998</v>
      </c>
      <c r="CN197" s="9">
        <v>0.28999999999999998</v>
      </c>
      <c r="CO197" s="9">
        <v>0.28999999999999998</v>
      </c>
      <c r="CP197" s="9">
        <v>0.28999999999999998</v>
      </c>
      <c r="CQ197" s="9">
        <v>0.28999999999999998</v>
      </c>
      <c r="CR197" s="9">
        <v>0.28999999999999998</v>
      </c>
      <c r="CS197" s="9">
        <v>0.19</v>
      </c>
      <c r="CT197" s="9">
        <v>0.19</v>
      </c>
      <c r="CU197" s="9">
        <v>0.19</v>
      </c>
      <c r="CV197" s="9">
        <v>0.19</v>
      </c>
      <c r="CW197" s="9">
        <v>0.19</v>
      </c>
      <c r="CX197" s="9">
        <v>0.19</v>
      </c>
      <c r="CY197" s="9">
        <v>0.19</v>
      </c>
      <c r="CZ197" s="9">
        <v>0.19</v>
      </c>
      <c r="DA197" s="9">
        <v>0.19</v>
      </c>
      <c r="DB197" s="9">
        <f>MIN(Tabelle5897112140[[#This Row],[Durchschnittsauslastung durch Sommer WTT]:[Durchschnittsauslastung max Winter SFN]])</f>
        <v>0.19</v>
      </c>
      <c r="DC19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7" s="9">
        <f>MAX(Tabelle5897112140[[#This Row],[Durchschnittsauslastung durch Sommer WTT]:[Durchschnittsauslastung max Winter SFN]])</f>
        <v>0.38</v>
      </c>
      <c r="DE197" s="40">
        <f>Tabelle5897112140[[#This Row],[Durchschnittsauslastung min]]*Tabelle5897112140[[#This Row],[installierte Leistung MW min]]</f>
        <v>10.488000000000001</v>
      </c>
      <c r="DF197" s="40">
        <f>Tabelle5897112140[[#This Row],[Durchschnittsauslastung durch]]*Tabelle5897112140[[#This Row],[installierte Leistung MW durch]]</f>
        <v>21.098666666666666</v>
      </c>
      <c r="DG197" s="40">
        <f>Tabelle5897112140[[#This Row],[Durchschnittsauslastung max]]*Tabelle5897112140[[#This Row],[installierte Leistung MW max]]</f>
        <v>34.96</v>
      </c>
      <c r="DH197" s="46">
        <f>Tabelle5897112140[[#This Row],[Maximalauslastung min]]*Tabelle5897112140[[#This Row],[installierte Leistung MW min]]</f>
        <v>0</v>
      </c>
      <c r="DI197" s="46">
        <f>Tabelle5897112140[[#This Row],[Maximalauslastung durch]]*Tabelle5897112140[[#This Row],[installierte Leistung MW durch]]</f>
        <v>0</v>
      </c>
      <c r="DJ197" s="19">
        <f>Tabelle5897112140[[#This Row],[Maximalauslastung max]]*Tabelle5897112140[[#This Row],[installierte Leistung MW durch]]</f>
        <v>0</v>
      </c>
      <c r="DK197" s="9">
        <v>0</v>
      </c>
      <c r="DL197" s="9">
        <v>0</v>
      </c>
      <c r="DM197" s="9">
        <v>0</v>
      </c>
      <c r="DN197" s="1">
        <v>73.599999999999994</v>
      </c>
      <c r="DO197" s="1">
        <v>55.2</v>
      </c>
      <c r="DP197" s="1">
        <v>92</v>
      </c>
      <c r="DQ197" s="19"/>
      <c r="DR197" s="19"/>
      <c r="DW197" s="1">
        <v>2.541666666666667</v>
      </c>
      <c r="DX197" s="1">
        <v>1.2</v>
      </c>
      <c r="DY197" s="1">
        <v>4.2</v>
      </c>
      <c r="EL197" s="1">
        <v>365</v>
      </c>
      <c r="EM197" s="1">
        <v>292</v>
      </c>
      <c r="EN197" s="1">
        <v>438</v>
      </c>
      <c r="EO197" s="11"/>
      <c r="EP197" s="11"/>
      <c r="EQ197" s="11"/>
      <c r="ER197" s="1">
        <v>365</v>
      </c>
      <c r="ES197" s="1">
        <v>292</v>
      </c>
      <c r="ET197" s="1">
        <v>438</v>
      </c>
      <c r="EV197" s="19"/>
      <c r="EW197" s="19"/>
      <c r="EX197" s="19"/>
      <c r="EY197" s="19"/>
      <c r="EZ197" s="19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O197" s="1">
        <v>67</v>
      </c>
      <c r="FP197" s="1">
        <v>67</v>
      </c>
      <c r="FQ197" s="1">
        <v>67</v>
      </c>
      <c r="FR197" s="13" t="s">
        <v>806</v>
      </c>
      <c r="FS197" s="13" t="s">
        <v>806</v>
      </c>
      <c r="FT197" s="13" t="s">
        <v>806</v>
      </c>
      <c r="FU197" s="13"/>
      <c r="FV197" s="13" t="s">
        <v>806</v>
      </c>
      <c r="FW197" s="13" t="s">
        <v>806</v>
      </c>
      <c r="FX197" s="13" t="s">
        <v>806</v>
      </c>
      <c r="FY197" s="13" t="s">
        <v>806</v>
      </c>
      <c r="FZ197" s="13" t="s">
        <v>806</v>
      </c>
      <c r="GA197" s="13" t="s">
        <v>806</v>
      </c>
      <c r="GB197" s="13" t="s">
        <v>806</v>
      </c>
      <c r="GE197" s="13" t="s">
        <v>806</v>
      </c>
      <c r="GF197" s="13" t="s">
        <v>806</v>
      </c>
      <c r="GH197" s="13" t="s">
        <v>806</v>
      </c>
    </row>
    <row r="198" spans="1:190" ht="12.75" customHeight="1" x14ac:dyDescent="0.25">
      <c r="A198" s="1" t="s">
        <v>99</v>
      </c>
      <c r="B198" s="1" t="s">
        <v>747</v>
      </c>
      <c r="C198" s="1" t="s">
        <v>664</v>
      </c>
      <c r="D198" s="1" t="s">
        <v>698</v>
      </c>
      <c r="E198" s="1" t="s">
        <v>127</v>
      </c>
      <c r="F198" s="1">
        <v>0</v>
      </c>
      <c r="G198" s="1">
        <v>2035</v>
      </c>
      <c r="H198" s="1">
        <v>1</v>
      </c>
      <c r="I198" s="1">
        <v>0</v>
      </c>
      <c r="J198" s="1">
        <v>0</v>
      </c>
      <c r="K19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10.146000000000001</v>
      </c>
      <c r="L19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20.410666666666664</v>
      </c>
      <c r="M19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33.82</v>
      </c>
      <c r="N198" s="19">
        <v>27.055999999999997</v>
      </c>
      <c r="O198" s="19">
        <v>20.292000000000002</v>
      </c>
      <c r="P198" s="19">
        <v>33.82</v>
      </c>
      <c r="Q198" s="19">
        <v>0</v>
      </c>
      <c r="R198" s="19">
        <v>0</v>
      </c>
      <c r="S198" s="19">
        <v>0</v>
      </c>
      <c r="T198" s="19">
        <v>27.055999999999997</v>
      </c>
      <c r="U198" s="19">
        <v>20.292000000000002</v>
      </c>
      <c r="V198" s="19">
        <v>33.82</v>
      </c>
      <c r="W198" s="19">
        <v>0</v>
      </c>
      <c r="X198" s="19">
        <v>0</v>
      </c>
      <c r="Y198" s="19">
        <v>0</v>
      </c>
      <c r="Z198" s="19">
        <v>27.055999999999997</v>
      </c>
      <c r="AA198" s="19">
        <v>20.292000000000002</v>
      </c>
      <c r="AB198" s="19">
        <v>33.82</v>
      </c>
      <c r="AC198" s="19">
        <v>0</v>
      </c>
      <c r="AD198" s="19">
        <v>0</v>
      </c>
      <c r="AE198" s="19">
        <v>0</v>
      </c>
      <c r="AF198" s="19">
        <v>20.648</v>
      </c>
      <c r="AG198" s="19">
        <v>15.485999999999999</v>
      </c>
      <c r="AH198" s="19">
        <v>25.81</v>
      </c>
      <c r="AI198" s="19">
        <v>0</v>
      </c>
      <c r="AJ198" s="19">
        <v>0</v>
      </c>
      <c r="AK198" s="19">
        <v>0</v>
      </c>
      <c r="AL198" s="19">
        <v>20.648</v>
      </c>
      <c r="AM198" s="19">
        <v>15.485999999999999</v>
      </c>
      <c r="AN198" s="19">
        <v>25.81</v>
      </c>
      <c r="AO198" s="19">
        <v>0</v>
      </c>
      <c r="AP198" s="19">
        <v>0</v>
      </c>
      <c r="AQ198" s="19">
        <v>0</v>
      </c>
      <c r="AR198" s="19">
        <v>20.648</v>
      </c>
      <c r="AS198" s="19">
        <v>15.485999999999999</v>
      </c>
      <c r="AT198" s="19">
        <v>25.81</v>
      </c>
      <c r="AU198" s="19">
        <v>0</v>
      </c>
      <c r="AV198" s="19">
        <v>0</v>
      </c>
      <c r="AW198" s="19">
        <v>0</v>
      </c>
      <c r="AX198" s="19">
        <v>13.527999999999999</v>
      </c>
      <c r="AY198" s="19">
        <v>10.146000000000001</v>
      </c>
      <c r="AZ198" s="19">
        <v>16.91</v>
      </c>
      <c r="BA198" s="19">
        <v>0</v>
      </c>
      <c r="BB198" s="19">
        <v>0</v>
      </c>
      <c r="BC198" s="19">
        <v>0</v>
      </c>
      <c r="BD198" s="19">
        <v>13.527999999999999</v>
      </c>
      <c r="BE198" s="19">
        <v>10.146000000000001</v>
      </c>
      <c r="BF198" s="19">
        <v>16.91</v>
      </c>
      <c r="BG198" s="19">
        <v>0</v>
      </c>
      <c r="BH198" s="19">
        <v>0</v>
      </c>
      <c r="BI198" s="19">
        <v>0</v>
      </c>
      <c r="BJ198" s="19">
        <v>13.527999999999999</v>
      </c>
      <c r="BK198" s="19">
        <v>10.146000000000001</v>
      </c>
      <c r="BL198" s="19">
        <v>16.91</v>
      </c>
      <c r="BM198" s="19">
        <v>0</v>
      </c>
      <c r="BN198" s="19">
        <v>0</v>
      </c>
      <c r="BO198" s="19">
        <v>0</v>
      </c>
      <c r="BP198" s="19"/>
      <c r="BQ19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8" s="11">
        <f>Tabelle5897112140[[#This Row],[Mindestauslastung min]]*Tabelle5897112140[[#This Row],[installierte Leistung MW min]]</f>
        <v>0</v>
      </c>
      <c r="BU198" s="11">
        <f>Tabelle5897112140[[#This Row],[Mindestauslastung durch]]*Tabelle5897112140[[#This Row],[installierte Leistung MW durch]]</f>
        <v>0</v>
      </c>
      <c r="BV198" s="11">
        <f>Tabelle5897112140[[#This Row],[Mindestauslastung max]]*Tabelle5897112140[[#This Row],[installierte Leistung MW max]]</f>
        <v>0</v>
      </c>
      <c r="BW198" s="9">
        <v>0</v>
      </c>
      <c r="BX198" s="9">
        <v>0</v>
      </c>
      <c r="BY198" s="9">
        <v>0</v>
      </c>
      <c r="BZ198" s="9"/>
      <c r="CA198" s="9">
        <v>0.38</v>
      </c>
      <c r="CB198" s="9">
        <v>0.38</v>
      </c>
      <c r="CC198" s="9">
        <v>0.38</v>
      </c>
      <c r="CD198" s="9">
        <v>0.38</v>
      </c>
      <c r="CE198" s="9">
        <v>0.38</v>
      </c>
      <c r="CF198" s="9">
        <v>0.38</v>
      </c>
      <c r="CG198" s="9">
        <v>0.38</v>
      </c>
      <c r="CH198" s="9">
        <v>0.38</v>
      </c>
      <c r="CI198" s="9">
        <v>0.38</v>
      </c>
      <c r="CJ198" s="9">
        <v>0.28999999999999998</v>
      </c>
      <c r="CK198" s="9">
        <v>0.28999999999999998</v>
      </c>
      <c r="CL198" s="9">
        <v>0.28999999999999998</v>
      </c>
      <c r="CM198" s="9">
        <v>0.28999999999999998</v>
      </c>
      <c r="CN198" s="9">
        <v>0.28999999999999998</v>
      </c>
      <c r="CO198" s="9">
        <v>0.28999999999999998</v>
      </c>
      <c r="CP198" s="9">
        <v>0.28999999999999998</v>
      </c>
      <c r="CQ198" s="9">
        <v>0.28999999999999998</v>
      </c>
      <c r="CR198" s="9">
        <v>0.28999999999999998</v>
      </c>
      <c r="CS198" s="9">
        <v>0.19</v>
      </c>
      <c r="CT198" s="9">
        <v>0.19</v>
      </c>
      <c r="CU198" s="9">
        <v>0.19</v>
      </c>
      <c r="CV198" s="9">
        <v>0.19</v>
      </c>
      <c r="CW198" s="9">
        <v>0.19</v>
      </c>
      <c r="CX198" s="9">
        <v>0.19</v>
      </c>
      <c r="CY198" s="9">
        <v>0.19</v>
      </c>
      <c r="CZ198" s="9">
        <v>0.19</v>
      </c>
      <c r="DA198" s="9">
        <v>0.19</v>
      </c>
      <c r="DB198" s="9">
        <f>MIN(Tabelle5897112140[[#This Row],[Durchschnittsauslastung durch Sommer WTT]:[Durchschnittsauslastung max Winter SFN]])</f>
        <v>0.19</v>
      </c>
      <c r="DC19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8" s="9">
        <f>MAX(Tabelle5897112140[[#This Row],[Durchschnittsauslastung durch Sommer WTT]:[Durchschnittsauslastung max Winter SFN]])</f>
        <v>0.38</v>
      </c>
      <c r="DE198" s="40">
        <f>Tabelle5897112140[[#This Row],[Durchschnittsauslastung min]]*Tabelle5897112140[[#This Row],[installierte Leistung MW min]]</f>
        <v>10.145999999999999</v>
      </c>
      <c r="DF198" s="40">
        <f>Tabelle5897112140[[#This Row],[Durchschnittsauslastung durch]]*Tabelle5897112140[[#This Row],[installierte Leistung MW durch]]</f>
        <v>20.410666666666668</v>
      </c>
      <c r="DG198" s="40">
        <f>Tabelle5897112140[[#This Row],[Durchschnittsauslastung max]]*Tabelle5897112140[[#This Row],[installierte Leistung MW max]]</f>
        <v>33.82</v>
      </c>
      <c r="DH198" s="46">
        <f>Tabelle5897112140[[#This Row],[Maximalauslastung min]]*Tabelle5897112140[[#This Row],[installierte Leistung MW min]]</f>
        <v>0</v>
      </c>
      <c r="DI198" s="46">
        <f>Tabelle5897112140[[#This Row],[Maximalauslastung durch]]*Tabelle5897112140[[#This Row],[installierte Leistung MW durch]]</f>
        <v>0</v>
      </c>
      <c r="DJ198" s="19">
        <f>Tabelle5897112140[[#This Row],[Maximalauslastung max]]*Tabelle5897112140[[#This Row],[installierte Leistung MW durch]]</f>
        <v>0</v>
      </c>
      <c r="DK198" s="9">
        <v>0</v>
      </c>
      <c r="DL198" s="9">
        <v>0</v>
      </c>
      <c r="DM198" s="9">
        <v>0</v>
      </c>
      <c r="DN198" s="1">
        <v>71.2</v>
      </c>
      <c r="DO198" s="1">
        <v>53.4</v>
      </c>
      <c r="DP198" s="1">
        <v>89</v>
      </c>
      <c r="DQ198" s="19"/>
      <c r="DR198" s="19"/>
      <c r="DW198" s="1">
        <v>2.541666666666667</v>
      </c>
      <c r="DX198" s="1">
        <v>1.2</v>
      </c>
      <c r="DY198" s="1">
        <v>4.2</v>
      </c>
      <c r="EL198" s="1">
        <v>365</v>
      </c>
      <c r="EM198" s="1">
        <v>292</v>
      </c>
      <c r="EN198" s="1">
        <v>438</v>
      </c>
      <c r="EO198" s="11"/>
      <c r="EP198" s="11"/>
      <c r="EQ198" s="11"/>
      <c r="ER198" s="1">
        <v>365</v>
      </c>
      <c r="ES198" s="1">
        <v>292</v>
      </c>
      <c r="ET198" s="1">
        <v>438</v>
      </c>
      <c r="EV198" s="19"/>
      <c r="EW198" s="19"/>
      <c r="EX198" s="19"/>
      <c r="EY198" s="19"/>
      <c r="EZ198" s="19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O198" s="1">
        <v>67</v>
      </c>
      <c r="FP198" s="1">
        <v>67</v>
      </c>
      <c r="FQ198" s="1">
        <v>67</v>
      </c>
      <c r="FR198" s="13" t="s">
        <v>806</v>
      </c>
      <c r="FS198" s="13" t="s">
        <v>806</v>
      </c>
      <c r="FT198" s="13" t="s">
        <v>806</v>
      </c>
      <c r="FU198" s="13"/>
      <c r="FV198" s="13" t="s">
        <v>806</v>
      </c>
      <c r="FW198" s="13" t="s">
        <v>806</v>
      </c>
      <c r="FX198" s="13" t="s">
        <v>806</v>
      </c>
      <c r="FY198" s="13" t="s">
        <v>806</v>
      </c>
      <c r="FZ198" s="13" t="s">
        <v>806</v>
      </c>
      <c r="GA198" s="13" t="s">
        <v>806</v>
      </c>
      <c r="GB198" s="13" t="s">
        <v>806</v>
      </c>
      <c r="GE198" s="13" t="s">
        <v>806</v>
      </c>
      <c r="GF198" s="13" t="s">
        <v>806</v>
      </c>
      <c r="GH198" s="13" t="s">
        <v>806</v>
      </c>
    </row>
    <row r="199" spans="1:190" ht="12.75" customHeight="1" x14ac:dyDescent="0.25">
      <c r="A199" s="1" t="s">
        <v>99</v>
      </c>
      <c r="B199" s="1" t="s">
        <v>747</v>
      </c>
      <c r="C199" s="1" t="s">
        <v>664</v>
      </c>
      <c r="D199" s="1" t="s">
        <v>698</v>
      </c>
      <c r="E199" s="1" t="s">
        <v>127</v>
      </c>
      <c r="F199" s="1">
        <v>0</v>
      </c>
      <c r="G199" s="1">
        <v>2040</v>
      </c>
      <c r="H199" s="1">
        <v>1</v>
      </c>
      <c r="I199" s="1">
        <v>0</v>
      </c>
      <c r="J199" s="1">
        <v>0</v>
      </c>
      <c r="K19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9.918000000000001</v>
      </c>
      <c r="L19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19.951999999999995</v>
      </c>
      <c r="M19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33.06</v>
      </c>
      <c r="N199" s="19">
        <v>26.448</v>
      </c>
      <c r="O199" s="19">
        <v>19.836000000000002</v>
      </c>
      <c r="P199" s="19">
        <v>33.06</v>
      </c>
      <c r="Q199" s="19">
        <v>0</v>
      </c>
      <c r="R199" s="19">
        <v>0</v>
      </c>
      <c r="S199" s="19">
        <v>0</v>
      </c>
      <c r="T199" s="19">
        <v>26.448</v>
      </c>
      <c r="U199" s="19">
        <v>19.836000000000002</v>
      </c>
      <c r="V199" s="19">
        <v>33.06</v>
      </c>
      <c r="W199" s="19">
        <v>0</v>
      </c>
      <c r="X199" s="19">
        <v>0</v>
      </c>
      <c r="Y199" s="19">
        <v>0</v>
      </c>
      <c r="Z199" s="19">
        <v>26.448</v>
      </c>
      <c r="AA199" s="19">
        <v>19.836000000000002</v>
      </c>
      <c r="AB199" s="19">
        <v>33.06</v>
      </c>
      <c r="AC199" s="19">
        <v>0</v>
      </c>
      <c r="AD199" s="19">
        <v>0</v>
      </c>
      <c r="AE199" s="19">
        <v>0</v>
      </c>
      <c r="AF199" s="19">
        <v>20.184000000000001</v>
      </c>
      <c r="AG199" s="19">
        <v>15.137999999999998</v>
      </c>
      <c r="AH199" s="19">
        <v>25.23</v>
      </c>
      <c r="AI199" s="19">
        <v>0</v>
      </c>
      <c r="AJ199" s="19">
        <v>0</v>
      </c>
      <c r="AK199" s="19">
        <v>0</v>
      </c>
      <c r="AL199" s="19">
        <v>20.184000000000001</v>
      </c>
      <c r="AM199" s="19">
        <v>15.137999999999998</v>
      </c>
      <c r="AN199" s="19">
        <v>25.23</v>
      </c>
      <c r="AO199" s="19">
        <v>0</v>
      </c>
      <c r="AP199" s="19">
        <v>0</v>
      </c>
      <c r="AQ199" s="19">
        <v>0</v>
      </c>
      <c r="AR199" s="19">
        <v>20.184000000000001</v>
      </c>
      <c r="AS199" s="19">
        <v>15.137999999999998</v>
      </c>
      <c r="AT199" s="19">
        <v>25.23</v>
      </c>
      <c r="AU199" s="19">
        <v>0</v>
      </c>
      <c r="AV199" s="19">
        <v>0</v>
      </c>
      <c r="AW199" s="19">
        <v>0</v>
      </c>
      <c r="AX199" s="19">
        <v>13.224</v>
      </c>
      <c r="AY199" s="19">
        <v>9.918000000000001</v>
      </c>
      <c r="AZ199" s="19">
        <v>16.53</v>
      </c>
      <c r="BA199" s="19">
        <v>0</v>
      </c>
      <c r="BB199" s="19">
        <v>0</v>
      </c>
      <c r="BC199" s="19">
        <v>0</v>
      </c>
      <c r="BD199" s="19">
        <v>13.224</v>
      </c>
      <c r="BE199" s="19">
        <v>9.918000000000001</v>
      </c>
      <c r="BF199" s="19">
        <v>16.53</v>
      </c>
      <c r="BG199" s="19">
        <v>0</v>
      </c>
      <c r="BH199" s="19">
        <v>0</v>
      </c>
      <c r="BI199" s="19">
        <v>0</v>
      </c>
      <c r="BJ199" s="19">
        <v>13.224</v>
      </c>
      <c r="BK199" s="19">
        <v>9.918000000000001</v>
      </c>
      <c r="BL199" s="19">
        <v>16.53</v>
      </c>
      <c r="BM199" s="19">
        <v>0</v>
      </c>
      <c r="BN199" s="19">
        <v>0</v>
      </c>
      <c r="BO199" s="19">
        <v>0</v>
      </c>
      <c r="BP199" s="19"/>
      <c r="BQ19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9" s="11">
        <f>Tabelle5897112140[[#This Row],[Mindestauslastung min]]*Tabelle5897112140[[#This Row],[installierte Leistung MW min]]</f>
        <v>0</v>
      </c>
      <c r="BU199" s="11">
        <f>Tabelle5897112140[[#This Row],[Mindestauslastung durch]]*Tabelle5897112140[[#This Row],[installierte Leistung MW durch]]</f>
        <v>0</v>
      </c>
      <c r="BV199" s="11">
        <f>Tabelle5897112140[[#This Row],[Mindestauslastung max]]*Tabelle5897112140[[#This Row],[installierte Leistung MW max]]</f>
        <v>0</v>
      </c>
      <c r="BW199" s="9">
        <v>0</v>
      </c>
      <c r="BX199" s="9">
        <v>0</v>
      </c>
      <c r="BY199" s="9">
        <v>0</v>
      </c>
      <c r="BZ199" s="9"/>
      <c r="CA199" s="9">
        <v>0.38</v>
      </c>
      <c r="CB199" s="9">
        <v>0.38</v>
      </c>
      <c r="CC199" s="9">
        <v>0.38</v>
      </c>
      <c r="CD199" s="9">
        <v>0.38</v>
      </c>
      <c r="CE199" s="9">
        <v>0.38</v>
      </c>
      <c r="CF199" s="9">
        <v>0.38</v>
      </c>
      <c r="CG199" s="9">
        <v>0.38</v>
      </c>
      <c r="CH199" s="9">
        <v>0.38</v>
      </c>
      <c r="CI199" s="9">
        <v>0.38</v>
      </c>
      <c r="CJ199" s="9">
        <v>0.28999999999999998</v>
      </c>
      <c r="CK199" s="9">
        <v>0.28999999999999998</v>
      </c>
      <c r="CL199" s="9">
        <v>0.28999999999999998</v>
      </c>
      <c r="CM199" s="9">
        <v>0.28999999999999998</v>
      </c>
      <c r="CN199" s="9">
        <v>0.28999999999999998</v>
      </c>
      <c r="CO199" s="9">
        <v>0.28999999999999998</v>
      </c>
      <c r="CP199" s="9">
        <v>0.28999999999999998</v>
      </c>
      <c r="CQ199" s="9">
        <v>0.28999999999999998</v>
      </c>
      <c r="CR199" s="9">
        <v>0.28999999999999998</v>
      </c>
      <c r="CS199" s="9">
        <v>0.19</v>
      </c>
      <c r="CT199" s="9">
        <v>0.19</v>
      </c>
      <c r="CU199" s="9">
        <v>0.19</v>
      </c>
      <c r="CV199" s="9">
        <v>0.19</v>
      </c>
      <c r="CW199" s="9">
        <v>0.19</v>
      </c>
      <c r="CX199" s="9">
        <v>0.19</v>
      </c>
      <c r="CY199" s="9">
        <v>0.19</v>
      </c>
      <c r="CZ199" s="9">
        <v>0.19</v>
      </c>
      <c r="DA199" s="9">
        <v>0.19</v>
      </c>
      <c r="DB199" s="9">
        <f>MIN(Tabelle5897112140[[#This Row],[Durchschnittsauslastung durch Sommer WTT]:[Durchschnittsauslastung max Winter SFN]])</f>
        <v>0.19</v>
      </c>
      <c r="DC19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9" s="9">
        <f>MAX(Tabelle5897112140[[#This Row],[Durchschnittsauslastung durch Sommer WTT]:[Durchschnittsauslastung max Winter SFN]])</f>
        <v>0.38</v>
      </c>
      <c r="DE199" s="40">
        <f>Tabelle5897112140[[#This Row],[Durchschnittsauslastung min]]*Tabelle5897112140[[#This Row],[installierte Leistung MW min]]</f>
        <v>9.918000000000001</v>
      </c>
      <c r="DF199" s="40">
        <f>Tabelle5897112140[[#This Row],[Durchschnittsauslastung durch]]*Tabelle5897112140[[#This Row],[installierte Leistung MW durch]]</f>
        <v>19.951999999999998</v>
      </c>
      <c r="DG199" s="40">
        <f>Tabelle5897112140[[#This Row],[Durchschnittsauslastung max]]*Tabelle5897112140[[#This Row],[installierte Leistung MW max]]</f>
        <v>33.06</v>
      </c>
      <c r="DH199" s="46">
        <f>Tabelle5897112140[[#This Row],[Maximalauslastung min]]*Tabelle5897112140[[#This Row],[installierte Leistung MW min]]</f>
        <v>0</v>
      </c>
      <c r="DI199" s="46">
        <f>Tabelle5897112140[[#This Row],[Maximalauslastung durch]]*Tabelle5897112140[[#This Row],[installierte Leistung MW durch]]</f>
        <v>0</v>
      </c>
      <c r="DJ199" s="19">
        <f>Tabelle5897112140[[#This Row],[Maximalauslastung max]]*Tabelle5897112140[[#This Row],[installierte Leistung MW durch]]</f>
        <v>0</v>
      </c>
      <c r="DK199" s="9">
        <v>0</v>
      </c>
      <c r="DL199" s="9">
        <v>0</v>
      </c>
      <c r="DM199" s="9">
        <v>0</v>
      </c>
      <c r="DN199" s="1">
        <v>69.599999999999994</v>
      </c>
      <c r="DO199" s="1">
        <v>52.2</v>
      </c>
      <c r="DP199" s="1">
        <v>87</v>
      </c>
      <c r="DQ199" s="19"/>
      <c r="DR199" s="19"/>
      <c r="DW199" s="1">
        <v>2.541666666666667</v>
      </c>
      <c r="DX199" s="1">
        <v>1.2</v>
      </c>
      <c r="DY199" s="1">
        <v>4.2</v>
      </c>
      <c r="EL199" s="1">
        <v>365</v>
      </c>
      <c r="EM199" s="1">
        <v>292</v>
      </c>
      <c r="EN199" s="1">
        <v>438</v>
      </c>
      <c r="EO199" s="11"/>
      <c r="EP199" s="11"/>
      <c r="EQ199" s="11"/>
      <c r="ER199" s="1">
        <v>365</v>
      </c>
      <c r="ES199" s="1">
        <v>292</v>
      </c>
      <c r="ET199" s="1">
        <v>438</v>
      </c>
      <c r="EV199" s="19"/>
      <c r="EW199" s="19"/>
      <c r="EX199" s="19"/>
      <c r="EY199" s="19"/>
      <c r="EZ199" s="19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O199" s="1">
        <v>67</v>
      </c>
      <c r="FP199" s="1">
        <v>67</v>
      </c>
      <c r="FQ199" s="1">
        <v>67</v>
      </c>
      <c r="FR199" s="13" t="s">
        <v>806</v>
      </c>
      <c r="FS199" s="13" t="s">
        <v>806</v>
      </c>
      <c r="FT199" s="13" t="s">
        <v>806</v>
      </c>
      <c r="FU199" s="13"/>
      <c r="FV199" s="13" t="s">
        <v>806</v>
      </c>
      <c r="FW199" s="13" t="s">
        <v>806</v>
      </c>
      <c r="FX199" s="13" t="s">
        <v>806</v>
      </c>
      <c r="FY199" s="13" t="s">
        <v>806</v>
      </c>
      <c r="FZ199" s="13" t="s">
        <v>806</v>
      </c>
      <c r="GA199" s="13" t="s">
        <v>806</v>
      </c>
      <c r="GB199" s="13" t="s">
        <v>806</v>
      </c>
      <c r="GE199" s="13" t="s">
        <v>806</v>
      </c>
      <c r="GF199" s="13" t="s">
        <v>806</v>
      </c>
      <c r="GH199" s="13" t="s">
        <v>806</v>
      </c>
    </row>
    <row r="200" spans="1:190" ht="12.75" customHeight="1" x14ac:dyDescent="0.25">
      <c r="A200" s="1" t="s">
        <v>99</v>
      </c>
      <c r="B200" s="1" t="s">
        <v>747</v>
      </c>
      <c r="C200" s="1" t="s">
        <v>664</v>
      </c>
      <c r="D200" s="1" t="s">
        <v>698</v>
      </c>
      <c r="E200" s="1" t="s">
        <v>127</v>
      </c>
      <c r="F200" s="1">
        <v>0</v>
      </c>
      <c r="G200" s="1">
        <v>2045</v>
      </c>
      <c r="H200" s="1">
        <v>1</v>
      </c>
      <c r="I200" s="1">
        <v>0</v>
      </c>
      <c r="J200" s="1">
        <v>0</v>
      </c>
      <c r="K20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9.5760000000000005</v>
      </c>
      <c r="L20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19.263999999999999</v>
      </c>
      <c r="M20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31.919999999999998</v>
      </c>
      <c r="N200" s="19">
        <v>25.535999999999998</v>
      </c>
      <c r="O200" s="19">
        <v>19.152000000000001</v>
      </c>
      <c r="P200" s="19">
        <v>31.919999999999998</v>
      </c>
      <c r="Q200" s="19">
        <v>0</v>
      </c>
      <c r="R200" s="19">
        <v>0</v>
      </c>
      <c r="S200" s="19">
        <v>0</v>
      </c>
      <c r="T200" s="19">
        <v>25.535999999999998</v>
      </c>
      <c r="U200" s="19">
        <v>19.152000000000001</v>
      </c>
      <c r="V200" s="19">
        <v>31.919999999999998</v>
      </c>
      <c r="W200" s="19">
        <v>0</v>
      </c>
      <c r="X200" s="19">
        <v>0</v>
      </c>
      <c r="Y200" s="19">
        <v>0</v>
      </c>
      <c r="Z200" s="19">
        <v>25.535999999999998</v>
      </c>
      <c r="AA200" s="19">
        <v>19.152000000000001</v>
      </c>
      <c r="AB200" s="19">
        <v>31.919999999999998</v>
      </c>
      <c r="AC200" s="19">
        <v>0</v>
      </c>
      <c r="AD200" s="19">
        <v>0</v>
      </c>
      <c r="AE200" s="19">
        <v>0</v>
      </c>
      <c r="AF200" s="19">
        <v>19.488</v>
      </c>
      <c r="AG200" s="19">
        <v>14.615999999999998</v>
      </c>
      <c r="AH200" s="19">
        <v>24.36</v>
      </c>
      <c r="AI200" s="19">
        <v>0</v>
      </c>
      <c r="AJ200" s="19">
        <v>0</v>
      </c>
      <c r="AK200" s="19">
        <v>0</v>
      </c>
      <c r="AL200" s="19">
        <v>19.488</v>
      </c>
      <c r="AM200" s="19">
        <v>14.615999999999998</v>
      </c>
      <c r="AN200" s="19">
        <v>24.36</v>
      </c>
      <c r="AO200" s="19">
        <v>0</v>
      </c>
      <c r="AP200" s="19">
        <v>0</v>
      </c>
      <c r="AQ200" s="19">
        <v>0</v>
      </c>
      <c r="AR200" s="19">
        <v>19.488</v>
      </c>
      <c r="AS200" s="19">
        <v>14.615999999999998</v>
      </c>
      <c r="AT200" s="19">
        <v>24.36</v>
      </c>
      <c r="AU200" s="19">
        <v>0</v>
      </c>
      <c r="AV200" s="19">
        <v>0</v>
      </c>
      <c r="AW200" s="19">
        <v>0</v>
      </c>
      <c r="AX200" s="19">
        <v>12.767999999999999</v>
      </c>
      <c r="AY200" s="19">
        <v>9.5760000000000005</v>
      </c>
      <c r="AZ200" s="19">
        <v>15.959999999999999</v>
      </c>
      <c r="BA200" s="19">
        <v>0</v>
      </c>
      <c r="BB200" s="19">
        <v>0</v>
      </c>
      <c r="BC200" s="19">
        <v>0</v>
      </c>
      <c r="BD200" s="19">
        <v>12.767999999999999</v>
      </c>
      <c r="BE200" s="19">
        <v>9.5760000000000005</v>
      </c>
      <c r="BF200" s="19">
        <v>15.959999999999999</v>
      </c>
      <c r="BG200" s="19">
        <v>0</v>
      </c>
      <c r="BH200" s="19">
        <v>0</v>
      </c>
      <c r="BI200" s="19">
        <v>0</v>
      </c>
      <c r="BJ200" s="19">
        <v>12.767999999999999</v>
      </c>
      <c r="BK200" s="19">
        <v>9.5760000000000005</v>
      </c>
      <c r="BL200" s="19">
        <v>15.959999999999999</v>
      </c>
      <c r="BM200" s="19">
        <v>0</v>
      </c>
      <c r="BN200" s="19">
        <v>0</v>
      </c>
      <c r="BO200" s="19">
        <v>0</v>
      </c>
      <c r="BP200" s="19"/>
      <c r="BQ20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0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00" s="11">
        <f>Tabelle5897112140[[#This Row],[Mindestauslastung min]]*Tabelle5897112140[[#This Row],[installierte Leistung MW min]]</f>
        <v>0</v>
      </c>
      <c r="BU200" s="11">
        <f>Tabelle5897112140[[#This Row],[Mindestauslastung durch]]*Tabelle5897112140[[#This Row],[installierte Leistung MW durch]]</f>
        <v>0</v>
      </c>
      <c r="BV200" s="11">
        <f>Tabelle5897112140[[#This Row],[Mindestauslastung max]]*Tabelle5897112140[[#This Row],[installierte Leistung MW max]]</f>
        <v>0</v>
      </c>
      <c r="BW200" s="9">
        <v>0</v>
      </c>
      <c r="BX200" s="9">
        <v>0</v>
      </c>
      <c r="BY200" s="9">
        <v>0</v>
      </c>
      <c r="BZ200" s="9"/>
      <c r="CA200" s="9">
        <v>0.38</v>
      </c>
      <c r="CB200" s="9">
        <v>0.38</v>
      </c>
      <c r="CC200" s="9">
        <v>0.38</v>
      </c>
      <c r="CD200" s="9">
        <v>0.38</v>
      </c>
      <c r="CE200" s="9">
        <v>0.38</v>
      </c>
      <c r="CF200" s="9">
        <v>0.38</v>
      </c>
      <c r="CG200" s="9">
        <v>0.38</v>
      </c>
      <c r="CH200" s="9">
        <v>0.38</v>
      </c>
      <c r="CI200" s="9">
        <v>0.38</v>
      </c>
      <c r="CJ200" s="9">
        <v>0.28999999999999998</v>
      </c>
      <c r="CK200" s="9">
        <v>0.28999999999999998</v>
      </c>
      <c r="CL200" s="9">
        <v>0.28999999999999998</v>
      </c>
      <c r="CM200" s="9">
        <v>0.28999999999999998</v>
      </c>
      <c r="CN200" s="9">
        <v>0.28999999999999998</v>
      </c>
      <c r="CO200" s="9">
        <v>0.28999999999999998</v>
      </c>
      <c r="CP200" s="9">
        <v>0.28999999999999998</v>
      </c>
      <c r="CQ200" s="9">
        <v>0.28999999999999998</v>
      </c>
      <c r="CR200" s="9">
        <v>0.28999999999999998</v>
      </c>
      <c r="CS200" s="9">
        <v>0.19</v>
      </c>
      <c r="CT200" s="9">
        <v>0.19</v>
      </c>
      <c r="CU200" s="9">
        <v>0.19</v>
      </c>
      <c r="CV200" s="9">
        <v>0.19</v>
      </c>
      <c r="CW200" s="9">
        <v>0.19</v>
      </c>
      <c r="CX200" s="9">
        <v>0.19</v>
      </c>
      <c r="CY200" s="9">
        <v>0.19</v>
      </c>
      <c r="CZ200" s="9">
        <v>0.19</v>
      </c>
      <c r="DA200" s="9">
        <v>0.19</v>
      </c>
      <c r="DB200" s="9">
        <f>MIN(Tabelle5897112140[[#This Row],[Durchschnittsauslastung durch Sommer WTT]:[Durchschnittsauslastung max Winter SFN]])</f>
        <v>0.19</v>
      </c>
      <c r="DC20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200" s="9">
        <f>MAX(Tabelle5897112140[[#This Row],[Durchschnittsauslastung durch Sommer WTT]:[Durchschnittsauslastung max Winter SFN]])</f>
        <v>0.38</v>
      </c>
      <c r="DE200" s="40">
        <f>Tabelle5897112140[[#This Row],[Durchschnittsauslastung min]]*Tabelle5897112140[[#This Row],[installierte Leistung MW min]]</f>
        <v>9.5760000000000005</v>
      </c>
      <c r="DF200" s="40">
        <f>Tabelle5897112140[[#This Row],[Durchschnittsauslastung durch]]*Tabelle5897112140[[#This Row],[installierte Leistung MW durch]]</f>
        <v>19.264000000000003</v>
      </c>
      <c r="DG200" s="40">
        <f>Tabelle5897112140[[#This Row],[Durchschnittsauslastung max]]*Tabelle5897112140[[#This Row],[installierte Leistung MW max]]</f>
        <v>31.92</v>
      </c>
      <c r="DH200" s="46">
        <f>Tabelle5897112140[[#This Row],[Maximalauslastung min]]*Tabelle5897112140[[#This Row],[installierte Leistung MW min]]</f>
        <v>0</v>
      </c>
      <c r="DI200" s="46">
        <f>Tabelle5897112140[[#This Row],[Maximalauslastung durch]]*Tabelle5897112140[[#This Row],[installierte Leistung MW durch]]</f>
        <v>0</v>
      </c>
      <c r="DJ200" s="19">
        <f>Tabelle5897112140[[#This Row],[Maximalauslastung max]]*Tabelle5897112140[[#This Row],[installierte Leistung MW durch]]</f>
        <v>0</v>
      </c>
      <c r="DK200" s="9">
        <v>0</v>
      </c>
      <c r="DL200" s="9">
        <v>0</v>
      </c>
      <c r="DM200" s="9">
        <v>0</v>
      </c>
      <c r="DN200" s="1">
        <v>67.2</v>
      </c>
      <c r="DO200" s="1">
        <v>50.4</v>
      </c>
      <c r="DP200" s="1">
        <v>84</v>
      </c>
      <c r="DQ200" s="19"/>
      <c r="DR200" s="19"/>
      <c r="DW200" s="1">
        <v>2.541666666666667</v>
      </c>
      <c r="DX200" s="1">
        <v>1.2</v>
      </c>
      <c r="DY200" s="1">
        <v>4.2</v>
      </c>
      <c r="EL200" s="1">
        <v>365</v>
      </c>
      <c r="EM200" s="1">
        <v>292</v>
      </c>
      <c r="EN200" s="1">
        <v>438</v>
      </c>
      <c r="EO200" s="11"/>
      <c r="EP200" s="11"/>
      <c r="EQ200" s="11"/>
      <c r="ER200" s="1">
        <v>365</v>
      </c>
      <c r="ES200" s="1">
        <v>292</v>
      </c>
      <c r="ET200" s="1">
        <v>438</v>
      </c>
      <c r="EV200" s="19"/>
      <c r="EW200" s="19"/>
      <c r="EX200" s="19"/>
      <c r="EY200" s="19"/>
      <c r="EZ200" s="19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O200" s="1">
        <v>67</v>
      </c>
      <c r="FP200" s="1">
        <v>67</v>
      </c>
      <c r="FQ200" s="1">
        <v>67</v>
      </c>
      <c r="FR200" s="13" t="s">
        <v>806</v>
      </c>
      <c r="FS200" s="13" t="s">
        <v>806</v>
      </c>
      <c r="FT200" s="13" t="s">
        <v>806</v>
      </c>
      <c r="FU200" s="13"/>
      <c r="FV200" s="13" t="s">
        <v>806</v>
      </c>
      <c r="FW200" s="13" t="s">
        <v>806</v>
      </c>
      <c r="FX200" s="13" t="s">
        <v>806</v>
      </c>
      <c r="FY200" s="13" t="s">
        <v>806</v>
      </c>
      <c r="FZ200" s="13" t="s">
        <v>806</v>
      </c>
      <c r="GA200" s="13" t="s">
        <v>806</v>
      </c>
      <c r="GB200" s="13" t="s">
        <v>806</v>
      </c>
      <c r="GE200" s="13" t="s">
        <v>806</v>
      </c>
      <c r="GF200" s="13" t="s">
        <v>806</v>
      </c>
      <c r="GH200" s="13" t="s">
        <v>806</v>
      </c>
    </row>
    <row r="201" spans="1:190" ht="12.75" customHeight="1" x14ac:dyDescent="0.25">
      <c r="A201" s="1" t="s">
        <v>99</v>
      </c>
      <c r="B201" s="1" t="s">
        <v>747</v>
      </c>
      <c r="C201" s="1" t="s">
        <v>664</v>
      </c>
      <c r="D201" s="1" t="s">
        <v>698</v>
      </c>
      <c r="E201" s="1" t="s">
        <v>127</v>
      </c>
      <c r="F201" s="1">
        <v>0</v>
      </c>
      <c r="G201" s="1">
        <v>2050</v>
      </c>
      <c r="H201" s="1">
        <v>1</v>
      </c>
      <c r="I201" s="1">
        <v>0</v>
      </c>
      <c r="J201" s="1">
        <v>0</v>
      </c>
      <c r="K20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9.347999999999999</v>
      </c>
      <c r="L20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18.805333333333333</v>
      </c>
      <c r="M20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31.159999999999997</v>
      </c>
      <c r="N201" s="19">
        <v>24.927999999999997</v>
      </c>
      <c r="O201" s="19">
        <v>18.695999999999998</v>
      </c>
      <c r="P201" s="19">
        <v>31.159999999999997</v>
      </c>
      <c r="Q201" s="19">
        <v>0</v>
      </c>
      <c r="R201" s="19">
        <v>0</v>
      </c>
      <c r="S201" s="19">
        <v>0</v>
      </c>
      <c r="T201" s="19">
        <v>24.927999999999997</v>
      </c>
      <c r="U201" s="19">
        <v>18.695999999999998</v>
      </c>
      <c r="V201" s="19">
        <v>31.159999999999997</v>
      </c>
      <c r="W201" s="19">
        <v>0</v>
      </c>
      <c r="X201" s="19">
        <v>0</v>
      </c>
      <c r="Y201" s="19">
        <v>0</v>
      </c>
      <c r="Z201" s="19">
        <v>24.927999999999997</v>
      </c>
      <c r="AA201" s="19">
        <v>18.695999999999998</v>
      </c>
      <c r="AB201" s="19">
        <v>31.159999999999997</v>
      </c>
      <c r="AC201" s="19">
        <v>0</v>
      </c>
      <c r="AD201" s="19">
        <v>0</v>
      </c>
      <c r="AE201" s="19">
        <v>0</v>
      </c>
      <c r="AF201" s="19">
        <v>19.023999999999997</v>
      </c>
      <c r="AG201" s="19">
        <v>14.267999999999997</v>
      </c>
      <c r="AH201" s="19">
        <v>23.779999999999998</v>
      </c>
      <c r="AI201" s="19">
        <v>0</v>
      </c>
      <c r="AJ201" s="19">
        <v>0</v>
      </c>
      <c r="AK201" s="19">
        <v>0</v>
      </c>
      <c r="AL201" s="19">
        <v>19.023999999999997</v>
      </c>
      <c r="AM201" s="19">
        <v>14.267999999999997</v>
      </c>
      <c r="AN201" s="19">
        <v>23.779999999999998</v>
      </c>
      <c r="AO201" s="19">
        <v>0</v>
      </c>
      <c r="AP201" s="19">
        <v>0</v>
      </c>
      <c r="AQ201" s="19">
        <v>0</v>
      </c>
      <c r="AR201" s="19">
        <v>19.023999999999997</v>
      </c>
      <c r="AS201" s="19">
        <v>14.267999999999997</v>
      </c>
      <c r="AT201" s="19">
        <v>23.779999999999998</v>
      </c>
      <c r="AU201" s="19">
        <v>0</v>
      </c>
      <c r="AV201" s="19">
        <v>0</v>
      </c>
      <c r="AW201" s="19">
        <v>0</v>
      </c>
      <c r="AX201" s="19">
        <v>12.463999999999999</v>
      </c>
      <c r="AY201" s="19">
        <v>9.347999999999999</v>
      </c>
      <c r="AZ201" s="19">
        <v>15.579999999999998</v>
      </c>
      <c r="BA201" s="19">
        <v>0</v>
      </c>
      <c r="BB201" s="19">
        <v>0</v>
      </c>
      <c r="BC201" s="19">
        <v>0</v>
      </c>
      <c r="BD201" s="19">
        <v>12.463999999999999</v>
      </c>
      <c r="BE201" s="19">
        <v>9.347999999999999</v>
      </c>
      <c r="BF201" s="19">
        <v>15.579999999999998</v>
      </c>
      <c r="BG201" s="19">
        <v>0</v>
      </c>
      <c r="BH201" s="19">
        <v>0</v>
      </c>
      <c r="BI201" s="19">
        <v>0</v>
      </c>
      <c r="BJ201" s="19">
        <v>12.463999999999999</v>
      </c>
      <c r="BK201" s="19">
        <v>9.347999999999999</v>
      </c>
      <c r="BL201" s="19">
        <v>15.579999999999998</v>
      </c>
      <c r="BM201" s="19">
        <v>0</v>
      </c>
      <c r="BN201" s="19">
        <v>0</v>
      </c>
      <c r="BO201" s="19">
        <v>0</v>
      </c>
      <c r="BP201" s="19"/>
      <c r="BQ20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0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01" s="11">
        <f>Tabelle5897112140[[#This Row],[Mindestauslastung min]]*Tabelle5897112140[[#This Row],[installierte Leistung MW min]]</f>
        <v>0</v>
      </c>
      <c r="BU201" s="11">
        <f>Tabelle5897112140[[#This Row],[Mindestauslastung durch]]*Tabelle5897112140[[#This Row],[installierte Leistung MW durch]]</f>
        <v>0</v>
      </c>
      <c r="BV201" s="11">
        <f>Tabelle5897112140[[#This Row],[Mindestauslastung max]]*Tabelle5897112140[[#This Row],[installierte Leistung MW max]]</f>
        <v>0</v>
      </c>
      <c r="BW201" s="9">
        <v>0</v>
      </c>
      <c r="BX201" s="9">
        <v>0</v>
      </c>
      <c r="BY201" s="9">
        <v>0</v>
      </c>
      <c r="BZ201" s="9"/>
      <c r="CA201" s="9">
        <v>0.38</v>
      </c>
      <c r="CB201" s="9">
        <v>0.38</v>
      </c>
      <c r="CC201" s="9">
        <v>0.38</v>
      </c>
      <c r="CD201" s="9">
        <v>0.38</v>
      </c>
      <c r="CE201" s="9">
        <v>0.38</v>
      </c>
      <c r="CF201" s="9">
        <v>0.38</v>
      </c>
      <c r="CG201" s="9">
        <v>0.38</v>
      </c>
      <c r="CH201" s="9">
        <v>0.38</v>
      </c>
      <c r="CI201" s="9">
        <v>0.38</v>
      </c>
      <c r="CJ201" s="9">
        <v>0.28999999999999998</v>
      </c>
      <c r="CK201" s="9">
        <v>0.28999999999999998</v>
      </c>
      <c r="CL201" s="9">
        <v>0.28999999999999998</v>
      </c>
      <c r="CM201" s="9">
        <v>0.28999999999999998</v>
      </c>
      <c r="CN201" s="9">
        <v>0.28999999999999998</v>
      </c>
      <c r="CO201" s="9">
        <v>0.28999999999999998</v>
      </c>
      <c r="CP201" s="9">
        <v>0.28999999999999998</v>
      </c>
      <c r="CQ201" s="9">
        <v>0.28999999999999998</v>
      </c>
      <c r="CR201" s="9">
        <v>0.28999999999999998</v>
      </c>
      <c r="CS201" s="9">
        <v>0.19</v>
      </c>
      <c r="CT201" s="9">
        <v>0.19</v>
      </c>
      <c r="CU201" s="9">
        <v>0.19</v>
      </c>
      <c r="CV201" s="9">
        <v>0.19</v>
      </c>
      <c r="CW201" s="9">
        <v>0.19</v>
      </c>
      <c r="CX201" s="9">
        <v>0.19</v>
      </c>
      <c r="CY201" s="9">
        <v>0.19</v>
      </c>
      <c r="CZ201" s="9">
        <v>0.19</v>
      </c>
      <c r="DA201" s="9">
        <v>0.19</v>
      </c>
      <c r="DB201" s="9">
        <f>MIN(Tabelle5897112140[[#This Row],[Durchschnittsauslastung durch Sommer WTT]:[Durchschnittsauslastung max Winter SFN]])</f>
        <v>0.19</v>
      </c>
      <c r="DC20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201" s="9">
        <f>MAX(Tabelle5897112140[[#This Row],[Durchschnittsauslastung durch Sommer WTT]:[Durchschnittsauslastung max Winter SFN]])</f>
        <v>0.38</v>
      </c>
      <c r="DE201" s="40">
        <f>Tabelle5897112140[[#This Row],[Durchschnittsauslastung min]]*Tabelle5897112140[[#This Row],[installierte Leistung MW min]]</f>
        <v>9.3480000000000008</v>
      </c>
      <c r="DF201" s="40">
        <f>Tabelle5897112140[[#This Row],[Durchschnittsauslastung durch]]*Tabelle5897112140[[#This Row],[installierte Leistung MW durch]]</f>
        <v>18.805333333333333</v>
      </c>
      <c r="DG201" s="40">
        <f>Tabelle5897112140[[#This Row],[Durchschnittsauslastung max]]*Tabelle5897112140[[#This Row],[installierte Leistung MW max]]</f>
        <v>31.16</v>
      </c>
      <c r="DH201" s="46">
        <f>Tabelle5897112140[[#This Row],[Maximalauslastung min]]*Tabelle5897112140[[#This Row],[installierte Leistung MW min]]</f>
        <v>0</v>
      </c>
      <c r="DI201" s="46">
        <f>Tabelle5897112140[[#This Row],[Maximalauslastung durch]]*Tabelle5897112140[[#This Row],[installierte Leistung MW durch]]</f>
        <v>0</v>
      </c>
      <c r="DJ201" s="19">
        <f>Tabelle5897112140[[#This Row],[Maximalauslastung max]]*Tabelle5897112140[[#This Row],[installierte Leistung MW durch]]</f>
        <v>0</v>
      </c>
      <c r="DK201" s="9">
        <v>0</v>
      </c>
      <c r="DL201" s="9">
        <v>0</v>
      </c>
      <c r="DM201" s="9">
        <v>0</v>
      </c>
      <c r="DN201" s="1">
        <v>65.599999999999994</v>
      </c>
      <c r="DO201" s="1">
        <v>49.2</v>
      </c>
      <c r="DP201" s="1">
        <v>82</v>
      </c>
      <c r="DQ201" s="19"/>
      <c r="DR201" s="19"/>
      <c r="DW201" s="1">
        <v>2.541666666666667</v>
      </c>
      <c r="DX201" s="1">
        <v>1.2</v>
      </c>
      <c r="DY201" s="1">
        <v>4.2</v>
      </c>
      <c r="EL201" s="1">
        <v>365</v>
      </c>
      <c r="EM201" s="1">
        <v>292</v>
      </c>
      <c r="EN201" s="1">
        <v>438</v>
      </c>
      <c r="EO201" s="11"/>
      <c r="EP201" s="11"/>
      <c r="EQ201" s="11"/>
      <c r="ER201" s="1">
        <v>365</v>
      </c>
      <c r="ES201" s="1">
        <v>292</v>
      </c>
      <c r="ET201" s="1">
        <v>438</v>
      </c>
      <c r="EV201" s="19"/>
      <c r="EW201" s="19"/>
      <c r="EX201" s="19"/>
      <c r="EY201" s="19"/>
      <c r="EZ201" s="19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O201" s="1">
        <v>67</v>
      </c>
      <c r="FP201" s="1">
        <v>67</v>
      </c>
      <c r="FQ201" s="1">
        <v>67</v>
      </c>
      <c r="FR201" s="13" t="s">
        <v>806</v>
      </c>
      <c r="FS201" s="13" t="s">
        <v>806</v>
      </c>
      <c r="FT201" s="13" t="s">
        <v>806</v>
      </c>
      <c r="FU201" s="13"/>
      <c r="FV201" s="13" t="s">
        <v>806</v>
      </c>
      <c r="FW201" s="13" t="s">
        <v>806</v>
      </c>
      <c r="FX201" s="13" t="s">
        <v>806</v>
      </c>
      <c r="FY201" s="13" t="s">
        <v>806</v>
      </c>
      <c r="FZ201" s="13" t="s">
        <v>806</v>
      </c>
      <c r="GA201" s="13" t="s">
        <v>806</v>
      </c>
      <c r="GB201" s="13" t="s">
        <v>806</v>
      </c>
      <c r="GE201" s="13" t="s">
        <v>806</v>
      </c>
      <c r="GF201" s="13" t="s">
        <v>806</v>
      </c>
      <c r="GH201" s="13" t="s">
        <v>806</v>
      </c>
    </row>
    <row r="202" spans="1:190" ht="12.75" customHeight="1" x14ac:dyDescent="0.25">
      <c r="A202" s="1" t="s">
        <v>208</v>
      </c>
      <c r="B202" s="1" t="s">
        <v>651</v>
      </c>
      <c r="C202" s="1" t="s">
        <v>664</v>
      </c>
      <c r="D202" s="1" t="s">
        <v>699</v>
      </c>
      <c r="E202" s="1" t="s">
        <v>127</v>
      </c>
      <c r="F202" s="1">
        <v>0</v>
      </c>
      <c r="G202" s="1">
        <v>2015</v>
      </c>
      <c r="H202" s="1">
        <v>1</v>
      </c>
      <c r="I202" s="1">
        <v>0</v>
      </c>
      <c r="J202" s="1">
        <v>0</v>
      </c>
      <c r="K20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206.54333333333332</v>
      </c>
      <c r="M20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595.84</v>
      </c>
      <c r="N202" s="19">
        <v>406.78</v>
      </c>
      <c r="O202" s="19">
        <v>250.12</v>
      </c>
      <c r="P202" s="19">
        <v>595.84</v>
      </c>
      <c r="Q202" s="19">
        <v>0</v>
      </c>
      <c r="R202" s="19">
        <v>0</v>
      </c>
      <c r="S202" s="19">
        <v>60.8</v>
      </c>
      <c r="T202" s="19">
        <v>406.78</v>
      </c>
      <c r="U202" s="19">
        <v>250.12</v>
      </c>
      <c r="V202" s="19">
        <v>595.84</v>
      </c>
      <c r="W202" s="19">
        <v>0</v>
      </c>
      <c r="X202" s="19">
        <v>0</v>
      </c>
      <c r="Y202" s="19">
        <v>60.8</v>
      </c>
      <c r="Z202" s="19">
        <v>354.75</v>
      </c>
      <c r="AA202" s="19">
        <v>212.94</v>
      </c>
      <c r="AB202" s="19">
        <v>528.96</v>
      </c>
      <c r="AC202" s="19">
        <v>52.03</v>
      </c>
      <c r="AD202" s="19">
        <v>3.38</v>
      </c>
      <c r="AE202" s="19">
        <v>127.68</v>
      </c>
      <c r="AF202" s="19">
        <v>345.29</v>
      </c>
      <c r="AG202" s="19">
        <v>206.18</v>
      </c>
      <c r="AH202" s="19">
        <v>516.79999999999995</v>
      </c>
      <c r="AI202" s="19">
        <v>61.49</v>
      </c>
      <c r="AJ202" s="19">
        <v>10.14</v>
      </c>
      <c r="AK202" s="19">
        <v>139.84</v>
      </c>
      <c r="AL202" s="19">
        <v>345.29</v>
      </c>
      <c r="AM202" s="19">
        <v>206.18</v>
      </c>
      <c r="AN202" s="19">
        <v>516.79999999999995</v>
      </c>
      <c r="AO202" s="19">
        <v>61.49</v>
      </c>
      <c r="AP202" s="19">
        <v>10.14</v>
      </c>
      <c r="AQ202" s="19">
        <v>139.84</v>
      </c>
      <c r="AR202" s="19">
        <v>0</v>
      </c>
      <c r="AS202" s="19">
        <v>0</v>
      </c>
      <c r="AT202" s="19">
        <v>72.959999999999994</v>
      </c>
      <c r="AU202" s="19">
        <v>406.78</v>
      </c>
      <c r="AV202" s="19">
        <v>256.88</v>
      </c>
      <c r="AW202" s="19">
        <v>583.67999999999995</v>
      </c>
      <c r="AX202" s="19">
        <v>0</v>
      </c>
      <c r="AY202" s="19">
        <v>0</v>
      </c>
      <c r="AZ202" s="19">
        <v>0</v>
      </c>
      <c r="BA202" s="19">
        <v>463.54</v>
      </c>
      <c r="BB202" s="19">
        <v>297.44</v>
      </c>
      <c r="BC202" s="19">
        <v>608</v>
      </c>
      <c r="BD202" s="19">
        <v>0</v>
      </c>
      <c r="BE202" s="19">
        <v>0</v>
      </c>
      <c r="BF202" s="19">
        <v>0</v>
      </c>
      <c r="BG202" s="19">
        <v>463.54</v>
      </c>
      <c r="BH202" s="19">
        <v>297.44</v>
      </c>
      <c r="BI202" s="19">
        <v>608</v>
      </c>
      <c r="BJ202" s="19">
        <v>0</v>
      </c>
      <c r="BK202" s="19">
        <v>0</v>
      </c>
      <c r="BL202" s="19">
        <v>0</v>
      </c>
      <c r="BM202" s="19">
        <v>463.54</v>
      </c>
      <c r="BN202" s="19">
        <v>297.44</v>
      </c>
      <c r="BO202" s="19">
        <v>608</v>
      </c>
      <c r="BP202" s="19"/>
      <c r="BQ20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219.15666666666664</v>
      </c>
      <c r="BS20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608</v>
      </c>
      <c r="BT202" s="11">
        <f>Tabelle5897112140[[#This Row],[Mindestauslastung min]]*Tabelle5897112140[[#This Row],[installierte Leistung MW min]]</f>
        <v>0</v>
      </c>
      <c r="BU202" s="11">
        <f>Tabelle5897112140[[#This Row],[Mindestauslastung durch]]*Tabelle5897112140[[#This Row],[installierte Leistung MW durch]]</f>
        <v>0</v>
      </c>
      <c r="BV202" s="11">
        <f>Tabelle5897112140[[#This Row],[Mindestauslastung max]]*Tabelle5897112140[[#This Row],[installierte Leistung MW max]]</f>
        <v>0</v>
      </c>
      <c r="BW202" s="9">
        <v>0</v>
      </c>
      <c r="BX202" s="9">
        <v>0</v>
      </c>
      <c r="BY202" s="9">
        <v>0</v>
      </c>
      <c r="BZ202" s="9"/>
      <c r="CA202" s="9">
        <v>1</v>
      </c>
      <c r="CB202" s="9">
        <v>0.9</v>
      </c>
      <c r="CC202" s="9">
        <v>1.1000000000000001</v>
      </c>
      <c r="CD202" s="9">
        <v>1</v>
      </c>
      <c r="CE202" s="9">
        <v>0.9</v>
      </c>
      <c r="CF202" s="9">
        <v>1.1000000000000001</v>
      </c>
      <c r="CG202" s="9">
        <v>0.89</v>
      </c>
      <c r="CH202" s="9">
        <v>0.79</v>
      </c>
      <c r="CI202" s="9">
        <v>0.99</v>
      </c>
      <c r="CJ202" s="9">
        <v>0.87</v>
      </c>
      <c r="CK202" s="9">
        <v>0.77</v>
      </c>
      <c r="CL202" s="9">
        <v>0.97</v>
      </c>
      <c r="CM202" s="9">
        <v>0.87</v>
      </c>
      <c r="CN202" s="9">
        <v>0.77</v>
      </c>
      <c r="CO202" s="9">
        <v>0.97</v>
      </c>
      <c r="CP202" s="9">
        <v>0.14000000000000001</v>
      </c>
      <c r="CQ202" s="9">
        <v>0.04</v>
      </c>
      <c r="CR202" s="9">
        <v>0.24</v>
      </c>
      <c r="CS202" s="9">
        <v>0.02</v>
      </c>
      <c r="CT202" s="9">
        <v>0</v>
      </c>
      <c r="CU202" s="9">
        <v>0.12</v>
      </c>
      <c r="CV202" s="9">
        <v>0.02</v>
      </c>
      <c r="CW202" s="9">
        <v>0</v>
      </c>
      <c r="CX202" s="9">
        <v>0.12</v>
      </c>
      <c r="CY202" s="9">
        <v>0.02</v>
      </c>
      <c r="CZ202" s="9">
        <v>0</v>
      </c>
      <c r="DA202" s="9">
        <v>0.12</v>
      </c>
      <c r="DB202" s="9">
        <f>MIN(Tabelle5897112140[[#This Row],[Durchschnittsauslastung durch Sommer WTT]:[Durchschnittsauslastung max Winter SFN]])</f>
        <v>0</v>
      </c>
      <c r="DC20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2" s="9">
        <f>MAX(Tabelle5897112140[[#This Row],[Durchschnittsauslastung durch Sommer WTT]:[Durchschnittsauslastung max Winter SFN]])</f>
        <v>1.1000000000000001</v>
      </c>
      <c r="DE202" s="40">
        <f>Tabelle5897112140[[#This Row],[Durchschnittsauslastung min]]*Tabelle5897112140[[#This Row],[installierte Leistung MW min]]</f>
        <v>0</v>
      </c>
      <c r="DF202" s="40">
        <f>Tabelle5897112140[[#This Row],[Durchschnittsauslastung durch]]*Tabelle5897112140[[#This Row],[installierte Leistung MW durch]]</f>
        <v>253.84333333333325</v>
      </c>
      <c r="DG202" s="40">
        <f>Tabelle5897112140[[#This Row],[Durchschnittsauslastung max]]*Tabelle5897112140[[#This Row],[installierte Leistung MW max]]</f>
        <v>668.80000000000007</v>
      </c>
      <c r="DH202" s="46">
        <f>Tabelle5897112140[[#This Row],[Maximalauslastung min]]*Tabelle5897112140[[#This Row],[installierte Leistung MW min]]</f>
        <v>0</v>
      </c>
      <c r="DI202" s="46">
        <f>Tabelle5897112140[[#This Row],[Maximalauslastung durch]]*Tabelle5897112140[[#This Row],[installierte Leistung MW durch]]</f>
        <v>0</v>
      </c>
      <c r="DJ202" s="19">
        <f>Tabelle5897112140[[#This Row],[Maximalauslastung max]]*Tabelle5897112140[[#This Row],[installierte Leistung MW durch]]</f>
        <v>0</v>
      </c>
      <c r="DK202" s="9">
        <v>0</v>
      </c>
      <c r="DL202" s="9">
        <v>0</v>
      </c>
      <c r="DM202" s="9">
        <v>0</v>
      </c>
      <c r="DN202" s="1">
        <v>473</v>
      </c>
      <c r="DO202" s="1">
        <v>338</v>
      </c>
      <c r="DP202" s="1">
        <v>608</v>
      </c>
      <c r="DQ202" s="19"/>
      <c r="DR202" s="19"/>
      <c r="DW202" s="1">
        <v>0.3</v>
      </c>
      <c r="DX202" s="1">
        <v>0.26</v>
      </c>
      <c r="DY202" s="1">
        <v>0.34</v>
      </c>
      <c r="EL202" s="1">
        <v>365</v>
      </c>
      <c r="EM202" s="1">
        <v>292</v>
      </c>
      <c r="EN202" s="1">
        <v>438</v>
      </c>
      <c r="EO202" s="11"/>
      <c r="EP202" s="11"/>
      <c r="EQ202" s="11"/>
      <c r="ER202" s="1">
        <v>365</v>
      </c>
      <c r="ES202" s="1">
        <v>292</v>
      </c>
      <c r="ET202" s="1">
        <v>438</v>
      </c>
      <c r="EV202" s="19"/>
      <c r="EW202" s="19"/>
      <c r="EX202" s="19"/>
      <c r="EY202" s="19"/>
      <c r="EZ202" s="19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O202" s="1">
        <v>67</v>
      </c>
      <c r="FP202" s="1">
        <v>67</v>
      </c>
      <c r="FQ202" s="1">
        <v>67</v>
      </c>
      <c r="FR202" s="13" t="s">
        <v>806</v>
      </c>
      <c r="FS202" s="13" t="s">
        <v>806</v>
      </c>
      <c r="FT202" s="13" t="s">
        <v>806</v>
      </c>
      <c r="FU202" s="13"/>
      <c r="FV202" s="13" t="s">
        <v>806</v>
      </c>
      <c r="FW202" s="13" t="s">
        <v>806</v>
      </c>
      <c r="FX202" s="13" t="s">
        <v>806</v>
      </c>
      <c r="FY202" s="13" t="s">
        <v>806</v>
      </c>
      <c r="FZ202" s="13" t="s">
        <v>806</v>
      </c>
      <c r="GA202" s="13" t="s">
        <v>806</v>
      </c>
      <c r="GB202" s="13" t="s">
        <v>806</v>
      </c>
      <c r="GE202" s="13" t="s">
        <v>806</v>
      </c>
      <c r="GF202" s="13" t="s">
        <v>806</v>
      </c>
      <c r="GH202" s="13" t="s">
        <v>806</v>
      </c>
    </row>
    <row r="203" spans="1:190" ht="12.75" customHeight="1" x14ac:dyDescent="0.25">
      <c r="A203" s="1" t="s">
        <v>208</v>
      </c>
      <c r="B203" s="1" t="s">
        <v>651</v>
      </c>
      <c r="C203" s="1" t="s">
        <v>664</v>
      </c>
      <c r="D203" s="1" t="s">
        <v>699</v>
      </c>
      <c r="E203" s="1" t="s">
        <v>127</v>
      </c>
      <c r="F203" s="1">
        <v>0</v>
      </c>
      <c r="G203" s="1">
        <v>2020</v>
      </c>
      <c r="H203" s="1">
        <v>1</v>
      </c>
      <c r="I203" s="1">
        <v>0</v>
      </c>
      <c r="J203" s="1">
        <v>0</v>
      </c>
      <c r="K20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200.34703333333334</v>
      </c>
      <c r="M20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577.96479999999997</v>
      </c>
      <c r="N203" s="19">
        <v>394.57659999999998</v>
      </c>
      <c r="O203" s="19">
        <v>242.6164</v>
      </c>
      <c r="P203" s="19">
        <v>577.96479999999997</v>
      </c>
      <c r="Q203" s="19">
        <v>0</v>
      </c>
      <c r="R203" s="19">
        <v>0</v>
      </c>
      <c r="S203" s="19">
        <v>58.975999999999999</v>
      </c>
      <c r="T203" s="19">
        <v>394.57659999999998</v>
      </c>
      <c r="U203" s="19">
        <v>242.6164</v>
      </c>
      <c r="V203" s="19">
        <v>577.96479999999997</v>
      </c>
      <c r="W203" s="19">
        <v>0</v>
      </c>
      <c r="X203" s="19">
        <v>0</v>
      </c>
      <c r="Y203" s="19">
        <v>58.975999999999999</v>
      </c>
      <c r="Z203" s="19">
        <v>344.10750000000002</v>
      </c>
      <c r="AA203" s="19">
        <v>206.55179999999999</v>
      </c>
      <c r="AB203" s="19">
        <v>513.09120000000007</v>
      </c>
      <c r="AC203" s="19">
        <v>50.469099999999997</v>
      </c>
      <c r="AD203" s="19">
        <v>3.2786</v>
      </c>
      <c r="AE203" s="19">
        <v>123.84960000000001</v>
      </c>
      <c r="AF203" s="19">
        <v>334.93130000000002</v>
      </c>
      <c r="AG203" s="19">
        <v>199.99459999999999</v>
      </c>
      <c r="AH203" s="19">
        <v>501.29599999999994</v>
      </c>
      <c r="AI203" s="19">
        <v>59.645299999999999</v>
      </c>
      <c r="AJ203" s="19">
        <v>9.8358000000000008</v>
      </c>
      <c r="AK203" s="19">
        <v>135.6448</v>
      </c>
      <c r="AL203" s="19">
        <v>334.93130000000002</v>
      </c>
      <c r="AM203" s="19">
        <v>199.99459999999999</v>
      </c>
      <c r="AN203" s="19">
        <v>501.29599999999994</v>
      </c>
      <c r="AO203" s="19">
        <v>59.645299999999999</v>
      </c>
      <c r="AP203" s="19">
        <v>9.8358000000000008</v>
      </c>
      <c r="AQ203" s="19">
        <v>135.6448</v>
      </c>
      <c r="AR203" s="19">
        <v>0</v>
      </c>
      <c r="AS203" s="19">
        <v>0</v>
      </c>
      <c r="AT203" s="19">
        <v>70.771199999999993</v>
      </c>
      <c r="AU203" s="19">
        <v>394.57659999999998</v>
      </c>
      <c r="AV203" s="19">
        <v>249.17359999999999</v>
      </c>
      <c r="AW203" s="19">
        <v>566.16959999999995</v>
      </c>
      <c r="AX203" s="19">
        <v>0</v>
      </c>
      <c r="AY203" s="19">
        <v>0</v>
      </c>
      <c r="AZ203" s="19">
        <v>0</v>
      </c>
      <c r="BA203" s="19">
        <v>449.63380000000001</v>
      </c>
      <c r="BB203" s="19">
        <v>288.51679999999999</v>
      </c>
      <c r="BC203" s="19">
        <v>589.76</v>
      </c>
      <c r="BD203" s="19">
        <v>0</v>
      </c>
      <c r="BE203" s="19">
        <v>0</v>
      </c>
      <c r="BF203" s="19">
        <v>0</v>
      </c>
      <c r="BG203" s="19">
        <v>449.63380000000001</v>
      </c>
      <c r="BH203" s="19">
        <v>288.51679999999999</v>
      </c>
      <c r="BI203" s="19">
        <v>589.76</v>
      </c>
      <c r="BJ203" s="19">
        <v>0</v>
      </c>
      <c r="BK203" s="19">
        <v>0</v>
      </c>
      <c r="BL203" s="19">
        <v>0</v>
      </c>
      <c r="BM203" s="19">
        <v>449.63380000000001</v>
      </c>
      <c r="BN203" s="19">
        <v>288.51679999999999</v>
      </c>
      <c r="BO203" s="19">
        <v>589.76</v>
      </c>
      <c r="BP203" s="19"/>
      <c r="BQ20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212.58196666666669</v>
      </c>
      <c r="BS20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589.76</v>
      </c>
      <c r="BT203" s="11">
        <f>Tabelle5897112140[[#This Row],[Mindestauslastung min]]*Tabelle5897112140[[#This Row],[installierte Leistung MW min]]</f>
        <v>39.343200000000003</v>
      </c>
      <c r="BU203" s="11">
        <f>Tabelle5897112140[[#This Row],[Mindestauslastung durch]]*Tabelle5897112140[[#This Row],[installierte Leistung MW durch]]</f>
        <v>64.233400000000003</v>
      </c>
      <c r="BV203" s="11">
        <f>Tabelle5897112140[[#This Row],[Mindestauslastung max]]*Tabelle5897112140[[#This Row],[installierte Leistung MW max]]</f>
        <v>94.361599999999996</v>
      </c>
      <c r="BW203" s="9">
        <v>0.12</v>
      </c>
      <c r="BX203" s="9">
        <v>0.14000000000000001</v>
      </c>
      <c r="BY203" s="9">
        <v>0.16</v>
      </c>
      <c r="BZ203" s="9"/>
      <c r="CA203" s="9">
        <v>1</v>
      </c>
      <c r="CB203" s="9">
        <v>0.9</v>
      </c>
      <c r="CC203" s="9">
        <v>1.1000000000000001</v>
      </c>
      <c r="CD203" s="9">
        <v>1</v>
      </c>
      <c r="CE203" s="9">
        <v>0.9</v>
      </c>
      <c r="CF203" s="9">
        <v>1.1000000000000001</v>
      </c>
      <c r="CG203" s="9">
        <v>0.89</v>
      </c>
      <c r="CH203" s="9">
        <v>0.79</v>
      </c>
      <c r="CI203" s="9">
        <v>0.99</v>
      </c>
      <c r="CJ203" s="9">
        <v>0.87</v>
      </c>
      <c r="CK203" s="9">
        <v>0.77</v>
      </c>
      <c r="CL203" s="9">
        <v>0.97</v>
      </c>
      <c r="CM203" s="9">
        <v>0.87</v>
      </c>
      <c r="CN203" s="9">
        <v>0.77</v>
      </c>
      <c r="CO203" s="9">
        <v>0.97</v>
      </c>
      <c r="CP203" s="9">
        <v>0.14000000000000001</v>
      </c>
      <c r="CQ203" s="9">
        <v>0.04</v>
      </c>
      <c r="CR203" s="9">
        <v>0.24</v>
      </c>
      <c r="CS203" s="9">
        <v>0.02</v>
      </c>
      <c r="CT203" s="9">
        <v>0</v>
      </c>
      <c r="CU203" s="9">
        <v>0.12</v>
      </c>
      <c r="CV203" s="9">
        <v>0.02</v>
      </c>
      <c r="CW203" s="9">
        <v>0</v>
      </c>
      <c r="CX203" s="9">
        <v>0.12</v>
      </c>
      <c r="CY203" s="9">
        <v>0.02</v>
      </c>
      <c r="CZ203" s="9">
        <v>0</v>
      </c>
      <c r="DA203" s="9">
        <v>0.12</v>
      </c>
      <c r="DB203" s="9">
        <f>MIN(Tabelle5897112140[[#This Row],[Durchschnittsauslastung durch Sommer WTT]:[Durchschnittsauslastung max Winter SFN]])</f>
        <v>0</v>
      </c>
      <c r="DC20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3" s="9">
        <f>MAX(Tabelle5897112140[[#This Row],[Durchschnittsauslastung durch Sommer WTT]:[Durchschnittsauslastung max Winter SFN]])</f>
        <v>1.1000000000000001</v>
      </c>
      <c r="DE203" s="40">
        <f>Tabelle5897112140[[#This Row],[Durchschnittsauslastung min]]*Tabelle5897112140[[#This Row],[installierte Leistung MW min]]</f>
        <v>0</v>
      </c>
      <c r="DF203" s="40">
        <f>Tabelle5897112140[[#This Row],[Durchschnittsauslastung durch]]*Tabelle5897112140[[#This Row],[installierte Leistung MW durch]]</f>
        <v>246.22803333333326</v>
      </c>
      <c r="DG203" s="40">
        <f>Tabelle5897112140[[#This Row],[Durchschnittsauslastung max]]*Tabelle5897112140[[#This Row],[installierte Leistung MW max]]</f>
        <v>648.73599999999999</v>
      </c>
      <c r="DH203" s="46">
        <f>Tabelle5897112140[[#This Row],[Maximalauslastung min]]*Tabelle5897112140[[#This Row],[installierte Leistung MW min]]</f>
        <v>327.86</v>
      </c>
      <c r="DI203" s="46">
        <f>Tabelle5897112140[[#This Row],[Maximalauslastung durch]]*Tabelle5897112140[[#This Row],[installierte Leistung MW durch]]</f>
        <v>458.81</v>
      </c>
      <c r="DJ203" s="19">
        <f>Tabelle5897112140[[#This Row],[Maximalauslastung max]]*Tabelle5897112140[[#This Row],[installierte Leistung MW durch]]</f>
        <v>458.81</v>
      </c>
      <c r="DK203" s="9">
        <v>1</v>
      </c>
      <c r="DL203" s="9">
        <v>1</v>
      </c>
      <c r="DM203" s="9">
        <v>1</v>
      </c>
      <c r="DN203" s="1">
        <v>458.81</v>
      </c>
      <c r="DO203" s="1">
        <v>327.86</v>
      </c>
      <c r="DP203" s="1">
        <v>589.76</v>
      </c>
      <c r="DQ203" s="19"/>
      <c r="DR203" s="19"/>
      <c r="DW203" s="1">
        <v>0.3</v>
      </c>
      <c r="DX203" s="1">
        <v>0.26</v>
      </c>
      <c r="DY203" s="1">
        <v>0.34</v>
      </c>
      <c r="EL203" s="1">
        <v>365</v>
      </c>
      <c r="EM203" s="1">
        <v>292</v>
      </c>
      <c r="EN203" s="1">
        <v>438</v>
      </c>
      <c r="EO203" s="11"/>
      <c r="EP203" s="11"/>
      <c r="EQ203" s="11"/>
      <c r="ER203" s="1">
        <v>365</v>
      </c>
      <c r="ES203" s="1">
        <v>292</v>
      </c>
      <c r="ET203" s="1">
        <v>438</v>
      </c>
      <c r="EV203" s="19"/>
      <c r="EW203" s="19"/>
      <c r="EX203" s="19"/>
      <c r="EY203" s="19"/>
      <c r="EZ203" s="19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O203" s="1">
        <v>67</v>
      </c>
      <c r="FP203" s="1">
        <v>67</v>
      </c>
      <c r="FQ203" s="1">
        <v>67</v>
      </c>
      <c r="FR203" s="13" t="s">
        <v>806</v>
      </c>
      <c r="FS203" s="13" t="s">
        <v>806</v>
      </c>
      <c r="FT203" s="13" t="s">
        <v>806</v>
      </c>
      <c r="FU203" s="13"/>
      <c r="FV203" s="13" t="s">
        <v>806</v>
      </c>
      <c r="FW203" s="13" t="s">
        <v>806</v>
      </c>
      <c r="FX203" s="13" t="s">
        <v>806</v>
      </c>
      <c r="FY203" s="13" t="s">
        <v>806</v>
      </c>
      <c r="FZ203" s="13" t="s">
        <v>806</v>
      </c>
      <c r="GA203" s="13" t="s">
        <v>806</v>
      </c>
      <c r="GB203" s="13" t="s">
        <v>806</v>
      </c>
      <c r="GE203" s="13" t="s">
        <v>806</v>
      </c>
      <c r="GF203" s="13" t="s">
        <v>806</v>
      </c>
      <c r="GH203" s="13" t="s">
        <v>806</v>
      </c>
    </row>
    <row r="204" spans="1:190" ht="12.75" customHeight="1" x14ac:dyDescent="0.25">
      <c r="A204" s="1" t="s">
        <v>208</v>
      </c>
      <c r="B204" s="1" t="s">
        <v>651</v>
      </c>
      <c r="C204" s="1" t="s">
        <v>664</v>
      </c>
      <c r="D204" s="1" t="s">
        <v>699</v>
      </c>
      <c r="E204" s="1" t="s">
        <v>127</v>
      </c>
      <c r="F204" s="1">
        <v>0</v>
      </c>
      <c r="G204" s="1">
        <v>2025</v>
      </c>
      <c r="H204" s="1">
        <v>1</v>
      </c>
      <c r="I204" s="1">
        <v>0</v>
      </c>
      <c r="J204" s="1">
        <v>0</v>
      </c>
      <c r="K20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196.21616666666665</v>
      </c>
      <c r="M20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566.048</v>
      </c>
      <c r="N204" s="19">
        <v>386.44099999999997</v>
      </c>
      <c r="O204" s="19">
        <v>237.614</v>
      </c>
      <c r="P204" s="19">
        <v>566.048</v>
      </c>
      <c r="Q204" s="19">
        <v>0</v>
      </c>
      <c r="R204" s="19">
        <v>0</v>
      </c>
      <c r="S204" s="19">
        <v>57.76</v>
      </c>
      <c r="T204" s="19">
        <v>386.44099999999997</v>
      </c>
      <c r="U204" s="19">
        <v>237.614</v>
      </c>
      <c r="V204" s="19">
        <v>566.048</v>
      </c>
      <c r="W204" s="19">
        <v>0</v>
      </c>
      <c r="X204" s="19">
        <v>0</v>
      </c>
      <c r="Y204" s="19">
        <v>57.76</v>
      </c>
      <c r="Z204" s="19">
        <v>337.01249999999999</v>
      </c>
      <c r="AA204" s="19">
        <v>202.29299999999998</v>
      </c>
      <c r="AB204" s="19">
        <v>502.512</v>
      </c>
      <c r="AC204" s="19">
        <v>49.4285</v>
      </c>
      <c r="AD204" s="19">
        <v>3.2109999999999999</v>
      </c>
      <c r="AE204" s="19">
        <v>121.29600000000001</v>
      </c>
      <c r="AF204" s="19">
        <v>328.02550000000002</v>
      </c>
      <c r="AG204" s="19">
        <v>195.87100000000001</v>
      </c>
      <c r="AH204" s="19">
        <v>490.95999999999992</v>
      </c>
      <c r="AI204" s="19">
        <v>58.415500000000002</v>
      </c>
      <c r="AJ204" s="19">
        <v>9.6330000000000009</v>
      </c>
      <c r="AK204" s="19">
        <v>132.84799999999998</v>
      </c>
      <c r="AL204" s="19">
        <v>328.02550000000002</v>
      </c>
      <c r="AM204" s="19">
        <v>195.87100000000001</v>
      </c>
      <c r="AN204" s="19">
        <v>490.95999999999992</v>
      </c>
      <c r="AO204" s="19">
        <v>58.415500000000002</v>
      </c>
      <c r="AP204" s="19">
        <v>9.6330000000000009</v>
      </c>
      <c r="AQ204" s="19">
        <v>132.84799999999998</v>
      </c>
      <c r="AR204" s="19">
        <v>0</v>
      </c>
      <c r="AS204" s="19">
        <v>0</v>
      </c>
      <c r="AT204" s="19">
        <v>69.311999999999998</v>
      </c>
      <c r="AU204" s="19">
        <v>386.44099999999997</v>
      </c>
      <c r="AV204" s="19">
        <v>244.03599999999997</v>
      </c>
      <c r="AW204" s="19">
        <v>554.49599999999998</v>
      </c>
      <c r="AX204" s="19">
        <v>0</v>
      </c>
      <c r="AY204" s="19">
        <v>0</v>
      </c>
      <c r="AZ204" s="19">
        <v>0</v>
      </c>
      <c r="BA204" s="19">
        <v>440.363</v>
      </c>
      <c r="BB204" s="19">
        <v>282.56799999999998</v>
      </c>
      <c r="BC204" s="19">
        <v>577.6</v>
      </c>
      <c r="BD204" s="19">
        <v>0</v>
      </c>
      <c r="BE204" s="19">
        <v>0</v>
      </c>
      <c r="BF204" s="19">
        <v>0</v>
      </c>
      <c r="BG204" s="19">
        <v>440.363</v>
      </c>
      <c r="BH204" s="19">
        <v>282.56799999999998</v>
      </c>
      <c r="BI204" s="19">
        <v>577.6</v>
      </c>
      <c r="BJ204" s="19">
        <v>0</v>
      </c>
      <c r="BK204" s="19">
        <v>0</v>
      </c>
      <c r="BL204" s="19">
        <v>0</v>
      </c>
      <c r="BM204" s="19">
        <v>440.363</v>
      </c>
      <c r="BN204" s="19">
        <v>282.56799999999998</v>
      </c>
      <c r="BO204" s="19">
        <v>577.6</v>
      </c>
      <c r="BP204" s="19"/>
      <c r="BQ20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208.19883333333334</v>
      </c>
      <c r="BS20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577.6</v>
      </c>
      <c r="BT204" s="11">
        <f>Tabelle5897112140[[#This Row],[Mindestauslastung min]]*Tabelle5897112140[[#This Row],[installierte Leistung MW min]]</f>
        <v>38.532000000000004</v>
      </c>
      <c r="BU204" s="11">
        <f>Tabelle5897112140[[#This Row],[Mindestauslastung durch]]*Tabelle5897112140[[#This Row],[installierte Leistung MW durch]]</f>
        <v>62.909000000000006</v>
      </c>
      <c r="BV204" s="11">
        <f>Tabelle5897112140[[#This Row],[Mindestauslastung max]]*Tabelle5897112140[[#This Row],[installierte Leistung MW max]]</f>
        <v>92.416000000000011</v>
      </c>
      <c r="BW204" s="9">
        <v>0.12</v>
      </c>
      <c r="BX204" s="9">
        <v>0.14000000000000001</v>
      </c>
      <c r="BY204" s="9">
        <v>0.16</v>
      </c>
      <c r="BZ204" s="9"/>
      <c r="CA204" s="9">
        <v>1</v>
      </c>
      <c r="CB204" s="9">
        <v>0.9</v>
      </c>
      <c r="CC204" s="9">
        <v>1.1000000000000001</v>
      </c>
      <c r="CD204" s="9">
        <v>1</v>
      </c>
      <c r="CE204" s="9">
        <v>0.9</v>
      </c>
      <c r="CF204" s="9">
        <v>1.1000000000000001</v>
      </c>
      <c r="CG204" s="9">
        <v>0.89</v>
      </c>
      <c r="CH204" s="9">
        <v>0.79</v>
      </c>
      <c r="CI204" s="9">
        <v>0.99</v>
      </c>
      <c r="CJ204" s="9">
        <v>0.87</v>
      </c>
      <c r="CK204" s="9">
        <v>0.77</v>
      </c>
      <c r="CL204" s="9">
        <v>0.97</v>
      </c>
      <c r="CM204" s="9">
        <v>0.87</v>
      </c>
      <c r="CN204" s="9">
        <v>0.77</v>
      </c>
      <c r="CO204" s="9">
        <v>0.97</v>
      </c>
      <c r="CP204" s="9">
        <v>0.14000000000000001</v>
      </c>
      <c r="CQ204" s="9">
        <v>0.04</v>
      </c>
      <c r="CR204" s="9">
        <v>0.24</v>
      </c>
      <c r="CS204" s="9">
        <v>0.02</v>
      </c>
      <c r="CT204" s="9">
        <v>0</v>
      </c>
      <c r="CU204" s="9">
        <v>0.12</v>
      </c>
      <c r="CV204" s="9">
        <v>0.02</v>
      </c>
      <c r="CW204" s="9">
        <v>0</v>
      </c>
      <c r="CX204" s="9">
        <v>0.12</v>
      </c>
      <c r="CY204" s="9">
        <v>0.02</v>
      </c>
      <c r="CZ204" s="9">
        <v>0</v>
      </c>
      <c r="DA204" s="9">
        <v>0.12</v>
      </c>
      <c r="DB204" s="9">
        <f>MIN(Tabelle5897112140[[#This Row],[Durchschnittsauslastung durch Sommer WTT]:[Durchschnittsauslastung max Winter SFN]])</f>
        <v>0</v>
      </c>
      <c r="DC20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4" s="9">
        <f>MAX(Tabelle5897112140[[#This Row],[Durchschnittsauslastung durch Sommer WTT]:[Durchschnittsauslastung max Winter SFN]])</f>
        <v>1.1000000000000001</v>
      </c>
      <c r="DE204" s="40">
        <f>Tabelle5897112140[[#This Row],[Durchschnittsauslastung min]]*Tabelle5897112140[[#This Row],[installierte Leistung MW min]]</f>
        <v>0</v>
      </c>
      <c r="DF204" s="40">
        <f>Tabelle5897112140[[#This Row],[Durchschnittsauslastung durch]]*Tabelle5897112140[[#This Row],[installierte Leistung MW durch]]</f>
        <v>241.1511666666666</v>
      </c>
      <c r="DG204" s="40">
        <f>Tabelle5897112140[[#This Row],[Durchschnittsauslastung max]]*Tabelle5897112140[[#This Row],[installierte Leistung MW max]]</f>
        <v>635.36000000000013</v>
      </c>
      <c r="DH204" s="46">
        <f>Tabelle5897112140[[#This Row],[Maximalauslastung min]]*Tabelle5897112140[[#This Row],[installierte Leistung MW min]]</f>
        <v>321.10000000000002</v>
      </c>
      <c r="DI204" s="46">
        <f>Tabelle5897112140[[#This Row],[Maximalauslastung durch]]*Tabelle5897112140[[#This Row],[installierte Leistung MW durch]]</f>
        <v>449.35</v>
      </c>
      <c r="DJ204" s="19">
        <f>Tabelle5897112140[[#This Row],[Maximalauslastung max]]*Tabelle5897112140[[#This Row],[installierte Leistung MW durch]]</f>
        <v>449.35</v>
      </c>
      <c r="DK204" s="9">
        <v>1</v>
      </c>
      <c r="DL204" s="9">
        <v>1</v>
      </c>
      <c r="DM204" s="9">
        <v>1</v>
      </c>
      <c r="DN204" s="1">
        <v>449.35</v>
      </c>
      <c r="DO204" s="1">
        <v>321.10000000000002</v>
      </c>
      <c r="DP204" s="1">
        <v>577.6</v>
      </c>
      <c r="DQ204" s="19"/>
      <c r="DR204" s="19"/>
      <c r="DW204" s="1">
        <v>0.3</v>
      </c>
      <c r="DX204" s="1">
        <v>0.26</v>
      </c>
      <c r="DY204" s="1">
        <v>0.34</v>
      </c>
      <c r="EL204" s="1">
        <v>365</v>
      </c>
      <c r="EM204" s="1">
        <v>292</v>
      </c>
      <c r="EN204" s="1">
        <v>438</v>
      </c>
      <c r="EO204" s="11"/>
      <c r="EP204" s="11"/>
      <c r="EQ204" s="11"/>
      <c r="ER204" s="1">
        <v>365</v>
      </c>
      <c r="ES204" s="1">
        <v>292</v>
      </c>
      <c r="ET204" s="1">
        <v>438</v>
      </c>
      <c r="EV204" s="19"/>
      <c r="EW204" s="19"/>
      <c r="EX204" s="19"/>
      <c r="EY204" s="19"/>
      <c r="EZ204" s="19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O204" s="1">
        <v>67</v>
      </c>
      <c r="FP204" s="1">
        <v>67</v>
      </c>
      <c r="FQ204" s="1">
        <v>67</v>
      </c>
      <c r="FR204" s="13" t="s">
        <v>806</v>
      </c>
      <c r="FS204" s="13" t="s">
        <v>806</v>
      </c>
      <c r="FT204" s="13" t="s">
        <v>806</v>
      </c>
      <c r="FU204" s="13"/>
      <c r="FV204" s="13" t="s">
        <v>806</v>
      </c>
      <c r="FW204" s="13" t="s">
        <v>806</v>
      </c>
      <c r="FX204" s="13" t="s">
        <v>806</v>
      </c>
      <c r="FY204" s="13" t="s">
        <v>806</v>
      </c>
      <c r="FZ204" s="13" t="s">
        <v>806</v>
      </c>
      <c r="GA204" s="13" t="s">
        <v>806</v>
      </c>
      <c r="GB204" s="13" t="s">
        <v>806</v>
      </c>
      <c r="GE204" s="13" t="s">
        <v>806</v>
      </c>
      <c r="GF204" s="13" t="s">
        <v>806</v>
      </c>
      <c r="GH204" s="13" t="s">
        <v>806</v>
      </c>
    </row>
    <row r="205" spans="1:190" ht="12.75" customHeight="1" x14ac:dyDescent="0.25">
      <c r="A205" s="1" t="s">
        <v>208</v>
      </c>
      <c r="B205" s="1" t="s">
        <v>651</v>
      </c>
      <c r="C205" s="1" t="s">
        <v>664</v>
      </c>
      <c r="D205" s="1" t="s">
        <v>699</v>
      </c>
      <c r="E205" s="1" t="s">
        <v>127</v>
      </c>
      <c r="F205" s="1">
        <v>0</v>
      </c>
      <c r="G205" s="1">
        <v>2030</v>
      </c>
      <c r="H205" s="1">
        <v>1</v>
      </c>
      <c r="I205" s="1">
        <v>0</v>
      </c>
      <c r="J205" s="1">
        <v>0</v>
      </c>
      <c r="K20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190.01986666666664</v>
      </c>
      <c r="M20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548.17280000000005</v>
      </c>
      <c r="N205" s="19">
        <v>374.23759999999999</v>
      </c>
      <c r="O205" s="19">
        <v>230.11040000000003</v>
      </c>
      <c r="P205" s="19">
        <v>548.17280000000005</v>
      </c>
      <c r="Q205" s="19">
        <v>0</v>
      </c>
      <c r="R205" s="19">
        <v>0</v>
      </c>
      <c r="S205" s="19">
        <v>55.936</v>
      </c>
      <c r="T205" s="19">
        <v>374.23759999999999</v>
      </c>
      <c r="U205" s="19">
        <v>230.11040000000003</v>
      </c>
      <c r="V205" s="19">
        <v>548.17280000000005</v>
      </c>
      <c r="W205" s="19">
        <v>0</v>
      </c>
      <c r="X205" s="19">
        <v>0</v>
      </c>
      <c r="Y205" s="19">
        <v>55.936</v>
      </c>
      <c r="Z205" s="19">
        <v>326.37</v>
      </c>
      <c r="AA205" s="19">
        <v>195.90479999999999</v>
      </c>
      <c r="AB205" s="19">
        <v>486.64320000000004</v>
      </c>
      <c r="AC205" s="19">
        <v>47.867600000000003</v>
      </c>
      <c r="AD205" s="19">
        <v>3.1095999999999999</v>
      </c>
      <c r="AE205" s="19">
        <v>117.46560000000001</v>
      </c>
      <c r="AF205" s="19">
        <v>317.66680000000002</v>
      </c>
      <c r="AG205" s="19">
        <v>189.68560000000002</v>
      </c>
      <c r="AH205" s="19">
        <v>475.45599999999996</v>
      </c>
      <c r="AI205" s="19">
        <v>56.570800000000006</v>
      </c>
      <c r="AJ205" s="19">
        <v>9.3288000000000011</v>
      </c>
      <c r="AK205" s="19">
        <v>128.65280000000001</v>
      </c>
      <c r="AL205" s="19">
        <v>317.66680000000002</v>
      </c>
      <c r="AM205" s="19">
        <v>189.68560000000002</v>
      </c>
      <c r="AN205" s="19">
        <v>475.45599999999996</v>
      </c>
      <c r="AO205" s="19">
        <v>56.570800000000006</v>
      </c>
      <c r="AP205" s="19">
        <v>9.3288000000000011</v>
      </c>
      <c r="AQ205" s="19">
        <v>128.65280000000001</v>
      </c>
      <c r="AR205" s="19">
        <v>0</v>
      </c>
      <c r="AS205" s="19">
        <v>0</v>
      </c>
      <c r="AT205" s="19">
        <v>67.123199999999997</v>
      </c>
      <c r="AU205" s="19">
        <v>374.23759999999999</v>
      </c>
      <c r="AV205" s="19">
        <v>236.3296</v>
      </c>
      <c r="AW205" s="19">
        <v>536.98559999999998</v>
      </c>
      <c r="AX205" s="19">
        <v>0</v>
      </c>
      <c r="AY205" s="19">
        <v>0</v>
      </c>
      <c r="AZ205" s="19">
        <v>0</v>
      </c>
      <c r="BA205" s="19">
        <v>426.45680000000004</v>
      </c>
      <c r="BB205" s="19">
        <v>273.64480000000003</v>
      </c>
      <c r="BC205" s="19">
        <v>559.36</v>
      </c>
      <c r="BD205" s="19">
        <v>0</v>
      </c>
      <c r="BE205" s="19">
        <v>0</v>
      </c>
      <c r="BF205" s="19">
        <v>0</v>
      </c>
      <c r="BG205" s="19">
        <v>426.45680000000004</v>
      </c>
      <c r="BH205" s="19">
        <v>273.64480000000003</v>
      </c>
      <c r="BI205" s="19">
        <v>559.36</v>
      </c>
      <c r="BJ205" s="19">
        <v>0</v>
      </c>
      <c r="BK205" s="19">
        <v>0</v>
      </c>
      <c r="BL205" s="19">
        <v>0</v>
      </c>
      <c r="BM205" s="19">
        <v>426.45680000000004</v>
      </c>
      <c r="BN205" s="19">
        <v>273.64480000000003</v>
      </c>
      <c r="BO205" s="19">
        <v>559.36</v>
      </c>
      <c r="BP205" s="19"/>
      <c r="BQ20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201.62413333333336</v>
      </c>
      <c r="BS20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559.36</v>
      </c>
      <c r="BT205" s="11">
        <f>Tabelle5897112140[[#This Row],[Mindestauslastung min]]*Tabelle5897112140[[#This Row],[installierte Leistung MW min]]</f>
        <v>37.315199999999997</v>
      </c>
      <c r="BU205" s="11">
        <f>Tabelle5897112140[[#This Row],[Mindestauslastung durch]]*Tabelle5897112140[[#This Row],[installierte Leistung MW durch]]</f>
        <v>60.92240000000001</v>
      </c>
      <c r="BV205" s="11">
        <f>Tabelle5897112140[[#This Row],[Mindestauslastung max]]*Tabelle5897112140[[#This Row],[installierte Leistung MW max]]</f>
        <v>89.497600000000006</v>
      </c>
      <c r="BW205" s="9">
        <v>0.12</v>
      </c>
      <c r="BX205" s="9">
        <v>0.14000000000000001</v>
      </c>
      <c r="BY205" s="9">
        <v>0.16</v>
      </c>
      <c r="BZ205" s="9"/>
      <c r="CA205" s="9">
        <v>1</v>
      </c>
      <c r="CB205" s="9">
        <v>0.9</v>
      </c>
      <c r="CC205" s="9">
        <v>1.1000000000000001</v>
      </c>
      <c r="CD205" s="9">
        <v>1</v>
      </c>
      <c r="CE205" s="9">
        <v>0.9</v>
      </c>
      <c r="CF205" s="9">
        <v>1.1000000000000001</v>
      </c>
      <c r="CG205" s="9">
        <v>0.89</v>
      </c>
      <c r="CH205" s="9">
        <v>0.79</v>
      </c>
      <c r="CI205" s="9">
        <v>0.99</v>
      </c>
      <c r="CJ205" s="9">
        <v>0.87</v>
      </c>
      <c r="CK205" s="9">
        <v>0.77</v>
      </c>
      <c r="CL205" s="9">
        <v>0.97</v>
      </c>
      <c r="CM205" s="9">
        <v>0.87</v>
      </c>
      <c r="CN205" s="9">
        <v>0.77</v>
      </c>
      <c r="CO205" s="9">
        <v>0.97</v>
      </c>
      <c r="CP205" s="9">
        <v>0.14000000000000001</v>
      </c>
      <c r="CQ205" s="9">
        <v>0.04</v>
      </c>
      <c r="CR205" s="9">
        <v>0.24</v>
      </c>
      <c r="CS205" s="9">
        <v>0.02</v>
      </c>
      <c r="CT205" s="9">
        <v>0</v>
      </c>
      <c r="CU205" s="9">
        <v>0.12</v>
      </c>
      <c r="CV205" s="9">
        <v>0.02</v>
      </c>
      <c r="CW205" s="9">
        <v>0</v>
      </c>
      <c r="CX205" s="9">
        <v>0.12</v>
      </c>
      <c r="CY205" s="9">
        <v>0.02</v>
      </c>
      <c r="CZ205" s="9">
        <v>0</v>
      </c>
      <c r="DA205" s="9">
        <v>0.12</v>
      </c>
      <c r="DB205" s="9">
        <f>MIN(Tabelle5897112140[[#This Row],[Durchschnittsauslastung durch Sommer WTT]:[Durchschnittsauslastung max Winter SFN]])</f>
        <v>0</v>
      </c>
      <c r="DC20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5" s="9">
        <f>MAX(Tabelle5897112140[[#This Row],[Durchschnittsauslastung durch Sommer WTT]:[Durchschnittsauslastung max Winter SFN]])</f>
        <v>1.1000000000000001</v>
      </c>
      <c r="DE205" s="40">
        <f>Tabelle5897112140[[#This Row],[Durchschnittsauslastung min]]*Tabelle5897112140[[#This Row],[installierte Leistung MW min]]</f>
        <v>0</v>
      </c>
      <c r="DF205" s="40">
        <f>Tabelle5897112140[[#This Row],[Durchschnittsauslastung durch]]*Tabelle5897112140[[#This Row],[installierte Leistung MW durch]]</f>
        <v>233.53586666666661</v>
      </c>
      <c r="DG205" s="40">
        <f>Tabelle5897112140[[#This Row],[Durchschnittsauslastung max]]*Tabelle5897112140[[#This Row],[installierte Leistung MW max]]</f>
        <v>615.29600000000005</v>
      </c>
      <c r="DH205" s="46">
        <f>Tabelle5897112140[[#This Row],[Maximalauslastung min]]*Tabelle5897112140[[#This Row],[installierte Leistung MW min]]</f>
        <v>310.95999999999998</v>
      </c>
      <c r="DI205" s="46">
        <f>Tabelle5897112140[[#This Row],[Maximalauslastung durch]]*Tabelle5897112140[[#This Row],[installierte Leistung MW durch]]</f>
        <v>435.16</v>
      </c>
      <c r="DJ205" s="19">
        <f>Tabelle5897112140[[#This Row],[Maximalauslastung max]]*Tabelle5897112140[[#This Row],[installierte Leistung MW durch]]</f>
        <v>435.16</v>
      </c>
      <c r="DK205" s="9">
        <v>1</v>
      </c>
      <c r="DL205" s="9">
        <v>1</v>
      </c>
      <c r="DM205" s="9">
        <v>1</v>
      </c>
      <c r="DN205" s="1">
        <v>435.16</v>
      </c>
      <c r="DO205" s="1">
        <v>310.95999999999998</v>
      </c>
      <c r="DP205" s="1">
        <v>559.36</v>
      </c>
      <c r="DQ205" s="19"/>
      <c r="DR205" s="19"/>
      <c r="DW205" s="1">
        <v>0.3</v>
      </c>
      <c r="DX205" s="1">
        <v>0.26</v>
      </c>
      <c r="DY205" s="1">
        <v>0.34</v>
      </c>
      <c r="EL205" s="1">
        <v>365</v>
      </c>
      <c r="EM205" s="1">
        <v>292</v>
      </c>
      <c r="EN205" s="1">
        <v>438</v>
      </c>
      <c r="EO205" s="11"/>
      <c r="EP205" s="11"/>
      <c r="EQ205" s="11"/>
      <c r="ER205" s="1">
        <v>365</v>
      </c>
      <c r="ES205" s="1">
        <v>292</v>
      </c>
      <c r="ET205" s="1">
        <v>438</v>
      </c>
      <c r="EV205" s="19"/>
      <c r="EW205" s="19"/>
      <c r="EX205" s="19"/>
      <c r="EY205" s="19"/>
      <c r="EZ205" s="19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O205" s="1">
        <v>67</v>
      </c>
      <c r="FP205" s="1">
        <v>67</v>
      </c>
      <c r="FQ205" s="1">
        <v>67</v>
      </c>
      <c r="FR205" s="13" t="s">
        <v>806</v>
      </c>
      <c r="FS205" s="13" t="s">
        <v>806</v>
      </c>
      <c r="FT205" s="13" t="s">
        <v>806</v>
      </c>
      <c r="FU205" s="13"/>
      <c r="FV205" s="13" t="s">
        <v>806</v>
      </c>
      <c r="FW205" s="13" t="s">
        <v>806</v>
      </c>
      <c r="FX205" s="13" t="s">
        <v>806</v>
      </c>
      <c r="FY205" s="13" t="s">
        <v>806</v>
      </c>
      <c r="FZ205" s="13" t="s">
        <v>806</v>
      </c>
      <c r="GA205" s="13" t="s">
        <v>806</v>
      </c>
      <c r="GB205" s="13" t="s">
        <v>806</v>
      </c>
      <c r="GE205" s="13" t="s">
        <v>806</v>
      </c>
      <c r="GF205" s="13" t="s">
        <v>806</v>
      </c>
      <c r="GH205" s="13" t="s">
        <v>806</v>
      </c>
    </row>
    <row r="206" spans="1:190" ht="12.75" customHeight="1" x14ac:dyDescent="0.25">
      <c r="A206" s="1" t="s">
        <v>208</v>
      </c>
      <c r="B206" s="1" t="s">
        <v>651</v>
      </c>
      <c r="C206" s="1" t="s">
        <v>664</v>
      </c>
      <c r="D206" s="1" t="s">
        <v>699</v>
      </c>
      <c r="E206" s="1" t="s">
        <v>127</v>
      </c>
      <c r="F206" s="1">
        <v>0</v>
      </c>
      <c r="G206" s="1">
        <v>2035</v>
      </c>
      <c r="H206" s="1">
        <v>1</v>
      </c>
      <c r="I206" s="1">
        <v>0</v>
      </c>
      <c r="J206" s="1">
        <v>0</v>
      </c>
      <c r="K20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183.82356666666666</v>
      </c>
      <c r="M20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530.29759999999999</v>
      </c>
      <c r="N206" s="19">
        <v>362.0342</v>
      </c>
      <c r="O206" s="19">
        <v>222.60680000000002</v>
      </c>
      <c r="P206" s="19">
        <v>530.29759999999999</v>
      </c>
      <c r="Q206" s="19">
        <v>0</v>
      </c>
      <c r="R206" s="19">
        <v>0</v>
      </c>
      <c r="S206" s="19">
        <v>54.111999999999995</v>
      </c>
      <c r="T206" s="19">
        <v>362.0342</v>
      </c>
      <c r="U206" s="19">
        <v>222.60680000000002</v>
      </c>
      <c r="V206" s="19">
        <v>530.29759999999999</v>
      </c>
      <c r="W206" s="19">
        <v>0</v>
      </c>
      <c r="X206" s="19">
        <v>0</v>
      </c>
      <c r="Y206" s="19">
        <v>54.111999999999995</v>
      </c>
      <c r="Z206" s="19">
        <v>315.72750000000002</v>
      </c>
      <c r="AA206" s="19">
        <v>189.51660000000001</v>
      </c>
      <c r="AB206" s="19">
        <v>470.77440000000001</v>
      </c>
      <c r="AC206" s="19">
        <v>46.306699999999999</v>
      </c>
      <c r="AD206" s="19">
        <v>3.0082</v>
      </c>
      <c r="AE206" s="19">
        <v>113.63520000000001</v>
      </c>
      <c r="AF206" s="19">
        <v>307.30810000000002</v>
      </c>
      <c r="AG206" s="19">
        <v>183.50020000000001</v>
      </c>
      <c r="AH206" s="19">
        <v>459.95199999999994</v>
      </c>
      <c r="AI206" s="19">
        <v>54.726100000000002</v>
      </c>
      <c r="AJ206" s="19">
        <v>9.0246000000000013</v>
      </c>
      <c r="AK206" s="19">
        <v>124.4576</v>
      </c>
      <c r="AL206" s="19">
        <v>307.30810000000002</v>
      </c>
      <c r="AM206" s="19">
        <v>183.50020000000001</v>
      </c>
      <c r="AN206" s="19">
        <v>459.95199999999994</v>
      </c>
      <c r="AO206" s="19">
        <v>54.726100000000002</v>
      </c>
      <c r="AP206" s="19">
        <v>9.0246000000000013</v>
      </c>
      <c r="AQ206" s="19">
        <v>124.4576</v>
      </c>
      <c r="AR206" s="19">
        <v>0</v>
      </c>
      <c r="AS206" s="19">
        <v>0</v>
      </c>
      <c r="AT206" s="19">
        <v>64.934399999999997</v>
      </c>
      <c r="AU206" s="19">
        <v>362.0342</v>
      </c>
      <c r="AV206" s="19">
        <v>228.6232</v>
      </c>
      <c r="AW206" s="19">
        <v>519.47519999999997</v>
      </c>
      <c r="AX206" s="19">
        <v>0</v>
      </c>
      <c r="AY206" s="19">
        <v>0</v>
      </c>
      <c r="AZ206" s="19">
        <v>0</v>
      </c>
      <c r="BA206" s="19">
        <v>412.55060000000003</v>
      </c>
      <c r="BB206" s="19">
        <v>264.72160000000002</v>
      </c>
      <c r="BC206" s="19">
        <v>541.12</v>
      </c>
      <c r="BD206" s="19">
        <v>0</v>
      </c>
      <c r="BE206" s="19">
        <v>0</v>
      </c>
      <c r="BF206" s="19">
        <v>0</v>
      </c>
      <c r="BG206" s="19">
        <v>412.55060000000003</v>
      </c>
      <c r="BH206" s="19">
        <v>264.72160000000002</v>
      </c>
      <c r="BI206" s="19">
        <v>541.12</v>
      </c>
      <c r="BJ206" s="19">
        <v>0</v>
      </c>
      <c r="BK206" s="19">
        <v>0</v>
      </c>
      <c r="BL206" s="19">
        <v>0</v>
      </c>
      <c r="BM206" s="19">
        <v>412.55060000000003</v>
      </c>
      <c r="BN206" s="19">
        <v>264.72160000000002</v>
      </c>
      <c r="BO206" s="19">
        <v>541.12</v>
      </c>
      <c r="BP206" s="19"/>
      <c r="BQ20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195.04943333333333</v>
      </c>
      <c r="BS20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541.12</v>
      </c>
      <c r="BT206" s="11">
        <f>Tabelle5897112140[[#This Row],[Mindestauslastung min]]*Tabelle5897112140[[#This Row],[installierte Leistung MW min]]</f>
        <v>36.098399999999998</v>
      </c>
      <c r="BU206" s="11">
        <f>Tabelle5897112140[[#This Row],[Mindestauslastung durch]]*Tabelle5897112140[[#This Row],[installierte Leistung MW durch]]</f>
        <v>58.935800000000008</v>
      </c>
      <c r="BV206" s="11">
        <f>Tabelle5897112140[[#This Row],[Mindestauslastung max]]*Tabelle5897112140[[#This Row],[installierte Leistung MW max]]</f>
        <v>86.5792</v>
      </c>
      <c r="BW206" s="9">
        <v>0.12</v>
      </c>
      <c r="BX206" s="9">
        <v>0.14000000000000001</v>
      </c>
      <c r="BY206" s="9">
        <v>0.16</v>
      </c>
      <c r="BZ206" s="9"/>
      <c r="CA206" s="9">
        <v>1</v>
      </c>
      <c r="CB206" s="9">
        <v>0.9</v>
      </c>
      <c r="CC206" s="9">
        <v>1.1000000000000001</v>
      </c>
      <c r="CD206" s="9">
        <v>1</v>
      </c>
      <c r="CE206" s="9">
        <v>0.9</v>
      </c>
      <c r="CF206" s="9">
        <v>1.1000000000000001</v>
      </c>
      <c r="CG206" s="9">
        <v>0.89</v>
      </c>
      <c r="CH206" s="9">
        <v>0.79</v>
      </c>
      <c r="CI206" s="9">
        <v>0.99</v>
      </c>
      <c r="CJ206" s="9">
        <v>0.87</v>
      </c>
      <c r="CK206" s="9">
        <v>0.77</v>
      </c>
      <c r="CL206" s="9">
        <v>0.97</v>
      </c>
      <c r="CM206" s="9">
        <v>0.87</v>
      </c>
      <c r="CN206" s="9">
        <v>0.77</v>
      </c>
      <c r="CO206" s="9">
        <v>0.97</v>
      </c>
      <c r="CP206" s="9">
        <v>0.14000000000000001</v>
      </c>
      <c r="CQ206" s="9">
        <v>0.04</v>
      </c>
      <c r="CR206" s="9">
        <v>0.24</v>
      </c>
      <c r="CS206" s="9">
        <v>0.02</v>
      </c>
      <c r="CT206" s="9">
        <v>0</v>
      </c>
      <c r="CU206" s="9">
        <v>0.12</v>
      </c>
      <c r="CV206" s="9">
        <v>0.02</v>
      </c>
      <c r="CW206" s="9">
        <v>0</v>
      </c>
      <c r="CX206" s="9">
        <v>0.12</v>
      </c>
      <c r="CY206" s="9">
        <v>0.02</v>
      </c>
      <c r="CZ206" s="9">
        <v>0</v>
      </c>
      <c r="DA206" s="9">
        <v>0.12</v>
      </c>
      <c r="DB206" s="9">
        <f>MIN(Tabelle5897112140[[#This Row],[Durchschnittsauslastung durch Sommer WTT]:[Durchschnittsauslastung max Winter SFN]])</f>
        <v>0</v>
      </c>
      <c r="DC20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6" s="9">
        <f>MAX(Tabelle5897112140[[#This Row],[Durchschnittsauslastung durch Sommer WTT]:[Durchschnittsauslastung max Winter SFN]])</f>
        <v>1.1000000000000001</v>
      </c>
      <c r="DE206" s="40">
        <f>Tabelle5897112140[[#This Row],[Durchschnittsauslastung min]]*Tabelle5897112140[[#This Row],[installierte Leistung MW min]]</f>
        <v>0</v>
      </c>
      <c r="DF206" s="40">
        <f>Tabelle5897112140[[#This Row],[Durchschnittsauslastung durch]]*Tabelle5897112140[[#This Row],[installierte Leistung MW durch]]</f>
        <v>225.92056666666662</v>
      </c>
      <c r="DG206" s="40">
        <f>Tabelle5897112140[[#This Row],[Durchschnittsauslastung max]]*Tabelle5897112140[[#This Row],[installierte Leistung MW max]]</f>
        <v>595.23200000000008</v>
      </c>
      <c r="DH206" s="46">
        <f>Tabelle5897112140[[#This Row],[Maximalauslastung min]]*Tabelle5897112140[[#This Row],[installierte Leistung MW min]]</f>
        <v>300.82</v>
      </c>
      <c r="DI206" s="46">
        <f>Tabelle5897112140[[#This Row],[Maximalauslastung durch]]*Tabelle5897112140[[#This Row],[installierte Leistung MW durch]]</f>
        <v>420.97</v>
      </c>
      <c r="DJ206" s="19">
        <f>Tabelle5897112140[[#This Row],[Maximalauslastung max]]*Tabelle5897112140[[#This Row],[installierte Leistung MW durch]]</f>
        <v>420.97</v>
      </c>
      <c r="DK206" s="9">
        <v>1</v>
      </c>
      <c r="DL206" s="9">
        <v>1</v>
      </c>
      <c r="DM206" s="9">
        <v>1</v>
      </c>
      <c r="DN206" s="1">
        <v>420.97</v>
      </c>
      <c r="DO206" s="1">
        <v>300.82</v>
      </c>
      <c r="DP206" s="1">
        <v>541.12</v>
      </c>
      <c r="DQ206" s="19"/>
      <c r="DR206" s="19"/>
      <c r="DW206" s="1">
        <v>0.3</v>
      </c>
      <c r="DX206" s="1">
        <v>0.26</v>
      </c>
      <c r="DY206" s="1">
        <v>0.34</v>
      </c>
      <c r="EL206" s="1">
        <v>365</v>
      </c>
      <c r="EM206" s="1">
        <v>292</v>
      </c>
      <c r="EN206" s="1">
        <v>438</v>
      </c>
      <c r="EO206" s="11"/>
      <c r="EP206" s="11"/>
      <c r="EQ206" s="11"/>
      <c r="ER206" s="1">
        <v>365</v>
      </c>
      <c r="ES206" s="1">
        <v>292</v>
      </c>
      <c r="ET206" s="1">
        <v>438</v>
      </c>
      <c r="EV206" s="19"/>
      <c r="EW206" s="19"/>
      <c r="EX206" s="19"/>
      <c r="EY206" s="19"/>
      <c r="EZ206" s="19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O206" s="1">
        <v>67</v>
      </c>
      <c r="FP206" s="1">
        <v>67</v>
      </c>
      <c r="FQ206" s="1">
        <v>67</v>
      </c>
      <c r="FR206" s="13" t="s">
        <v>806</v>
      </c>
      <c r="FS206" s="13" t="s">
        <v>806</v>
      </c>
      <c r="FT206" s="13" t="s">
        <v>806</v>
      </c>
      <c r="FU206" s="13"/>
      <c r="FV206" s="13" t="s">
        <v>806</v>
      </c>
      <c r="FW206" s="13" t="s">
        <v>806</v>
      </c>
      <c r="FX206" s="13" t="s">
        <v>806</v>
      </c>
      <c r="FY206" s="13" t="s">
        <v>806</v>
      </c>
      <c r="FZ206" s="13" t="s">
        <v>806</v>
      </c>
      <c r="GA206" s="13" t="s">
        <v>806</v>
      </c>
      <c r="GB206" s="13" t="s">
        <v>806</v>
      </c>
      <c r="GE206" s="13" t="s">
        <v>806</v>
      </c>
      <c r="GF206" s="13" t="s">
        <v>806</v>
      </c>
      <c r="GH206" s="13" t="s">
        <v>806</v>
      </c>
    </row>
    <row r="207" spans="1:190" ht="12.75" customHeight="1" x14ac:dyDescent="0.25">
      <c r="A207" s="1" t="s">
        <v>208</v>
      </c>
      <c r="B207" s="1" t="s">
        <v>651</v>
      </c>
      <c r="C207" s="1" t="s">
        <v>664</v>
      </c>
      <c r="D207" s="1" t="s">
        <v>699</v>
      </c>
      <c r="E207" s="1" t="s">
        <v>127</v>
      </c>
      <c r="F207" s="1">
        <v>0</v>
      </c>
      <c r="G207" s="1">
        <v>2040</v>
      </c>
      <c r="H207" s="1">
        <v>1</v>
      </c>
      <c r="I207" s="1">
        <v>0</v>
      </c>
      <c r="J207" s="1">
        <v>0</v>
      </c>
      <c r="K20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179.69269999999997</v>
      </c>
      <c r="M20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518.38080000000002</v>
      </c>
      <c r="N207" s="19">
        <v>353.89859999999999</v>
      </c>
      <c r="O207" s="19">
        <v>217.6044</v>
      </c>
      <c r="P207" s="19">
        <v>518.38080000000002</v>
      </c>
      <c r="Q207" s="19">
        <v>0</v>
      </c>
      <c r="R207" s="19">
        <v>0</v>
      </c>
      <c r="S207" s="19">
        <v>52.896000000000001</v>
      </c>
      <c r="T207" s="19">
        <v>353.89859999999999</v>
      </c>
      <c r="U207" s="19">
        <v>217.6044</v>
      </c>
      <c r="V207" s="19">
        <v>518.38080000000002</v>
      </c>
      <c r="W207" s="19">
        <v>0</v>
      </c>
      <c r="X207" s="19">
        <v>0</v>
      </c>
      <c r="Y207" s="19">
        <v>52.896000000000001</v>
      </c>
      <c r="Z207" s="19">
        <v>308.63249999999999</v>
      </c>
      <c r="AA207" s="19">
        <v>185.2578</v>
      </c>
      <c r="AB207" s="19">
        <v>460.19520000000006</v>
      </c>
      <c r="AC207" s="19">
        <v>45.266100000000002</v>
      </c>
      <c r="AD207" s="19">
        <v>2.9405999999999999</v>
      </c>
      <c r="AE207" s="19">
        <v>111.08160000000001</v>
      </c>
      <c r="AF207" s="19">
        <v>300.40230000000003</v>
      </c>
      <c r="AG207" s="19">
        <v>179.3766</v>
      </c>
      <c r="AH207" s="19">
        <v>449.61599999999999</v>
      </c>
      <c r="AI207" s="19">
        <v>53.496299999999998</v>
      </c>
      <c r="AJ207" s="19">
        <v>8.8217999999999996</v>
      </c>
      <c r="AK207" s="19">
        <v>121.66080000000001</v>
      </c>
      <c r="AL207" s="19">
        <v>300.40230000000003</v>
      </c>
      <c r="AM207" s="19">
        <v>179.3766</v>
      </c>
      <c r="AN207" s="19">
        <v>449.61599999999999</v>
      </c>
      <c r="AO207" s="19">
        <v>53.496299999999998</v>
      </c>
      <c r="AP207" s="19">
        <v>8.8217999999999996</v>
      </c>
      <c r="AQ207" s="19">
        <v>121.66080000000001</v>
      </c>
      <c r="AR207" s="19">
        <v>0</v>
      </c>
      <c r="AS207" s="19">
        <v>0</v>
      </c>
      <c r="AT207" s="19">
        <v>63.475199999999994</v>
      </c>
      <c r="AU207" s="19">
        <v>353.89859999999999</v>
      </c>
      <c r="AV207" s="19">
        <v>223.48560000000001</v>
      </c>
      <c r="AW207" s="19">
        <v>507.80159999999995</v>
      </c>
      <c r="AX207" s="19">
        <v>0</v>
      </c>
      <c r="AY207" s="19">
        <v>0</v>
      </c>
      <c r="AZ207" s="19">
        <v>0</v>
      </c>
      <c r="BA207" s="19">
        <v>403.27980000000002</v>
      </c>
      <c r="BB207" s="19">
        <v>258.77280000000002</v>
      </c>
      <c r="BC207" s="19">
        <v>528.96</v>
      </c>
      <c r="BD207" s="19">
        <v>0</v>
      </c>
      <c r="BE207" s="19">
        <v>0</v>
      </c>
      <c r="BF207" s="19">
        <v>0</v>
      </c>
      <c r="BG207" s="19">
        <v>403.27980000000002</v>
      </c>
      <c r="BH207" s="19">
        <v>258.77280000000002</v>
      </c>
      <c r="BI207" s="19">
        <v>528.96</v>
      </c>
      <c r="BJ207" s="19">
        <v>0</v>
      </c>
      <c r="BK207" s="19">
        <v>0</v>
      </c>
      <c r="BL207" s="19">
        <v>0</v>
      </c>
      <c r="BM207" s="19">
        <v>403.27980000000002</v>
      </c>
      <c r="BN207" s="19">
        <v>258.77280000000002</v>
      </c>
      <c r="BO207" s="19">
        <v>528.96</v>
      </c>
      <c r="BP207" s="19"/>
      <c r="BQ20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190.66629999999998</v>
      </c>
      <c r="BS20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528.96</v>
      </c>
      <c r="BT207" s="11">
        <f>Tabelle5897112140[[#This Row],[Mindestauslastung min]]*Tabelle5897112140[[#This Row],[installierte Leistung MW min]]</f>
        <v>35.287199999999999</v>
      </c>
      <c r="BU207" s="11">
        <f>Tabelle5897112140[[#This Row],[Mindestauslastung durch]]*Tabelle5897112140[[#This Row],[installierte Leistung MW durch]]</f>
        <v>57.611400000000003</v>
      </c>
      <c r="BV207" s="11">
        <f>Tabelle5897112140[[#This Row],[Mindestauslastung max]]*Tabelle5897112140[[#This Row],[installierte Leistung MW max]]</f>
        <v>84.633600000000001</v>
      </c>
      <c r="BW207" s="9">
        <v>0.12</v>
      </c>
      <c r="BX207" s="9">
        <v>0.14000000000000001</v>
      </c>
      <c r="BY207" s="9">
        <v>0.16</v>
      </c>
      <c r="BZ207" s="9"/>
      <c r="CA207" s="9">
        <v>1</v>
      </c>
      <c r="CB207" s="9">
        <v>0.9</v>
      </c>
      <c r="CC207" s="9">
        <v>1.1000000000000001</v>
      </c>
      <c r="CD207" s="9">
        <v>1</v>
      </c>
      <c r="CE207" s="9">
        <v>0.9</v>
      </c>
      <c r="CF207" s="9">
        <v>1.1000000000000001</v>
      </c>
      <c r="CG207" s="9">
        <v>0.89</v>
      </c>
      <c r="CH207" s="9">
        <v>0.79</v>
      </c>
      <c r="CI207" s="9">
        <v>0.99</v>
      </c>
      <c r="CJ207" s="9">
        <v>0.87</v>
      </c>
      <c r="CK207" s="9">
        <v>0.77</v>
      </c>
      <c r="CL207" s="9">
        <v>0.97</v>
      </c>
      <c r="CM207" s="9">
        <v>0.87</v>
      </c>
      <c r="CN207" s="9">
        <v>0.77</v>
      </c>
      <c r="CO207" s="9">
        <v>0.97</v>
      </c>
      <c r="CP207" s="9">
        <v>0.14000000000000001</v>
      </c>
      <c r="CQ207" s="9">
        <v>0.04</v>
      </c>
      <c r="CR207" s="9">
        <v>0.24</v>
      </c>
      <c r="CS207" s="9">
        <v>0.02</v>
      </c>
      <c r="CT207" s="9">
        <v>0</v>
      </c>
      <c r="CU207" s="9">
        <v>0.12</v>
      </c>
      <c r="CV207" s="9">
        <v>0.02</v>
      </c>
      <c r="CW207" s="9">
        <v>0</v>
      </c>
      <c r="CX207" s="9">
        <v>0.12</v>
      </c>
      <c r="CY207" s="9">
        <v>0.02</v>
      </c>
      <c r="CZ207" s="9">
        <v>0</v>
      </c>
      <c r="DA207" s="9">
        <v>0.12</v>
      </c>
      <c r="DB207" s="9">
        <f>MIN(Tabelle5897112140[[#This Row],[Durchschnittsauslastung durch Sommer WTT]:[Durchschnittsauslastung max Winter SFN]])</f>
        <v>0</v>
      </c>
      <c r="DC20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7" s="9">
        <f>MAX(Tabelle5897112140[[#This Row],[Durchschnittsauslastung durch Sommer WTT]:[Durchschnittsauslastung max Winter SFN]])</f>
        <v>1.1000000000000001</v>
      </c>
      <c r="DE207" s="40">
        <f>Tabelle5897112140[[#This Row],[Durchschnittsauslastung min]]*Tabelle5897112140[[#This Row],[installierte Leistung MW min]]</f>
        <v>0</v>
      </c>
      <c r="DF207" s="40">
        <f>Tabelle5897112140[[#This Row],[Durchschnittsauslastung durch]]*Tabelle5897112140[[#This Row],[installierte Leistung MW durch]]</f>
        <v>220.84369999999993</v>
      </c>
      <c r="DG207" s="40">
        <f>Tabelle5897112140[[#This Row],[Durchschnittsauslastung max]]*Tabelle5897112140[[#This Row],[installierte Leistung MW max]]</f>
        <v>581.85600000000011</v>
      </c>
      <c r="DH207" s="46">
        <f>Tabelle5897112140[[#This Row],[Maximalauslastung min]]*Tabelle5897112140[[#This Row],[installierte Leistung MW min]]</f>
        <v>294.06</v>
      </c>
      <c r="DI207" s="46">
        <f>Tabelle5897112140[[#This Row],[Maximalauslastung durch]]*Tabelle5897112140[[#This Row],[installierte Leistung MW durch]]</f>
        <v>411.51</v>
      </c>
      <c r="DJ207" s="19">
        <f>Tabelle5897112140[[#This Row],[Maximalauslastung max]]*Tabelle5897112140[[#This Row],[installierte Leistung MW durch]]</f>
        <v>411.51</v>
      </c>
      <c r="DK207" s="9">
        <v>1</v>
      </c>
      <c r="DL207" s="9">
        <v>1</v>
      </c>
      <c r="DM207" s="9">
        <v>1</v>
      </c>
      <c r="DN207" s="1">
        <v>411.51</v>
      </c>
      <c r="DO207" s="1">
        <v>294.06</v>
      </c>
      <c r="DP207" s="1">
        <v>528.96</v>
      </c>
      <c r="DQ207" s="19"/>
      <c r="DR207" s="19"/>
      <c r="DW207" s="1">
        <v>0.3</v>
      </c>
      <c r="DX207" s="1">
        <v>0.26</v>
      </c>
      <c r="DY207" s="1">
        <v>0.34</v>
      </c>
      <c r="EL207" s="1">
        <v>365</v>
      </c>
      <c r="EM207" s="1">
        <v>292</v>
      </c>
      <c r="EN207" s="1">
        <v>438</v>
      </c>
      <c r="EO207" s="11"/>
      <c r="EP207" s="11"/>
      <c r="EQ207" s="11"/>
      <c r="ER207" s="1">
        <v>365</v>
      </c>
      <c r="ES207" s="1">
        <v>292</v>
      </c>
      <c r="ET207" s="1">
        <v>438</v>
      </c>
      <c r="EV207" s="19"/>
      <c r="EW207" s="19"/>
      <c r="EX207" s="19"/>
      <c r="EY207" s="19"/>
      <c r="EZ207" s="19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O207" s="1">
        <v>67</v>
      </c>
      <c r="FP207" s="1">
        <v>67</v>
      </c>
      <c r="FQ207" s="1">
        <v>67</v>
      </c>
      <c r="FR207" s="13" t="s">
        <v>806</v>
      </c>
      <c r="FS207" s="13" t="s">
        <v>806</v>
      </c>
      <c r="FT207" s="13" t="s">
        <v>806</v>
      </c>
      <c r="FU207" s="13"/>
      <c r="FV207" s="13" t="s">
        <v>806</v>
      </c>
      <c r="FW207" s="13" t="s">
        <v>806</v>
      </c>
      <c r="FX207" s="13" t="s">
        <v>806</v>
      </c>
      <c r="FY207" s="13" t="s">
        <v>806</v>
      </c>
      <c r="FZ207" s="13" t="s">
        <v>806</v>
      </c>
      <c r="GA207" s="13" t="s">
        <v>806</v>
      </c>
      <c r="GB207" s="13" t="s">
        <v>806</v>
      </c>
      <c r="GE207" s="13" t="s">
        <v>806</v>
      </c>
      <c r="GF207" s="13" t="s">
        <v>806</v>
      </c>
      <c r="GH207" s="13" t="s">
        <v>806</v>
      </c>
    </row>
    <row r="208" spans="1:190" ht="12.75" customHeight="1" x14ac:dyDescent="0.25">
      <c r="A208" s="1" t="s">
        <v>208</v>
      </c>
      <c r="B208" s="1" t="s">
        <v>651</v>
      </c>
      <c r="C208" s="1" t="s">
        <v>664</v>
      </c>
      <c r="D208" s="1" t="s">
        <v>699</v>
      </c>
      <c r="E208" s="1" t="s">
        <v>127</v>
      </c>
      <c r="F208" s="1">
        <v>0</v>
      </c>
      <c r="G208" s="1">
        <v>2045</v>
      </c>
      <c r="H208" s="1">
        <v>1</v>
      </c>
      <c r="I208" s="1">
        <v>0</v>
      </c>
      <c r="J208" s="1">
        <v>0</v>
      </c>
      <c r="K20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173.49639999999999</v>
      </c>
      <c r="M20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500.50560000000002</v>
      </c>
      <c r="N208" s="19">
        <v>341.69519999999994</v>
      </c>
      <c r="O208" s="19">
        <v>210.10079999999999</v>
      </c>
      <c r="P208" s="19">
        <v>500.50560000000002</v>
      </c>
      <c r="Q208" s="19">
        <v>0</v>
      </c>
      <c r="R208" s="19">
        <v>0</v>
      </c>
      <c r="S208" s="19">
        <v>51.071999999999996</v>
      </c>
      <c r="T208" s="19">
        <v>341.69519999999994</v>
      </c>
      <c r="U208" s="19">
        <v>210.10079999999999</v>
      </c>
      <c r="V208" s="19">
        <v>500.50560000000002</v>
      </c>
      <c r="W208" s="19">
        <v>0</v>
      </c>
      <c r="X208" s="19">
        <v>0</v>
      </c>
      <c r="Y208" s="19">
        <v>51.071999999999996</v>
      </c>
      <c r="Z208" s="19">
        <v>297.99</v>
      </c>
      <c r="AA208" s="19">
        <v>178.86959999999999</v>
      </c>
      <c r="AB208" s="19">
        <v>444.32640000000004</v>
      </c>
      <c r="AC208" s="19">
        <v>43.705199999999998</v>
      </c>
      <c r="AD208" s="19">
        <v>2.8391999999999999</v>
      </c>
      <c r="AE208" s="19">
        <v>107.2512</v>
      </c>
      <c r="AF208" s="19">
        <v>290.04360000000003</v>
      </c>
      <c r="AG208" s="19">
        <v>173.19120000000001</v>
      </c>
      <c r="AH208" s="19">
        <v>434.11199999999997</v>
      </c>
      <c r="AI208" s="19">
        <v>51.651600000000002</v>
      </c>
      <c r="AJ208" s="19">
        <v>8.5175999999999998</v>
      </c>
      <c r="AK208" s="19">
        <v>117.46559999999999</v>
      </c>
      <c r="AL208" s="19">
        <v>290.04360000000003</v>
      </c>
      <c r="AM208" s="19">
        <v>173.19120000000001</v>
      </c>
      <c r="AN208" s="19">
        <v>434.11199999999997</v>
      </c>
      <c r="AO208" s="19">
        <v>51.651600000000002</v>
      </c>
      <c r="AP208" s="19">
        <v>8.5175999999999998</v>
      </c>
      <c r="AQ208" s="19">
        <v>117.46559999999999</v>
      </c>
      <c r="AR208" s="19">
        <v>0</v>
      </c>
      <c r="AS208" s="19">
        <v>0</v>
      </c>
      <c r="AT208" s="19">
        <v>61.286399999999993</v>
      </c>
      <c r="AU208" s="19">
        <v>341.69519999999994</v>
      </c>
      <c r="AV208" s="19">
        <v>215.77919999999997</v>
      </c>
      <c r="AW208" s="19">
        <v>490.29119999999995</v>
      </c>
      <c r="AX208" s="19">
        <v>0</v>
      </c>
      <c r="AY208" s="19">
        <v>0</v>
      </c>
      <c r="AZ208" s="19">
        <v>0</v>
      </c>
      <c r="BA208" s="19">
        <v>389.37360000000001</v>
      </c>
      <c r="BB208" s="19">
        <v>249.84959999999998</v>
      </c>
      <c r="BC208" s="19">
        <v>510.71999999999997</v>
      </c>
      <c r="BD208" s="19">
        <v>0</v>
      </c>
      <c r="BE208" s="19">
        <v>0</v>
      </c>
      <c r="BF208" s="19">
        <v>0</v>
      </c>
      <c r="BG208" s="19">
        <v>389.37360000000001</v>
      </c>
      <c r="BH208" s="19">
        <v>249.84959999999998</v>
      </c>
      <c r="BI208" s="19">
        <v>510.71999999999997</v>
      </c>
      <c r="BJ208" s="19">
        <v>0</v>
      </c>
      <c r="BK208" s="19">
        <v>0</v>
      </c>
      <c r="BL208" s="19">
        <v>0</v>
      </c>
      <c r="BM208" s="19">
        <v>389.37360000000001</v>
      </c>
      <c r="BN208" s="19">
        <v>249.84959999999998</v>
      </c>
      <c r="BO208" s="19">
        <v>510.71999999999997</v>
      </c>
      <c r="BP208" s="19"/>
      <c r="BQ20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184.0916</v>
      </c>
      <c r="BS20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510.71999999999997</v>
      </c>
      <c r="BT208" s="11">
        <f>Tabelle5897112140[[#This Row],[Mindestauslastung min]]*Tabelle5897112140[[#This Row],[installierte Leistung MW min]]</f>
        <v>34.070399999999999</v>
      </c>
      <c r="BU208" s="11">
        <f>Tabelle5897112140[[#This Row],[Mindestauslastung durch]]*Tabelle5897112140[[#This Row],[installierte Leistung MW durch]]</f>
        <v>55.624800000000008</v>
      </c>
      <c r="BV208" s="11">
        <f>Tabelle5897112140[[#This Row],[Mindestauslastung max]]*Tabelle5897112140[[#This Row],[installierte Leistung MW max]]</f>
        <v>81.71520000000001</v>
      </c>
      <c r="BW208" s="9">
        <v>0.12</v>
      </c>
      <c r="BX208" s="9">
        <v>0.14000000000000001</v>
      </c>
      <c r="BY208" s="9">
        <v>0.16</v>
      </c>
      <c r="BZ208" s="9"/>
      <c r="CA208" s="9">
        <v>1</v>
      </c>
      <c r="CB208" s="9">
        <v>0.9</v>
      </c>
      <c r="CC208" s="9">
        <v>1.1000000000000001</v>
      </c>
      <c r="CD208" s="9">
        <v>1</v>
      </c>
      <c r="CE208" s="9">
        <v>0.9</v>
      </c>
      <c r="CF208" s="9">
        <v>1.1000000000000001</v>
      </c>
      <c r="CG208" s="9">
        <v>0.89</v>
      </c>
      <c r="CH208" s="9">
        <v>0.79</v>
      </c>
      <c r="CI208" s="9">
        <v>0.99</v>
      </c>
      <c r="CJ208" s="9">
        <v>0.87</v>
      </c>
      <c r="CK208" s="9">
        <v>0.77</v>
      </c>
      <c r="CL208" s="9">
        <v>0.97</v>
      </c>
      <c r="CM208" s="9">
        <v>0.87</v>
      </c>
      <c r="CN208" s="9">
        <v>0.77</v>
      </c>
      <c r="CO208" s="9">
        <v>0.97</v>
      </c>
      <c r="CP208" s="9">
        <v>0.14000000000000001</v>
      </c>
      <c r="CQ208" s="9">
        <v>0.04</v>
      </c>
      <c r="CR208" s="9">
        <v>0.24</v>
      </c>
      <c r="CS208" s="9">
        <v>0.02</v>
      </c>
      <c r="CT208" s="9">
        <v>0</v>
      </c>
      <c r="CU208" s="9">
        <v>0.12</v>
      </c>
      <c r="CV208" s="9">
        <v>0.02</v>
      </c>
      <c r="CW208" s="9">
        <v>0</v>
      </c>
      <c r="CX208" s="9">
        <v>0.12</v>
      </c>
      <c r="CY208" s="9">
        <v>0.02</v>
      </c>
      <c r="CZ208" s="9">
        <v>0</v>
      </c>
      <c r="DA208" s="9">
        <v>0.12</v>
      </c>
      <c r="DB208" s="9">
        <f>MIN(Tabelle5897112140[[#This Row],[Durchschnittsauslastung durch Sommer WTT]:[Durchschnittsauslastung max Winter SFN]])</f>
        <v>0</v>
      </c>
      <c r="DC20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8" s="9">
        <f>MAX(Tabelle5897112140[[#This Row],[Durchschnittsauslastung durch Sommer WTT]:[Durchschnittsauslastung max Winter SFN]])</f>
        <v>1.1000000000000001</v>
      </c>
      <c r="DE208" s="40">
        <f>Tabelle5897112140[[#This Row],[Durchschnittsauslastung min]]*Tabelle5897112140[[#This Row],[installierte Leistung MW min]]</f>
        <v>0</v>
      </c>
      <c r="DF208" s="40">
        <f>Tabelle5897112140[[#This Row],[Durchschnittsauslastung durch]]*Tabelle5897112140[[#This Row],[installierte Leistung MW durch]]</f>
        <v>213.22839999999994</v>
      </c>
      <c r="DG208" s="40">
        <f>Tabelle5897112140[[#This Row],[Durchschnittsauslastung max]]*Tabelle5897112140[[#This Row],[installierte Leistung MW max]]</f>
        <v>561.79200000000003</v>
      </c>
      <c r="DH208" s="46">
        <f>Tabelle5897112140[[#This Row],[Maximalauslastung min]]*Tabelle5897112140[[#This Row],[installierte Leistung MW min]]</f>
        <v>283.92</v>
      </c>
      <c r="DI208" s="46">
        <f>Tabelle5897112140[[#This Row],[Maximalauslastung durch]]*Tabelle5897112140[[#This Row],[installierte Leistung MW durch]]</f>
        <v>397.32</v>
      </c>
      <c r="DJ208" s="19">
        <f>Tabelle5897112140[[#This Row],[Maximalauslastung max]]*Tabelle5897112140[[#This Row],[installierte Leistung MW durch]]</f>
        <v>397.32</v>
      </c>
      <c r="DK208" s="9">
        <v>1</v>
      </c>
      <c r="DL208" s="9">
        <v>1</v>
      </c>
      <c r="DM208" s="9">
        <v>1</v>
      </c>
      <c r="DN208" s="1">
        <v>397.32</v>
      </c>
      <c r="DO208" s="1">
        <v>283.92</v>
      </c>
      <c r="DP208" s="1">
        <v>510.72</v>
      </c>
      <c r="DQ208" s="19"/>
      <c r="DR208" s="19"/>
      <c r="DW208" s="1">
        <v>0.3</v>
      </c>
      <c r="DX208" s="1">
        <v>0.26</v>
      </c>
      <c r="DY208" s="1">
        <v>0.34</v>
      </c>
      <c r="EL208" s="1">
        <v>365</v>
      </c>
      <c r="EM208" s="1">
        <v>292</v>
      </c>
      <c r="EN208" s="1">
        <v>438</v>
      </c>
      <c r="EO208" s="11"/>
      <c r="EP208" s="11"/>
      <c r="EQ208" s="11"/>
      <c r="ER208" s="1">
        <v>365</v>
      </c>
      <c r="ES208" s="1">
        <v>292</v>
      </c>
      <c r="ET208" s="1">
        <v>438</v>
      </c>
      <c r="EV208" s="19"/>
      <c r="EW208" s="19"/>
      <c r="EX208" s="19"/>
      <c r="EY208" s="19"/>
      <c r="EZ208" s="19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O208" s="1">
        <v>67</v>
      </c>
      <c r="FP208" s="1">
        <v>67</v>
      </c>
      <c r="FQ208" s="1">
        <v>67</v>
      </c>
      <c r="FR208" s="13" t="s">
        <v>806</v>
      </c>
      <c r="FS208" s="13" t="s">
        <v>806</v>
      </c>
      <c r="FT208" s="13" t="s">
        <v>806</v>
      </c>
      <c r="FU208" s="13"/>
      <c r="FV208" s="13" t="s">
        <v>806</v>
      </c>
      <c r="FW208" s="13" t="s">
        <v>806</v>
      </c>
      <c r="FX208" s="13" t="s">
        <v>806</v>
      </c>
      <c r="FY208" s="13" t="s">
        <v>806</v>
      </c>
      <c r="FZ208" s="13" t="s">
        <v>806</v>
      </c>
      <c r="GA208" s="13" t="s">
        <v>806</v>
      </c>
      <c r="GB208" s="13" t="s">
        <v>806</v>
      </c>
      <c r="GE208" s="13" t="s">
        <v>806</v>
      </c>
      <c r="GF208" s="13" t="s">
        <v>806</v>
      </c>
      <c r="GH208" s="13" t="s">
        <v>806</v>
      </c>
    </row>
    <row r="209" spans="1:190" ht="12.75" customHeight="1" x14ac:dyDescent="0.25">
      <c r="A209" s="1" t="s">
        <v>208</v>
      </c>
      <c r="B209" s="1" t="s">
        <v>651</v>
      </c>
      <c r="C209" s="1" t="s">
        <v>664</v>
      </c>
      <c r="D209" s="1" t="s">
        <v>699</v>
      </c>
      <c r="E209" s="1" t="s">
        <v>127</v>
      </c>
      <c r="F209" s="1">
        <v>0</v>
      </c>
      <c r="G209" s="1">
        <v>2050</v>
      </c>
      <c r="H209" s="1">
        <v>1</v>
      </c>
      <c r="I209" s="1">
        <v>0</v>
      </c>
      <c r="J209" s="1">
        <v>0</v>
      </c>
      <c r="K20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169.3655333333333</v>
      </c>
      <c r="M20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488.58879999999999</v>
      </c>
      <c r="N209" s="19">
        <v>333.55959999999993</v>
      </c>
      <c r="O209" s="19">
        <v>205.0984</v>
      </c>
      <c r="P209" s="19">
        <v>488.58879999999999</v>
      </c>
      <c r="Q209" s="19">
        <v>0</v>
      </c>
      <c r="R209" s="19">
        <v>0</v>
      </c>
      <c r="S209" s="19">
        <v>49.855999999999995</v>
      </c>
      <c r="T209" s="19">
        <v>333.55959999999993</v>
      </c>
      <c r="U209" s="19">
        <v>205.0984</v>
      </c>
      <c r="V209" s="19">
        <v>488.58879999999999</v>
      </c>
      <c r="W209" s="19">
        <v>0</v>
      </c>
      <c r="X209" s="19">
        <v>0</v>
      </c>
      <c r="Y209" s="19">
        <v>49.855999999999995</v>
      </c>
      <c r="Z209" s="19">
        <v>290.89499999999998</v>
      </c>
      <c r="AA209" s="19">
        <v>174.61079999999998</v>
      </c>
      <c r="AB209" s="19">
        <v>433.74720000000002</v>
      </c>
      <c r="AC209" s="19">
        <v>42.6646</v>
      </c>
      <c r="AD209" s="19">
        <v>2.7715999999999998</v>
      </c>
      <c r="AE209" s="19">
        <v>104.69759999999999</v>
      </c>
      <c r="AF209" s="19">
        <v>283.13780000000003</v>
      </c>
      <c r="AG209" s="19">
        <v>169.0676</v>
      </c>
      <c r="AH209" s="19">
        <v>423.77599999999995</v>
      </c>
      <c r="AI209" s="19">
        <v>50.421799999999998</v>
      </c>
      <c r="AJ209" s="19">
        <v>8.3148</v>
      </c>
      <c r="AK209" s="19">
        <v>114.66879999999999</v>
      </c>
      <c r="AL209" s="19">
        <v>283.13780000000003</v>
      </c>
      <c r="AM209" s="19">
        <v>169.0676</v>
      </c>
      <c r="AN209" s="19">
        <v>423.77599999999995</v>
      </c>
      <c r="AO209" s="19">
        <v>50.421799999999998</v>
      </c>
      <c r="AP209" s="19">
        <v>8.3148</v>
      </c>
      <c r="AQ209" s="19">
        <v>114.66879999999999</v>
      </c>
      <c r="AR209" s="19">
        <v>0</v>
      </c>
      <c r="AS209" s="19">
        <v>0</v>
      </c>
      <c r="AT209" s="19">
        <v>59.827199999999991</v>
      </c>
      <c r="AU209" s="19">
        <v>333.55959999999993</v>
      </c>
      <c r="AV209" s="19">
        <v>210.64159999999998</v>
      </c>
      <c r="AW209" s="19">
        <v>478.61759999999992</v>
      </c>
      <c r="AX209" s="19">
        <v>0</v>
      </c>
      <c r="AY209" s="19">
        <v>0</v>
      </c>
      <c r="AZ209" s="19">
        <v>0</v>
      </c>
      <c r="BA209" s="19">
        <v>380.1028</v>
      </c>
      <c r="BB209" s="19">
        <v>243.90079999999998</v>
      </c>
      <c r="BC209" s="19">
        <v>498.55999999999995</v>
      </c>
      <c r="BD209" s="19">
        <v>0</v>
      </c>
      <c r="BE209" s="19">
        <v>0</v>
      </c>
      <c r="BF209" s="19">
        <v>0</v>
      </c>
      <c r="BG209" s="19">
        <v>380.1028</v>
      </c>
      <c r="BH209" s="19">
        <v>243.90079999999998</v>
      </c>
      <c r="BI209" s="19">
        <v>498.55999999999995</v>
      </c>
      <c r="BJ209" s="19">
        <v>0</v>
      </c>
      <c r="BK209" s="19">
        <v>0</v>
      </c>
      <c r="BL209" s="19">
        <v>0</v>
      </c>
      <c r="BM209" s="19">
        <v>380.1028</v>
      </c>
      <c r="BN209" s="19">
        <v>243.90079999999998</v>
      </c>
      <c r="BO209" s="19">
        <v>498.55999999999995</v>
      </c>
      <c r="BP209" s="19"/>
      <c r="BQ20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179.70846666666668</v>
      </c>
      <c r="BS20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498.55999999999995</v>
      </c>
      <c r="BT209" s="11">
        <f>Tabelle5897112140[[#This Row],[Mindestauslastung min]]*Tabelle5897112140[[#This Row],[installierte Leistung MW min]]</f>
        <v>33.2592</v>
      </c>
      <c r="BU209" s="11">
        <f>Tabelle5897112140[[#This Row],[Mindestauslastung durch]]*Tabelle5897112140[[#This Row],[installierte Leistung MW durch]]</f>
        <v>54.30040000000001</v>
      </c>
      <c r="BV209" s="11">
        <f>Tabelle5897112140[[#This Row],[Mindestauslastung max]]*Tabelle5897112140[[#This Row],[installierte Leistung MW max]]</f>
        <v>79.769599999999997</v>
      </c>
      <c r="BW209" s="9">
        <v>0.12</v>
      </c>
      <c r="BX209" s="9">
        <v>0.14000000000000001</v>
      </c>
      <c r="BY209" s="9">
        <v>0.16</v>
      </c>
      <c r="BZ209" s="9"/>
      <c r="CA209" s="9">
        <v>1</v>
      </c>
      <c r="CB209" s="9">
        <v>0.9</v>
      </c>
      <c r="CC209" s="9">
        <v>1.1000000000000001</v>
      </c>
      <c r="CD209" s="9">
        <v>1</v>
      </c>
      <c r="CE209" s="9">
        <v>0.9</v>
      </c>
      <c r="CF209" s="9">
        <v>1.1000000000000001</v>
      </c>
      <c r="CG209" s="9">
        <v>0.89</v>
      </c>
      <c r="CH209" s="9">
        <v>0.79</v>
      </c>
      <c r="CI209" s="9">
        <v>0.99</v>
      </c>
      <c r="CJ209" s="9">
        <v>0.87</v>
      </c>
      <c r="CK209" s="9">
        <v>0.77</v>
      </c>
      <c r="CL209" s="9">
        <v>0.97</v>
      </c>
      <c r="CM209" s="9">
        <v>0.87</v>
      </c>
      <c r="CN209" s="9">
        <v>0.77</v>
      </c>
      <c r="CO209" s="9">
        <v>0.97</v>
      </c>
      <c r="CP209" s="9">
        <v>0.14000000000000001</v>
      </c>
      <c r="CQ209" s="9">
        <v>0.04</v>
      </c>
      <c r="CR209" s="9">
        <v>0.24</v>
      </c>
      <c r="CS209" s="9">
        <v>0.02</v>
      </c>
      <c r="CT209" s="9">
        <v>0</v>
      </c>
      <c r="CU209" s="9">
        <v>0.12</v>
      </c>
      <c r="CV209" s="9">
        <v>0.02</v>
      </c>
      <c r="CW209" s="9">
        <v>0</v>
      </c>
      <c r="CX209" s="9">
        <v>0.12</v>
      </c>
      <c r="CY209" s="9">
        <v>0.02</v>
      </c>
      <c r="CZ209" s="9">
        <v>0</v>
      </c>
      <c r="DA209" s="9">
        <v>0.12</v>
      </c>
      <c r="DB209" s="9">
        <f>MIN(Tabelle5897112140[[#This Row],[Durchschnittsauslastung durch Sommer WTT]:[Durchschnittsauslastung max Winter SFN]])</f>
        <v>0</v>
      </c>
      <c r="DC20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9" s="9">
        <f>MAX(Tabelle5897112140[[#This Row],[Durchschnittsauslastung durch Sommer WTT]:[Durchschnittsauslastung max Winter SFN]])</f>
        <v>1.1000000000000001</v>
      </c>
      <c r="DE209" s="40">
        <f>Tabelle5897112140[[#This Row],[Durchschnittsauslastung min]]*Tabelle5897112140[[#This Row],[installierte Leistung MW min]]</f>
        <v>0</v>
      </c>
      <c r="DF209" s="40">
        <f>Tabelle5897112140[[#This Row],[Durchschnittsauslastung durch]]*Tabelle5897112140[[#This Row],[installierte Leistung MW durch]]</f>
        <v>208.15153333333328</v>
      </c>
      <c r="DG209" s="40">
        <f>Tabelle5897112140[[#This Row],[Durchschnittsauslastung max]]*Tabelle5897112140[[#This Row],[installierte Leistung MW max]]</f>
        <v>548.41600000000005</v>
      </c>
      <c r="DH209" s="46">
        <f>Tabelle5897112140[[#This Row],[Maximalauslastung min]]*Tabelle5897112140[[#This Row],[installierte Leistung MW min]]</f>
        <v>277.16000000000003</v>
      </c>
      <c r="DI209" s="46">
        <f>Tabelle5897112140[[#This Row],[Maximalauslastung durch]]*Tabelle5897112140[[#This Row],[installierte Leistung MW durch]]</f>
        <v>387.86</v>
      </c>
      <c r="DJ209" s="19">
        <f>Tabelle5897112140[[#This Row],[Maximalauslastung max]]*Tabelle5897112140[[#This Row],[installierte Leistung MW durch]]</f>
        <v>387.86</v>
      </c>
      <c r="DK209" s="9">
        <v>1</v>
      </c>
      <c r="DL209" s="9">
        <v>1</v>
      </c>
      <c r="DM209" s="9">
        <v>1</v>
      </c>
      <c r="DN209" s="1">
        <v>387.86</v>
      </c>
      <c r="DO209" s="1">
        <v>277.16000000000003</v>
      </c>
      <c r="DP209" s="1">
        <v>498.56</v>
      </c>
      <c r="DQ209" s="19"/>
      <c r="DR209" s="19"/>
      <c r="DW209" s="1">
        <v>0.3</v>
      </c>
      <c r="DX209" s="1">
        <v>0.26</v>
      </c>
      <c r="DY209" s="1">
        <v>0.34</v>
      </c>
      <c r="EL209" s="1">
        <v>365</v>
      </c>
      <c r="EM209" s="1">
        <v>292</v>
      </c>
      <c r="EN209" s="1">
        <v>438</v>
      </c>
      <c r="EO209" s="11"/>
      <c r="EP209" s="11"/>
      <c r="EQ209" s="11"/>
      <c r="ER209" s="1">
        <v>365</v>
      </c>
      <c r="ES209" s="1">
        <v>292</v>
      </c>
      <c r="ET209" s="1">
        <v>438</v>
      </c>
      <c r="EV209" s="19"/>
      <c r="EW209" s="19"/>
      <c r="EX209" s="19"/>
      <c r="EY209" s="19"/>
      <c r="EZ209" s="19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O209" s="1">
        <v>67</v>
      </c>
      <c r="FP209" s="1">
        <v>67</v>
      </c>
      <c r="FQ209" s="1">
        <v>67</v>
      </c>
      <c r="FR209" s="13" t="s">
        <v>806</v>
      </c>
      <c r="FS209" s="13" t="s">
        <v>806</v>
      </c>
      <c r="FT209" s="13" t="s">
        <v>806</v>
      </c>
      <c r="FU209" s="13"/>
      <c r="FV209" s="13" t="s">
        <v>806</v>
      </c>
      <c r="FW209" s="13" t="s">
        <v>806</v>
      </c>
      <c r="FX209" s="13" t="s">
        <v>806</v>
      </c>
      <c r="FY209" s="13" t="s">
        <v>806</v>
      </c>
      <c r="FZ209" s="13" t="s">
        <v>806</v>
      </c>
      <c r="GA209" s="13" t="s">
        <v>806</v>
      </c>
      <c r="GB209" s="13" t="s">
        <v>806</v>
      </c>
      <c r="GE209" s="13" t="s">
        <v>806</v>
      </c>
      <c r="GF209" s="13" t="s">
        <v>806</v>
      </c>
      <c r="GH209" s="13" t="s">
        <v>806</v>
      </c>
    </row>
    <row r="210" spans="1:190" x14ac:dyDescent="0.25">
      <c r="A210" s="1" t="s">
        <v>362</v>
      </c>
      <c r="B210" s="1" t="s">
        <v>650</v>
      </c>
      <c r="C210" s="1" t="s">
        <v>665</v>
      </c>
      <c r="D210" s="1" t="s">
        <v>700</v>
      </c>
      <c r="E210" s="1" t="s">
        <v>126</v>
      </c>
      <c r="F210" s="1">
        <v>0</v>
      </c>
      <c r="G210" s="1">
        <v>2015</v>
      </c>
      <c r="H210" s="1">
        <v>1</v>
      </c>
      <c r="I210" s="1">
        <v>0</v>
      </c>
      <c r="J210" s="1">
        <v>0</v>
      </c>
      <c r="K2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269.61</v>
      </c>
      <c r="N210" s="19">
        <v>175.78</v>
      </c>
      <c r="O210" s="19">
        <v>101.75</v>
      </c>
      <c r="P210" s="19">
        <v>269.61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89.76</v>
      </c>
      <c r="X210" s="19">
        <v>60.5</v>
      </c>
      <c r="Y210" s="19">
        <v>122.98</v>
      </c>
      <c r="Z210" s="19">
        <v>0</v>
      </c>
      <c r="AA210" s="19">
        <v>0</v>
      </c>
      <c r="AB210" s="19">
        <v>0</v>
      </c>
      <c r="AC210" s="19">
        <v>89.76</v>
      </c>
      <c r="AD210" s="19">
        <v>60.5</v>
      </c>
      <c r="AE210" s="19">
        <v>122.98</v>
      </c>
      <c r="AF210" s="19">
        <v>37.4</v>
      </c>
      <c r="AG210" s="19">
        <v>0</v>
      </c>
      <c r="AH210" s="19">
        <v>94.6</v>
      </c>
      <c r="AI210" s="19">
        <v>52.36</v>
      </c>
      <c r="AJ210" s="19">
        <v>5.5</v>
      </c>
      <c r="AK210" s="19">
        <v>122.98</v>
      </c>
      <c r="AL210" s="19">
        <v>0</v>
      </c>
      <c r="AM210" s="19">
        <v>0</v>
      </c>
      <c r="AN210" s="19">
        <v>0</v>
      </c>
      <c r="AO210" s="19">
        <v>89.76</v>
      </c>
      <c r="AP210" s="19">
        <v>60.5</v>
      </c>
      <c r="AQ210" s="19">
        <v>122.98</v>
      </c>
      <c r="AR210" s="19">
        <v>0</v>
      </c>
      <c r="AS210" s="19">
        <v>0</v>
      </c>
      <c r="AT210" s="19">
        <v>0</v>
      </c>
      <c r="AU210" s="19">
        <v>89.76</v>
      </c>
      <c r="AV210" s="19">
        <v>60.5</v>
      </c>
      <c r="AW210" s="19">
        <v>122.98</v>
      </c>
      <c r="AX210" s="19">
        <v>0</v>
      </c>
      <c r="AY210" s="19">
        <v>0</v>
      </c>
      <c r="AZ210" s="19">
        <v>0</v>
      </c>
      <c r="BA210" s="19">
        <v>89.76</v>
      </c>
      <c r="BB210" s="19">
        <v>60.5</v>
      </c>
      <c r="BC210" s="19">
        <v>122.98</v>
      </c>
      <c r="BD210" s="19">
        <v>0</v>
      </c>
      <c r="BE210" s="19">
        <v>0</v>
      </c>
      <c r="BF210" s="19">
        <v>0</v>
      </c>
      <c r="BG210" s="19">
        <v>89.76</v>
      </c>
      <c r="BH210" s="19">
        <v>60.5</v>
      </c>
      <c r="BI210" s="19">
        <v>122.98</v>
      </c>
      <c r="BJ210" s="19">
        <v>0</v>
      </c>
      <c r="BK210" s="19">
        <v>0</v>
      </c>
      <c r="BL210" s="19">
        <v>0</v>
      </c>
      <c r="BM210" s="19">
        <v>89.76</v>
      </c>
      <c r="BN210" s="19">
        <v>60.5</v>
      </c>
      <c r="BO210" s="19">
        <v>122.98</v>
      </c>
      <c r="BP210" s="19"/>
      <c r="BQ2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75.63111111111111</v>
      </c>
      <c r="BS2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122.98</v>
      </c>
      <c r="BT210" s="11">
        <f>Tabelle5897112140[[#This Row],[Mindestauslastung min]]*Tabelle5897112140[[#This Row],[installierte Leistung MW min]]</f>
        <v>33</v>
      </c>
      <c r="BU210" s="11">
        <f>Tabelle5897112140[[#This Row],[Mindestauslastung durch]]*Tabelle5897112140[[#This Row],[installierte Leistung MW durch]]</f>
        <v>52.360000000000007</v>
      </c>
      <c r="BV210" s="11">
        <f>Tabelle5897112140[[#This Row],[Mindestauslastung max]]*Tabelle5897112140[[#This Row],[installierte Leistung MW max]]</f>
        <v>75.680000000000007</v>
      </c>
      <c r="BW210" s="9">
        <v>0.12</v>
      </c>
      <c r="BX210" s="9">
        <v>0.14000000000000001</v>
      </c>
      <c r="BY210" s="9">
        <v>0.16</v>
      </c>
      <c r="BZ210" s="9"/>
      <c r="CA210" s="9">
        <v>0.47</v>
      </c>
      <c r="CB210" s="9">
        <v>0.37</v>
      </c>
      <c r="CC210" s="9">
        <v>0.56999999999999995</v>
      </c>
      <c r="CD210" s="9">
        <v>0</v>
      </c>
      <c r="CE210" s="9">
        <v>0</v>
      </c>
      <c r="CF210" s="9">
        <v>0</v>
      </c>
      <c r="CG210" s="9">
        <v>0</v>
      </c>
      <c r="CH210" s="9">
        <v>0</v>
      </c>
      <c r="CI210" s="9">
        <v>0</v>
      </c>
      <c r="CJ210" s="9">
        <v>0.1</v>
      </c>
      <c r="CK210" s="9">
        <v>0</v>
      </c>
      <c r="CL210" s="9">
        <v>0.2</v>
      </c>
      <c r="CM210" s="9">
        <v>0</v>
      </c>
      <c r="CN210" s="9">
        <v>0</v>
      </c>
      <c r="CO210" s="9">
        <v>0</v>
      </c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9">
        <v>0</v>
      </c>
      <c r="CW210" s="9">
        <v>0</v>
      </c>
      <c r="CX210" s="9">
        <v>0</v>
      </c>
      <c r="CY210" s="9">
        <v>0</v>
      </c>
      <c r="CZ210" s="9">
        <v>0</v>
      </c>
      <c r="DA210" s="9">
        <v>0</v>
      </c>
      <c r="DB210" s="9">
        <f>MIN(Tabelle5897112140[[#This Row],[Durchschnittsauslastung durch Sommer WTT]:[Durchschnittsauslastung max Winter SFN]])</f>
        <v>0</v>
      </c>
      <c r="DC2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0" s="9">
        <f>MAX(Tabelle5897112140[[#This Row],[Durchschnittsauslastung durch Sommer WTT]:[Durchschnittsauslastung max Winter SFN]])</f>
        <v>0.56999999999999995</v>
      </c>
      <c r="DE210" s="40">
        <f>Tabelle5897112140[[#This Row],[Durchschnittsauslastung min]]*Tabelle5897112140[[#This Row],[installierte Leistung MW min]]</f>
        <v>0</v>
      </c>
      <c r="DF210" s="40">
        <f>Tabelle5897112140[[#This Row],[Durchschnittsauslastung durch]]*Tabelle5897112140[[#This Row],[installierte Leistung MW durch]]</f>
        <v>23.686666666666664</v>
      </c>
      <c r="DG210" s="40">
        <f>Tabelle5897112140[[#This Row],[Durchschnittsauslastung max]]*Tabelle5897112140[[#This Row],[installierte Leistung MW max]]</f>
        <v>269.60999999999996</v>
      </c>
      <c r="DH210" s="46">
        <f>Tabelle5897112140[[#This Row],[Maximalauslastung min]]*Tabelle5897112140[[#This Row],[installierte Leistung MW min]]</f>
        <v>275</v>
      </c>
      <c r="DI210" s="46">
        <f>Tabelle5897112140[[#This Row],[Maximalauslastung durch]]*Tabelle5897112140[[#This Row],[installierte Leistung MW durch]]</f>
        <v>374</v>
      </c>
      <c r="DJ210" s="19">
        <f>Tabelle5897112140[[#This Row],[Maximalauslastung max]]*Tabelle5897112140[[#This Row],[installierte Leistung MW durch]]</f>
        <v>374</v>
      </c>
      <c r="DK210" s="9">
        <v>1</v>
      </c>
      <c r="DL210" s="9">
        <v>1</v>
      </c>
      <c r="DM210" s="9">
        <v>1</v>
      </c>
      <c r="DN210" s="1">
        <v>374</v>
      </c>
      <c r="DO210" s="1">
        <v>275</v>
      </c>
      <c r="DP210" s="1">
        <v>473</v>
      </c>
      <c r="DQ210" s="19"/>
      <c r="DR210" s="19"/>
      <c r="EL210" s="1">
        <v>365</v>
      </c>
      <c r="EM210" s="1">
        <v>292</v>
      </c>
      <c r="EN210" s="1">
        <v>438</v>
      </c>
      <c r="EO210" s="11"/>
      <c r="EP210" s="11"/>
      <c r="EQ210" s="11"/>
      <c r="ER210" s="1">
        <v>365</v>
      </c>
      <c r="ES210" s="1">
        <v>292</v>
      </c>
      <c r="ET210" s="1">
        <v>438</v>
      </c>
      <c r="EV210" s="19"/>
      <c r="EW210" s="19"/>
      <c r="EX210" s="19"/>
      <c r="EY210" s="19"/>
      <c r="EZ210" s="19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O210" s="1">
        <v>67</v>
      </c>
      <c r="FP210" s="1">
        <v>67</v>
      </c>
      <c r="FQ210" s="1">
        <v>67</v>
      </c>
      <c r="FR210" s="13" t="s">
        <v>806</v>
      </c>
      <c r="FS210" s="13" t="s">
        <v>806</v>
      </c>
      <c r="FT210" s="13" t="s">
        <v>806</v>
      </c>
      <c r="FU210" s="13"/>
      <c r="FV210" s="13" t="s">
        <v>806</v>
      </c>
      <c r="FW210" s="13" t="s">
        <v>806</v>
      </c>
      <c r="FX210" s="13" t="s">
        <v>806</v>
      </c>
      <c r="FY210" s="13" t="s">
        <v>806</v>
      </c>
      <c r="FZ210" s="13" t="s">
        <v>806</v>
      </c>
      <c r="GA210" s="13" t="s">
        <v>806</v>
      </c>
      <c r="GB210" s="13" t="s">
        <v>806</v>
      </c>
      <c r="GE210" s="13" t="s">
        <v>806</v>
      </c>
      <c r="GF210" s="13" t="s">
        <v>806</v>
      </c>
      <c r="GH210" s="13" t="s">
        <v>806</v>
      </c>
    </row>
    <row r="211" spans="1:190" x14ac:dyDescent="0.25">
      <c r="A211" s="1" t="s">
        <v>362</v>
      </c>
      <c r="B211" s="1" t="s">
        <v>650</v>
      </c>
      <c r="C211" s="1" t="s">
        <v>665</v>
      </c>
      <c r="D211" s="1" t="s">
        <v>700</v>
      </c>
      <c r="E211" s="1" t="s">
        <v>126</v>
      </c>
      <c r="F211" s="1">
        <v>0</v>
      </c>
      <c r="G211" s="1">
        <v>2020</v>
      </c>
      <c r="H211" s="1">
        <v>1</v>
      </c>
      <c r="I211" s="1">
        <v>0</v>
      </c>
      <c r="J211" s="1">
        <v>0</v>
      </c>
      <c r="K2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25.10786666666667</v>
      </c>
      <c r="M2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285.78660000000002</v>
      </c>
      <c r="N211" s="19">
        <v>186.32680000000002</v>
      </c>
      <c r="O211" s="19">
        <v>107.855</v>
      </c>
      <c r="P211" s="19">
        <v>285.78660000000002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95.145600000000016</v>
      </c>
      <c r="X211" s="19">
        <v>64.13000000000001</v>
      </c>
      <c r="Y211" s="19">
        <v>130.3588</v>
      </c>
      <c r="Z211" s="19">
        <v>0</v>
      </c>
      <c r="AA211" s="19">
        <v>0</v>
      </c>
      <c r="AB211" s="19">
        <v>0</v>
      </c>
      <c r="AC211" s="19">
        <v>95.145600000000016</v>
      </c>
      <c r="AD211" s="19">
        <v>64.13000000000001</v>
      </c>
      <c r="AE211" s="19">
        <v>130.3588</v>
      </c>
      <c r="AF211" s="19">
        <v>39.643999999999998</v>
      </c>
      <c r="AG211" s="19">
        <v>0</v>
      </c>
      <c r="AH211" s="19">
        <v>100.276</v>
      </c>
      <c r="AI211" s="19">
        <v>55.501600000000003</v>
      </c>
      <c r="AJ211" s="19">
        <v>5.83</v>
      </c>
      <c r="AK211" s="19">
        <v>130.3588</v>
      </c>
      <c r="AL211" s="19">
        <v>0</v>
      </c>
      <c r="AM211" s="19">
        <v>0</v>
      </c>
      <c r="AN211" s="19">
        <v>0</v>
      </c>
      <c r="AO211" s="19">
        <v>95.145600000000016</v>
      </c>
      <c r="AP211" s="19">
        <v>64.13000000000001</v>
      </c>
      <c r="AQ211" s="19">
        <v>130.3588</v>
      </c>
      <c r="AR211" s="19">
        <v>0</v>
      </c>
      <c r="AS211" s="19">
        <v>0</v>
      </c>
      <c r="AT211" s="19">
        <v>0</v>
      </c>
      <c r="AU211" s="19">
        <v>95.145600000000016</v>
      </c>
      <c r="AV211" s="19">
        <v>64.13000000000001</v>
      </c>
      <c r="AW211" s="19">
        <v>130.3588</v>
      </c>
      <c r="AX211" s="19">
        <v>0</v>
      </c>
      <c r="AY211" s="19">
        <v>0</v>
      </c>
      <c r="AZ211" s="19">
        <v>0</v>
      </c>
      <c r="BA211" s="19">
        <v>95.145600000000016</v>
      </c>
      <c r="BB211" s="19">
        <v>64.13000000000001</v>
      </c>
      <c r="BC211" s="19">
        <v>130.3588</v>
      </c>
      <c r="BD211" s="19">
        <v>0</v>
      </c>
      <c r="BE211" s="19">
        <v>0</v>
      </c>
      <c r="BF211" s="19">
        <v>0</v>
      </c>
      <c r="BG211" s="19">
        <v>95.145600000000016</v>
      </c>
      <c r="BH211" s="19">
        <v>64.13000000000001</v>
      </c>
      <c r="BI211" s="19">
        <v>130.3588</v>
      </c>
      <c r="BJ211" s="19">
        <v>0</v>
      </c>
      <c r="BK211" s="19">
        <v>0</v>
      </c>
      <c r="BL211" s="19">
        <v>0</v>
      </c>
      <c r="BM211" s="19">
        <v>95.145600000000016</v>
      </c>
      <c r="BN211" s="19">
        <v>64.13000000000001</v>
      </c>
      <c r="BO211" s="19">
        <v>130.3588</v>
      </c>
      <c r="BP211" s="19"/>
      <c r="BQ2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80.168977777777798</v>
      </c>
      <c r="BS2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130.3588</v>
      </c>
      <c r="BT211" s="11">
        <f>Tabelle5897112140[[#This Row],[Mindestauslastung min]]*Tabelle5897112140[[#This Row],[installierte Leistung MW min]]</f>
        <v>0</v>
      </c>
      <c r="BU211" s="11">
        <f>Tabelle5897112140[[#This Row],[Mindestauslastung durch]]*Tabelle5897112140[[#This Row],[installierte Leistung MW durch]]</f>
        <v>0</v>
      </c>
      <c r="BV211" s="11">
        <f>Tabelle5897112140[[#This Row],[Mindestauslastung max]]*Tabelle5897112140[[#This Row],[installierte Leistung MW max]]</f>
        <v>0</v>
      </c>
      <c r="BW211" s="9">
        <v>0</v>
      </c>
      <c r="BX211" s="9">
        <v>0</v>
      </c>
      <c r="BY211" s="9">
        <v>0</v>
      </c>
      <c r="BZ211" s="9"/>
      <c r="CA211" s="9">
        <v>0.47</v>
      </c>
      <c r="CB211" s="9">
        <v>0.37</v>
      </c>
      <c r="CC211" s="9">
        <v>0.56999999999999995</v>
      </c>
      <c r="CD211" s="9">
        <v>0</v>
      </c>
      <c r="CE211" s="9">
        <v>0</v>
      </c>
      <c r="CF211" s="9">
        <v>0</v>
      </c>
      <c r="CG211" s="9">
        <v>0</v>
      </c>
      <c r="CH211" s="9">
        <v>0</v>
      </c>
      <c r="CI211" s="9">
        <v>0</v>
      </c>
      <c r="CJ211" s="9">
        <v>0.1</v>
      </c>
      <c r="CK211" s="9">
        <v>0</v>
      </c>
      <c r="CL211" s="9">
        <v>0.2</v>
      </c>
      <c r="CM211" s="9">
        <v>0</v>
      </c>
      <c r="CN211" s="9">
        <v>0</v>
      </c>
      <c r="CO211" s="9">
        <v>0</v>
      </c>
      <c r="CP211" s="9">
        <v>0</v>
      </c>
      <c r="CQ211" s="9">
        <v>0</v>
      </c>
      <c r="CR211" s="9">
        <v>0</v>
      </c>
      <c r="CS211" s="9">
        <v>0</v>
      </c>
      <c r="CT211" s="9">
        <v>0</v>
      </c>
      <c r="CU211" s="9">
        <v>0</v>
      </c>
      <c r="CV211" s="9">
        <v>0</v>
      </c>
      <c r="CW211" s="9">
        <v>0</v>
      </c>
      <c r="CX211" s="9">
        <v>0</v>
      </c>
      <c r="CY211" s="9">
        <v>0</v>
      </c>
      <c r="CZ211" s="9">
        <v>0</v>
      </c>
      <c r="DA211" s="9">
        <v>0</v>
      </c>
      <c r="DB211" s="9">
        <f>MIN(Tabelle5897112140[[#This Row],[Durchschnittsauslastung durch Sommer WTT]:[Durchschnittsauslastung max Winter SFN]])</f>
        <v>0</v>
      </c>
      <c r="DC2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1" s="9">
        <f>MAX(Tabelle5897112140[[#This Row],[Durchschnittsauslastung durch Sommer WTT]:[Durchschnittsauslastung max Winter SFN]])</f>
        <v>0.56999999999999995</v>
      </c>
      <c r="DE211" s="40">
        <f>Tabelle5897112140[[#This Row],[Durchschnittsauslastung min]]*Tabelle5897112140[[#This Row],[installierte Leistung MW min]]</f>
        <v>0</v>
      </c>
      <c r="DF211" s="40">
        <f>Tabelle5897112140[[#This Row],[Durchschnittsauslastung durch]]*Tabelle5897112140[[#This Row],[installierte Leistung MW durch]]</f>
        <v>25.107866666666663</v>
      </c>
      <c r="DG211" s="40">
        <f>Tabelle5897112140[[#This Row],[Durchschnittsauslastung max]]*Tabelle5897112140[[#This Row],[installierte Leistung MW max]]</f>
        <v>285.78659999999996</v>
      </c>
      <c r="DH211" s="46">
        <f>Tabelle5897112140[[#This Row],[Maximalauslastung min]]*Tabelle5897112140[[#This Row],[installierte Leistung MW min]]</f>
        <v>64.13</v>
      </c>
      <c r="DI211" s="46">
        <f>Tabelle5897112140[[#This Row],[Maximalauslastung durch]]*Tabelle5897112140[[#This Row],[installierte Leistung MW durch]]</f>
        <v>95.145600000000002</v>
      </c>
      <c r="DJ211" s="19">
        <f>Tabelle5897112140[[#This Row],[Maximalauslastung max]]*Tabelle5897112140[[#This Row],[installierte Leistung MW durch]]</f>
        <v>103.0744</v>
      </c>
      <c r="DK211" s="9">
        <v>0.22</v>
      </c>
      <c r="DL211" s="9">
        <v>0.24</v>
      </c>
      <c r="DM211" s="9">
        <v>0.26</v>
      </c>
      <c r="DN211" s="1">
        <v>396.44</v>
      </c>
      <c r="DO211" s="1">
        <v>291.5</v>
      </c>
      <c r="DP211" s="1">
        <v>501.38</v>
      </c>
      <c r="DQ211" s="19"/>
      <c r="DR211" s="19"/>
      <c r="EL211" s="1">
        <v>365</v>
      </c>
      <c r="EM211" s="1">
        <v>292</v>
      </c>
      <c r="EN211" s="1">
        <v>438</v>
      </c>
      <c r="EO211" s="11"/>
      <c r="EP211" s="11"/>
      <c r="EQ211" s="11"/>
      <c r="ER211" s="1">
        <v>365</v>
      </c>
      <c r="ES211" s="1">
        <v>292</v>
      </c>
      <c r="ET211" s="1">
        <v>438</v>
      </c>
      <c r="EV211" s="19"/>
      <c r="EW211" s="19"/>
      <c r="EX211" s="19"/>
      <c r="EY211" s="19"/>
      <c r="EZ211" s="19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O211" s="1">
        <v>67</v>
      </c>
      <c r="FP211" s="1">
        <v>67</v>
      </c>
      <c r="FQ211" s="1">
        <v>67</v>
      </c>
      <c r="FR211" s="13" t="s">
        <v>806</v>
      </c>
      <c r="FS211" s="13" t="s">
        <v>806</v>
      </c>
      <c r="FT211" s="13" t="s">
        <v>806</v>
      </c>
      <c r="FU211" s="13"/>
      <c r="FV211" s="13" t="s">
        <v>806</v>
      </c>
      <c r="FW211" s="13" t="s">
        <v>806</v>
      </c>
      <c r="FX211" s="13" t="s">
        <v>806</v>
      </c>
      <c r="FY211" s="13" t="s">
        <v>806</v>
      </c>
      <c r="FZ211" s="13" t="s">
        <v>806</v>
      </c>
      <c r="GA211" s="13" t="s">
        <v>806</v>
      </c>
      <c r="GB211" s="13" t="s">
        <v>806</v>
      </c>
      <c r="GE211" s="13" t="s">
        <v>806</v>
      </c>
      <c r="GF211" s="13" t="s">
        <v>806</v>
      </c>
      <c r="GH211" s="13" t="s">
        <v>806</v>
      </c>
    </row>
    <row r="212" spans="1:190" x14ac:dyDescent="0.25">
      <c r="A212" s="1" t="s">
        <v>362</v>
      </c>
      <c r="B212" s="1" t="s">
        <v>650</v>
      </c>
      <c r="C212" s="1" t="s">
        <v>665</v>
      </c>
      <c r="D212" s="1" t="s">
        <v>700</v>
      </c>
      <c r="E212" s="1" t="s">
        <v>126</v>
      </c>
      <c r="F212" s="1">
        <v>0</v>
      </c>
      <c r="G212" s="1">
        <v>2025</v>
      </c>
      <c r="H212" s="1">
        <v>1</v>
      </c>
      <c r="I212" s="1">
        <v>0</v>
      </c>
      <c r="J212" s="1">
        <v>0</v>
      </c>
      <c r="K2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26.292200000000001</v>
      </c>
      <c r="M2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299.26710000000003</v>
      </c>
      <c r="N212" s="19">
        <v>195.11580000000001</v>
      </c>
      <c r="O212" s="19">
        <v>112.94250000000001</v>
      </c>
      <c r="P212" s="19">
        <v>299.26710000000003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99.633600000000015</v>
      </c>
      <c r="X212" s="19">
        <v>67.155000000000001</v>
      </c>
      <c r="Y212" s="19">
        <v>136.5078</v>
      </c>
      <c r="Z212" s="19">
        <v>0</v>
      </c>
      <c r="AA212" s="19">
        <v>0</v>
      </c>
      <c r="AB212" s="19">
        <v>0</v>
      </c>
      <c r="AC212" s="19">
        <v>99.633600000000015</v>
      </c>
      <c r="AD212" s="19">
        <v>67.155000000000001</v>
      </c>
      <c r="AE212" s="19">
        <v>136.5078</v>
      </c>
      <c r="AF212" s="19">
        <v>41.514000000000003</v>
      </c>
      <c r="AG212" s="19">
        <v>0</v>
      </c>
      <c r="AH212" s="19">
        <v>105.006</v>
      </c>
      <c r="AI212" s="19">
        <v>58.119600000000005</v>
      </c>
      <c r="AJ212" s="19">
        <v>6.1050000000000004</v>
      </c>
      <c r="AK212" s="19">
        <v>136.5078</v>
      </c>
      <c r="AL212" s="19">
        <v>0</v>
      </c>
      <c r="AM212" s="19">
        <v>0</v>
      </c>
      <c r="AN212" s="19">
        <v>0</v>
      </c>
      <c r="AO212" s="19">
        <v>99.633600000000015</v>
      </c>
      <c r="AP212" s="19">
        <v>67.155000000000001</v>
      </c>
      <c r="AQ212" s="19">
        <v>136.5078</v>
      </c>
      <c r="AR212" s="19">
        <v>0</v>
      </c>
      <c r="AS212" s="19">
        <v>0</v>
      </c>
      <c r="AT212" s="19">
        <v>0</v>
      </c>
      <c r="AU212" s="19">
        <v>99.633600000000015</v>
      </c>
      <c r="AV212" s="19">
        <v>67.155000000000001</v>
      </c>
      <c r="AW212" s="19">
        <v>136.5078</v>
      </c>
      <c r="AX212" s="19">
        <v>0</v>
      </c>
      <c r="AY212" s="19">
        <v>0</v>
      </c>
      <c r="AZ212" s="19">
        <v>0</v>
      </c>
      <c r="BA212" s="19">
        <v>99.633600000000015</v>
      </c>
      <c r="BB212" s="19">
        <v>67.155000000000001</v>
      </c>
      <c r="BC212" s="19">
        <v>136.5078</v>
      </c>
      <c r="BD212" s="19">
        <v>0</v>
      </c>
      <c r="BE212" s="19">
        <v>0</v>
      </c>
      <c r="BF212" s="19">
        <v>0</v>
      </c>
      <c r="BG212" s="19">
        <v>99.633600000000015</v>
      </c>
      <c r="BH212" s="19">
        <v>67.155000000000001</v>
      </c>
      <c r="BI212" s="19">
        <v>136.5078</v>
      </c>
      <c r="BJ212" s="19">
        <v>0</v>
      </c>
      <c r="BK212" s="19">
        <v>0</v>
      </c>
      <c r="BL212" s="19">
        <v>0</v>
      </c>
      <c r="BM212" s="19">
        <v>99.633600000000015</v>
      </c>
      <c r="BN212" s="19">
        <v>67.155000000000001</v>
      </c>
      <c r="BO212" s="19">
        <v>136.5078</v>
      </c>
      <c r="BP212" s="19"/>
      <c r="BQ2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83.95053333333334</v>
      </c>
      <c r="BS2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136.5078</v>
      </c>
      <c r="BT212" s="11">
        <f>Tabelle5897112140[[#This Row],[Mindestauslastung min]]*Tabelle5897112140[[#This Row],[installierte Leistung MW min]]</f>
        <v>0</v>
      </c>
      <c r="BU212" s="11">
        <f>Tabelle5897112140[[#This Row],[Mindestauslastung durch]]*Tabelle5897112140[[#This Row],[installierte Leistung MW durch]]</f>
        <v>0</v>
      </c>
      <c r="BV212" s="11">
        <f>Tabelle5897112140[[#This Row],[Mindestauslastung max]]*Tabelle5897112140[[#This Row],[installierte Leistung MW max]]</f>
        <v>0</v>
      </c>
      <c r="BW212" s="9">
        <v>0</v>
      </c>
      <c r="BX212" s="9">
        <v>0</v>
      </c>
      <c r="BY212" s="9">
        <v>0</v>
      </c>
      <c r="BZ212" s="9"/>
      <c r="CA212" s="9">
        <v>0.47</v>
      </c>
      <c r="CB212" s="9">
        <v>0.37</v>
      </c>
      <c r="CC212" s="9">
        <v>0.56999999999999995</v>
      </c>
      <c r="CD212" s="9">
        <v>0</v>
      </c>
      <c r="CE212" s="9">
        <v>0</v>
      </c>
      <c r="CF212" s="9">
        <v>0</v>
      </c>
      <c r="CG212" s="9">
        <v>0</v>
      </c>
      <c r="CH212" s="9">
        <v>0</v>
      </c>
      <c r="CI212" s="9">
        <v>0</v>
      </c>
      <c r="CJ212" s="9">
        <v>0.1</v>
      </c>
      <c r="CK212" s="9">
        <v>0</v>
      </c>
      <c r="CL212" s="9">
        <v>0.2</v>
      </c>
      <c r="CM212" s="9">
        <v>0</v>
      </c>
      <c r="CN212" s="9">
        <v>0</v>
      </c>
      <c r="CO212" s="9">
        <v>0</v>
      </c>
      <c r="CP212" s="9">
        <v>0</v>
      </c>
      <c r="CQ212" s="9">
        <v>0</v>
      </c>
      <c r="CR212" s="9">
        <v>0</v>
      </c>
      <c r="CS212" s="9">
        <v>0</v>
      </c>
      <c r="CT212" s="9">
        <v>0</v>
      </c>
      <c r="CU212" s="9">
        <v>0</v>
      </c>
      <c r="CV212" s="9">
        <v>0</v>
      </c>
      <c r="CW212" s="9">
        <v>0</v>
      </c>
      <c r="CX212" s="9">
        <v>0</v>
      </c>
      <c r="CY212" s="9">
        <v>0</v>
      </c>
      <c r="CZ212" s="9">
        <v>0</v>
      </c>
      <c r="DA212" s="9">
        <v>0</v>
      </c>
      <c r="DB212" s="9">
        <f>MIN(Tabelle5897112140[[#This Row],[Durchschnittsauslastung durch Sommer WTT]:[Durchschnittsauslastung max Winter SFN]])</f>
        <v>0</v>
      </c>
      <c r="DC2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2" s="9">
        <f>MAX(Tabelle5897112140[[#This Row],[Durchschnittsauslastung durch Sommer WTT]:[Durchschnittsauslastung max Winter SFN]])</f>
        <v>0.56999999999999995</v>
      </c>
      <c r="DE212" s="40">
        <f>Tabelle5897112140[[#This Row],[Durchschnittsauslastung min]]*Tabelle5897112140[[#This Row],[installierte Leistung MW min]]</f>
        <v>0</v>
      </c>
      <c r="DF212" s="40">
        <f>Tabelle5897112140[[#This Row],[Durchschnittsauslastung durch]]*Tabelle5897112140[[#This Row],[installierte Leistung MW durch]]</f>
        <v>26.292199999999994</v>
      </c>
      <c r="DG212" s="40">
        <f>Tabelle5897112140[[#This Row],[Durchschnittsauslastung max]]*Tabelle5897112140[[#This Row],[installierte Leistung MW max]]</f>
        <v>299.26709999999997</v>
      </c>
      <c r="DH212" s="46">
        <f>Tabelle5897112140[[#This Row],[Maximalauslastung min]]*Tabelle5897112140[[#This Row],[installierte Leistung MW min]]</f>
        <v>67.155000000000001</v>
      </c>
      <c r="DI212" s="46">
        <f>Tabelle5897112140[[#This Row],[Maximalauslastung durch]]*Tabelle5897112140[[#This Row],[installierte Leistung MW durch]]</f>
        <v>99.633599999999987</v>
      </c>
      <c r="DJ212" s="19">
        <f>Tabelle5897112140[[#This Row],[Maximalauslastung max]]*Tabelle5897112140[[#This Row],[installierte Leistung MW durch]]</f>
        <v>107.93640000000001</v>
      </c>
      <c r="DK212" s="9">
        <v>0.22</v>
      </c>
      <c r="DL212" s="9">
        <v>0.24</v>
      </c>
      <c r="DM212" s="9">
        <v>0.26</v>
      </c>
      <c r="DN212" s="1">
        <v>415.14</v>
      </c>
      <c r="DO212" s="1">
        <v>305.25</v>
      </c>
      <c r="DP212" s="1">
        <v>525.03</v>
      </c>
      <c r="DQ212" s="19"/>
      <c r="DR212" s="19"/>
      <c r="EL212" s="1">
        <v>365</v>
      </c>
      <c r="EM212" s="1">
        <v>292</v>
      </c>
      <c r="EN212" s="1">
        <v>438</v>
      </c>
      <c r="EO212" s="11"/>
      <c r="EP212" s="11"/>
      <c r="EQ212" s="11"/>
      <c r="ER212" s="1">
        <v>365</v>
      </c>
      <c r="ES212" s="1">
        <v>292</v>
      </c>
      <c r="ET212" s="1">
        <v>438</v>
      </c>
      <c r="EV212" s="19"/>
      <c r="EW212" s="19"/>
      <c r="EX212" s="19"/>
      <c r="EY212" s="19"/>
      <c r="EZ212" s="19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O212" s="1">
        <v>67</v>
      </c>
      <c r="FP212" s="1">
        <v>67</v>
      </c>
      <c r="FQ212" s="1">
        <v>67</v>
      </c>
      <c r="FR212" s="13" t="s">
        <v>806</v>
      </c>
      <c r="FS212" s="13" t="s">
        <v>806</v>
      </c>
      <c r="FT212" s="13" t="s">
        <v>806</v>
      </c>
      <c r="FU212" s="13"/>
      <c r="FV212" s="13" t="s">
        <v>806</v>
      </c>
      <c r="FW212" s="13" t="s">
        <v>806</v>
      </c>
      <c r="FX212" s="13" t="s">
        <v>806</v>
      </c>
      <c r="FY212" s="13" t="s">
        <v>806</v>
      </c>
      <c r="FZ212" s="13" t="s">
        <v>806</v>
      </c>
      <c r="GA212" s="13" t="s">
        <v>806</v>
      </c>
      <c r="GB212" s="13" t="s">
        <v>806</v>
      </c>
      <c r="GE212" s="13" t="s">
        <v>806</v>
      </c>
      <c r="GF212" s="13" t="s">
        <v>806</v>
      </c>
      <c r="GH212" s="13" t="s">
        <v>806</v>
      </c>
    </row>
    <row r="213" spans="1:190" x14ac:dyDescent="0.25">
      <c r="A213" s="1" t="s">
        <v>362</v>
      </c>
      <c r="B213" s="1" t="s">
        <v>650</v>
      </c>
      <c r="C213" s="1" t="s">
        <v>665</v>
      </c>
      <c r="D213" s="1" t="s">
        <v>700</v>
      </c>
      <c r="E213" s="1" t="s">
        <v>126</v>
      </c>
      <c r="F213" s="1">
        <v>0</v>
      </c>
      <c r="G213" s="1">
        <v>2030</v>
      </c>
      <c r="H213" s="1">
        <v>1</v>
      </c>
      <c r="I213" s="1">
        <v>0</v>
      </c>
      <c r="J213" s="1">
        <v>0</v>
      </c>
      <c r="K2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27.950266666666668</v>
      </c>
      <c r="M2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318.13979999999998</v>
      </c>
      <c r="N213" s="19">
        <v>207.4204</v>
      </c>
      <c r="O213" s="19">
        <v>120.065</v>
      </c>
      <c r="P213" s="19">
        <v>318.13979999999998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105.91679999999999</v>
      </c>
      <c r="X213" s="19">
        <v>71.39</v>
      </c>
      <c r="Y213" s="19">
        <v>145.1164</v>
      </c>
      <c r="Z213" s="19">
        <v>0</v>
      </c>
      <c r="AA213" s="19">
        <v>0</v>
      </c>
      <c r="AB213" s="19">
        <v>0</v>
      </c>
      <c r="AC213" s="19">
        <v>105.91679999999999</v>
      </c>
      <c r="AD213" s="19">
        <v>71.39</v>
      </c>
      <c r="AE213" s="19">
        <v>145.1164</v>
      </c>
      <c r="AF213" s="19">
        <v>44.131999999999998</v>
      </c>
      <c r="AG213" s="19">
        <v>0</v>
      </c>
      <c r="AH213" s="19">
        <v>111.62799999999999</v>
      </c>
      <c r="AI213" s="19">
        <v>61.784799999999997</v>
      </c>
      <c r="AJ213" s="19">
        <v>6.4899999999999993</v>
      </c>
      <c r="AK213" s="19">
        <v>145.1164</v>
      </c>
      <c r="AL213" s="19">
        <v>0</v>
      </c>
      <c r="AM213" s="19">
        <v>0</v>
      </c>
      <c r="AN213" s="19">
        <v>0</v>
      </c>
      <c r="AO213" s="19">
        <v>105.91679999999999</v>
      </c>
      <c r="AP213" s="19">
        <v>71.39</v>
      </c>
      <c r="AQ213" s="19">
        <v>145.1164</v>
      </c>
      <c r="AR213" s="19">
        <v>0</v>
      </c>
      <c r="AS213" s="19">
        <v>0</v>
      </c>
      <c r="AT213" s="19">
        <v>0</v>
      </c>
      <c r="AU213" s="19">
        <v>105.91679999999999</v>
      </c>
      <c r="AV213" s="19">
        <v>71.39</v>
      </c>
      <c r="AW213" s="19">
        <v>145.1164</v>
      </c>
      <c r="AX213" s="19">
        <v>0</v>
      </c>
      <c r="AY213" s="19">
        <v>0</v>
      </c>
      <c r="AZ213" s="19">
        <v>0</v>
      </c>
      <c r="BA213" s="19">
        <v>105.91679999999999</v>
      </c>
      <c r="BB213" s="19">
        <v>71.39</v>
      </c>
      <c r="BC213" s="19">
        <v>145.1164</v>
      </c>
      <c r="BD213" s="19">
        <v>0</v>
      </c>
      <c r="BE213" s="19">
        <v>0</v>
      </c>
      <c r="BF213" s="19">
        <v>0</v>
      </c>
      <c r="BG213" s="19">
        <v>105.91679999999999</v>
      </c>
      <c r="BH213" s="19">
        <v>71.39</v>
      </c>
      <c r="BI213" s="19">
        <v>145.1164</v>
      </c>
      <c r="BJ213" s="19">
        <v>0</v>
      </c>
      <c r="BK213" s="19">
        <v>0</v>
      </c>
      <c r="BL213" s="19">
        <v>0</v>
      </c>
      <c r="BM213" s="19">
        <v>105.91679999999999</v>
      </c>
      <c r="BN213" s="19">
        <v>71.39</v>
      </c>
      <c r="BO213" s="19">
        <v>145.1164</v>
      </c>
      <c r="BP213" s="19"/>
      <c r="BQ2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89.244711111111101</v>
      </c>
      <c r="BS2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145.1164</v>
      </c>
      <c r="BT213" s="11">
        <f>Tabelle5897112140[[#This Row],[Mindestauslastung min]]*Tabelle5897112140[[#This Row],[installierte Leistung MW min]]</f>
        <v>0</v>
      </c>
      <c r="BU213" s="11">
        <f>Tabelle5897112140[[#This Row],[Mindestauslastung durch]]*Tabelle5897112140[[#This Row],[installierte Leistung MW durch]]</f>
        <v>0</v>
      </c>
      <c r="BV213" s="11">
        <f>Tabelle5897112140[[#This Row],[Mindestauslastung max]]*Tabelle5897112140[[#This Row],[installierte Leistung MW max]]</f>
        <v>0</v>
      </c>
      <c r="BW213" s="9">
        <v>0</v>
      </c>
      <c r="BX213" s="9">
        <v>0</v>
      </c>
      <c r="BY213" s="9">
        <v>0</v>
      </c>
      <c r="BZ213" s="9"/>
      <c r="CA213" s="9">
        <v>0.47</v>
      </c>
      <c r="CB213" s="9">
        <v>0.37</v>
      </c>
      <c r="CC213" s="9">
        <v>0.56999999999999995</v>
      </c>
      <c r="CD213" s="9">
        <v>0</v>
      </c>
      <c r="CE213" s="9">
        <v>0</v>
      </c>
      <c r="CF213" s="9">
        <v>0</v>
      </c>
      <c r="CG213" s="9">
        <v>0</v>
      </c>
      <c r="CH213" s="9">
        <v>0</v>
      </c>
      <c r="CI213" s="9">
        <v>0</v>
      </c>
      <c r="CJ213" s="9">
        <v>0.1</v>
      </c>
      <c r="CK213" s="9">
        <v>0</v>
      </c>
      <c r="CL213" s="9">
        <v>0.2</v>
      </c>
      <c r="CM213" s="9">
        <v>0</v>
      </c>
      <c r="CN213" s="9">
        <v>0</v>
      </c>
      <c r="CO213" s="9">
        <v>0</v>
      </c>
      <c r="CP213" s="9">
        <v>0</v>
      </c>
      <c r="CQ213" s="9">
        <v>0</v>
      </c>
      <c r="CR213" s="9">
        <v>0</v>
      </c>
      <c r="CS213" s="9">
        <v>0</v>
      </c>
      <c r="CT213" s="9">
        <v>0</v>
      </c>
      <c r="CU213" s="9">
        <v>0</v>
      </c>
      <c r="CV213" s="9">
        <v>0</v>
      </c>
      <c r="CW213" s="9">
        <v>0</v>
      </c>
      <c r="CX213" s="9">
        <v>0</v>
      </c>
      <c r="CY213" s="9">
        <v>0</v>
      </c>
      <c r="CZ213" s="9">
        <v>0</v>
      </c>
      <c r="DA213" s="9">
        <v>0</v>
      </c>
      <c r="DB213" s="9">
        <f>MIN(Tabelle5897112140[[#This Row],[Durchschnittsauslastung durch Sommer WTT]:[Durchschnittsauslastung max Winter SFN]])</f>
        <v>0</v>
      </c>
      <c r="DC2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3" s="9">
        <f>MAX(Tabelle5897112140[[#This Row],[Durchschnittsauslastung durch Sommer WTT]:[Durchschnittsauslastung max Winter SFN]])</f>
        <v>0.56999999999999995</v>
      </c>
      <c r="DE213" s="40">
        <f>Tabelle5897112140[[#This Row],[Durchschnittsauslastung min]]*Tabelle5897112140[[#This Row],[installierte Leistung MW min]]</f>
        <v>0</v>
      </c>
      <c r="DF213" s="40">
        <f>Tabelle5897112140[[#This Row],[Durchschnittsauslastung durch]]*Tabelle5897112140[[#This Row],[installierte Leistung MW durch]]</f>
        <v>27.950266666666664</v>
      </c>
      <c r="DG213" s="40">
        <f>Tabelle5897112140[[#This Row],[Durchschnittsauslastung max]]*Tabelle5897112140[[#This Row],[installierte Leistung MW max]]</f>
        <v>318.13979999999998</v>
      </c>
      <c r="DH213" s="46">
        <f>Tabelle5897112140[[#This Row],[Maximalauslastung min]]*Tabelle5897112140[[#This Row],[installierte Leistung MW min]]</f>
        <v>71.39</v>
      </c>
      <c r="DI213" s="46">
        <f>Tabelle5897112140[[#This Row],[Maximalauslastung durch]]*Tabelle5897112140[[#This Row],[installierte Leistung MW durch]]</f>
        <v>105.91679999999999</v>
      </c>
      <c r="DJ213" s="19">
        <f>Tabelle5897112140[[#This Row],[Maximalauslastung max]]*Tabelle5897112140[[#This Row],[installierte Leistung MW durch]]</f>
        <v>114.7432</v>
      </c>
      <c r="DK213" s="9">
        <v>0.22</v>
      </c>
      <c r="DL213" s="9">
        <v>0.24</v>
      </c>
      <c r="DM213" s="9">
        <v>0.26</v>
      </c>
      <c r="DN213" s="1">
        <v>441.32</v>
      </c>
      <c r="DO213" s="1">
        <v>324.5</v>
      </c>
      <c r="DP213" s="1">
        <v>558.14</v>
      </c>
      <c r="DQ213" s="19"/>
      <c r="DR213" s="19"/>
      <c r="EL213" s="1">
        <v>365</v>
      </c>
      <c r="EM213" s="1">
        <v>292</v>
      </c>
      <c r="EN213" s="1">
        <v>438</v>
      </c>
      <c r="EO213" s="11"/>
      <c r="EP213" s="11"/>
      <c r="EQ213" s="11"/>
      <c r="ER213" s="1">
        <v>365</v>
      </c>
      <c r="ES213" s="1">
        <v>292</v>
      </c>
      <c r="ET213" s="1">
        <v>438</v>
      </c>
      <c r="EV213" s="19"/>
      <c r="EW213" s="19"/>
      <c r="EX213" s="19"/>
      <c r="EY213" s="19"/>
      <c r="EZ213" s="19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O213" s="1">
        <v>67</v>
      </c>
      <c r="FP213" s="1">
        <v>67</v>
      </c>
      <c r="FQ213" s="1">
        <v>67</v>
      </c>
      <c r="FR213" s="13" t="s">
        <v>806</v>
      </c>
      <c r="FS213" s="13" t="s">
        <v>806</v>
      </c>
      <c r="FT213" s="13" t="s">
        <v>806</v>
      </c>
      <c r="FU213" s="13"/>
      <c r="FV213" s="13" t="s">
        <v>806</v>
      </c>
      <c r="FW213" s="13" t="s">
        <v>806</v>
      </c>
      <c r="FX213" s="13" t="s">
        <v>806</v>
      </c>
      <c r="FY213" s="13" t="s">
        <v>806</v>
      </c>
      <c r="FZ213" s="13" t="s">
        <v>806</v>
      </c>
      <c r="GA213" s="13" t="s">
        <v>806</v>
      </c>
      <c r="GB213" s="13" t="s">
        <v>806</v>
      </c>
      <c r="GE213" s="13" t="s">
        <v>806</v>
      </c>
      <c r="GF213" s="13" t="s">
        <v>806</v>
      </c>
      <c r="GH213" s="13" t="s">
        <v>806</v>
      </c>
    </row>
    <row r="214" spans="1:190" x14ac:dyDescent="0.25">
      <c r="A214" s="1" t="s">
        <v>362</v>
      </c>
      <c r="B214" s="1" t="s">
        <v>650</v>
      </c>
      <c r="C214" s="1" t="s">
        <v>665</v>
      </c>
      <c r="D214" s="1" t="s">
        <v>700</v>
      </c>
      <c r="E214" s="1" t="s">
        <v>126</v>
      </c>
      <c r="F214" s="1">
        <v>0</v>
      </c>
      <c r="G214" s="1">
        <v>2035</v>
      </c>
      <c r="H214" s="1">
        <v>1</v>
      </c>
      <c r="I214" s="1">
        <v>0</v>
      </c>
      <c r="J214" s="1">
        <v>0</v>
      </c>
      <c r="K2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29.371466666666663</v>
      </c>
      <c r="M2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334.31639999999999</v>
      </c>
      <c r="N214" s="19">
        <v>217.96719999999999</v>
      </c>
      <c r="O214" s="19">
        <v>126.17</v>
      </c>
      <c r="P214" s="19">
        <v>334.31639999999999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111.30240000000001</v>
      </c>
      <c r="X214" s="19">
        <v>75.02</v>
      </c>
      <c r="Y214" s="19">
        <v>152.49520000000001</v>
      </c>
      <c r="Z214" s="19">
        <v>0</v>
      </c>
      <c r="AA214" s="19">
        <v>0</v>
      </c>
      <c r="AB214" s="19">
        <v>0</v>
      </c>
      <c r="AC214" s="19">
        <v>111.30240000000001</v>
      </c>
      <c r="AD214" s="19">
        <v>75.02</v>
      </c>
      <c r="AE214" s="19">
        <v>152.49520000000001</v>
      </c>
      <c r="AF214" s="19">
        <v>46.375999999999998</v>
      </c>
      <c r="AG214" s="19">
        <v>0</v>
      </c>
      <c r="AH214" s="19">
        <v>117.30399999999999</v>
      </c>
      <c r="AI214" s="19">
        <v>64.926400000000001</v>
      </c>
      <c r="AJ214" s="19">
        <v>6.82</v>
      </c>
      <c r="AK214" s="19">
        <v>152.49520000000001</v>
      </c>
      <c r="AL214" s="19">
        <v>0</v>
      </c>
      <c r="AM214" s="19">
        <v>0</v>
      </c>
      <c r="AN214" s="19">
        <v>0</v>
      </c>
      <c r="AO214" s="19">
        <v>111.30240000000001</v>
      </c>
      <c r="AP214" s="19">
        <v>75.02</v>
      </c>
      <c r="AQ214" s="19">
        <v>152.49520000000001</v>
      </c>
      <c r="AR214" s="19">
        <v>0</v>
      </c>
      <c r="AS214" s="19">
        <v>0</v>
      </c>
      <c r="AT214" s="19">
        <v>0</v>
      </c>
      <c r="AU214" s="19">
        <v>111.30240000000001</v>
      </c>
      <c r="AV214" s="19">
        <v>75.02</v>
      </c>
      <c r="AW214" s="19">
        <v>152.49520000000001</v>
      </c>
      <c r="AX214" s="19">
        <v>0</v>
      </c>
      <c r="AY214" s="19">
        <v>0</v>
      </c>
      <c r="AZ214" s="19">
        <v>0</v>
      </c>
      <c r="BA214" s="19">
        <v>111.30240000000001</v>
      </c>
      <c r="BB214" s="19">
        <v>75.02</v>
      </c>
      <c r="BC214" s="19">
        <v>152.49520000000001</v>
      </c>
      <c r="BD214" s="19">
        <v>0</v>
      </c>
      <c r="BE214" s="19">
        <v>0</v>
      </c>
      <c r="BF214" s="19">
        <v>0</v>
      </c>
      <c r="BG214" s="19">
        <v>111.30240000000001</v>
      </c>
      <c r="BH214" s="19">
        <v>75.02</v>
      </c>
      <c r="BI214" s="19">
        <v>152.49520000000001</v>
      </c>
      <c r="BJ214" s="19">
        <v>0</v>
      </c>
      <c r="BK214" s="19">
        <v>0</v>
      </c>
      <c r="BL214" s="19">
        <v>0</v>
      </c>
      <c r="BM214" s="19">
        <v>111.30240000000001</v>
      </c>
      <c r="BN214" s="19">
        <v>75.02</v>
      </c>
      <c r="BO214" s="19">
        <v>152.49520000000001</v>
      </c>
      <c r="BP214" s="19"/>
      <c r="BQ2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93.782577777777803</v>
      </c>
      <c r="BS2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152.49520000000001</v>
      </c>
      <c r="BT214" s="11">
        <f>Tabelle5897112140[[#This Row],[Mindestauslastung min]]*Tabelle5897112140[[#This Row],[installierte Leistung MW min]]</f>
        <v>0</v>
      </c>
      <c r="BU214" s="11">
        <f>Tabelle5897112140[[#This Row],[Mindestauslastung durch]]*Tabelle5897112140[[#This Row],[installierte Leistung MW durch]]</f>
        <v>0</v>
      </c>
      <c r="BV214" s="11">
        <f>Tabelle5897112140[[#This Row],[Mindestauslastung max]]*Tabelle5897112140[[#This Row],[installierte Leistung MW max]]</f>
        <v>0</v>
      </c>
      <c r="BW214" s="9">
        <v>0</v>
      </c>
      <c r="BX214" s="9">
        <v>0</v>
      </c>
      <c r="BY214" s="9">
        <v>0</v>
      </c>
      <c r="BZ214" s="9"/>
      <c r="CA214" s="9">
        <v>0.47</v>
      </c>
      <c r="CB214" s="9">
        <v>0.37</v>
      </c>
      <c r="CC214" s="9">
        <v>0.56999999999999995</v>
      </c>
      <c r="CD214" s="9">
        <v>0</v>
      </c>
      <c r="CE214" s="9">
        <v>0</v>
      </c>
      <c r="CF214" s="9">
        <v>0</v>
      </c>
      <c r="CG214" s="9">
        <v>0</v>
      </c>
      <c r="CH214" s="9">
        <v>0</v>
      </c>
      <c r="CI214" s="9">
        <v>0</v>
      </c>
      <c r="CJ214" s="9">
        <v>0.1</v>
      </c>
      <c r="CK214" s="9">
        <v>0</v>
      </c>
      <c r="CL214" s="9">
        <v>0.2</v>
      </c>
      <c r="CM214" s="9">
        <v>0</v>
      </c>
      <c r="CN214" s="9">
        <v>0</v>
      </c>
      <c r="CO214" s="9">
        <v>0</v>
      </c>
      <c r="CP214" s="9">
        <v>0</v>
      </c>
      <c r="CQ214" s="9">
        <v>0</v>
      </c>
      <c r="CR214" s="9">
        <v>0</v>
      </c>
      <c r="CS214" s="9">
        <v>0</v>
      </c>
      <c r="CT214" s="9">
        <v>0</v>
      </c>
      <c r="CU214" s="9">
        <v>0</v>
      </c>
      <c r="CV214" s="9">
        <v>0</v>
      </c>
      <c r="CW214" s="9">
        <v>0</v>
      </c>
      <c r="CX214" s="9">
        <v>0</v>
      </c>
      <c r="CY214" s="9">
        <v>0</v>
      </c>
      <c r="CZ214" s="9">
        <v>0</v>
      </c>
      <c r="DA214" s="9">
        <v>0</v>
      </c>
      <c r="DB214" s="9">
        <f>MIN(Tabelle5897112140[[#This Row],[Durchschnittsauslastung durch Sommer WTT]:[Durchschnittsauslastung max Winter SFN]])</f>
        <v>0</v>
      </c>
      <c r="DC2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4" s="9">
        <f>MAX(Tabelle5897112140[[#This Row],[Durchschnittsauslastung durch Sommer WTT]:[Durchschnittsauslastung max Winter SFN]])</f>
        <v>0.56999999999999995</v>
      </c>
      <c r="DE214" s="40">
        <f>Tabelle5897112140[[#This Row],[Durchschnittsauslastung min]]*Tabelle5897112140[[#This Row],[installierte Leistung MW min]]</f>
        <v>0</v>
      </c>
      <c r="DF214" s="40">
        <f>Tabelle5897112140[[#This Row],[Durchschnittsauslastung durch]]*Tabelle5897112140[[#This Row],[installierte Leistung MW durch]]</f>
        <v>29.371466666666663</v>
      </c>
      <c r="DG214" s="40">
        <f>Tabelle5897112140[[#This Row],[Durchschnittsauslastung max]]*Tabelle5897112140[[#This Row],[installierte Leistung MW max]]</f>
        <v>334.31639999999999</v>
      </c>
      <c r="DH214" s="46">
        <f>Tabelle5897112140[[#This Row],[Maximalauslastung min]]*Tabelle5897112140[[#This Row],[installierte Leistung MW min]]</f>
        <v>75.02</v>
      </c>
      <c r="DI214" s="46">
        <f>Tabelle5897112140[[#This Row],[Maximalauslastung durch]]*Tabelle5897112140[[#This Row],[installierte Leistung MW durch]]</f>
        <v>111.30239999999999</v>
      </c>
      <c r="DJ214" s="19">
        <f>Tabelle5897112140[[#This Row],[Maximalauslastung max]]*Tabelle5897112140[[#This Row],[installierte Leistung MW durch]]</f>
        <v>120.5776</v>
      </c>
      <c r="DK214" s="9">
        <v>0.22</v>
      </c>
      <c r="DL214" s="9">
        <v>0.24</v>
      </c>
      <c r="DM214" s="9">
        <v>0.26</v>
      </c>
      <c r="DN214" s="1">
        <v>463.76</v>
      </c>
      <c r="DO214" s="1">
        <v>341</v>
      </c>
      <c r="DP214" s="1">
        <v>586.52</v>
      </c>
      <c r="DQ214" s="19"/>
      <c r="DR214" s="19"/>
      <c r="EL214" s="1">
        <v>365</v>
      </c>
      <c r="EM214" s="1">
        <v>292</v>
      </c>
      <c r="EN214" s="1">
        <v>438</v>
      </c>
      <c r="EO214" s="11"/>
      <c r="EP214" s="11"/>
      <c r="EQ214" s="11"/>
      <c r="ER214" s="1">
        <v>365</v>
      </c>
      <c r="ES214" s="1">
        <v>292</v>
      </c>
      <c r="ET214" s="1">
        <v>438</v>
      </c>
      <c r="EV214" s="19"/>
      <c r="EW214" s="19"/>
      <c r="EX214" s="19"/>
      <c r="EY214" s="19"/>
      <c r="EZ214" s="19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O214" s="1">
        <v>67</v>
      </c>
      <c r="FP214" s="1">
        <v>67</v>
      </c>
      <c r="FQ214" s="1">
        <v>67</v>
      </c>
      <c r="FR214" s="13" t="s">
        <v>806</v>
      </c>
      <c r="FS214" s="13" t="s">
        <v>806</v>
      </c>
      <c r="FT214" s="13" t="s">
        <v>806</v>
      </c>
      <c r="FU214" s="13"/>
      <c r="FV214" s="13" t="s">
        <v>806</v>
      </c>
      <c r="FW214" s="13" t="s">
        <v>806</v>
      </c>
      <c r="FX214" s="13" t="s">
        <v>806</v>
      </c>
      <c r="FY214" s="13" t="s">
        <v>806</v>
      </c>
      <c r="FZ214" s="13" t="s">
        <v>806</v>
      </c>
      <c r="GA214" s="13" t="s">
        <v>806</v>
      </c>
      <c r="GB214" s="13" t="s">
        <v>806</v>
      </c>
      <c r="GE214" s="13" t="s">
        <v>806</v>
      </c>
      <c r="GF214" s="13" t="s">
        <v>806</v>
      </c>
      <c r="GH214" s="13" t="s">
        <v>806</v>
      </c>
    </row>
    <row r="215" spans="1:190" x14ac:dyDescent="0.25">
      <c r="A215" s="1" t="s">
        <v>362</v>
      </c>
      <c r="B215" s="1" t="s">
        <v>650</v>
      </c>
      <c r="C215" s="1" t="s">
        <v>665</v>
      </c>
      <c r="D215" s="1" t="s">
        <v>700</v>
      </c>
      <c r="E215" s="1" t="s">
        <v>126</v>
      </c>
      <c r="F215" s="1">
        <v>0</v>
      </c>
      <c r="G215" s="1">
        <v>2040</v>
      </c>
      <c r="H215" s="1">
        <v>1</v>
      </c>
      <c r="I215" s="1">
        <v>0</v>
      </c>
      <c r="J215" s="1">
        <v>0</v>
      </c>
      <c r="K2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31.029533333333333</v>
      </c>
      <c r="M2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353.18910000000005</v>
      </c>
      <c r="N215" s="19">
        <v>230.27180000000001</v>
      </c>
      <c r="O215" s="19">
        <v>133.29250000000002</v>
      </c>
      <c r="P215" s="19">
        <v>353.18910000000005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117.58560000000001</v>
      </c>
      <c r="X215" s="19">
        <v>79.25500000000001</v>
      </c>
      <c r="Y215" s="19">
        <v>161.10380000000001</v>
      </c>
      <c r="Z215" s="19">
        <v>0</v>
      </c>
      <c r="AA215" s="19">
        <v>0</v>
      </c>
      <c r="AB215" s="19">
        <v>0</v>
      </c>
      <c r="AC215" s="19">
        <v>117.58560000000001</v>
      </c>
      <c r="AD215" s="19">
        <v>79.25500000000001</v>
      </c>
      <c r="AE215" s="19">
        <v>161.10380000000001</v>
      </c>
      <c r="AF215" s="19">
        <v>48.994</v>
      </c>
      <c r="AG215" s="19">
        <v>0</v>
      </c>
      <c r="AH215" s="19">
        <v>123.926</v>
      </c>
      <c r="AI215" s="19">
        <v>68.5916</v>
      </c>
      <c r="AJ215" s="19">
        <v>7.2050000000000001</v>
      </c>
      <c r="AK215" s="19">
        <v>161.10380000000001</v>
      </c>
      <c r="AL215" s="19">
        <v>0</v>
      </c>
      <c r="AM215" s="19">
        <v>0</v>
      </c>
      <c r="AN215" s="19">
        <v>0</v>
      </c>
      <c r="AO215" s="19">
        <v>117.58560000000001</v>
      </c>
      <c r="AP215" s="19">
        <v>79.25500000000001</v>
      </c>
      <c r="AQ215" s="19">
        <v>161.10380000000001</v>
      </c>
      <c r="AR215" s="19">
        <v>0</v>
      </c>
      <c r="AS215" s="19">
        <v>0</v>
      </c>
      <c r="AT215" s="19">
        <v>0</v>
      </c>
      <c r="AU215" s="19">
        <v>117.58560000000001</v>
      </c>
      <c r="AV215" s="19">
        <v>79.25500000000001</v>
      </c>
      <c r="AW215" s="19">
        <v>161.10380000000001</v>
      </c>
      <c r="AX215" s="19">
        <v>0</v>
      </c>
      <c r="AY215" s="19">
        <v>0</v>
      </c>
      <c r="AZ215" s="19">
        <v>0</v>
      </c>
      <c r="BA215" s="19">
        <v>117.58560000000001</v>
      </c>
      <c r="BB215" s="19">
        <v>79.25500000000001</v>
      </c>
      <c r="BC215" s="19">
        <v>161.10380000000001</v>
      </c>
      <c r="BD215" s="19">
        <v>0</v>
      </c>
      <c r="BE215" s="19">
        <v>0</v>
      </c>
      <c r="BF215" s="19">
        <v>0</v>
      </c>
      <c r="BG215" s="19">
        <v>117.58560000000001</v>
      </c>
      <c r="BH215" s="19">
        <v>79.25500000000001</v>
      </c>
      <c r="BI215" s="19">
        <v>161.10380000000001</v>
      </c>
      <c r="BJ215" s="19">
        <v>0</v>
      </c>
      <c r="BK215" s="19">
        <v>0</v>
      </c>
      <c r="BL215" s="19">
        <v>0</v>
      </c>
      <c r="BM215" s="19">
        <v>117.58560000000001</v>
      </c>
      <c r="BN215" s="19">
        <v>79.25500000000001</v>
      </c>
      <c r="BO215" s="19">
        <v>161.10380000000001</v>
      </c>
      <c r="BP215" s="19"/>
      <c r="BQ2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99.076755555555565</v>
      </c>
      <c r="BS2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161.10380000000001</v>
      </c>
      <c r="BT215" s="11">
        <f>Tabelle5897112140[[#This Row],[Mindestauslastung min]]*Tabelle5897112140[[#This Row],[installierte Leistung MW min]]</f>
        <v>0</v>
      </c>
      <c r="BU215" s="11">
        <f>Tabelle5897112140[[#This Row],[Mindestauslastung durch]]*Tabelle5897112140[[#This Row],[installierte Leistung MW durch]]</f>
        <v>0</v>
      </c>
      <c r="BV215" s="11">
        <f>Tabelle5897112140[[#This Row],[Mindestauslastung max]]*Tabelle5897112140[[#This Row],[installierte Leistung MW max]]</f>
        <v>0</v>
      </c>
      <c r="BW215" s="9">
        <v>0</v>
      </c>
      <c r="BX215" s="9">
        <v>0</v>
      </c>
      <c r="BY215" s="9">
        <v>0</v>
      </c>
      <c r="BZ215" s="9"/>
      <c r="CA215" s="9">
        <v>0.47</v>
      </c>
      <c r="CB215" s="9">
        <v>0.37</v>
      </c>
      <c r="CC215" s="9">
        <v>0.56999999999999995</v>
      </c>
      <c r="CD215" s="9">
        <v>0</v>
      </c>
      <c r="CE215" s="9">
        <v>0</v>
      </c>
      <c r="CF215" s="9">
        <v>0</v>
      </c>
      <c r="CG215" s="9">
        <v>0</v>
      </c>
      <c r="CH215" s="9">
        <v>0</v>
      </c>
      <c r="CI215" s="9">
        <v>0</v>
      </c>
      <c r="CJ215" s="9">
        <v>0.1</v>
      </c>
      <c r="CK215" s="9">
        <v>0</v>
      </c>
      <c r="CL215" s="9">
        <v>0.2</v>
      </c>
      <c r="CM215" s="9">
        <v>0</v>
      </c>
      <c r="CN215" s="9">
        <v>0</v>
      </c>
      <c r="CO215" s="9">
        <v>0</v>
      </c>
      <c r="CP215" s="9">
        <v>0</v>
      </c>
      <c r="CQ215" s="9">
        <v>0</v>
      </c>
      <c r="CR215" s="9">
        <v>0</v>
      </c>
      <c r="CS215" s="9">
        <v>0</v>
      </c>
      <c r="CT215" s="9">
        <v>0</v>
      </c>
      <c r="CU215" s="9">
        <v>0</v>
      </c>
      <c r="CV215" s="9">
        <v>0</v>
      </c>
      <c r="CW215" s="9">
        <v>0</v>
      </c>
      <c r="CX215" s="9">
        <v>0</v>
      </c>
      <c r="CY215" s="9">
        <v>0</v>
      </c>
      <c r="CZ215" s="9">
        <v>0</v>
      </c>
      <c r="DA215" s="9">
        <v>0</v>
      </c>
      <c r="DB215" s="9">
        <f>MIN(Tabelle5897112140[[#This Row],[Durchschnittsauslastung durch Sommer WTT]:[Durchschnittsauslastung max Winter SFN]])</f>
        <v>0</v>
      </c>
      <c r="DC2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5" s="9">
        <f>MAX(Tabelle5897112140[[#This Row],[Durchschnittsauslastung durch Sommer WTT]:[Durchschnittsauslastung max Winter SFN]])</f>
        <v>0.56999999999999995</v>
      </c>
      <c r="DE215" s="40">
        <f>Tabelle5897112140[[#This Row],[Durchschnittsauslastung min]]*Tabelle5897112140[[#This Row],[installierte Leistung MW min]]</f>
        <v>0</v>
      </c>
      <c r="DF215" s="40">
        <f>Tabelle5897112140[[#This Row],[Durchschnittsauslastung durch]]*Tabelle5897112140[[#This Row],[installierte Leistung MW durch]]</f>
        <v>31.02953333333333</v>
      </c>
      <c r="DG215" s="40">
        <f>Tabelle5897112140[[#This Row],[Durchschnittsauslastung max]]*Tabelle5897112140[[#This Row],[installierte Leistung MW max]]</f>
        <v>353.18909999999994</v>
      </c>
      <c r="DH215" s="46">
        <f>Tabelle5897112140[[#This Row],[Maximalauslastung min]]*Tabelle5897112140[[#This Row],[installierte Leistung MW min]]</f>
        <v>79.254999999999995</v>
      </c>
      <c r="DI215" s="46">
        <f>Tabelle5897112140[[#This Row],[Maximalauslastung durch]]*Tabelle5897112140[[#This Row],[installierte Leistung MW durch]]</f>
        <v>117.5856</v>
      </c>
      <c r="DJ215" s="19">
        <f>Tabelle5897112140[[#This Row],[Maximalauslastung max]]*Tabelle5897112140[[#This Row],[installierte Leistung MW durch]]</f>
        <v>127.3844</v>
      </c>
      <c r="DK215" s="9">
        <v>0.22</v>
      </c>
      <c r="DL215" s="9">
        <v>0.24</v>
      </c>
      <c r="DM215" s="9">
        <v>0.26</v>
      </c>
      <c r="DN215" s="1">
        <v>489.94</v>
      </c>
      <c r="DO215" s="1">
        <v>360.25</v>
      </c>
      <c r="DP215" s="1">
        <v>619.63</v>
      </c>
      <c r="DQ215" s="19"/>
      <c r="DR215" s="19"/>
      <c r="EL215" s="1">
        <v>365</v>
      </c>
      <c r="EM215" s="1">
        <v>292</v>
      </c>
      <c r="EN215" s="1">
        <v>438</v>
      </c>
      <c r="EO215" s="11"/>
      <c r="EP215" s="11"/>
      <c r="EQ215" s="11"/>
      <c r="ER215" s="1">
        <v>365</v>
      </c>
      <c r="ES215" s="1">
        <v>292</v>
      </c>
      <c r="ET215" s="1">
        <v>438</v>
      </c>
      <c r="EV215" s="19"/>
      <c r="EW215" s="19"/>
      <c r="EX215" s="19"/>
      <c r="EY215" s="19"/>
      <c r="EZ215" s="19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O215" s="1">
        <v>67</v>
      </c>
      <c r="FP215" s="1">
        <v>67</v>
      </c>
      <c r="FQ215" s="1">
        <v>67</v>
      </c>
      <c r="FR215" s="13" t="s">
        <v>806</v>
      </c>
      <c r="FS215" s="13" t="s">
        <v>806</v>
      </c>
      <c r="FT215" s="13" t="s">
        <v>806</v>
      </c>
      <c r="FU215" s="13"/>
      <c r="FV215" s="13" t="s">
        <v>806</v>
      </c>
      <c r="FW215" s="13" t="s">
        <v>806</v>
      </c>
      <c r="FX215" s="13" t="s">
        <v>806</v>
      </c>
      <c r="FY215" s="13" t="s">
        <v>806</v>
      </c>
      <c r="FZ215" s="13" t="s">
        <v>806</v>
      </c>
      <c r="GA215" s="13" t="s">
        <v>806</v>
      </c>
      <c r="GB215" s="13" t="s">
        <v>806</v>
      </c>
      <c r="GE215" s="13" t="s">
        <v>806</v>
      </c>
      <c r="GF215" s="13" t="s">
        <v>806</v>
      </c>
      <c r="GH215" s="13" t="s">
        <v>806</v>
      </c>
    </row>
    <row r="216" spans="1:190" x14ac:dyDescent="0.25">
      <c r="A216" s="1" t="s">
        <v>362</v>
      </c>
      <c r="B216" s="1" t="s">
        <v>650</v>
      </c>
      <c r="C216" s="1" t="s">
        <v>665</v>
      </c>
      <c r="D216" s="1" t="s">
        <v>700</v>
      </c>
      <c r="E216" s="1" t="s">
        <v>126</v>
      </c>
      <c r="F216" s="1">
        <v>0</v>
      </c>
      <c r="G216" s="1">
        <v>2045</v>
      </c>
      <c r="H216" s="1">
        <v>1</v>
      </c>
      <c r="I216" s="1">
        <v>0</v>
      </c>
      <c r="J216" s="1">
        <v>0</v>
      </c>
      <c r="K2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32.924466666666667</v>
      </c>
      <c r="M2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374.75790000000001</v>
      </c>
      <c r="N216" s="19">
        <v>244.33419999999998</v>
      </c>
      <c r="O216" s="19">
        <v>141.43249999999998</v>
      </c>
      <c r="P216" s="19">
        <v>374.75790000000001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124.7664</v>
      </c>
      <c r="X216" s="19">
        <v>84.094999999999999</v>
      </c>
      <c r="Y216" s="19">
        <v>170.94219999999999</v>
      </c>
      <c r="Z216" s="19">
        <v>0</v>
      </c>
      <c r="AA216" s="19">
        <v>0</v>
      </c>
      <c r="AB216" s="19">
        <v>0</v>
      </c>
      <c r="AC216" s="19">
        <v>124.7664</v>
      </c>
      <c r="AD216" s="19">
        <v>84.094999999999999</v>
      </c>
      <c r="AE216" s="19">
        <v>170.94219999999999</v>
      </c>
      <c r="AF216" s="19">
        <v>51.985999999999997</v>
      </c>
      <c r="AG216" s="19">
        <v>0</v>
      </c>
      <c r="AH216" s="19">
        <v>131.49399999999997</v>
      </c>
      <c r="AI216" s="19">
        <v>72.7804</v>
      </c>
      <c r="AJ216" s="19">
        <v>7.6449999999999996</v>
      </c>
      <c r="AK216" s="19">
        <v>170.94219999999999</v>
      </c>
      <c r="AL216" s="19">
        <v>0</v>
      </c>
      <c r="AM216" s="19">
        <v>0</v>
      </c>
      <c r="AN216" s="19">
        <v>0</v>
      </c>
      <c r="AO216" s="19">
        <v>124.7664</v>
      </c>
      <c r="AP216" s="19">
        <v>84.094999999999999</v>
      </c>
      <c r="AQ216" s="19">
        <v>170.94219999999999</v>
      </c>
      <c r="AR216" s="19">
        <v>0</v>
      </c>
      <c r="AS216" s="19">
        <v>0</v>
      </c>
      <c r="AT216" s="19">
        <v>0</v>
      </c>
      <c r="AU216" s="19">
        <v>124.7664</v>
      </c>
      <c r="AV216" s="19">
        <v>84.094999999999999</v>
      </c>
      <c r="AW216" s="19">
        <v>170.94219999999999</v>
      </c>
      <c r="AX216" s="19">
        <v>0</v>
      </c>
      <c r="AY216" s="19">
        <v>0</v>
      </c>
      <c r="AZ216" s="19">
        <v>0</v>
      </c>
      <c r="BA216" s="19">
        <v>124.7664</v>
      </c>
      <c r="BB216" s="19">
        <v>84.094999999999999</v>
      </c>
      <c r="BC216" s="19">
        <v>170.94219999999999</v>
      </c>
      <c r="BD216" s="19">
        <v>0</v>
      </c>
      <c r="BE216" s="19">
        <v>0</v>
      </c>
      <c r="BF216" s="19">
        <v>0</v>
      </c>
      <c r="BG216" s="19">
        <v>124.7664</v>
      </c>
      <c r="BH216" s="19">
        <v>84.094999999999999</v>
      </c>
      <c r="BI216" s="19">
        <v>170.94219999999999</v>
      </c>
      <c r="BJ216" s="19">
        <v>0</v>
      </c>
      <c r="BK216" s="19">
        <v>0</v>
      </c>
      <c r="BL216" s="19">
        <v>0</v>
      </c>
      <c r="BM216" s="19">
        <v>124.7664</v>
      </c>
      <c r="BN216" s="19">
        <v>84.094999999999999</v>
      </c>
      <c r="BO216" s="19">
        <v>170.94219999999999</v>
      </c>
      <c r="BP216" s="19"/>
      <c r="BQ2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105.12724444444444</v>
      </c>
      <c r="BS2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170.94219999999999</v>
      </c>
      <c r="BT216" s="11">
        <f>Tabelle5897112140[[#This Row],[Mindestauslastung min]]*Tabelle5897112140[[#This Row],[installierte Leistung MW min]]</f>
        <v>0</v>
      </c>
      <c r="BU216" s="11">
        <f>Tabelle5897112140[[#This Row],[Mindestauslastung durch]]*Tabelle5897112140[[#This Row],[installierte Leistung MW durch]]</f>
        <v>0</v>
      </c>
      <c r="BV216" s="11">
        <f>Tabelle5897112140[[#This Row],[Mindestauslastung max]]*Tabelle5897112140[[#This Row],[installierte Leistung MW max]]</f>
        <v>0</v>
      </c>
      <c r="BW216" s="9">
        <v>0</v>
      </c>
      <c r="BX216" s="9">
        <v>0</v>
      </c>
      <c r="BY216" s="9">
        <v>0</v>
      </c>
      <c r="BZ216" s="9"/>
      <c r="CA216" s="9">
        <v>0.47</v>
      </c>
      <c r="CB216" s="9">
        <v>0.37</v>
      </c>
      <c r="CC216" s="9">
        <v>0.56999999999999995</v>
      </c>
      <c r="CD216" s="9">
        <v>0</v>
      </c>
      <c r="CE216" s="9">
        <v>0</v>
      </c>
      <c r="CF216" s="9">
        <v>0</v>
      </c>
      <c r="CG216" s="9">
        <v>0</v>
      </c>
      <c r="CH216" s="9">
        <v>0</v>
      </c>
      <c r="CI216" s="9">
        <v>0</v>
      </c>
      <c r="CJ216" s="9">
        <v>0.1</v>
      </c>
      <c r="CK216" s="9">
        <v>0</v>
      </c>
      <c r="CL216" s="9">
        <v>0.2</v>
      </c>
      <c r="CM216" s="9">
        <v>0</v>
      </c>
      <c r="CN216" s="9">
        <v>0</v>
      </c>
      <c r="CO216" s="9">
        <v>0</v>
      </c>
      <c r="CP216" s="9">
        <v>0</v>
      </c>
      <c r="CQ216" s="9">
        <v>0</v>
      </c>
      <c r="CR216" s="9">
        <v>0</v>
      </c>
      <c r="CS216" s="9">
        <v>0</v>
      </c>
      <c r="CT216" s="9">
        <v>0</v>
      </c>
      <c r="CU216" s="9">
        <v>0</v>
      </c>
      <c r="CV216" s="9">
        <v>0</v>
      </c>
      <c r="CW216" s="9">
        <v>0</v>
      </c>
      <c r="CX216" s="9">
        <v>0</v>
      </c>
      <c r="CY216" s="9">
        <v>0</v>
      </c>
      <c r="CZ216" s="9">
        <v>0</v>
      </c>
      <c r="DA216" s="9">
        <v>0</v>
      </c>
      <c r="DB216" s="9">
        <f>MIN(Tabelle5897112140[[#This Row],[Durchschnittsauslastung durch Sommer WTT]:[Durchschnittsauslastung max Winter SFN]])</f>
        <v>0</v>
      </c>
      <c r="DC2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6" s="9">
        <f>MAX(Tabelle5897112140[[#This Row],[Durchschnittsauslastung durch Sommer WTT]:[Durchschnittsauslastung max Winter SFN]])</f>
        <v>0.56999999999999995</v>
      </c>
      <c r="DE216" s="40">
        <f>Tabelle5897112140[[#This Row],[Durchschnittsauslastung min]]*Tabelle5897112140[[#This Row],[installierte Leistung MW min]]</f>
        <v>0</v>
      </c>
      <c r="DF216" s="40">
        <f>Tabelle5897112140[[#This Row],[Durchschnittsauslastung durch]]*Tabelle5897112140[[#This Row],[installierte Leistung MW durch]]</f>
        <v>32.92446666666666</v>
      </c>
      <c r="DG216" s="40">
        <f>Tabelle5897112140[[#This Row],[Durchschnittsauslastung max]]*Tabelle5897112140[[#This Row],[installierte Leistung MW max]]</f>
        <v>374.75790000000001</v>
      </c>
      <c r="DH216" s="46">
        <f>Tabelle5897112140[[#This Row],[Maximalauslastung min]]*Tabelle5897112140[[#This Row],[installierte Leistung MW min]]</f>
        <v>84.094999999999999</v>
      </c>
      <c r="DI216" s="46">
        <f>Tabelle5897112140[[#This Row],[Maximalauslastung durch]]*Tabelle5897112140[[#This Row],[installierte Leistung MW durch]]</f>
        <v>124.7664</v>
      </c>
      <c r="DJ216" s="19">
        <f>Tabelle5897112140[[#This Row],[Maximalauslastung max]]*Tabelle5897112140[[#This Row],[installierte Leistung MW durch]]</f>
        <v>135.1636</v>
      </c>
      <c r="DK216" s="9">
        <v>0.22</v>
      </c>
      <c r="DL216" s="9">
        <v>0.24</v>
      </c>
      <c r="DM216" s="9">
        <v>0.26</v>
      </c>
      <c r="DN216" s="1">
        <v>519.86</v>
      </c>
      <c r="DO216" s="1">
        <v>382.25</v>
      </c>
      <c r="DP216" s="1">
        <v>657.47</v>
      </c>
      <c r="DQ216" s="19"/>
      <c r="DR216" s="19"/>
      <c r="EL216" s="1">
        <v>365</v>
      </c>
      <c r="EM216" s="1">
        <v>292</v>
      </c>
      <c r="EN216" s="1">
        <v>438</v>
      </c>
      <c r="EO216" s="11"/>
      <c r="EP216" s="11"/>
      <c r="EQ216" s="11"/>
      <c r="ER216" s="1">
        <v>365</v>
      </c>
      <c r="ES216" s="1">
        <v>292</v>
      </c>
      <c r="ET216" s="1">
        <v>438</v>
      </c>
      <c r="EV216" s="19"/>
      <c r="EW216" s="19"/>
      <c r="EX216" s="19"/>
      <c r="EY216" s="19"/>
      <c r="EZ216" s="19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O216" s="1">
        <v>67</v>
      </c>
      <c r="FP216" s="1">
        <v>67</v>
      </c>
      <c r="FQ216" s="1">
        <v>67</v>
      </c>
      <c r="FR216" s="13" t="s">
        <v>806</v>
      </c>
      <c r="FS216" s="13" t="s">
        <v>806</v>
      </c>
      <c r="FT216" s="13" t="s">
        <v>806</v>
      </c>
      <c r="FU216" s="13"/>
      <c r="FV216" s="13" t="s">
        <v>806</v>
      </c>
      <c r="FW216" s="13" t="s">
        <v>806</v>
      </c>
      <c r="FX216" s="13" t="s">
        <v>806</v>
      </c>
      <c r="FY216" s="13" t="s">
        <v>806</v>
      </c>
      <c r="FZ216" s="13" t="s">
        <v>806</v>
      </c>
      <c r="GA216" s="13" t="s">
        <v>806</v>
      </c>
      <c r="GB216" s="13" t="s">
        <v>806</v>
      </c>
      <c r="GE216" s="13" t="s">
        <v>806</v>
      </c>
      <c r="GF216" s="13" t="s">
        <v>806</v>
      </c>
      <c r="GH216" s="13" t="s">
        <v>806</v>
      </c>
    </row>
    <row r="217" spans="1:190" x14ac:dyDescent="0.25">
      <c r="A217" s="1" t="s">
        <v>362</v>
      </c>
      <c r="B217" s="1" t="s">
        <v>650</v>
      </c>
      <c r="C217" s="1" t="s">
        <v>665</v>
      </c>
      <c r="D217" s="1" t="s">
        <v>700</v>
      </c>
      <c r="E217" s="1" t="s">
        <v>126</v>
      </c>
      <c r="F217" s="1">
        <v>0</v>
      </c>
      <c r="G217" s="1">
        <v>2050</v>
      </c>
      <c r="H217" s="1">
        <v>1</v>
      </c>
      <c r="I217" s="1">
        <v>0</v>
      </c>
      <c r="J217" s="1">
        <v>0</v>
      </c>
      <c r="K2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34.819400000000002</v>
      </c>
      <c r="M2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396.32670000000002</v>
      </c>
      <c r="N217" s="19">
        <v>258.39659999999998</v>
      </c>
      <c r="O217" s="19">
        <v>149.57249999999999</v>
      </c>
      <c r="P217" s="19">
        <v>396.32670000000002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131.94720000000001</v>
      </c>
      <c r="X217" s="19">
        <v>88.935000000000002</v>
      </c>
      <c r="Y217" s="19">
        <v>180.78059999999999</v>
      </c>
      <c r="Z217" s="19">
        <v>0</v>
      </c>
      <c r="AA217" s="19">
        <v>0</v>
      </c>
      <c r="AB217" s="19">
        <v>0</v>
      </c>
      <c r="AC217" s="19">
        <v>131.94720000000001</v>
      </c>
      <c r="AD217" s="19">
        <v>88.935000000000002</v>
      </c>
      <c r="AE217" s="19">
        <v>180.78059999999999</v>
      </c>
      <c r="AF217" s="19">
        <v>54.977999999999994</v>
      </c>
      <c r="AG217" s="19">
        <v>0</v>
      </c>
      <c r="AH217" s="19">
        <v>139.06199999999998</v>
      </c>
      <c r="AI217" s="19">
        <v>76.969200000000001</v>
      </c>
      <c r="AJ217" s="19">
        <v>8.0849999999999991</v>
      </c>
      <c r="AK217" s="19">
        <v>180.78059999999999</v>
      </c>
      <c r="AL217" s="19">
        <v>0</v>
      </c>
      <c r="AM217" s="19">
        <v>0</v>
      </c>
      <c r="AN217" s="19">
        <v>0</v>
      </c>
      <c r="AO217" s="19">
        <v>131.94720000000001</v>
      </c>
      <c r="AP217" s="19">
        <v>88.935000000000002</v>
      </c>
      <c r="AQ217" s="19">
        <v>180.78059999999999</v>
      </c>
      <c r="AR217" s="19">
        <v>0</v>
      </c>
      <c r="AS217" s="19">
        <v>0</v>
      </c>
      <c r="AT217" s="19">
        <v>0</v>
      </c>
      <c r="AU217" s="19">
        <v>131.94720000000001</v>
      </c>
      <c r="AV217" s="19">
        <v>88.935000000000002</v>
      </c>
      <c r="AW217" s="19">
        <v>180.78059999999999</v>
      </c>
      <c r="AX217" s="19">
        <v>0</v>
      </c>
      <c r="AY217" s="19">
        <v>0</v>
      </c>
      <c r="AZ217" s="19">
        <v>0</v>
      </c>
      <c r="BA217" s="19">
        <v>131.94720000000001</v>
      </c>
      <c r="BB217" s="19">
        <v>88.935000000000002</v>
      </c>
      <c r="BC217" s="19">
        <v>180.78059999999999</v>
      </c>
      <c r="BD217" s="19">
        <v>0</v>
      </c>
      <c r="BE217" s="19">
        <v>0</v>
      </c>
      <c r="BF217" s="19">
        <v>0</v>
      </c>
      <c r="BG217" s="19">
        <v>131.94720000000001</v>
      </c>
      <c r="BH217" s="19">
        <v>88.935000000000002</v>
      </c>
      <c r="BI217" s="19">
        <v>180.78059999999999</v>
      </c>
      <c r="BJ217" s="19">
        <v>0</v>
      </c>
      <c r="BK217" s="19">
        <v>0</v>
      </c>
      <c r="BL217" s="19">
        <v>0</v>
      </c>
      <c r="BM217" s="19">
        <v>131.94720000000001</v>
      </c>
      <c r="BN217" s="19">
        <v>88.935000000000002</v>
      </c>
      <c r="BO217" s="19">
        <v>180.78059999999999</v>
      </c>
      <c r="BP217" s="19"/>
      <c r="BQ2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111.17773333333336</v>
      </c>
      <c r="BS2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180.78059999999999</v>
      </c>
      <c r="BT217" s="11">
        <f>Tabelle5897112140[[#This Row],[Mindestauslastung min]]*Tabelle5897112140[[#This Row],[installierte Leistung MW min]]</f>
        <v>0</v>
      </c>
      <c r="BU217" s="11">
        <f>Tabelle5897112140[[#This Row],[Mindestauslastung durch]]*Tabelle5897112140[[#This Row],[installierte Leistung MW durch]]</f>
        <v>0</v>
      </c>
      <c r="BV217" s="11">
        <f>Tabelle5897112140[[#This Row],[Mindestauslastung max]]*Tabelle5897112140[[#This Row],[installierte Leistung MW max]]</f>
        <v>0</v>
      </c>
      <c r="BW217" s="9">
        <v>0</v>
      </c>
      <c r="BX217" s="9">
        <v>0</v>
      </c>
      <c r="BY217" s="9">
        <v>0</v>
      </c>
      <c r="BZ217" s="9"/>
      <c r="CA217" s="9">
        <v>0.47</v>
      </c>
      <c r="CB217" s="9">
        <v>0.37</v>
      </c>
      <c r="CC217" s="9">
        <v>0.56999999999999995</v>
      </c>
      <c r="CD217" s="9">
        <v>0</v>
      </c>
      <c r="CE217" s="9">
        <v>0</v>
      </c>
      <c r="CF217" s="9">
        <v>0</v>
      </c>
      <c r="CG217" s="9">
        <v>0</v>
      </c>
      <c r="CH217" s="9">
        <v>0</v>
      </c>
      <c r="CI217" s="9">
        <v>0</v>
      </c>
      <c r="CJ217" s="9">
        <v>0.1</v>
      </c>
      <c r="CK217" s="9">
        <v>0</v>
      </c>
      <c r="CL217" s="9">
        <v>0.2</v>
      </c>
      <c r="CM217" s="9">
        <v>0</v>
      </c>
      <c r="CN217" s="9">
        <v>0</v>
      </c>
      <c r="CO217" s="9">
        <v>0</v>
      </c>
      <c r="CP217" s="9">
        <v>0</v>
      </c>
      <c r="CQ217" s="9">
        <v>0</v>
      </c>
      <c r="CR217" s="9">
        <v>0</v>
      </c>
      <c r="CS217" s="9">
        <v>0</v>
      </c>
      <c r="CT217" s="9">
        <v>0</v>
      </c>
      <c r="CU217" s="9">
        <v>0</v>
      </c>
      <c r="CV217" s="9">
        <v>0</v>
      </c>
      <c r="CW217" s="9">
        <v>0</v>
      </c>
      <c r="CX217" s="9">
        <v>0</v>
      </c>
      <c r="CY217" s="9">
        <v>0</v>
      </c>
      <c r="CZ217" s="9">
        <v>0</v>
      </c>
      <c r="DA217" s="9">
        <v>0</v>
      </c>
      <c r="DB217" s="9">
        <f>MIN(Tabelle5897112140[[#This Row],[Durchschnittsauslastung durch Sommer WTT]:[Durchschnittsauslastung max Winter SFN]])</f>
        <v>0</v>
      </c>
      <c r="DC2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7" s="9">
        <f>MAX(Tabelle5897112140[[#This Row],[Durchschnittsauslastung durch Sommer WTT]:[Durchschnittsauslastung max Winter SFN]])</f>
        <v>0.56999999999999995</v>
      </c>
      <c r="DE217" s="40">
        <f>Tabelle5897112140[[#This Row],[Durchschnittsauslastung min]]*Tabelle5897112140[[#This Row],[installierte Leistung MW min]]</f>
        <v>0</v>
      </c>
      <c r="DF217" s="40">
        <f>Tabelle5897112140[[#This Row],[Durchschnittsauslastung durch]]*Tabelle5897112140[[#This Row],[installierte Leistung MW durch]]</f>
        <v>34.819399999999995</v>
      </c>
      <c r="DG217" s="40">
        <f>Tabelle5897112140[[#This Row],[Durchschnittsauslastung max]]*Tabelle5897112140[[#This Row],[installierte Leistung MW max]]</f>
        <v>396.32669999999996</v>
      </c>
      <c r="DH217" s="46">
        <f>Tabelle5897112140[[#This Row],[Maximalauslastung min]]*Tabelle5897112140[[#This Row],[installierte Leistung MW min]]</f>
        <v>88.935000000000002</v>
      </c>
      <c r="DI217" s="46">
        <f>Tabelle5897112140[[#This Row],[Maximalauslastung durch]]*Tabelle5897112140[[#This Row],[installierte Leistung MW durch]]</f>
        <v>131.94719999999998</v>
      </c>
      <c r="DJ217" s="19">
        <f>Tabelle5897112140[[#This Row],[Maximalauslastung max]]*Tabelle5897112140[[#This Row],[installierte Leistung MW durch]]</f>
        <v>142.94280000000001</v>
      </c>
      <c r="DK217" s="9">
        <v>0.22</v>
      </c>
      <c r="DL217" s="9">
        <v>0.24</v>
      </c>
      <c r="DM217" s="9">
        <v>0.26</v>
      </c>
      <c r="DN217" s="1">
        <v>549.78</v>
      </c>
      <c r="DO217" s="1">
        <v>404.25</v>
      </c>
      <c r="DP217" s="1">
        <v>695.31</v>
      </c>
      <c r="DQ217" s="19"/>
      <c r="DR217" s="19"/>
      <c r="EL217" s="1">
        <v>365</v>
      </c>
      <c r="EM217" s="1">
        <v>292</v>
      </c>
      <c r="EN217" s="1">
        <v>438</v>
      </c>
      <c r="EO217" s="11"/>
      <c r="EP217" s="11"/>
      <c r="EQ217" s="11"/>
      <c r="ER217" s="1">
        <v>365</v>
      </c>
      <c r="ES217" s="1">
        <v>292</v>
      </c>
      <c r="ET217" s="1">
        <v>438</v>
      </c>
      <c r="EV217" s="19"/>
      <c r="EW217" s="19"/>
      <c r="EX217" s="19"/>
      <c r="EY217" s="19"/>
      <c r="EZ217" s="19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O217" s="1">
        <v>67</v>
      </c>
      <c r="FP217" s="1">
        <v>67</v>
      </c>
      <c r="FQ217" s="1">
        <v>67</v>
      </c>
      <c r="FR217" s="13" t="s">
        <v>806</v>
      </c>
      <c r="FS217" s="13" t="s">
        <v>806</v>
      </c>
      <c r="FT217" s="13" t="s">
        <v>806</v>
      </c>
      <c r="FU217" s="13"/>
      <c r="FV217" s="13" t="s">
        <v>806</v>
      </c>
      <c r="FW217" s="13" t="s">
        <v>806</v>
      </c>
      <c r="FX217" s="13" t="s">
        <v>806</v>
      </c>
      <c r="FY217" s="13" t="s">
        <v>806</v>
      </c>
      <c r="FZ217" s="13" t="s">
        <v>806</v>
      </c>
      <c r="GA217" s="13" t="s">
        <v>806</v>
      </c>
      <c r="GB217" s="13" t="s">
        <v>806</v>
      </c>
      <c r="GE217" s="13" t="s">
        <v>806</v>
      </c>
      <c r="GF217" s="13" t="s">
        <v>806</v>
      </c>
      <c r="GH217" s="13" t="s">
        <v>806</v>
      </c>
    </row>
    <row r="218" spans="1:190" ht="12.75" customHeight="1" x14ac:dyDescent="0.25">
      <c r="A218" s="1" t="s">
        <v>208</v>
      </c>
      <c r="B218" s="1" t="s">
        <v>651</v>
      </c>
      <c r="C218" s="1" t="s">
        <v>665</v>
      </c>
      <c r="D218" s="1" t="s">
        <v>701</v>
      </c>
      <c r="E218" s="1" t="s">
        <v>126</v>
      </c>
      <c r="F218" s="1">
        <v>0</v>
      </c>
      <c r="G218" s="1">
        <v>2015</v>
      </c>
      <c r="H218" s="1">
        <v>1</v>
      </c>
      <c r="I218" s="1">
        <v>0</v>
      </c>
      <c r="J218" s="1">
        <v>0</v>
      </c>
      <c r="K2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1.76</v>
      </c>
      <c r="L2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19.433333333333337</v>
      </c>
      <c r="M2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62.04</v>
      </c>
      <c r="N218" s="19">
        <v>38.5</v>
      </c>
      <c r="O218" s="19">
        <v>20.239999999999998</v>
      </c>
      <c r="P218" s="19">
        <v>62.04</v>
      </c>
      <c r="Q218" s="19">
        <v>1.1000000000000001</v>
      </c>
      <c r="R218" s="19">
        <v>0</v>
      </c>
      <c r="S218" s="19">
        <v>21.12</v>
      </c>
      <c r="T218" s="19">
        <v>9.9</v>
      </c>
      <c r="U218" s="19">
        <v>1.76</v>
      </c>
      <c r="V218" s="19">
        <v>21.12</v>
      </c>
      <c r="W218" s="19">
        <v>29.7</v>
      </c>
      <c r="X218" s="19">
        <v>14.96</v>
      </c>
      <c r="Y218" s="19">
        <v>48.84</v>
      </c>
      <c r="Z218" s="19">
        <v>9.9</v>
      </c>
      <c r="AA218" s="19">
        <v>1.76</v>
      </c>
      <c r="AB218" s="19">
        <v>21.12</v>
      </c>
      <c r="AC218" s="19">
        <v>29.7</v>
      </c>
      <c r="AD218" s="19">
        <v>14.96</v>
      </c>
      <c r="AE218" s="19">
        <v>48.84</v>
      </c>
      <c r="AF218" s="19">
        <v>38.5</v>
      </c>
      <c r="AG218" s="19">
        <v>20.239999999999998</v>
      </c>
      <c r="AH218" s="19">
        <v>62.04</v>
      </c>
      <c r="AI218" s="19">
        <v>1.1000000000000001</v>
      </c>
      <c r="AJ218" s="19">
        <v>0</v>
      </c>
      <c r="AK218" s="19">
        <v>21.12</v>
      </c>
      <c r="AL218" s="19">
        <v>9.9</v>
      </c>
      <c r="AM218" s="19">
        <v>1.76</v>
      </c>
      <c r="AN218" s="19">
        <v>21.12</v>
      </c>
      <c r="AO218" s="19">
        <v>29.7</v>
      </c>
      <c r="AP218" s="19">
        <v>14.96</v>
      </c>
      <c r="AQ218" s="19">
        <v>48.84</v>
      </c>
      <c r="AR218" s="19">
        <v>9.9</v>
      </c>
      <c r="AS218" s="19">
        <v>1.76</v>
      </c>
      <c r="AT218" s="19">
        <v>21.12</v>
      </c>
      <c r="AU218" s="19">
        <v>29.7</v>
      </c>
      <c r="AV218" s="19">
        <v>14.96</v>
      </c>
      <c r="AW218" s="19">
        <v>48.84</v>
      </c>
      <c r="AX218" s="19">
        <v>38.5</v>
      </c>
      <c r="AY218" s="19">
        <v>20.239999999999998</v>
      </c>
      <c r="AZ218" s="19">
        <v>62.04</v>
      </c>
      <c r="BA218" s="19">
        <v>1.1000000000000001</v>
      </c>
      <c r="BB218" s="19">
        <v>0</v>
      </c>
      <c r="BC218" s="19">
        <v>21.12</v>
      </c>
      <c r="BD218" s="19">
        <v>9.9</v>
      </c>
      <c r="BE218" s="19">
        <v>1.76</v>
      </c>
      <c r="BF218" s="19">
        <v>21.12</v>
      </c>
      <c r="BG218" s="19">
        <v>29.7</v>
      </c>
      <c r="BH218" s="19">
        <v>14.96</v>
      </c>
      <c r="BI218" s="19">
        <v>48.84</v>
      </c>
      <c r="BJ218" s="19">
        <v>9.9</v>
      </c>
      <c r="BK218" s="19">
        <v>1.76</v>
      </c>
      <c r="BL218" s="19">
        <v>21.12</v>
      </c>
      <c r="BM218" s="19">
        <v>29.7</v>
      </c>
      <c r="BN218" s="19">
        <v>14.96</v>
      </c>
      <c r="BO218" s="19">
        <v>48.84</v>
      </c>
      <c r="BP218" s="19"/>
      <c r="BQ2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20.166666666666664</v>
      </c>
      <c r="BS2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48.84</v>
      </c>
      <c r="BT218" s="11">
        <f>Tabelle5897112140[[#This Row],[Mindestauslastung min]]*Tabelle5897112140[[#This Row],[installierte Leistung MW min]]</f>
        <v>0</v>
      </c>
      <c r="BU218" s="11">
        <f>Tabelle5897112140[[#This Row],[Mindestauslastung durch]]*Tabelle5897112140[[#This Row],[installierte Leistung MW durch]]</f>
        <v>0</v>
      </c>
      <c r="BV218" s="11">
        <f>Tabelle5897112140[[#This Row],[Mindestauslastung max]]*Tabelle5897112140[[#This Row],[installierte Leistung MW max]]</f>
        <v>0</v>
      </c>
      <c r="BW218" s="9">
        <v>0</v>
      </c>
      <c r="BX218" s="9">
        <v>0</v>
      </c>
      <c r="BY218" s="9">
        <v>0</v>
      </c>
      <c r="BZ218" s="9"/>
      <c r="CA218" s="9">
        <v>0.5</v>
      </c>
      <c r="CB218" s="9">
        <v>0.4</v>
      </c>
      <c r="CC218" s="9">
        <v>0.6</v>
      </c>
      <c r="CD218" s="9">
        <v>0.24</v>
      </c>
      <c r="CE218" s="9">
        <v>0.19</v>
      </c>
      <c r="CF218" s="9">
        <v>0.28999999999999998</v>
      </c>
      <c r="CG218" s="9">
        <v>0.24</v>
      </c>
      <c r="CH218" s="9">
        <v>0.19</v>
      </c>
      <c r="CI218" s="9">
        <v>0.28999999999999998</v>
      </c>
      <c r="CJ218" s="9">
        <v>0.5</v>
      </c>
      <c r="CK218" s="9">
        <v>0.4</v>
      </c>
      <c r="CL218" s="9">
        <v>0.6</v>
      </c>
      <c r="CM218" s="9">
        <v>0.24</v>
      </c>
      <c r="CN218" s="9">
        <v>0.19</v>
      </c>
      <c r="CO218" s="9">
        <v>0.28999999999999998</v>
      </c>
      <c r="CP218" s="9">
        <v>0.24</v>
      </c>
      <c r="CQ218" s="9">
        <v>0.19</v>
      </c>
      <c r="CR218" s="9">
        <v>0.28999999999999998</v>
      </c>
      <c r="CS218" s="9">
        <v>0.5</v>
      </c>
      <c r="CT218" s="9">
        <v>0.4</v>
      </c>
      <c r="CU218" s="9">
        <v>0.6</v>
      </c>
      <c r="CV218" s="9">
        <v>0.24</v>
      </c>
      <c r="CW218" s="9">
        <v>0.19</v>
      </c>
      <c r="CX218" s="9">
        <v>0.28999999999999998</v>
      </c>
      <c r="CY218" s="9">
        <v>0.24</v>
      </c>
      <c r="CZ218" s="9">
        <v>0.19</v>
      </c>
      <c r="DA218" s="9">
        <v>0.28999999999999998</v>
      </c>
      <c r="DB218" s="9">
        <f>MIN(Tabelle5897112140[[#This Row],[Durchschnittsauslastung durch Sommer WTT]:[Durchschnittsauslastung max Winter SFN]])</f>
        <v>0.19</v>
      </c>
      <c r="DC2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18" s="9">
        <f>MAX(Tabelle5897112140[[#This Row],[Durchschnittsauslastung durch Sommer WTT]:[Durchschnittsauslastung max Winter SFN]])</f>
        <v>0.6</v>
      </c>
      <c r="DE218" s="40">
        <f>Tabelle5897112140[[#This Row],[Durchschnittsauslastung min]]*Tabelle5897112140[[#This Row],[installierte Leistung MW min]]</f>
        <v>16.72</v>
      </c>
      <c r="DF218" s="40">
        <f>Tabelle5897112140[[#This Row],[Durchschnittsauslastung durch]]*Tabelle5897112140[[#This Row],[installierte Leistung MW durch]]</f>
        <v>35.933333333333337</v>
      </c>
      <c r="DG218" s="40">
        <f>Tabelle5897112140[[#This Row],[Durchschnittsauslastung max]]*Tabelle5897112140[[#This Row],[installierte Leistung MW max]]</f>
        <v>79.2</v>
      </c>
      <c r="DH218" s="46">
        <f>Tabelle5897112140[[#This Row],[Maximalauslastung min]]*Tabelle5897112140[[#This Row],[installierte Leistung MW min]]</f>
        <v>19.36</v>
      </c>
      <c r="DI218" s="46">
        <f>Tabelle5897112140[[#This Row],[Maximalauslastung durch]]*Tabelle5897112140[[#This Row],[installierte Leistung MW durch]]</f>
        <v>26.4</v>
      </c>
      <c r="DJ218" s="19">
        <f>Tabelle5897112140[[#This Row],[Maximalauslastung max]]*Tabelle5897112140[[#This Row],[installierte Leistung MW durch]]</f>
        <v>28.6</v>
      </c>
      <c r="DK218" s="9">
        <v>0.22</v>
      </c>
      <c r="DL218" s="9">
        <v>0.24</v>
      </c>
      <c r="DM218" s="9">
        <v>0.26</v>
      </c>
      <c r="DN218" s="1">
        <v>110</v>
      </c>
      <c r="DO218" s="1">
        <v>88</v>
      </c>
      <c r="DP218" s="1">
        <v>132</v>
      </c>
      <c r="DQ218" s="19"/>
      <c r="DR218" s="19"/>
      <c r="DW218" s="1">
        <v>1.1000000000000001</v>
      </c>
      <c r="DX218" s="1">
        <v>0.8</v>
      </c>
      <c r="DY218" s="1">
        <v>1.4</v>
      </c>
      <c r="EL218" s="1">
        <v>365</v>
      </c>
      <c r="EM218" s="1">
        <v>292</v>
      </c>
      <c r="EN218" s="1">
        <v>438</v>
      </c>
      <c r="EO218" s="11"/>
      <c r="EP218" s="11"/>
      <c r="EQ218" s="11"/>
      <c r="ER218" s="1">
        <v>365</v>
      </c>
      <c r="ES218" s="1">
        <v>292</v>
      </c>
      <c r="ET218" s="1">
        <v>438</v>
      </c>
      <c r="EV218" s="19"/>
      <c r="EW218" s="19"/>
      <c r="EX218" s="19"/>
      <c r="EY218" s="19"/>
      <c r="EZ218" s="19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O218" s="1">
        <v>67</v>
      </c>
      <c r="FP218" s="1">
        <v>67</v>
      </c>
      <c r="FQ218" s="1">
        <v>67</v>
      </c>
      <c r="FR218" s="13" t="s">
        <v>806</v>
      </c>
      <c r="FS218" s="13" t="s">
        <v>806</v>
      </c>
      <c r="FT218" s="13" t="s">
        <v>806</v>
      </c>
      <c r="FU218" s="13"/>
      <c r="FV218" s="13" t="s">
        <v>806</v>
      </c>
      <c r="FW218" s="13" t="s">
        <v>806</v>
      </c>
      <c r="FX218" s="13" t="s">
        <v>806</v>
      </c>
      <c r="FY218" s="13" t="s">
        <v>806</v>
      </c>
      <c r="FZ218" s="13" t="s">
        <v>806</v>
      </c>
      <c r="GA218" s="13" t="s">
        <v>806</v>
      </c>
      <c r="GB218" s="13" t="s">
        <v>806</v>
      </c>
      <c r="GE218" s="13" t="s">
        <v>806</v>
      </c>
      <c r="GF218" s="13" t="s">
        <v>806</v>
      </c>
      <c r="GH218" s="13" t="s">
        <v>806</v>
      </c>
    </row>
    <row r="219" spans="1:190" ht="12.75" customHeight="1" x14ac:dyDescent="0.25">
      <c r="A219" s="1" t="s">
        <v>208</v>
      </c>
      <c r="B219" s="1" t="s">
        <v>651</v>
      </c>
      <c r="C219" s="1" t="s">
        <v>665</v>
      </c>
      <c r="D219" s="1" t="s">
        <v>701</v>
      </c>
      <c r="E219" s="1" t="s">
        <v>126</v>
      </c>
      <c r="F219" s="1">
        <v>0</v>
      </c>
      <c r="G219" s="1">
        <v>2020</v>
      </c>
      <c r="H219" s="1">
        <v>1</v>
      </c>
      <c r="I219" s="1">
        <v>0</v>
      </c>
      <c r="J219" s="1">
        <v>0</v>
      </c>
      <c r="K2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1.8656000000000001</v>
      </c>
      <c r="L2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20.599333333333334</v>
      </c>
      <c r="M2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65.7624</v>
      </c>
      <c r="N219" s="19">
        <v>40.81</v>
      </c>
      <c r="O219" s="19">
        <v>21.4544</v>
      </c>
      <c r="P219" s="19">
        <v>65.7624</v>
      </c>
      <c r="Q219" s="19">
        <v>1.1660000000000001</v>
      </c>
      <c r="R219" s="19">
        <v>0</v>
      </c>
      <c r="S219" s="19">
        <v>22.387200000000004</v>
      </c>
      <c r="T219" s="19">
        <v>10.494000000000002</v>
      </c>
      <c r="U219" s="19">
        <v>1.8656000000000001</v>
      </c>
      <c r="V219" s="19">
        <v>22.387200000000004</v>
      </c>
      <c r="W219" s="19">
        <v>31.481999999999999</v>
      </c>
      <c r="X219" s="19">
        <v>15.857600000000001</v>
      </c>
      <c r="Y219" s="19">
        <v>51.770400000000009</v>
      </c>
      <c r="Z219" s="19">
        <v>10.494000000000002</v>
      </c>
      <c r="AA219" s="19">
        <v>1.8656000000000001</v>
      </c>
      <c r="AB219" s="19">
        <v>22.387200000000004</v>
      </c>
      <c r="AC219" s="19">
        <v>31.481999999999999</v>
      </c>
      <c r="AD219" s="19">
        <v>15.857600000000001</v>
      </c>
      <c r="AE219" s="19">
        <v>51.770400000000009</v>
      </c>
      <c r="AF219" s="19">
        <v>40.81</v>
      </c>
      <c r="AG219" s="19">
        <v>21.4544</v>
      </c>
      <c r="AH219" s="19">
        <v>65.7624</v>
      </c>
      <c r="AI219" s="19">
        <v>1.1660000000000001</v>
      </c>
      <c r="AJ219" s="19">
        <v>0</v>
      </c>
      <c r="AK219" s="19">
        <v>22.387200000000004</v>
      </c>
      <c r="AL219" s="19">
        <v>10.494000000000002</v>
      </c>
      <c r="AM219" s="19">
        <v>1.8656000000000001</v>
      </c>
      <c r="AN219" s="19">
        <v>22.387200000000004</v>
      </c>
      <c r="AO219" s="19">
        <v>31.481999999999999</v>
      </c>
      <c r="AP219" s="19">
        <v>15.857600000000001</v>
      </c>
      <c r="AQ219" s="19">
        <v>51.770400000000009</v>
      </c>
      <c r="AR219" s="19">
        <v>10.494000000000002</v>
      </c>
      <c r="AS219" s="19">
        <v>1.8656000000000001</v>
      </c>
      <c r="AT219" s="19">
        <v>22.387200000000004</v>
      </c>
      <c r="AU219" s="19">
        <v>31.481999999999999</v>
      </c>
      <c r="AV219" s="19">
        <v>15.857600000000001</v>
      </c>
      <c r="AW219" s="19">
        <v>51.770400000000009</v>
      </c>
      <c r="AX219" s="19">
        <v>40.81</v>
      </c>
      <c r="AY219" s="19">
        <v>21.4544</v>
      </c>
      <c r="AZ219" s="19">
        <v>65.7624</v>
      </c>
      <c r="BA219" s="19">
        <v>1.1660000000000001</v>
      </c>
      <c r="BB219" s="19">
        <v>0</v>
      </c>
      <c r="BC219" s="19">
        <v>22.387200000000004</v>
      </c>
      <c r="BD219" s="19">
        <v>10.494000000000002</v>
      </c>
      <c r="BE219" s="19">
        <v>1.8656000000000001</v>
      </c>
      <c r="BF219" s="19">
        <v>22.387200000000004</v>
      </c>
      <c r="BG219" s="19">
        <v>31.481999999999999</v>
      </c>
      <c r="BH219" s="19">
        <v>15.857600000000001</v>
      </c>
      <c r="BI219" s="19">
        <v>51.770400000000009</v>
      </c>
      <c r="BJ219" s="19">
        <v>10.494000000000002</v>
      </c>
      <c r="BK219" s="19">
        <v>1.8656000000000001</v>
      </c>
      <c r="BL219" s="19">
        <v>22.387200000000004</v>
      </c>
      <c r="BM219" s="19">
        <v>31.481999999999999</v>
      </c>
      <c r="BN219" s="19">
        <v>15.857600000000001</v>
      </c>
      <c r="BO219" s="19">
        <v>51.770400000000009</v>
      </c>
      <c r="BP219" s="19"/>
      <c r="BQ2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21.376666666666665</v>
      </c>
      <c r="BS2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51.770400000000009</v>
      </c>
      <c r="BT219" s="11">
        <f>Tabelle5897112140[[#This Row],[Mindestauslastung min]]*Tabelle5897112140[[#This Row],[installierte Leistung MW min]]</f>
        <v>12.1264</v>
      </c>
      <c r="BU219" s="11">
        <f>Tabelle5897112140[[#This Row],[Mindestauslastung durch]]*Tabelle5897112140[[#This Row],[installierte Leistung MW durch]]</f>
        <v>17.489999999999998</v>
      </c>
      <c r="BV219" s="11">
        <f>Tabelle5897112140[[#This Row],[Mindestauslastung max]]*Tabelle5897112140[[#This Row],[installierte Leistung MW max]]</f>
        <v>23.7864</v>
      </c>
      <c r="BW219" s="9">
        <v>0.13</v>
      </c>
      <c r="BX219" s="9">
        <v>0.15</v>
      </c>
      <c r="BY219" s="9">
        <v>0.17</v>
      </c>
      <c r="BZ219" s="9"/>
      <c r="CA219" s="9">
        <v>0.5</v>
      </c>
      <c r="CB219" s="9">
        <v>0.4</v>
      </c>
      <c r="CC219" s="9">
        <v>0.6</v>
      </c>
      <c r="CD219" s="9">
        <v>0.24</v>
      </c>
      <c r="CE219" s="9">
        <v>0.19</v>
      </c>
      <c r="CF219" s="9">
        <v>0.28999999999999998</v>
      </c>
      <c r="CG219" s="9">
        <v>0.24</v>
      </c>
      <c r="CH219" s="9">
        <v>0.19</v>
      </c>
      <c r="CI219" s="9">
        <v>0.28999999999999998</v>
      </c>
      <c r="CJ219" s="9">
        <v>0.5</v>
      </c>
      <c r="CK219" s="9">
        <v>0.4</v>
      </c>
      <c r="CL219" s="9">
        <v>0.6</v>
      </c>
      <c r="CM219" s="9">
        <v>0.24</v>
      </c>
      <c r="CN219" s="9">
        <v>0.19</v>
      </c>
      <c r="CO219" s="9">
        <v>0.28999999999999998</v>
      </c>
      <c r="CP219" s="9">
        <v>0.24</v>
      </c>
      <c r="CQ219" s="9">
        <v>0.19</v>
      </c>
      <c r="CR219" s="9">
        <v>0.28999999999999998</v>
      </c>
      <c r="CS219" s="9">
        <v>0.5</v>
      </c>
      <c r="CT219" s="9">
        <v>0.4</v>
      </c>
      <c r="CU219" s="9">
        <v>0.6</v>
      </c>
      <c r="CV219" s="9">
        <v>0.24</v>
      </c>
      <c r="CW219" s="9">
        <v>0.19</v>
      </c>
      <c r="CX219" s="9">
        <v>0.28999999999999998</v>
      </c>
      <c r="CY219" s="9">
        <v>0.24</v>
      </c>
      <c r="CZ219" s="9">
        <v>0.19</v>
      </c>
      <c r="DA219" s="9">
        <v>0.28999999999999998</v>
      </c>
      <c r="DB219" s="9">
        <f>MIN(Tabelle5897112140[[#This Row],[Durchschnittsauslastung durch Sommer WTT]:[Durchschnittsauslastung max Winter SFN]])</f>
        <v>0.19</v>
      </c>
      <c r="DC2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19" s="9">
        <f>MAX(Tabelle5897112140[[#This Row],[Durchschnittsauslastung durch Sommer WTT]:[Durchschnittsauslastung max Winter SFN]])</f>
        <v>0.6</v>
      </c>
      <c r="DE219" s="40">
        <f>Tabelle5897112140[[#This Row],[Durchschnittsauslastung min]]*Tabelle5897112140[[#This Row],[installierte Leistung MW min]]</f>
        <v>17.723200000000002</v>
      </c>
      <c r="DF219" s="40">
        <f>Tabelle5897112140[[#This Row],[Durchschnittsauslastung durch]]*Tabelle5897112140[[#This Row],[installierte Leistung MW durch]]</f>
        <v>38.089333333333336</v>
      </c>
      <c r="DG219" s="40">
        <f>Tabelle5897112140[[#This Row],[Durchschnittsauslastung max]]*Tabelle5897112140[[#This Row],[installierte Leistung MW max]]</f>
        <v>83.951999999999984</v>
      </c>
      <c r="DH219" s="46">
        <f>Tabelle5897112140[[#This Row],[Maximalauslastung min]]*Tabelle5897112140[[#This Row],[installierte Leistung MW min]]</f>
        <v>42.908799999999999</v>
      </c>
      <c r="DI219" s="46">
        <f>Tabelle5897112140[[#This Row],[Maximalauslastung durch]]*Tabelle5897112140[[#This Row],[installierte Leistung MW durch]]</f>
        <v>59.466000000000001</v>
      </c>
      <c r="DJ219" s="19">
        <f>Tabelle5897112140[[#This Row],[Maximalauslastung max]]*Tabelle5897112140[[#This Row],[installierte Leistung MW durch]]</f>
        <v>65.296000000000006</v>
      </c>
      <c r="DK219" s="9">
        <v>0.46</v>
      </c>
      <c r="DL219" s="9">
        <v>0.51</v>
      </c>
      <c r="DM219" s="9">
        <v>0.56000000000000005</v>
      </c>
      <c r="DN219" s="1">
        <v>116.6</v>
      </c>
      <c r="DO219" s="1">
        <v>93.28</v>
      </c>
      <c r="DP219" s="1">
        <v>139.91999999999999</v>
      </c>
      <c r="DQ219" s="19"/>
      <c r="DR219" s="19"/>
      <c r="DW219" s="1">
        <v>1.1000000000000001</v>
      </c>
      <c r="DX219" s="1">
        <v>0.8</v>
      </c>
      <c r="DY219" s="1">
        <v>1.4</v>
      </c>
      <c r="EL219" s="1">
        <v>365</v>
      </c>
      <c r="EM219" s="1">
        <v>292</v>
      </c>
      <c r="EN219" s="1">
        <v>438</v>
      </c>
      <c r="EO219" s="11"/>
      <c r="EP219" s="11"/>
      <c r="EQ219" s="11"/>
      <c r="ER219" s="1">
        <v>365</v>
      </c>
      <c r="ES219" s="1">
        <v>292</v>
      </c>
      <c r="ET219" s="1">
        <v>438</v>
      </c>
      <c r="EV219" s="19"/>
      <c r="EW219" s="19"/>
      <c r="EX219" s="19"/>
      <c r="EY219" s="19"/>
      <c r="EZ219" s="19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O219" s="1">
        <v>67</v>
      </c>
      <c r="FP219" s="1">
        <v>67</v>
      </c>
      <c r="FQ219" s="1">
        <v>67</v>
      </c>
      <c r="FR219" s="13" t="s">
        <v>806</v>
      </c>
      <c r="FS219" s="13" t="s">
        <v>806</v>
      </c>
      <c r="FT219" s="13" t="s">
        <v>806</v>
      </c>
      <c r="FU219" s="13"/>
      <c r="FV219" s="13" t="s">
        <v>806</v>
      </c>
      <c r="FW219" s="13" t="s">
        <v>806</v>
      </c>
      <c r="FX219" s="13" t="s">
        <v>806</v>
      </c>
      <c r="FY219" s="13" t="s">
        <v>806</v>
      </c>
      <c r="FZ219" s="13" t="s">
        <v>806</v>
      </c>
      <c r="GA219" s="13" t="s">
        <v>806</v>
      </c>
      <c r="GB219" s="13" t="s">
        <v>806</v>
      </c>
      <c r="GE219" s="13" t="s">
        <v>806</v>
      </c>
      <c r="GF219" s="13" t="s">
        <v>806</v>
      </c>
      <c r="GH219" s="13" t="s">
        <v>806</v>
      </c>
    </row>
    <row r="220" spans="1:190" ht="12.75" customHeight="1" x14ac:dyDescent="0.25">
      <c r="A220" s="1" t="s">
        <v>208</v>
      </c>
      <c r="B220" s="1" t="s">
        <v>651</v>
      </c>
      <c r="C220" s="1" t="s">
        <v>665</v>
      </c>
      <c r="D220" s="1" t="s">
        <v>701</v>
      </c>
      <c r="E220" s="1" t="s">
        <v>126</v>
      </c>
      <c r="F220" s="1">
        <v>0</v>
      </c>
      <c r="G220" s="1">
        <v>2025</v>
      </c>
      <c r="H220" s="1">
        <v>1</v>
      </c>
      <c r="I220" s="1">
        <v>0</v>
      </c>
      <c r="J220" s="1">
        <v>0</v>
      </c>
      <c r="K2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1.9536000000000002</v>
      </c>
      <c r="L2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21.571000000000005</v>
      </c>
      <c r="M2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68.864400000000003</v>
      </c>
      <c r="N220" s="19">
        <v>42.735000000000007</v>
      </c>
      <c r="O220" s="19">
        <v>22.4664</v>
      </c>
      <c r="P220" s="19">
        <v>68.864400000000003</v>
      </c>
      <c r="Q220" s="19">
        <v>1.2210000000000003</v>
      </c>
      <c r="R220" s="19">
        <v>0</v>
      </c>
      <c r="S220" s="19">
        <v>23.443200000000004</v>
      </c>
      <c r="T220" s="19">
        <v>10.989000000000001</v>
      </c>
      <c r="U220" s="19">
        <v>1.9536000000000002</v>
      </c>
      <c r="V220" s="19">
        <v>23.443200000000004</v>
      </c>
      <c r="W220" s="19">
        <v>32.966999999999999</v>
      </c>
      <c r="X220" s="19">
        <v>16.605600000000003</v>
      </c>
      <c r="Y220" s="19">
        <v>54.212400000000009</v>
      </c>
      <c r="Z220" s="19">
        <v>10.989000000000001</v>
      </c>
      <c r="AA220" s="19">
        <v>1.9536000000000002</v>
      </c>
      <c r="AB220" s="19">
        <v>23.443200000000004</v>
      </c>
      <c r="AC220" s="19">
        <v>32.966999999999999</v>
      </c>
      <c r="AD220" s="19">
        <v>16.605600000000003</v>
      </c>
      <c r="AE220" s="19">
        <v>54.212400000000009</v>
      </c>
      <c r="AF220" s="19">
        <v>42.735000000000007</v>
      </c>
      <c r="AG220" s="19">
        <v>22.4664</v>
      </c>
      <c r="AH220" s="19">
        <v>68.864400000000003</v>
      </c>
      <c r="AI220" s="19">
        <v>1.2210000000000003</v>
      </c>
      <c r="AJ220" s="19">
        <v>0</v>
      </c>
      <c r="AK220" s="19">
        <v>23.443200000000004</v>
      </c>
      <c r="AL220" s="19">
        <v>10.989000000000001</v>
      </c>
      <c r="AM220" s="19">
        <v>1.9536000000000002</v>
      </c>
      <c r="AN220" s="19">
        <v>23.443200000000004</v>
      </c>
      <c r="AO220" s="19">
        <v>32.966999999999999</v>
      </c>
      <c r="AP220" s="19">
        <v>16.605600000000003</v>
      </c>
      <c r="AQ220" s="19">
        <v>54.212400000000009</v>
      </c>
      <c r="AR220" s="19">
        <v>10.989000000000001</v>
      </c>
      <c r="AS220" s="19">
        <v>1.9536000000000002</v>
      </c>
      <c r="AT220" s="19">
        <v>23.443200000000004</v>
      </c>
      <c r="AU220" s="19">
        <v>32.966999999999999</v>
      </c>
      <c r="AV220" s="19">
        <v>16.605600000000003</v>
      </c>
      <c r="AW220" s="19">
        <v>54.212400000000009</v>
      </c>
      <c r="AX220" s="19">
        <v>42.735000000000007</v>
      </c>
      <c r="AY220" s="19">
        <v>22.4664</v>
      </c>
      <c r="AZ220" s="19">
        <v>68.864400000000003</v>
      </c>
      <c r="BA220" s="19">
        <v>1.2210000000000003</v>
      </c>
      <c r="BB220" s="19">
        <v>0</v>
      </c>
      <c r="BC220" s="19">
        <v>23.443200000000004</v>
      </c>
      <c r="BD220" s="19">
        <v>10.989000000000001</v>
      </c>
      <c r="BE220" s="19">
        <v>1.9536000000000002</v>
      </c>
      <c r="BF220" s="19">
        <v>23.443200000000004</v>
      </c>
      <c r="BG220" s="19">
        <v>32.966999999999999</v>
      </c>
      <c r="BH220" s="19">
        <v>16.605600000000003</v>
      </c>
      <c r="BI220" s="19">
        <v>54.212400000000009</v>
      </c>
      <c r="BJ220" s="19">
        <v>10.989000000000001</v>
      </c>
      <c r="BK220" s="19">
        <v>1.9536000000000002</v>
      </c>
      <c r="BL220" s="19">
        <v>23.443200000000004</v>
      </c>
      <c r="BM220" s="19">
        <v>32.966999999999999</v>
      </c>
      <c r="BN220" s="19">
        <v>16.605600000000003</v>
      </c>
      <c r="BO220" s="19">
        <v>54.212400000000009</v>
      </c>
      <c r="BP220" s="19"/>
      <c r="BQ2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22.384999999999998</v>
      </c>
      <c r="BS2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54.212400000000009</v>
      </c>
      <c r="BT220" s="11">
        <f>Tabelle5897112140[[#This Row],[Mindestauslastung min]]*Tabelle5897112140[[#This Row],[installierte Leistung MW min]]</f>
        <v>12.698400000000001</v>
      </c>
      <c r="BU220" s="11">
        <f>Tabelle5897112140[[#This Row],[Mindestauslastung durch]]*Tabelle5897112140[[#This Row],[installierte Leistung MW durch]]</f>
        <v>18.314999999999998</v>
      </c>
      <c r="BV220" s="11">
        <f>Tabelle5897112140[[#This Row],[Mindestauslastung max]]*Tabelle5897112140[[#This Row],[installierte Leistung MW max]]</f>
        <v>24.908400000000004</v>
      </c>
      <c r="BW220" s="9">
        <v>0.13</v>
      </c>
      <c r="BX220" s="9">
        <v>0.15</v>
      </c>
      <c r="BY220" s="9">
        <v>0.17</v>
      </c>
      <c r="BZ220" s="9"/>
      <c r="CA220" s="9">
        <v>0.5</v>
      </c>
      <c r="CB220" s="9">
        <v>0.4</v>
      </c>
      <c r="CC220" s="9">
        <v>0.6</v>
      </c>
      <c r="CD220" s="9">
        <v>0.24</v>
      </c>
      <c r="CE220" s="9">
        <v>0.19</v>
      </c>
      <c r="CF220" s="9">
        <v>0.28999999999999998</v>
      </c>
      <c r="CG220" s="9">
        <v>0.24</v>
      </c>
      <c r="CH220" s="9">
        <v>0.19</v>
      </c>
      <c r="CI220" s="9">
        <v>0.28999999999999998</v>
      </c>
      <c r="CJ220" s="9">
        <v>0.5</v>
      </c>
      <c r="CK220" s="9">
        <v>0.4</v>
      </c>
      <c r="CL220" s="9">
        <v>0.6</v>
      </c>
      <c r="CM220" s="9">
        <v>0.24</v>
      </c>
      <c r="CN220" s="9">
        <v>0.19</v>
      </c>
      <c r="CO220" s="9">
        <v>0.28999999999999998</v>
      </c>
      <c r="CP220" s="9">
        <v>0.24</v>
      </c>
      <c r="CQ220" s="9">
        <v>0.19</v>
      </c>
      <c r="CR220" s="9">
        <v>0.28999999999999998</v>
      </c>
      <c r="CS220" s="9">
        <v>0.5</v>
      </c>
      <c r="CT220" s="9">
        <v>0.4</v>
      </c>
      <c r="CU220" s="9">
        <v>0.6</v>
      </c>
      <c r="CV220" s="9">
        <v>0.24</v>
      </c>
      <c r="CW220" s="9">
        <v>0.19</v>
      </c>
      <c r="CX220" s="9">
        <v>0.28999999999999998</v>
      </c>
      <c r="CY220" s="9">
        <v>0.24</v>
      </c>
      <c r="CZ220" s="9">
        <v>0.19</v>
      </c>
      <c r="DA220" s="9">
        <v>0.28999999999999998</v>
      </c>
      <c r="DB220" s="9">
        <f>MIN(Tabelle5897112140[[#This Row],[Durchschnittsauslastung durch Sommer WTT]:[Durchschnittsauslastung max Winter SFN]])</f>
        <v>0.19</v>
      </c>
      <c r="DC2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0" s="9">
        <f>MAX(Tabelle5897112140[[#This Row],[Durchschnittsauslastung durch Sommer WTT]:[Durchschnittsauslastung max Winter SFN]])</f>
        <v>0.6</v>
      </c>
      <c r="DE220" s="40">
        <f>Tabelle5897112140[[#This Row],[Durchschnittsauslastung min]]*Tabelle5897112140[[#This Row],[installierte Leistung MW min]]</f>
        <v>18.559200000000001</v>
      </c>
      <c r="DF220" s="40">
        <f>Tabelle5897112140[[#This Row],[Durchschnittsauslastung durch]]*Tabelle5897112140[[#This Row],[installierte Leistung MW durch]]</f>
        <v>39.886000000000003</v>
      </c>
      <c r="DG220" s="40">
        <f>Tabelle5897112140[[#This Row],[Durchschnittsauslastung max]]*Tabelle5897112140[[#This Row],[installierte Leistung MW max]]</f>
        <v>87.912000000000006</v>
      </c>
      <c r="DH220" s="46">
        <f>Tabelle5897112140[[#This Row],[Maximalauslastung min]]*Tabelle5897112140[[#This Row],[installierte Leistung MW min]]</f>
        <v>44.932800000000007</v>
      </c>
      <c r="DI220" s="46">
        <f>Tabelle5897112140[[#This Row],[Maximalauslastung durch]]*Tabelle5897112140[[#This Row],[installierte Leistung MW durch]]</f>
        <v>62.271000000000001</v>
      </c>
      <c r="DJ220" s="19">
        <f>Tabelle5897112140[[#This Row],[Maximalauslastung max]]*Tabelle5897112140[[#This Row],[installierte Leistung MW durch]]</f>
        <v>68.376000000000005</v>
      </c>
      <c r="DK220" s="9">
        <v>0.46</v>
      </c>
      <c r="DL220" s="9">
        <v>0.51</v>
      </c>
      <c r="DM220" s="9">
        <v>0.56000000000000005</v>
      </c>
      <c r="DN220" s="1">
        <v>122.1</v>
      </c>
      <c r="DO220" s="1">
        <v>97.68</v>
      </c>
      <c r="DP220" s="1">
        <v>146.52000000000001</v>
      </c>
      <c r="DQ220" s="19"/>
      <c r="DR220" s="19"/>
      <c r="DW220" s="1">
        <v>1.1000000000000001</v>
      </c>
      <c r="DX220" s="1">
        <v>0.8</v>
      </c>
      <c r="DY220" s="1">
        <v>1.4</v>
      </c>
      <c r="EL220" s="1">
        <v>365</v>
      </c>
      <c r="EM220" s="1">
        <v>292</v>
      </c>
      <c r="EN220" s="1">
        <v>438</v>
      </c>
      <c r="EO220" s="11"/>
      <c r="EP220" s="11"/>
      <c r="EQ220" s="11"/>
      <c r="ER220" s="1">
        <v>365</v>
      </c>
      <c r="ES220" s="1">
        <v>292</v>
      </c>
      <c r="ET220" s="1">
        <v>438</v>
      </c>
      <c r="EV220" s="19"/>
      <c r="EW220" s="19"/>
      <c r="EX220" s="19"/>
      <c r="EY220" s="19"/>
      <c r="EZ220" s="19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O220" s="1">
        <v>67</v>
      </c>
      <c r="FP220" s="1">
        <v>67</v>
      </c>
      <c r="FQ220" s="1">
        <v>67</v>
      </c>
      <c r="FR220" s="13" t="s">
        <v>806</v>
      </c>
      <c r="FS220" s="13" t="s">
        <v>806</v>
      </c>
      <c r="FT220" s="13" t="s">
        <v>806</v>
      </c>
      <c r="FU220" s="13"/>
      <c r="FV220" s="13" t="s">
        <v>806</v>
      </c>
      <c r="FW220" s="13" t="s">
        <v>806</v>
      </c>
      <c r="FX220" s="13" t="s">
        <v>806</v>
      </c>
      <c r="FY220" s="13" t="s">
        <v>806</v>
      </c>
      <c r="FZ220" s="13" t="s">
        <v>806</v>
      </c>
      <c r="GA220" s="13" t="s">
        <v>806</v>
      </c>
      <c r="GB220" s="13" t="s">
        <v>806</v>
      </c>
      <c r="GE220" s="13" t="s">
        <v>806</v>
      </c>
      <c r="GF220" s="13" t="s">
        <v>806</v>
      </c>
      <c r="GH220" s="13" t="s">
        <v>806</v>
      </c>
    </row>
    <row r="221" spans="1:190" ht="12.75" customHeight="1" x14ac:dyDescent="0.25">
      <c r="A221" s="1" t="s">
        <v>208</v>
      </c>
      <c r="B221" s="1" t="s">
        <v>651</v>
      </c>
      <c r="C221" s="1" t="s">
        <v>665</v>
      </c>
      <c r="D221" s="1" t="s">
        <v>701</v>
      </c>
      <c r="E221" s="1" t="s">
        <v>126</v>
      </c>
      <c r="F221" s="1">
        <v>0</v>
      </c>
      <c r="G221" s="1">
        <v>2030</v>
      </c>
      <c r="H221" s="1">
        <v>1</v>
      </c>
      <c r="I221" s="1">
        <v>0</v>
      </c>
      <c r="J221" s="1">
        <v>0</v>
      </c>
      <c r="K2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2.0768</v>
      </c>
      <c r="L2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22.931333333333331</v>
      </c>
      <c r="M2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73.2072</v>
      </c>
      <c r="N221" s="19">
        <v>45.43</v>
      </c>
      <c r="O221" s="19">
        <v>23.883199999999999</v>
      </c>
      <c r="P221" s="19">
        <v>73.2072</v>
      </c>
      <c r="Q221" s="19">
        <v>1.298</v>
      </c>
      <c r="R221" s="19">
        <v>0</v>
      </c>
      <c r="S221" s="19">
        <v>24.921600000000002</v>
      </c>
      <c r="T221" s="19">
        <v>11.682</v>
      </c>
      <c r="U221" s="19">
        <v>2.0768</v>
      </c>
      <c r="V221" s="19">
        <v>24.921600000000002</v>
      </c>
      <c r="W221" s="19">
        <v>35.045999999999999</v>
      </c>
      <c r="X221" s="19">
        <v>17.652799999999999</v>
      </c>
      <c r="Y221" s="19">
        <v>57.6312</v>
      </c>
      <c r="Z221" s="19">
        <v>11.682</v>
      </c>
      <c r="AA221" s="19">
        <v>2.0768</v>
      </c>
      <c r="AB221" s="19">
        <v>24.921600000000002</v>
      </c>
      <c r="AC221" s="19">
        <v>35.045999999999999</v>
      </c>
      <c r="AD221" s="19">
        <v>17.652799999999999</v>
      </c>
      <c r="AE221" s="19">
        <v>57.6312</v>
      </c>
      <c r="AF221" s="19">
        <v>45.43</v>
      </c>
      <c r="AG221" s="19">
        <v>23.883199999999999</v>
      </c>
      <c r="AH221" s="19">
        <v>73.2072</v>
      </c>
      <c r="AI221" s="19">
        <v>1.298</v>
      </c>
      <c r="AJ221" s="19">
        <v>0</v>
      </c>
      <c r="AK221" s="19">
        <v>24.921600000000002</v>
      </c>
      <c r="AL221" s="19">
        <v>11.682</v>
      </c>
      <c r="AM221" s="19">
        <v>2.0768</v>
      </c>
      <c r="AN221" s="19">
        <v>24.921600000000002</v>
      </c>
      <c r="AO221" s="19">
        <v>35.045999999999999</v>
      </c>
      <c r="AP221" s="19">
        <v>17.652799999999999</v>
      </c>
      <c r="AQ221" s="19">
        <v>57.6312</v>
      </c>
      <c r="AR221" s="19">
        <v>11.682</v>
      </c>
      <c r="AS221" s="19">
        <v>2.0768</v>
      </c>
      <c r="AT221" s="19">
        <v>24.921600000000002</v>
      </c>
      <c r="AU221" s="19">
        <v>35.045999999999999</v>
      </c>
      <c r="AV221" s="19">
        <v>17.652799999999999</v>
      </c>
      <c r="AW221" s="19">
        <v>57.6312</v>
      </c>
      <c r="AX221" s="19">
        <v>45.43</v>
      </c>
      <c r="AY221" s="19">
        <v>23.883199999999999</v>
      </c>
      <c r="AZ221" s="19">
        <v>73.2072</v>
      </c>
      <c r="BA221" s="19">
        <v>1.298</v>
      </c>
      <c r="BB221" s="19">
        <v>0</v>
      </c>
      <c r="BC221" s="19">
        <v>24.921600000000002</v>
      </c>
      <c r="BD221" s="19">
        <v>11.682</v>
      </c>
      <c r="BE221" s="19">
        <v>2.0768</v>
      </c>
      <c r="BF221" s="19">
        <v>24.921600000000002</v>
      </c>
      <c r="BG221" s="19">
        <v>35.045999999999999</v>
      </c>
      <c r="BH221" s="19">
        <v>17.652799999999999</v>
      </c>
      <c r="BI221" s="19">
        <v>57.6312</v>
      </c>
      <c r="BJ221" s="19">
        <v>11.682</v>
      </c>
      <c r="BK221" s="19">
        <v>2.0768</v>
      </c>
      <c r="BL221" s="19">
        <v>24.921600000000002</v>
      </c>
      <c r="BM221" s="19">
        <v>35.045999999999999</v>
      </c>
      <c r="BN221" s="19">
        <v>17.652799999999999</v>
      </c>
      <c r="BO221" s="19">
        <v>57.6312</v>
      </c>
      <c r="BP221" s="19"/>
      <c r="BQ2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23.796666666666667</v>
      </c>
      <c r="BS2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57.6312</v>
      </c>
      <c r="BT221" s="11">
        <f>Tabelle5897112140[[#This Row],[Mindestauslastung min]]*Tabelle5897112140[[#This Row],[installierte Leistung MW min]]</f>
        <v>13.4992</v>
      </c>
      <c r="BU221" s="11">
        <f>Tabelle5897112140[[#This Row],[Mindestauslastung durch]]*Tabelle5897112140[[#This Row],[installierte Leistung MW durch]]</f>
        <v>19.470000000000002</v>
      </c>
      <c r="BV221" s="11">
        <f>Tabelle5897112140[[#This Row],[Mindestauslastung max]]*Tabelle5897112140[[#This Row],[installierte Leistung MW max]]</f>
        <v>26.479199999999999</v>
      </c>
      <c r="BW221" s="9">
        <v>0.13</v>
      </c>
      <c r="BX221" s="9">
        <v>0.15</v>
      </c>
      <c r="BY221" s="9">
        <v>0.17</v>
      </c>
      <c r="BZ221" s="9"/>
      <c r="CA221" s="9">
        <v>0.5</v>
      </c>
      <c r="CB221" s="9">
        <v>0.4</v>
      </c>
      <c r="CC221" s="9">
        <v>0.6</v>
      </c>
      <c r="CD221" s="9">
        <v>0.24</v>
      </c>
      <c r="CE221" s="9">
        <v>0.19</v>
      </c>
      <c r="CF221" s="9">
        <v>0.28999999999999998</v>
      </c>
      <c r="CG221" s="9">
        <v>0.24</v>
      </c>
      <c r="CH221" s="9">
        <v>0.19</v>
      </c>
      <c r="CI221" s="9">
        <v>0.28999999999999998</v>
      </c>
      <c r="CJ221" s="9">
        <v>0.5</v>
      </c>
      <c r="CK221" s="9">
        <v>0.4</v>
      </c>
      <c r="CL221" s="9">
        <v>0.6</v>
      </c>
      <c r="CM221" s="9">
        <v>0.24</v>
      </c>
      <c r="CN221" s="9">
        <v>0.19</v>
      </c>
      <c r="CO221" s="9">
        <v>0.28999999999999998</v>
      </c>
      <c r="CP221" s="9">
        <v>0.24</v>
      </c>
      <c r="CQ221" s="9">
        <v>0.19</v>
      </c>
      <c r="CR221" s="9">
        <v>0.28999999999999998</v>
      </c>
      <c r="CS221" s="9">
        <v>0.5</v>
      </c>
      <c r="CT221" s="9">
        <v>0.4</v>
      </c>
      <c r="CU221" s="9">
        <v>0.6</v>
      </c>
      <c r="CV221" s="9">
        <v>0.24</v>
      </c>
      <c r="CW221" s="9">
        <v>0.19</v>
      </c>
      <c r="CX221" s="9">
        <v>0.28999999999999998</v>
      </c>
      <c r="CY221" s="9">
        <v>0.24</v>
      </c>
      <c r="CZ221" s="9">
        <v>0.19</v>
      </c>
      <c r="DA221" s="9">
        <v>0.28999999999999998</v>
      </c>
      <c r="DB221" s="9">
        <f>MIN(Tabelle5897112140[[#This Row],[Durchschnittsauslastung durch Sommer WTT]:[Durchschnittsauslastung max Winter SFN]])</f>
        <v>0.19</v>
      </c>
      <c r="DC2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1" s="9">
        <f>MAX(Tabelle5897112140[[#This Row],[Durchschnittsauslastung durch Sommer WTT]:[Durchschnittsauslastung max Winter SFN]])</f>
        <v>0.6</v>
      </c>
      <c r="DE221" s="40">
        <f>Tabelle5897112140[[#This Row],[Durchschnittsauslastung min]]*Tabelle5897112140[[#This Row],[installierte Leistung MW min]]</f>
        <v>19.729600000000001</v>
      </c>
      <c r="DF221" s="40">
        <f>Tabelle5897112140[[#This Row],[Durchschnittsauslastung durch]]*Tabelle5897112140[[#This Row],[installierte Leistung MW durch]]</f>
        <v>42.401333333333341</v>
      </c>
      <c r="DG221" s="40">
        <f>Tabelle5897112140[[#This Row],[Durchschnittsauslastung max]]*Tabelle5897112140[[#This Row],[installierte Leistung MW max]]</f>
        <v>93.455999999999989</v>
      </c>
      <c r="DH221" s="46">
        <f>Tabelle5897112140[[#This Row],[Maximalauslastung min]]*Tabelle5897112140[[#This Row],[installierte Leistung MW min]]</f>
        <v>47.766400000000004</v>
      </c>
      <c r="DI221" s="46">
        <f>Tabelle5897112140[[#This Row],[Maximalauslastung durch]]*Tabelle5897112140[[#This Row],[installierte Leistung MW durch]]</f>
        <v>66.198000000000008</v>
      </c>
      <c r="DJ221" s="19">
        <f>Tabelle5897112140[[#This Row],[Maximalauslastung max]]*Tabelle5897112140[[#This Row],[installierte Leistung MW durch]]</f>
        <v>72.688000000000017</v>
      </c>
      <c r="DK221" s="9">
        <v>0.46</v>
      </c>
      <c r="DL221" s="9">
        <v>0.51</v>
      </c>
      <c r="DM221" s="9">
        <v>0.56000000000000005</v>
      </c>
      <c r="DN221" s="1">
        <v>129.80000000000001</v>
      </c>
      <c r="DO221" s="1">
        <v>103.84</v>
      </c>
      <c r="DP221" s="1">
        <v>155.76</v>
      </c>
      <c r="DQ221" s="19"/>
      <c r="DR221" s="19"/>
      <c r="DW221" s="1">
        <v>1.1000000000000001</v>
      </c>
      <c r="DX221" s="1">
        <v>0.8</v>
      </c>
      <c r="DY221" s="1">
        <v>1.4</v>
      </c>
      <c r="EL221" s="1">
        <v>365</v>
      </c>
      <c r="EM221" s="1">
        <v>292</v>
      </c>
      <c r="EN221" s="1">
        <v>438</v>
      </c>
      <c r="EO221" s="11"/>
      <c r="EP221" s="11"/>
      <c r="EQ221" s="11"/>
      <c r="ER221" s="1">
        <v>365</v>
      </c>
      <c r="ES221" s="1">
        <v>292</v>
      </c>
      <c r="ET221" s="1">
        <v>438</v>
      </c>
      <c r="EV221" s="19"/>
      <c r="EW221" s="19"/>
      <c r="EX221" s="19"/>
      <c r="EY221" s="19"/>
      <c r="EZ221" s="19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O221" s="1">
        <v>67</v>
      </c>
      <c r="FP221" s="1">
        <v>67</v>
      </c>
      <c r="FQ221" s="1">
        <v>67</v>
      </c>
      <c r="FR221" s="13" t="s">
        <v>806</v>
      </c>
      <c r="FS221" s="13" t="s">
        <v>806</v>
      </c>
      <c r="FT221" s="13" t="s">
        <v>806</v>
      </c>
      <c r="FU221" s="13"/>
      <c r="FV221" s="13" t="s">
        <v>806</v>
      </c>
      <c r="FW221" s="13" t="s">
        <v>806</v>
      </c>
      <c r="FX221" s="13" t="s">
        <v>806</v>
      </c>
      <c r="FY221" s="13" t="s">
        <v>806</v>
      </c>
      <c r="FZ221" s="13" t="s">
        <v>806</v>
      </c>
      <c r="GA221" s="13" t="s">
        <v>806</v>
      </c>
      <c r="GB221" s="13" t="s">
        <v>806</v>
      </c>
      <c r="GE221" s="13" t="s">
        <v>806</v>
      </c>
      <c r="GF221" s="13" t="s">
        <v>806</v>
      </c>
      <c r="GH221" s="13" t="s">
        <v>806</v>
      </c>
    </row>
    <row r="222" spans="1:190" ht="12.75" customHeight="1" x14ac:dyDescent="0.25">
      <c r="A222" s="1" t="s">
        <v>208</v>
      </c>
      <c r="B222" s="1" t="s">
        <v>651</v>
      </c>
      <c r="C222" s="1" t="s">
        <v>665</v>
      </c>
      <c r="D222" s="1" t="s">
        <v>701</v>
      </c>
      <c r="E222" s="1" t="s">
        <v>126</v>
      </c>
      <c r="F222" s="1">
        <v>0</v>
      </c>
      <c r="G222" s="1">
        <v>2035</v>
      </c>
      <c r="H222" s="1">
        <v>1</v>
      </c>
      <c r="I222" s="1">
        <v>0</v>
      </c>
      <c r="J222" s="1">
        <v>0</v>
      </c>
      <c r="K2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2.1823999999999999</v>
      </c>
      <c r="L2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24.097333333333339</v>
      </c>
      <c r="M2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76.929599999999994</v>
      </c>
      <c r="N222" s="19">
        <v>47.74</v>
      </c>
      <c r="O222" s="19">
        <v>25.097599999999996</v>
      </c>
      <c r="P222" s="19">
        <v>76.929599999999994</v>
      </c>
      <c r="Q222" s="19">
        <v>1.3640000000000001</v>
      </c>
      <c r="R222" s="19">
        <v>0</v>
      </c>
      <c r="S222" s="19">
        <v>26.188800000000001</v>
      </c>
      <c r="T222" s="19">
        <v>12.276</v>
      </c>
      <c r="U222" s="19">
        <v>2.1823999999999999</v>
      </c>
      <c r="V222" s="19">
        <v>26.188800000000001</v>
      </c>
      <c r="W222" s="19">
        <v>36.827999999999996</v>
      </c>
      <c r="X222" s="19">
        <v>18.5504</v>
      </c>
      <c r="Y222" s="19">
        <v>60.561600000000006</v>
      </c>
      <c r="Z222" s="19">
        <v>12.276</v>
      </c>
      <c r="AA222" s="19">
        <v>2.1823999999999999</v>
      </c>
      <c r="AB222" s="19">
        <v>26.188800000000001</v>
      </c>
      <c r="AC222" s="19">
        <v>36.827999999999996</v>
      </c>
      <c r="AD222" s="19">
        <v>18.5504</v>
      </c>
      <c r="AE222" s="19">
        <v>60.561600000000006</v>
      </c>
      <c r="AF222" s="19">
        <v>47.74</v>
      </c>
      <c r="AG222" s="19">
        <v>25.097599999999996</v>
      </c>
      <c r="AH222" s="19">
        <v>76.929599999999994</v>
      </c>
      <c r="AI222" s="19">
        <v>1.3640000000000001</v>
      </c>
      <c r="AJ222" s="19">
        <v>0</v>
      </c>
      <c r="AK222" s="19">
        <v>26.188800000000001</v>
      </c>
      <c r="AL222" s="19">
        <v>12.276</v>
      </c>
      <c r="AM222" s="19">
        <v>2.1823999999999999</v>
      </c>
      <c r="AN222" s="19">
        <v>26.188800000000001</v>
      </c>
      <c r="AO222" s="19">
        <v>36.827999999999996</v>
      </c>
      <c r="AP222" s="19">
        <v>18.5504</v>
      </c>
      <c r="AQ222" s="19">
        <v>60.561600000000006</v>
      </c>
      <c r="AR222" s="19">
        <v>12.276</v>
      </c>
      <c r="AS222" s="19">
        <v>2.1823999999999999</v>
      </c>
      <c r="AT222" s="19">
        <v>26.188800000000001</v>
      </c>
      <c r="AU222" s="19">
        <v>36.827999999999996</v>
      </c>
      <c r="AV222" s="19">
        <v>18.5504</v>
      </c>
      <c r="AW222" s="19">
        <v>60.561600000000006</v>
      </c>
      <c r="AX222" s="19">
        <v>47.74</v>
      </c>
      <c r="AY222" s="19">
        <v>25.097599999999996</v>
      </c>
      <c r="AZ222" s="19">
        <v>76.929599999999994</v>
      </c>
      <c r="BA222" s="19">
        <v>1.3640000000000001</v>
      </c>
      <c r="BB222" s="19">
        <v>0</v>
      </c>
      <c r="BC222" s="19">
        <v>26.188800000000001</v>
      </c>
      <c r="BD222" s="19">
        <v>12.276</v>
      </c>
      <c r="BE222" s="19">
        <v>2.1823999999999999</v>
      </c>
      <c r="BF222" s="19">
        <v>26.188800000000001</v>
      </c>
      <c r="BG222" s="19">
        <v>36.827999999999996</v>
      </c>
      <c r="BH222" s="19">
        <v>18.5504</v>
      </c>
      <c r="BI222" s="19">
        <v>60.561600000000006</v>
      </c>
      <c r="BJ222" s="19">
        <v>12.276</v>
      </c>
      <c r="BK222" s="19">
        <v>2.1823999999999999</v>
      </c>
      <c r="BL222" s="19">
        <v>26.188800000000001</v>
      </c>
      <c r="BM222" s="19">
        <v>36.827999999999996</v>
      </c>
      <c r="BN222" s="19">
        <v>18.5504</v>
      </c>
      <c r="BO222" s="19">
        <v>60.561600000000006</v>
      </c>
      <c r="BP222" s="19"/>
      <c r="BQ2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25.006666666666668</v>
      </c>
      <c r="BS2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60.561600000000006</v>
      </c>
      <c r="BT222" s="11">
        <f>Tabelle5897112140[[#This Row],[Mindestauslastung min]]*Tabelle5897112140[[#This Row],[installierte Leistung MW min]]</f>
        <v>14.185600000000001</v>
      </c>
      <c r="BU222" s="11">
        <f>Tabelle5897112140[[#This Row],[Mindestauslastung durch]]*Tabelle5897112140[[#This Row],[installierte Leistung MW durch]]</f>
        <v>20.46</v>
      </c>
      <c r="BV222" s="11">
        <f>Tabelle5897112140[[#This Row],[Mindestauslastung max]]*Tabelle5897112140[[#This Row],[installierte Leistung MW max]]</f>
        <v>27.825600000000001</v>
      </c>
      <c r="BW222" s="9">
        <v>0.13</v>
      </c>
      <c r="BX222" s="9">
        <v>0.15</v>
      </c>
      <c r="BY222" s="9">
        <v>0.17</v>
      </c>
      <c r="BZ222" s="9"/>
      <c r="CA222" s="9">
        <v>0.5</v>
      </c>
      <c r="CB222" s="9">
        <v>0.4</v>
      </c>
      <c r="CC222" s="9">
        <v>0.6</v>
      </c>
      <c r="CD222" s="9">
        <v>0.24</v>
      </c>
      <c r="CE222" s="9">
        <v>0.19</v>
      </c>
      <c r="CF222" s="9">
        <v>0.28999999999999998</v>
      </c>
      <c r="CG222" s="9">
        <v>0.24</v>
      </c>
      <c r="CH222" s="9">
        <v>0.19</v>
      </c>
      <c r="CI222" s="9">
        <v>0.28999999999999998</v>
      </c>
      <c r="CJ222" s="9">
        <v>0.5</v>
      </c>
      <c r="CK222" s="9">
        <v>0.4</v>
      </c>
      <c r="CL222" s="9">
        <v>0.6</v>
      </c>
      <c r="CM222" s="9">
        <v>0.24</v>
      </c>
      <c r="CN222" s="9">
        <v>0.19</v>
      </c>
      <c r="CO222" s="9">
        <v>0.28999999999999998</v>
      </c>
      <c r="CP222" s="9">
        <v>0.24</v>
      </c>
      <c r="CQ222" s="9">
        <v>0.19</v>
      </c>
      <c r="CR222" s="9">
        <v>0.28999999999999998</v>
      </c>
      <c r="CS222" s="9">
        <v>0.5</v>
      </c>
      <c r="CT222" s="9">
        <v>0.4</v>
      </c>
      <c r="CU222" s="9">
        <v>0.6</v>
      </c>
      <c r="CV222" s="9">
        <v>0.24</v>
      </c>
      <c r="CW222" s="9">
        <v>0.19</v>
      </c>
      <c r="CX222" s="9">
        <v>0.28999999999999998</v>
      </c>
      <c r="CY222" s="9">
        <v>0.24</v>
      </c>
      <c r="CZ222" s="9">
        <v>0.19</v>
      </c>
      <c r="DA222" s="9">
        <v>0.28999999999999998</v>
      </c>
      <c r="DB222" s="9">
        <f>MIN(Tabelle5897112140[[#This Row],[Durchschnittsauslastung durch Sommer WTT]:[Durchschnittsauslastung max Winter SFN]])</f>
        <v>0.19</v>
      </c>
      <c r="DC2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2" s="9">
        <f>MAX(Tabelle5897112140[[#This Row],[Durchschnittsauslastung durch Sommer WTT]:[Durchschnittsauslastung max Winter SFN]])</f>
        <v>0.6</v>
      </c>
      <c r="DE222" s="40">
        <f>Tabelle5897112140[[#This Row],[Durchschnittsauslastung min]]*Tabelle5897112140[[#This Row],[installierte Leistung MW min]]</f>
        <v>20.732800000000001</v>
      </c>
      <c r="DF222" s="40">
        <f>Tabelle5897112140[[#This Row],[Durchschnittsauslastung durch]]*Tabelle5897112140[[#This Row],[installierte Leistung MW durch]]</f>
        <v>44.557333333333339</v>
      </c>
      <c r="DG222" s="40">
        <f>Tabelle5897112140[[#This Row],[Durchschnittsauslastung max]]*Tabelle5897112140[[#This Row],[installierte Leistung MW max]]</f>
        <v>98.207999999999998</v>
      </c>
      <c r="DH222" s="46">
        <f>Tabelle5897112140[[#This Row],[Maximalauslastung min]]*Tabelle5897112140[[#This Row],[installierte Leistung MW min]]</f>
        <v>50.195200000000007</v>
      </c>
      <c r="DI222" s="46">
        <f>Tabelle5897112140[[#This Row],[Maximalauslastung durch]]*Tabelle5897112140[[#This Row],[installierte Leistung MW durch]]</f>
        <v>69.564000000000007</v>
      </c>
      <c r="DJ222" s="19">
        <f>Tabelle5897112140[[#This Row],[Maximalauslastung max]]*Tabelle5897112140[[#This Row],[installierte Leistung MW durch]]</f>
        <v>76.384000000000015</v>
      </c>
      <c r="DK222" s="9">
        <v>0.46</v>
      </c>
      <c r="DL222" s="9">
        <v>0.51</v>
      </c>
      <c r="DM222" s="9">
        <v>0.56000000000000005</v>
      </c>
      <c r="DN222" s="1">
        <v>136.4</v>
      </c>
      <c r="DO222" s="1">
        <v>109.12</v>
      </c>
      <c r="DP222" s="1">
        <v>163.68</v>
      </c>
      <c r="DQ222" s="19"/>
      <c r="DR222" s="19"/>
      <c r="DW222" s="1">
        <v>1.1000000000000001</v>
      </c>
      <c r="DX222" s="1">
        <v>0.8</v>
      </c>
      <c r="DY222" s="1">
        <v>1.4</v>
      </c>
      <c r="EL222" s="1">
        <v>365</v>
      </c>
      <c r="EM222" s="1">
        <v>292</v>
      </c>
      <c r="EN222" s="1">
        <v>438</v>
      </c>
      <c r="EO222" s="11"/>
      <c r="EP222" s="11"/>
      <c r="EQ222" s="11"/>
      <c r="ER222" s="1">
        <v>365</v>
      </c>
      <c r="ES222" s="1">
        <v>292</v>
      </c>
      <c r="ET222" s="1">
        <v>438</v>
      </c>
      <c r="EV222" s="19"/>
      <c r="EW222" s="19"/>
      <c r="EX222" s="19"/>
      <c r="EY222" s="19"/>
      <c r="EZ222" s="19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O222" s="1">
        <v>67</v>
      </c>
      <c r="FP222" s="1">
        <v>67</v>
      </c>
      <c r="FQ222" s="1">
        <v>67</v>
      </c>
      <c r="FR222" s="13" t="s">
        <v>806</v>
      </c>
      <c r="FS222" s="13" t="s">
        <v>806</v>
      </c>
      <c r="FT222" s="13" t="s">
        <v>806</v>
      </c>
      <c r="FU222" s="13"/>
      <c r="FV222" s="13" t="s">
        <v>806</v>
      </c>
      <c r="FW222" s="13" t="s">
        <v>806</v>
      </c>
      <c r="FX222" s="13" t="s">
        <v>806</v>
      </c>
      <c r="FY222" s="13" t="s">
        <v>806</v>
      </c>
      <c r="FZ222" s="13" t="s">
        <v>806</v>
      </c>
      <c r="GA222" s="13" t="s">
        <v>806</v>
      </c>
      <c r="GB222" s="13" t="s">
        <v>806</v>
      </c>
      <c r="GE222" s="13" t="s">
        <v>806</v>
      </c>
      <c r="GF222" s="13" t="s">
        <v>806</v>
      </c>
      <c r="GH222" s="13" t="s">
        <v>806</v>
      </c>
    </row>
    <row r="223" spans="1:190" ht="12.75" customHeight="1" x14ac:dyDescent="0.25">
      <c r="A223" s="1" t="s">
        <v>208</v>
      </c>
      <c r="B223" s="1" t="s">
        <v>651</v>
      </c>
      <c r="C223" s="1" t="s">
        <v>665</v>
      </c>
      <c r="D223" s="1" t="s">
        <v>701</v>
      </c>
      <c r="E223" s="1" t="s">
        <v>126</v>
      </c>
      <c r="F223" s="1">
        <v>0</v>
      </c>
      <c r="G223" s="1">
        <v>2040</v>
      </c>
      <c r="H223" s="1">
        <v>1</v>
      </c>
      <c r="I223" s="1">
        <v>0</v>
      </c>
      <c r="J223" s="1">
        <v>0</v>
      </c>
      <c r="K2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2.3056000000000001</v>
      </c>
      <c r="L2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25.457666666666668</v>
      </c>
      <c r="M2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81.272400000000005</v>
      </c>
      <c r="N223" s="19">
        <v>50.435000000000002</v>
      </c>
      <c r="O223" s="19">
        <v>26.514399999999998</v>
      </c>
      <c r="P223" s="19">
        <v>81.272400000000005</v>
      </c>
      <c r="Q223" s="19">
        <v>1.4410000000000003</v>
      </c>
      <c r="R223" s="19">
        <v>0</v>
      </c>
      <c r="S223" s="19">
        <v>27.667200000000001</v>
      </c>
      <c r="T223" s="19">
        <v>12.969000000000001</v>
      </c>
      <c r="U223" s="19">
        <v>2.3056000000000001</v>
      </c>
      <c r="V223" s="19">
        <v>27.667200000000001</v>
      </c>
      <c r="W223" s="19">
        <v>38.907000000000004</v>
      </c>
      <c r="X223" s="19">
        <v>19.597600000000003</v>
      </c>
      <c r="Y223" s="19">
        <v>63.98040000000001</v>
      </c>
      <c r="Z223" s="19">
        <v>12.969000000000001</v>
      </c>
      <c r="AA223" s="19">
        <v>2.3056000000000001</v>
      </c>
      <c r="AB223" s="19">
        <v>27.667200000000001</v>
      </c>
      <c r="AC223" s="19">
        <v>38.907000000000004</v>
      </c>
      <c r="AD223" s="19">
        <v>19.597600000000003</v>
      </c>
      <c r="AE223" s="19">
        <v>63.98040000000001</v>
      </c>
      <c r="AF223" s="19">
        <v>50.435000000000002</v>
      </c>
      <c r="AG223" s="19">
        <v>26.514399999999998</v>
      </c>
      <c r="AH223" s="19">
        <v>81.272400000000005</v>
      </c>
      <c r="AI223" s="19">
        <v>1.4410000000000003</v>
      </c>
      <c r="AJ223" s="19">
        <v>0</v>
      </c>
      <c r="AK223" s="19">
        <v>27.667200000000001</v>
      </c>
      <c r="AL223" s="19">
        <v>12.969000000000001</v>
      </c>
      <c r="AM223" s="19">
        <v>2.3056000000000001</v>
      </c>
      <c r="AN223" s="19">
        <v>27.667200000000001</v>
      </c>
      <c r="AO223" s="19">
        <v>38.907000000000004</v>
      </c>
      <c r="AP223" s="19">
        <v>19.597600000000003</v>
      </c>
      <c r="AQ223" s="19">
        <v>63.98040000000001</v>
      </c>
      <c r="AR223" s="19">
        <v>12.969000000000001</v>
      </c>
      <c r="AS223" s="19">
        <v>2.3056000000000001</v>
      </c>
      <c r="AT223" s="19">
        <v>27.667200000000001</v>
      </c>
      <c r="AU223" s="19">
        <v>38.907000000000004</v>
      </c>
      <c r="AV223" s="19">
        <v>19.597600000000003</v>
      </c>
      <c r="AW223" s="19">
        <v>63.98040000000001</v>
      </c>
      <c r="AX223" s="19">
        <v>50.435000000000002</v>
      </c>
      <c r="AY223" s="19">
        <v>26.514399999999998</v>
      </c>
      <c r="AZ223" s="19">
        <v>81.272400000000005</v>
      </c>
      <c r="BA223" s="19">
        <v>1.4410000000000003</v>
      </c>
      <c r="BB223" s="19">
        <v>0</v>
      </c>
      <c r="BC223" s="19">
        <v>27.667200000000001</v>
      </c>
      <c r="BD223" s="19">
        <v>12.969000000000001</v>
      </c>
      <c r="BE223" s="19">
        <v>2.3056000000000001</v>
      </c>
      <c r="BF223" s="19">
        <v>27.667200000000001</v>
      </c>
      <c r="BG223" s="19">
        <v>38.907000000000004</v>
      </c>
      <c r="BH223" s="19">
        <v>19.597600000000003</v>
      </c>
      <c r="BI223" s="19">
        <v>63.98040000000001</v>
      </c>
      <c r="BJ223" s="19">
        <v>12.969000000000001</v>
      </c>
      <c r="BK223" s="19">
        <v>2.3056000000000001</v>
      </c>
      <c r="BL223" s="19">
        <v>27.667200000000001</v>
      </c>
      <c r="BM223" s="19">
        <v>38.907000000000004</v>
      </c>
      <c r="BN223" s="19">
        <v>19.597600000000003</v>
      </c>
      <c r="BO223" s="19">
        <v>63.98040000000001</v>
      </c>
      <c r="BP223" s="19"/>
      <c r="BQ2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26.418333333333337</v>
      </c>
      <c r="BS2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63.98040000000001</v>
      </c>
      <c r="BT223" s="11">
        <f>Tabelle5897112140[[#This Row],[Mindestauslastung min]]*Tabelle5897112140[[#This Row],[installierte Leistung MW min]]</f>
        <v>14.986400000000001</v>
      </c>
      <c r="BU223" s="11">
        <f>Tabelle5897112140[[#This Row],[Mindestauslastung durch]]*Tabelle5897112140[[#This Row],[installierte Leistung MW durch]]</f>
        <v>21.614999999999998</v>
      </c>
      <c r="BV223" s="11">
        <f>Tabelle5897112140[[#This Row],[Mindestauslastung max]]*Tabelle5897112140[[#This Row],[installierte Leistung MW max]]</f>
        <v>29.3964</v>
      </c>
      <c r="BW223" s="9">
        <v>0.13</v>
      </c>
      <c r="BX223" s="9">
        <v>0.15</v>
      </c>
      <c r="BY223" s="9">
        <v>0.17</v>
      </c>
      <c r="BZ223" s="9"/>
      <c r="CA223" s="9">
        <v>0.5</v>
      </c>
      <c r="CB223" s="9">
        <v>0.4</v>
      </c>
      <c r="CC223" s="9">
        <v>0.6</v>
      </c>
      <c r="CD223" s="9">
        <v>0.24</v>
      </c>
      <c r="CE223" s="9">
        <v>0.19</v>
      </c>
      <c r="CF223" s="9">
        <v>0.28999999999999998</v>
      </c>
      <c r="CG223" s="9">
        <v>0.24</v>
      </c>
      <c r="CH223" s="9">
        <v>0.19</v>
      </c>
      <c r="CI223" s="9">
        <v>0.28999999999999998</v>
      </c>
      <c r="CJ223" s="9">
        <v>0.5</v>
      </c>
      <c r="CK223" s="9">
        <v>0.4</v>
      </c>
      <c r="CL223" s="9">
        <v>0.6</v>
      </c>
      <c r="CM223" s="9">
        <v>0.24</v>
      </c>
      <c r="CN223" s="9">
        <v>0.19</v>
      </c>
      <c r="CO223" s="9">
        <v>0.28999999999999998</v>
      </c>
      <c r="CP223" s="9">
        <v>0.24</v>
      </c>
      <c r="CQ223" s="9">
        <v>0.19</v>
      </c>
      <c r="CR223" s="9">
        <v>0.28999999999999998</v>
      </c>
      <c r="CS223" s="9">
        <v>0.5</v>
      </c>
      <c r="CT223" s="9">
        <v>0.4</v>
      </c>
      <c r="CU223" s="9">
        <v>0.6</v>
      </c>
      <c r="CV223" s="9">
        <v>0.24</v>
      </c>
      <c r="CW223" s="9">
        <v>0.19</v>
      </c>
      <c r="CX223" s="9">
        <v>0.28999999999999998</v>
      </c>
      <c r="CY223" s="9">
        <v>0.24</v>
      </c>
      <c r="CZ223" s="9">
        <v>0.19</v>
      </c>
      <c r="DA223" s="9">
        <v>0.28999999999999998</v>
      </c>
      <c r="DB223" s="9">
        <f>MIN(Tabelle5897112140[[#This Row],[Durchschnittsauslastung durch Sommer WTT]:[Durchschnittsauslastung max Winter SFN]])</f>
        <v>0.19</v>
      </c>
      <c r="DC2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3" s="9">
        <f>MAX(Tabelle5897112140[[#This Row],[Durchschnittsauslastung durch Sommer WTT]:[Durchschnittsauslastung max Winter SFN]])</f>
        <v>0.6</v>
      </c>
      <c r="DE223" s="40">
        <f>Tabelle5897112140[[#This Row],[Durchschnittsauslastung min]]*Tabelle5897112140[[#This Row],[installierte Leistung MW min]]</f>
        <v>21.903200000000002</v>
      </c>
      <c r="DF223" s="40">
        <f>Tabelle5897112140[[#This Row],[Durchschnittsauslastung durch]]*Tabelle5897112140[[#This Row],[installierte Leistung MW durch]]</f>
        <v>47.07266666666667</v>
      </c>
      <c r="DG223" s="40">
        <f>Tabelle5897112140[[#This Row],[Durchschnittsauslastung max]]*Tabelle5897112140[[#This Row],[installierte Leistung MW max]]</f>
        <v>103.752</v>
      </c>
      <c r="DH223" s="46">
        <f>Tabelle5897112140[[#This Row],[Maximalauslastung min]]*Tabelle5897112140[[#This Row],[installierte Leistung MW min]]</f>
        <v>53.028800000000004</v>
      </c>
      <c r="DI223" s="46">
        <f>Tabelle5897112140[[#This Row],[Maximalauslastung durch]]*Tabelle5897112140[[#This Row],[installierte Leistung MW durch]]</f>
        <v>73.491</v>
      </c>
      <c r="DJ223" s="19">
        <f>Tabelle5897112140[[#This Row],[Maximalauslastung max]]*Tabelle5897112140[[#This Row],[installierte Leistung MW durch]]</f>
        <v>80.695999999999998</v>
      </c>
      <c r="DK223" s="9">
        <v>0.46</v>
      </c>
      <c r="DL223" s="9">
        <v>0.51</v>
      </c>
      <c r="DM223" s="9">
        <v>0.56000000000000005</v>
      </c>
      <c r="DN223" s="1">
        <v>144.1</v>
      </c>
      <c r="DO223" s="1">
        <v>115.28</v>
      </c>
      <c r="DP223" s="1">
        <v>172.92</v>
      </c>
      <c r="DQ223" s="19"/>
      <c r="DR223" s="19"/>
      <c r="DW223" s="1">
        <v>1.1000000000000001</v>
      </c>
      <c r="DX223" s="1">
        <v>0.8</v>
      </c>
      <c r="DY223" s="1">
        <v>1.4</v>
      </c>
      <c r="EL223" s="1">
        <v>365</v>
      </c>
      <c r="EM223" s="1">
        <v>292</v>
      </c>
      <c r="EN223" s="1">
        <v>438</v>
      </c>
      <c r="EO223" s="11"/>
      <c r="EP223" s="11"/>
      <c r="EQ223" s="11"/>
      <c r="ER223" s="1">
        <v>365</v>
      </c>
      <c r="ES223" s="1">
        <v>292</v>
      </c>
      <c r="ET223" s="1">
        <v>438</v>
      </c>
      <c r="EV223" s="19"/>
      <c r="EW223" s="19"/>
      <c r="EX223" s="19"/>
      <c r="EY223" s="19"/>
      <c r="EZ223" s="19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O223" s="1">
        <v>67</v>
      </c>
      <c r="FP223" s="1">
        <v>67</v>
      </c>
      <c r="FQ223" s="1">
        <v>67</v>
      </c>
      <c r="FR223" s="13" t="s">
        <v>806</v>
      </c>
      <c r="FS223" s="13" t="s">
        <v>806</v>
      </c>
      <c r="FT223" s="13" t="s">
        <v>806</v>
      </c>
      <c r="FU223" s="13"/>
      <c r="FV223" s="13" t="s">
        <v>806</v>
      </c>
      <c r="FW223" s="13" t="s">
        <v>806</v>
      </c>
      <c r="FX223" s="13" t="s">
        <v>806</v>
      </c>
      <c r="FY223" s="13" t="s">
        <v>806</v>
      </c>
      <c r="FZ223" s="13" t="s">
        <v>806</v>
      </c>
      <c r="GA223" s="13" t="s">
        <v>806</v>
      </c>
      <c r="GB223" s="13" t="s">
        <v>806</v>
      </c>
      <c r="GE223" s="13" t="s">
        <v>806</v>
      </c>
      <c r="GF223" s="13" t="s">
        <v>806</v>
      </c>
      <c r="GH223" s="13" t="s">
        <v>806</v>
      </c>
    </row>
    <row r="224" spans="1:190" ht="12.75" customHeight="1" x14ac:dyDescent="0.25">
      <c r="A224" s="1" t="s">
        <v>208</v>
      </c>
      <c r="B224" s="1" t="s">
        <v>651</v>
      </c>
      <c r="C224" s="1" t="s">
        <v>665</v>
      </c>
      <c r="D224" s="1" t="s">
        <v>701</v>
      </c>
      <c r="E224" s="1" t="s">
        <v>126</v>
      </c>
      <c r="F224" s="1">
        <v>0</v>
      </c>
      <c r="G224" s="1">
        <v>2045</v>
      </c>
      <c r="H224" s="1">
        <v>1</v>
      </c>
      <c r="I224" s="1">
        <v>0</v>
      </c>
      <c r="J224" s="1">
        <v>0</v>
      </c>
      <c r="K2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2.4463999999999997</v>
      </c>
      <c r="L2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27.012333333333331</v>
      </c>
      <c r="M2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86.235599999999991</v>
      </c>
      <c r="N224" s="19">
        <v>53.514999999999993</v>
      </c>
      <c r="O224" s="19">
        <v>28.133599999999994</v>
      </c>
      <c r="P224" s="19">
        <v>86.235599999999991</v>
      </c>
      <c r="Q224" s="19">
        <v>1.5289999999999999</v>
      </c>
      <c r="R224" s="19">
        <v>0</v>
      </c>
      <c r="S224" s="19">
        <v>29.3568</v>
      </c>
      <c r="T224" s="19">
        <v>13.760999999999999</v>
      </c>
      <c r="U224" s="19">
        <v>2.4463999999999997</v>
      </c>
      <c r="V224" s="19">
        <v>29.3568</v>
      </c>
      <c r="W224" s="19">
        <v>41.282999999999994</v>
      </c>
      <c r="X224" s="19">
        <v>20.7944</v>
      </c>
      <c r="Y224" s="19">
        <v>67.887600000000006</v>
      </c>
      <c r="Z224" s="19">
        <v>13.760999999999999</v>
      </c>
      <c r="AA224" s="19">
        <v>2.4463999999999997</v>
      </c>
      <c r="AB224" s="19">
        <v>29.3568</v>
      </c>
      <c r="AC224" s="19">
        <v>41.282999999999994</v>
      </c>
      <c r="AD224" s="19">
        <v>20.7944</v>
      </c>
      <c r="AE224" s="19">
        <v>67.887600000000006</v>
      </c>
      <c r="AF224" s="19">
        <v>53.514999999999993</v>
      </c>
      <c r="AG224" s="19">
        <v>28.133599999999994</v>
      </c>
      <c r="AH224" s="19">
        <v>86.235599999999991</v>
      </c>
      <c r="AI224" s="19">
        <v>1.5289999999999999</v>
      </c>
      <c r="AJ224" s="19">
        <v>0</v>
      </c>
      <c r="AK224" s="19">
        <v>29.3568</v>
      </c>
      <c r="AL224" s="19">
        <v>13.760999999999999</v>
      </c>
      <c r="AM224" s="19">
        <v>2.4463999999999997</v>
      </c>
      <c r="AN224" s="19">
        <v>29.3568</v>
      </c>
      <c r="AO224" s="19">
        <v>41.282999999999994</v>
      </c>
      <c r="AP224" s="19">
        <v>20.7944</v>
      </c>
      <c r="AQ224" s="19">
        <v>67.887600000000006</v>
      </c>
      <c r="AR224" s="19">
        <v>13.760999999999999</v>
      </c>
      <c r="AS224" s="19">
        <v>2.4463999999999997</v>
      </c>
      <c r="AT224" s="19">
        <v>29.3568</v>
      </c>
      <c r="AU224" s="19">
        <v>41.282999999999994</v>
      </c>
      <c r="AV224" s="19">
        <v>20.7944</v>
      </c>
      <c r="AW224" s="19">
        <v>67.887600000000006</v>
      </c>
      <c r="AX224" s="19">
        <v>53.514999999999993</v>
      </c>
      <c r="AY224" s="19">
        <v>28.133599999999994</v>
      </c>
      <c r="AZ224" s="19">
        <v>86.235599999999991</v>
      </c>
      <c r="BA224" s="19">
        <v>1.5289999999999999</v>
      </c>
      <c r="BB224" s="19">
        <v>0</v>
      </c>
      <c r="BC224" s="19">
        <v>29.3568</v>
      </c>
      <c r="BD224" s="19">
        <v>13.760999999999999</v>
      </c>
      <c r="BE224" s="19">
        <v>2.4463999999999997</v>
      </c>
      <c r="BF224" s="19">
        <v>29.3568</v>
      </c>
      <c r="BG224" s="19">
        <v>41.282999999999994</v>
      </c>
      <c r="BH224" s="19">
        <v>20.7944</v>
      </c>
      <c r="BI224" s="19">
        <v>67.887600000000006</v>
      </c>
      <c r="BJ224" s="19">
        <v>13.760999999999999</v>
      </c>
      <c r="BK224" s="19">
        <v>2.4463999999999997</v>
      </c>
      <c r="BL224" s="19">
        <v>29.3568</v>
      </c>
      <c r="BM224" s="19">
        <v>41.282999999999994</v>
      </c>
      <c r="BN224" s="19">
        <v>20.7944</v>
      </c>
      <c r="BO224" s="19">
        <v>67.887600000000006</v>
      </c>
      <c r="BP224" s="19"/>
      <c r="BQ2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28.031666666666659</v>
      </c>
      <c r="BS2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67.887600000000006</v>
      </c>
      <c r="BT224" s="11">
        <f>Tabelle5897112140[[#This Row],[Mindestauslastung min]]*Tabelle5897112140[[#This Row],[installierte Leistung MW min]]</f>
        <v>15.9016</v>
      </c>
      <c r="BU224" s="11">
        <f>Tabelle5897112140[[#This Row],[Mindestauslastung durch]]*Tabelle5897112140[[#This Row],[installierte Leistung MW durch]]</f>
        <v>22.934999999999999</v>
      </c>
      <c r="BV224" s="11">
        <f>Tabelle5897112140[[#This Row],[Mindestauslastung max]]*Tabelle5897112140[[#This Row],[installierte Leistung MW max]]</f>
        <v>31.191600000000001</v>
      </c>
      <c r="BW224" s="9">
        <v>0.13</v>
      </c>
      <c r="BX224" s="9">
        <v>0.15</v>
      </c>
      <c r="BY224" s="9">
        <v>0.17</v>
      </c>
      <c r="BZ224" s="9"/>
      <c r="CA224" s="9">
        <v>0.5</v>
      </c>
      <c r="CB224" s="9">
        <v>0.4</v>
      </c>
      <c r="CC224" s="9">
        <v>0.6</v>
      </c>
      <c r="CD224" s="9">
        <v>0.24</v>
      </c>
      <c r="CE224" s="9">
        <v>0.19</v>
      </c>
      <c r="CF224" s="9">
        <v>0.28999999999999998</v>
      </c>
      <c r="CG224" s="9">
        <v>0.24</v>
      </c>
      <c r="CH224" s="9">
        <v>0.19</v>
      </c>
      <c r="CI224" s="9">
        <v>0.28999999999999998</v>
      </c>
      <c r="CJ224" s="9">
        <v>0.5</v>
      </c>
      <c r="CK224" s="9">
        <v>0.4</v>
      </c>
      <c r="CL224" s="9">
        <v>0.6</v>
      </c>
      <c r="CM224" s="9">
        <v>0.24</v>
      </c>
      <c r="CN224" s="9">
        <v>0.19</v>
      </c>
      <c r="CO224" s="9">
        <v>0.28999999999999998</v>
      </c>
      <c r="CP224" s="9">
        <v>0.24</v>
      </c>
      <c r="CQ224" s="9">
        <v>0.19</v>
      </c>
      <c r="CR224" s="9">
        <v>0.28999999999999998</v>
      </c>
      <c r="CS224" s="9">
        <v>0.5</v>
      </c>
      <c r="CT224" s="9">
        <v>0.4</v>
      </c>
      <c r="CU224" s="9">
        <v>0.6</v>
      </c>
      <c r="CV224" s="9">
        <v>0.24</v>
      </c>
      <c r="CW224" s="9">
        <v>0.19</v>
      </c>
      <c r="CX224" s="9">
        <v>0.28999999999999998</v>
      </c>
      <c r="CY224" s="9">
        <v>0.24</v>
      </c>
      <c r="CZ224" s="9">
        <v>0.19</v>
      </c>
      <c r="DA224" s="9">
        <v>0.28999999999999998</v>
      </c>
      <c r="DB224" s="9">
        <f>MIN(Tabelle5897112140[[#This Row],[Durchschnittsauslastung durch Sommer WTT]:[Durchschnittsauslastung max Winter SFN]])</f>
        <v>0.19</v>
      </c>
      <c r="DC2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4" s="9">
        <f>MAX(Tabelle5897112140[[#This Row],[Durchschnittsauslastung durch Sommer WTT]:[Durchschnittsauslastung max Winter SFN]])</f>
        <v>0.6</v>
      </c>
      <c r="DE224" s="40">
        <f>Tabelle5897112140[[#This Row],[Durchschnittsauslastung min]]*Tabelle5897112140[[#This Row],[installierte Leistung MW min]]</f>
        <v>23.2408</v>
      </c>
      <c r="DF224" s="40">
        <f>Tabelle5897112140[[#This Row],[Durchschnittsauslastung durch]]*Tabelle5897112140[[#This Row],[installierte Leistung MW durch]]</f>
        <v>49.94733333333334</v>
      </c>
      <c r="DG224" s="40">
        <f>Tabelle5897112140[[#This Row],[Durchschnittsauslastung max]]*Tabelle5897112140[[#This Row],[installierte Leistung MW max]]</f>
        <v>110.08799999999999</v>
      </c>
      <c r="DH224" s="46">
        <f>Tabelle5897112140[[#This Row],[Maximalauslastung min]]*Tabelle5897112140[[#This Row],[installierte Leistung MW min]]</f>
        <v>56.267200000000003</v>
      </c>
      <c r="DI224" s="46">
        <f>Tabelle5897112140[[#This Row],[Maximalauslastung durch]]*Tabelle5897112140[[#This Row],[installierte Leistung MW durch]]</f>
        <v>77.978999999999999</v>
      </c>
      <c r="DJ224" s="19">
        <f>Tabelle5897112140[[#This Row],[Maximalauslastung max]]*Tabelle5897112140[[#This Row],[installierte Leistung MW durch]]</f>
        <v>85.624000000000009</v>
      </c>
      <c r="DK224" s="9">
        <v>0.46</v>
      </c>
      <c r="DL224" s="9">
        <v>0.51</v>
      </c>
      <c r="DM224" s="9">
        <v>0.56000000000000005</v>
      </c>
      <c r="DN224" s="1">
        <v>152.9</v>
      </c>
      <c r="DO224" s="1">
        <v>122.32</v>
      </c>
      <c r="DP224" s="1">
        <v>183.48</v>
      </c>
      <c r="DQ224" s="19"/>
      <c r="DR224" s="19"/>
      <c r="DW224" s="1">
        <v>1.1000000000000001</v>
      </c>
      <c r="DX224" s="1">
        <v>0.8</v>
      </c>
      <c r="DY224" s="1">
        <v>1.4</v>
      </c>
      <c r="EL224" s="1">
        <v>365</v>
      </c>
      <c r="EM224" s="1">
        <v>292</v>
      </c>
      <c r="EN224" s="1">
        <v>438</v>
      </c>
      <c r="EO224" s="11"/>
      <c r="EP224" s="11"/>
      <c r="EQ224" s="11"/>
      <c r="ER224" s="1">
        <v>365</v>
      </c>
      <c r="ES224" s="1">
        <v>292</v>
      </c>
      <c r="ET224" s="1">
        <v>438</v>
      </c>
      <c r="EV224" s="19"/>
      <c r="EW224" s="19"/>
      <c r="EX224" s="19"/>
      <c r="EY224" s="19"/>
      <c r="EZ224" s="19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O224" s="1">
        <v>67</v>
      </c>
      <c r="FP224" s="1">
        <v>67</v>
      </c>
      <c r="FQ224" s="1">
        <v>67</v>
      </c>
      <c r="FR224" s="13" t="s">
        <v>806</v>
      </c>
      <c r="FS224" s="13" t="s">
        <v>806</v>
      </c>
      <c r="FT224" s="13" t="s">
        <v>806</v>
      </c>
      <c r="FU224" s="13"/>
      <c r="FV224" s="13" t="s">
        <v>806</v>
      </c>
      <c r="FW224" s="13" t="s">
        <v>806</v>
      </c>
      <c r="FX224" s="13" t="s">
        <v>806</v>
      </c>
      <c r="FY224" s="13" t="s">
        <v>806</v>
      </c>
      <c r="FZ224" s="13" t="s">
        <v>806</v>
      </c>
      <c r="GA224" s="13" t="s">
        <v>806</v>
      </c>
      <c r="GB224" s="13" t="s">
        <v>806</v>
      </c>
      <c r="GE224" s="13" t="s">
        <v>806</v>
      </c>
      <c r="GF224" s="13" t="s">
        <v>806</v>
      </c>
      <c r="GH224" s="13" t="s">
        <v>806</v>
      </c>
    </row>
    <row r="225" spans="1:190" ht="12.75" customHeight="1" x14ac:dyDescent="0.25">
      <c r="A225" s="1" t="s">
        <v>208</v>
      </c>
      <c r="B225" s="1" t="s">
        <v>651</v>
      </c>
      <c r="C225" s="1" t="s">
        <v>665</v>
      </c>
      <c r="D225" s="1" t="s">
        <v>701</v>
      </c>
      <c r="E225" s="1" t="s">
        <v>126</v>
      </c>
      <c r="F225" s="1">
        <v>0</v>
      </c>
      <c r="G225" s="1">
        <v>2050</v>
      </c>
      <c r="H225" s="1">
        <v>1</v>
      </c>
      <c r="I225" s="1">
        <v>0</v>
      </c>
      <c r="J225" s="1">
        <v>0</v>
      </c>
      <c r="K2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2.5872000000000002</v>
      </c>
      <c r="L2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28.567</v>
      </c>
      <c r="M2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91.198799999999991</v>
      </c>
      <c r="N225" s="19">
        <v>56.594999999999999</v>
      </c>
      <c r="O225" s="19">
        <v>29.752799999999997</v>
      </c>
      <c r="P225" s="19">
        <v>91.198799999999991</v>
      </c>
      <c r="Q225" s="19">
        <v>1.617</v>
      </c>
      <c r="R225" s="19">
        <v>0</v>
      </c>
      <c r="S225" s="19">
        <v>31.046400000000002</v>
      </c>
      <c r="T225" s="19">
        <v>14.553000000000001</v>
      </c>
      <c r="U225" s="19">
        <v>2.5872000000000002</v>
      </c>
      <c r="V225" s="19">
        <v>31.046400000000002</v>
      </c>
      <c r="W225" s="19">
        <v>43.658999999999999</v>
      </c>
      <c r="X225" s="19">
        <v>21.991199999999999</v>
      </c>
      <c r="Y225" s="19">
        <v>71.794800000000009</v>
      </c>
      <c r="Z225" s="19">
        <v>14.553000000000001</v>
      </c>
      <c r="AA225" s="19">
        <v>2.5872000000000002</v>
      </c>
      <c r="AB225" s="19">
        <v>31.046400000000002</v>
      </c>
      <c r="AC225" s="19">
        <v>43.658999999999999</v>
      </c>
      <c r="AD225" s="19">
        <v>21.991199999999999</v>
      </c>
      <c r="AE225" s="19">
        <v>71.794800000000009</v>
      </c>
      <c r="AF225" s="19">
        <v>56.594999999999999</v>
      </c>
      <c r="AG225" s="19">
        <v>29.752799999999997</v>
      </c>
      <c r="AH225" s="19">
        <v>91.198799999999991</v>
      </c>
      <c r="AI225" s="19">
        <v>1.617</v>
      </c>
      <c r="AJ225" s="19">
        <v>0</v>
      </c>
      <c r="AK225" s="19">
        <v>31.046400000000002</v>
      </c>
      <c r="AL225" s="19">
        <v>14.553000000000001</v>
      </c>
      <c r="AM225" s="19">
        <v>2.5872000000000002</v>
      </c>
      <c r="AN225" s="19">
        <v>31.046400000000002</v>
      </c>
      <c r="AO225" s="19">
        <v>43.658999999999999</v>
      </c>
      <c r="AP225" s="19">
        <v>21.991199999999999</v>
      </c>
      <c r="AQ225" s="19">
        <v>71.794800000000009</v>
      </c>
      <c r="AR225" s="19">
        <v>14.553000000000001</v>
      </c>
      <c r="AS225" s="19">
        <v>2.5872000000000002</v>
      </c>
      <c r="AT225" s="19">
        <v>31.046400000000002</v>
      </c>
      <c r="AU225" s="19">
        <v>43.658999999999999</v>
      </c>
      <c r="AV225" s="19">
        <v>21.991199999999999</v>
      </c>
      <c r="AW225" s="19">
        <v>71.794800000000009</v>
      </c>
      <c r="AX225" s="19">
        <v>56.594999999999999</v>
      </c>
      <c r="AY225" s="19">
        <v>29.752799999999997</v>
      </c>
      <c r="AZ225" s="19">
        <v>91.198799999999991</v>
      </c>
      <c r="BA225" s="19">
        <v>1.617</v>
      </c>
      <c r="BB225" s="19">
        <v>0</v>
      </c>
      <c r="BC225" s="19">
        <v>31.046400000000002</v>
      </c>
      <c r="BD225" s="19">
        <v>14.553000000000001</v>
      </c>
      <c r="BE225" s="19">
        <v>2.5872000000000002</v>
      </c>
      <c r="BF225" s="19">
        <v>31.046400000000002</v>
      </c>
      <c r="BG225" s="19">
        <v>43.658999999999999</v>
      </c>
      <c r="BH225" s="19">
        <v>21.991199999999999</v>
      </c>
      <c r="BI225" s="19">
        <v>71.794800000000009</v>
      </c>
      <c r="BJ225" s="19">
        <v>14.553000000000001</v>
      </c>
      <c r="BK225" s="19">
        <v>2.5872000000000002</v>
      </c>
      <c r="BL225" s="19">
        <v>31.046400000000002</v>
      </c>
      <c r="BM225" s="19">
        <v>43.658999999999999</v>
      </c>
      <c r="BN225" s="19">
        <v>21.991199999999999</v>
      </c>
      <c r="BO225" s="19">
        <v>71.794800000000009</v>
      </c>
      <c r="BP225" s="19"/>
      <c r="BQ2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29.645</v>
      </c>
      <c r="BS2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71.794800000000009</v>
      </c>
      <c r="BT225" s="11">
        <f>Tabelle5897112140[[#This Row],[Mindestauslastung min]]*Tabelle5897112140[[#This Row],[installierte Leistung MW min]]</f>
        <v>16.816800000000001</v>
      </c>
      <c r="BU225" s="11">
        <f>Tabelle5897112140[[#This Row],[Mindestauslastung durch]]*Tabelle5897112140[[#This Row],[installierte Leistung MW durch]]</f>
        <v>24.254999999999999</v>
      </c>
      <c r="BV225" s="11">
        <f>Tabelle5897112140[[#This Row],[Mindestauslastung max]]*Tabelle5897112140[[#This Row],[installierte Leistung MW max]]</f>
        <v>32.986800000000002</v>
      </c>
      <c r="BW225" s="9">
        <v>0.13</v>
      </c>
      <c r="BX225" s="9">
        <v>0.15</v>
      </c>
      <c r="BY225" s="9">
        <v>0.17</v>
      </c>
      <c r="BZ225" s="9"/>
      <c r="CA225" s="9">
        <v>0.5</v>
      </c>
      <c r="CB225" s="9">
        <v>0.4</v>
      </c>
      <c r="CC225" s="9">
        <v>0.6</v>
      </c>
      <c r="CD225" s="9">
        <v>0.24</v>
      </c>
      <c r="CE225" s="9">
        <v>0.19</v>
      </c>
      <c r="CF225" s="9">
        <v>0.28999999999999998</v>
      </c>
      <c r="CG225" s="9">
        <v>0.24</v>
      </c>
      <c r="CH225" s="9">
        <v>0.19</v>
      </c>
      <c r="CI225" s="9">
        <v>0.28999999999999998</v>
      </c>
      <c r="CJ225" s="9">
        <v>0.5</v>
      </c>
      <c r="CK225" s="9">
        <v>0.4</v>
      </c>
      <c r="CL225" s="9">
        <v>0.6</v>
      </c>
      <c r="CM225" s="9">
        <v>0.24</v>
      </c>
      <c r="CN225" s="9">
        <v>0.19</v>
      </c>
      <c r="CO225" s="9">
        <v>0.28999999999999998</v>
      </c>
      <c r="CP225" s="9">
        <v>0.24</v>
      </c>
      <c r="CQ225" s="9">
        <v>0.19</v>
      </c>
      <c r="CR225" s="9">
        <v>0.28999999999999998</v>
      </c>
      <c r="CS225" s="9">
        <v>0.5</v>
      </c>
      <c r="CT225" s="9">
        <v>0.4</v>
      </c>
      <c r="CU225" s="9">
        <v>0.6</v>
      </c>
      <c r="CV225" s="9">
        <v>0.24</v>
      </c>
      <c r="CW225" s="9">
        <v>0.19</v>
      </c>
      <c r="CX225" s="9">
        <v>0.28999999999999998</v>
      </c>
      <c r="CY225" s="9">
        <v>0.24</v>
      </c>
      <c r="CZ225" s="9">
        <v>0.19</v>
      </c>
      <c r="DA225" s="9">
        <v>0.28999999999999998</v>
      </c>
      <c r="DB225" s="9">
        <f>MIN(Tabelle5897112140[[#This Row],[Durchschnittsauslastung durch Sommer WTT]:[Durchschnittsauslastung max Winter SFN]])</f>
        <v>0.19</v>
      </c>
      <c r="DC2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5" s="9">
        <f>MAX(Tabelle5897112140[[#This Row],[Durchschnittsauslastung durch Sommer WTT]:[Durchschnittsauslastung max Winter SFN]])</f>
        <v>0.6</v>
      </c>
      <c r="DE225" s="40">
        <f>Tabelle5897112140[[#This Row],[Durchschnittsauslastung min]]*Tabelle5897112140[[#This Row],[installierte Leistung MW min]]</f>
        <v>24.578400000000002</v>
      </c>
      <c r="DF225" s="40">
        <f>Tabelle5897112140[[#This Row],[Durchschnittsauslastung durch]]*Tabelle5897112140[[#This Row],[installierte Leistung MW durch]]</f>
        <v>52.822000000000003</v>
      </c>
      <c r="DG225" s="40">
        <f>Tabelle5897112140[[#This Row],[Durchschnittsauslastung max]]*Tabelle5897112140[[#This Row],[installierte Leistung MW max]]</f>
        <v>116.42399999999999</v>
      </c>
      <c r="DH225" s="46">
        <f>Tabelle5897112140[[#This Row],[Maximalauslastung min]]*Tabelle5897112140[[#This Row],[installierte Leistung MW min]]</f>
        <v>59.505600000000008</v>
      </c>
      <c r="DI225" s="46">
        <f>Tabelle5897112140[[#This Row],[Maximalauslastung durch]]*Tabelle5897112140[[#This Row],[installierte Leistung MW durch]]</f>
        <v>82.466999999999999</v>
      </c>
      <c r="DJ225" s="19">
        <f>Tabelle5897112140[[#This Row],[Maximalauslastung max]]*Tabelle5897112140[[#This Row],[installierte Leistung MW durch]]</f>
        <v>90.552000000000007</v>
      </c>
      <c r="DK225" s="9">
        <v>0.46</v>
      </c>
      <c r="DL225" s="9">
        <v>0.51</v>
      </c>
      <c r="DM225" s="9">
        <v>0.56000000000000005</v>
      </c>
      <c r="DN225" s="1">
        <v>161.69999999999999</v>
      </c>
      <c r="DO225" s="1">
        <v>129.36000000000001</v>
      </c>
      <c r="DP225" s="1">
        <v>194.04</v>
      </c>
      <c r="DQ225" s="19"/>
      <c r="DR225" s="19"/>
      <c r="DW225" s="1">
        <v>1.1000000000000001</v>
      </c>
      <c r="DX225" s="1">
        <v>0.8</v>
      </c>
      <c r="DY225" s="1">
        <v>1.4</v>
      </c>
      <c r="EL225" s="1">
        <v>365</v>
      </c>
      <c r="EM225" s="1">
        <v>292</v>
      </c>
      <c r="EN225" s="1">
        <v>438</v>
      </c>
      <c r="EO225" s="11"/>
      <c r="EP225" s="11"/>
      <c r="EQ225" s="11"/>
      <c r="ER225" s="1">
        <v>365</v>
      </c>
      <c r="ES225" s="1">
        <v>292</v>
      </c>
      <c r="ET225" s="1">
        <v>438</v>
      </c>
      <c r="EV225" s="19"/>
      <c r="EW225" s="19"/>
      <c r="EX225" s="19"/>
      <c r="EY225" s="19"/>
      <c r="EZ225" s="19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O225" s="1">
        <v>67</v>
      </c>
      <c r="FP225" s="1">
        <v>67</v>
      </c>
      <c r="FQ225" s="1">
        <v>67</v>
      </c>
      <c r="FR225" s="13" t="s">
        <v>806</v>
      </c>
      <c r="FS225" s="13" t="s">
        <v>806</v>
      </c>
      <c r="FT225" s="13" t="s">
        <v>806</v>
      </c>
      <c r="FU225" s="13"/>
      <c r="FV225" s="13" t="s">
        <v>806</v>
      </c>
      <c r="FW225" s="13" t="s">
        <v>806</v>
      </c>
      <c r="FX225" s="13" t="s">
        <v>806</v>
      </c>
      <c r="FY225" s="13" t="s">
        <v>806</v>
      </c>
      <c r="FZ225" s="13" t="s">
        <v>806</v>
      </c>
      <c r="GA225" s="13" t="s">
        <v>806</v>
      </c>
      <c r="GB225" s="13" t="s">
        <v>806</v>
      </c>
      <c r="GE225" s="13" t="s">
        <v>806</v>
      </c>
      <c r="GF225" s="13" t="s">
        <v>806</v>
      </c>
      <c r="GH225" s="13" t="s">
        <v>806</v>
      </c>
    </row>
    <row r="226" spans="1:190" ht="12.75" customHeight="1" x14ac:dyDescent="0.25">
      <c r="A226" s="1" t="s">
        <v>362</v>
      </c>
      <c r="B226" s="1" t="s">
        <v>650</v>
      </c>
      <c r="C226" s="1" t="s">
        <v>666</v>
      </c>
      <c r="D226" s="1" t="s">
        <v>702</v>
      </c>
      <c r="E226" s="1" t="s">
        <v>126</v>
      </c>
      <c r="F226" s="1">
        <v>0</v>
      </c>
      <c r="G226" s="1">
        <v>2015</v>
      </c>
      <c r="H226" s="1">
        <v>1</v>
      </c>
      <c r="I226" s="1">
        <v>0</v>
      </c>
      <c r="J226" s="1">
        <v>0</v>
      </c>
      <c r="K2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10.196666666666667</v>
      </c>
      <c r="M2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117.99</v>
      </c>
      <c r="N226" s="19">
        <v>75.67</v>
      </c>
      <c r="O226" s="19">
        <v>42.55</v>
      </c>
      <c r="P226" s="19">
        <v>117.99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38.64</v>
      </c>
      <c r="X226" s="19">
        <v>25.3</v>
      </c>
      <c r="Y226" s="19">
        <v>53.82</v>
      </c>
      <c r="Z226" s="19">
        <v>0</v>
      </c>
      <c r="AA226" s="19">
        <v>0</v>
      </c>
      <c r="AB226" s="19">
        <v>0</v>
      </c>
      <c r="AC226" s="19">
        <v>38.64</v>
      </c>
      <c r="AD226" s="19">
        <v>25.3</v>
      </c>
      <c r="AE226" s="19">
        <v>53.82</v>
      </c>
      <c r="AF226" s="19">
        <v>16.100000000000001</v>
      </c>
      <c r="AG226" s="19">
        <v>0</v>
      </c>
      <c r="AH226" s="19">
        <v>41.4</v>
      </c>
      <c r="AI226" s="19">
        <v>22.54</v>
      </c>
      <c r="AJ226" s="19">
        <v>2.2999999999999998</v>
      </c>
      <c r="AK226" s="19">
        <v>53.82</v>
      </c>
      <c r="AL226" s="19">
        <v>0</v>
      </c>
      <c r="AM226" s="19">
        <v>0</v>
      </c>
      <c r="AN226" s="19">
        <v>0</v>
      </c>
      <c r="AO226" s="19">
        <v>38.64</v>
      </c>
      <c r="AP226" s="19">
        <v>25.3</v>
      </c>
      <c r="AQ226" s="19">
        <v>53.82</v>
      </c>
      <c r="AR226" s="19">
        <v>0</v>
      </c>
      <c r="AS226" s="19">
        <v>0</v>
      </c>
      <c r="AT226" s="19">
        <v>0</v>
      </c>
      <c r="AU226" s="19">
        <v>38.64</v>
      </c>
      <c r="AV226" s="19">
        <v>25.3</v>
      </c>
      <c r="AW226" s="19">
        <v>53.82</v>
      </c>
      <c r="AX226" s="19">
        <v>0</v>
      </c>
      <c r="AY226" s="19">
        <v>0</v>
      </c>
      <c r="AZ226" s="19">
        <v>0</v>
      </c>
      <c r="BA226" s="19">
        <v>38.64</v>
      </c>
      <c r="BB226" s="19">
        <v>25.3</v>
      </c>
      <c r="BC226" s="19">
        <v>53.82</v>
      </c>
      <c r="BD226" s="19">
        <v>0</v>
      </c>
      <c r="BE226" s="19">
        <v>0</v>
      </c>
      <c r="BF226" s="19">
        <v>0</v>
      </c>
      <c r="BG226" s="19">
        <v>38.64</v>
      </c>
      <c r="BH226" s="19">
        <v>25.3</v>
      </c>
      <c r="BI226" s="19">
        <v>53.82</v>
      </c>
      <c r="BJ226" s="19">
        <v>0</v>
      </c>
      <c r="BK226" s="19">
        <v>0</v>
      </c>
      <c r="BL226" s="19">
        <v>0</v>
      </c>
      <c r="BM226" s="19">
        <v>38.64</v>
      </c>
      <c r="BN226" s="19">
        <v>25.3</v>
      </c>
      <c r="BO226" s="19">
        <v>53.82</v>
      </c>
      <c r="BP226" s="19"/>
      <c r="BQ2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32.557777777777773</v>
      </c>
      <c r="BS2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53.82</v>
      </c>
      <c r="BT226" s="11">
        <f>Tabelle5897112140[[#This Row],[Mindestauslastung min]]*Tabelle5897112140[[#This Row],[installierte Leistung MW min]]</f>
        <v>14.950000000000001</v>
      </c>
      <c r="BU226" s="11">
        <f>Tabelle5897112140[[#This Row],[Mindestauslastung durch]]*Tabelle5897112140[[#This Row],[installierte Leistung MW durch]]</f>
        <v>24.15</v>
      </c>
      <c r="BV226" s="11">
        <f>Tabelle5897112140[[#This Row],[Mindestauslastung max]]*Tabelle5897112140[[#This Row],[installierte Leistung MW max]]</f>
        <v>35.190000000000005</v>
      </c>
      <c r="BW226" s="9">
        <v>0.13</v>
      </c>
      <c r="BX226" s="9">
        <v>0.15</v>
      </c>
      <c r="BY226" s="9">
        <v>0.17</v>
      </c>
      <c r="BZ226" s="9"/>
      <c r="CA226" s="9">
        <v>0.47</v>
      </c>
      <c r="CB226" s="9">
        <v>0.37</v>
      </c>
      <c r="CC226" s="9">
        <v>0.56999999999999995</v>
      </c>
      <c r="CD226" s="9">
        <v>0</v>
      </c>
      <c r="CE226" s="9">
        <v>0</v>
      </c>
      <c r="CF226" s="9">
        <v>0</v>
      </c>
      <c r="CG226" s="9">
        <v>0</v>
      </c>
      <c r="CH226" s="9">
        <v>0</v>
      </c>
      <c r="CI226" s="9">
        <v>0</v>
      </c>
      <c r="CJ226" s="9">
        <v>0.1</v>
      </c>
      <c r="CK226" s="9">
        <v>0</v>
      </c>
      <c r="CL226" s="9">
        <v>0.2</v>
      </c>
      <c r="CM226" s="9">
        <v>0</v>
      </c>
      <c r="CN226" s="9">
        <v>0</v>
      </c>
      <c r="CO226" s="9">
        <v>0</v>
      </c>
      <c r="CP226" s="9">
        <v>0</v>
      </c>
      <c r="CQ226" s="9">
        <v>0</v>
      </c>
      <c r="CR226" s="9">
        <v>0</v>
      </c>
      <c r="CS226" s="9">
        <v>0</v>
      </c>
      <c r="CT226" s="9">
        <v>0</v>
      </c>
      <c r="CU226" s="9">
        <v>0</v>
      </c>
      <c r="CV226" s="9">
        <v>0</v>
      </c>
      <c r="CW226" s="9">
        <v>0</v>
      </c>
      <c r="CX226" s="9">
        <v>0</v>
      </c>
      <c r="CY226" s="9">
        <v>0</v>
      </c>
      <c r="CZ226" s="9">
        <v>0</v>
      </c>
      <c r="DA226" s="9">
        <v>0</v>
      </c>
      <c r="DB226" s="9">
        <f>MIN(Tabelle5897112140[[#This Row],[Durchschnittsauslastung durch Sommer WTT]:[Durchschnittsauslastung max Winter SFN]])</f>
        <v>0</v>
      </c>
      <c r="DC2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6" s="9">
        <f>MAX(Tabelle5897112140[[#This Row],[Durchschnittsauslastung durch Sommer WTT]:[Durchschnittsauslastung max Winter SFN]])</f>
        <v>0.56999999999999995</v>
      </c>
      <c r="DE226" s="40">
        <f>Tabelle5897112140[[#This Row],[Durchschnittsauslastung min]]*Tabelle5897112140[[#This Row],[installierte Leistung MW min]]</f>
        <v>0</v>
      </c>
      <c r="DF226" s="40">
        <f>Tabelle5897112140[[#This Row],[Durchschnittsauslastung durch]]*Tabelle5897112140[[#This Row],[installierte Leistung MW durch]]</f>
        <v>10.196666666666665</v>
      </c>
      <c r="DG226" s="40">
        <f>Tabelle5897112140[[#This Row],[Durchschnittsauslastung max]]*Tabelle5897112140[[#This Row],[installierte Leistung MW max]]</f>
        <v>117.99</v>
      </c>
      <c r="DH226" s="46">
        <f>Tabelle5897112140[[#This Row],[Maximalauslastung min]]*Tabelle5897112140[[#This Row],[installierte Leistung MW min]]</f>
        <v>52.900000000000006</v>
      </c>
      <c r="DI226" s="46">
        <f>Tabelle5897112140[[#This Row],[Maximalauslastung durch]]*Tabelle5897112140[[#This Row],[installierte Leistung MW durch]]</f>
        <v>82.11</v>
      </c>
      <c r="DJ226" s="19">
        <f>Tabelle5897112140[[#This Row],[Maximalauslastung max]]*Tabelle5897112140[[#This Row],[installierte Leistung MW durch]]</f>
        <v>90.160000000000011</v>
      </c>
      <c r="DK226" s="9">
        <v>0.46</v>
      </c>
      <c r="DL226" s="9">
        <v>0.51</v>
      </c>
      <c r="DM226" s="9">
        <v>0.56000000000000005</v>
      </c>
      <c r="DN226" s="1">
        <v>161</v>
      </c>
      <c r="DO226" s="1">
        <v>115</v>
      </c>
      <c r="DP226" s="1">
        <v>207</v>
      </c>
      <c r="DQ226" s="19"/>
      <c r="DR226" s="19"/>
      <c r="EL226" s="1">
        <v>365</v>
      </c>
      <c r="EM226" s="1">
        <v>292</v>
      </c>
      <c r="EN226" s="1">
        <v>438</v>
      </c>
      <c r="EO226" s="11"/>
      <c r="EP226" s="11"/>
      <c r="EQ226" s="11"/>
      <c r="ER226" s="1">
        <v>365</v>
      </c>
      <c r="ES226" s="1">
        <v>292</v>
      </c>
      <c r="ET226" s="1">
        <v>438</v>
      </c>
      <c r="EV226" s="19"/>
      <c r="EW226" s="19"/>
      <c r="EX226" s="19"/>
      <c r="EY226" s="19"/>
      <c r="EZ226" s="19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O226" s="1">
        <v>67</v>
      </c>
      <c r="FP226" s="1">
        <v>67</v>
      </c>
      <c r="FQ226" s="1">
        <v>67</v>
      </c>
      <c r="FR226" s="13" t="s">
        <v>806</v>
      </c>
      <c r="FS226" s="13" t="s">
        <v>806</v>
      </c>
      <c r="FT226" s="13" t="s">
        <v>806</v>
      </c>
      <c r="FU226" s="13"/>
      <c r="FV226" s="13" t="s">
        <v>806</v>
      </c>
      <c r="FW226" s="13" t="s">
        <v>806</v>
      </c>
      <c r="FX226" s="13" t="s">
        <v>806</v>
      </c>
      <c r="FY226" s="13" t="s">
        <v>806</v>
      </c>
      <c r="FZ226" s="13" t="s">
        <v>806</v>
      </c>
      <c r="GA226" s="13" t="s">
        <v>806</v>
      </c>
      <c r="GB226" s="13" t="s">
        <v>806</v>
      </c>
      <c r="GE226" s="13" t="s">
        <v>806</v>
      </c>
      <c r="GF226" s="13" t="s">
        <v>806</v>
      </c>
      <c r="GH226" s="13" t="s">
        <v>806</v>
      </c>
    </row>
    <row r="227" spans="1:190" ht="12.75" customHeight="1" x14ac:dyDescent="0.25">
      <c r="A227" s="1" t="s">
        <v>362</v>
      </c>
      <c r="B227" s="1" t="s">
        <v>650</v>
      </c>
      <c r="C227" s="1" t="s">
        <v>666</v>
      </c>
      <c r="D227" s="1" t="s">
        <v>702</v>
      </c>
      <c r="E227" s="1" t="s">
        <v>126</v>
      </c>
      <c r="F227" s="1">
        <v>0</v>
      </c>
      <c r="G227" s="1">
        <v>2020</v>
      </c>
      <c r="H227" s="1">
        <v>1</v>
      </c>
      <c r="I227" s="1">
        <v>0</v>
      </c>
      <c r="J227" s="1">
        <v>0</v>
      </c>
      <c r="K2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10.298633333333335</v>
      </c>
      <c r="M2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119.1699</v>
      </c>
      <c r="N227" s="19">
        <v>76.426699999999997</v>
      </c>
      <c r="O227" s="19">
        <v>42.975499999999997</v>
      </c>
      <c r="P227" s="19">
        <v>119.1699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39.026400000000002</v>
      </c>
      <c r="X227" s="19">
        <v>25.553000000000001</v>
      </c>
      <c r="Y227" s="19">
        <v>54.358200000000004</v>
      </c>
      <c r="Z227" s="19">
        <v>0</v>
      </c>
      <c r="AA227" s="19">
        <v>0</v>
      </c>
      <c r="AB227" s="19">
        <v>0</v>
      </c>
      <c r="AC227" s="19">
        <v>39.026400000000002</v>
      </c>
      <c r="AD227" s="19">
        <v>25.553000000000001</v>
      </c>
      <c r="AE227" s="19">
        <v>54.358200000000004</v>
      </c>
      <c r="AF227" s="19">
        <v>16.261000000000003</v>
      </c>
      <c r="AG227" s="19">
        <v>0</v>
      </c>
      <c r="AH227" s="19">
        <v>41.814</v>
      </c>
      <c r="AI227" s="19">
        <v>22.7654</v>
      </c>
      <c r="AJ227" s="19">
        <v>2.323</v>
      </c>
      <c r="AK227" s="19">
        <v>54.358200000000004</v>
      </c>
      <c r="AL227" s="19">
        <v>0</v>
      </c>
      <c r="AM227" s="19">
        <v>0</v>
      </c>
      <c r="AN227" s="19">
        <v>0</v>
      </c>
      <c r="AO227" s="19">
        <v>39.026400000000002</v>
      </c>
      <c r="AP227" s="19">
        <v>25.553000000000001</v>
      </c>
      <c r="AQ227" s="19">
        <v>54.358200000000004</v>
      </c>
      <c r="AR227" s="19">
        <v>0</v>
      </c>
      <c r="AS227" s="19">
        <v>0</v>
      </c>
      <c r="AT227" s="19">
        <v>0</v>
      </c>
      <c r="AU227" s="19">
        <v>39.026400000000002</v>
      </c>
      <c r="AV227" s="19">
        <v>25.553000000000001</v>
      </c>
      <c r="AW227" s="19">
        <v>54.358200000000004</v>
      </c>
      <c r="AX227" s="19">
        <v>0</v>
      </c>
      <c r="AY227" s="19">
        <v>0</v>
      </c>
      <c r="AZ227" s="19">
        <v>0</v>
      </c>
      <c r="BA227" s="19">
        <v>39.026400000000002</v>
      </c>
      <c r="BB227" s="19">
        <v>25.553000000000001</v>
      </c>
      <c r="BC227" s="19">
        <v>54.358200000000004</v>
      </c>
      <c r="BD227" s="19">
        <v>0</v>
      </c>
      <c r="BE227" s="19">
        <v>0</v>
      </c>
      <c r="BF227" s="19">
        <v>0</v>
      </c>
      <c r="BG227" s="19">
        <v>39.026400000000002</v>
      </c>
      <c r="BH227" s="19">
        <v>25.553000000000001</v>
      </c>
      <c r="BI227" s="19">
        <v>54.358200000000004</v>
      </c>
      <c r="BJ227" s="19">
        <v>0</v>
      </c>
      <c r="BK227" s="19">
        <v>0</v>
      </c>
      <c r="BL227" s="19">
        <v>0</v>
      </c>
      <c r="BM227" s="19">
        <v>39.026400000000002</v>
      </c>
      <c r="BN227" s="19">
        <v>25.553000000000001</v>
      </c>
      <c r="BO227" s="19">
        <v>54.358200000000004</v>
      </c>
      <c r="BP227" s="19"/>
      <c r="BQ2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32.883355555555561</v>
      </c>
      <c r="BS2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54.358200000000004</v>
      </c>
      <c r="BT227" s="11">
        <f>Tabelle5897112140[[#This Row],[Mindestauslastung min]]*Tabelle5897112140[[#This Row],[installierte Leistung MW min]]</f>
        <v>0</v>
      </c>
      <c r="BU227" s="11">
        <f>Tabelle5897112140[[#This Row],[Mindestauslastung durch]]*Tabelle5897112140[[#This Row],[installierte Leistung MW durch]]</f>
        <v>0</v>
      </c>
      <c r="BV227" s="11">
        <f>Tabelle5897112140[[#This Row],[Mindestauslastung max]]*Tabelle5897112140[[#This Row],[installierte Leistung MW max]]</f>
        <v>0</v>
      </c>
      <c r="BW227" s="9">
        <v>0</v>
      </c>
      <c r="BX227" s="9">
        <v>0</v>
      </c>
      <c r="BY227" s="9">
        <v>0</v>
      </c>
      <c r="BZ227" s="9"/>
      <c r="CA227" s="9">
        <v>0.47</v>
      </c>
      <c r="CB227" s="9">
        <v>0.37</v>
      </c>
      <c r="CC227" s="9">
        <v>0.56999999999999995</v>
      </c>
      <c r="CD227" s="9">
        <v>0</v>
      </c>
      <c r="CE227" s="9">
        <v>0</v>
      </c>
      <c r="CF227" s="9">
        <v>0</v>
      </c>
      <c r="CG227" s="9">
        <v>0</v>
      </c>
      <c r="CH227" s="9">
        <v>0</v>
      </c>
      <c r="CI227" s="9">
        <v>0</v>
      </c>
      <c r="CJ227" s="9">
        <v>0.1</v>
      </c>
      <c r="CK227" s="9">
        <v>0</v>
      </c>
      <c r="CL227" s="9">
        <v>0.2</v>
      </c>
      <c r="CM227" s="9">
        <v>0</v>
      </c>
      <c r="CN227" s="9">
        <v>0</v>
      </c>
      <c r="CO227" s="9">
        <v>0</v>
      </c>
      <c r="CP227" s="9">
        <v>0</v>
      </c>
      <c r="CQ227" s="9">
        <v>0</v>
      </c>
      <c r="CR227" s="9">
        <v>0</v>
      </c>
      <c r="CS227" s="9">
        <v>0</v>
      </c>
      <c r="CT227" s="9">
        <v>0</v>
      </c>
      <c r="CU227" s="9">
        <v>0</v>
      </c>
      <c r="CV227" s="9">
        <v>0</v>
      </c>
      <c r="CW227" s="9">
        <v>0</v>
      </c>
      <c r="CX227" s="9">
        <v>0</v>
      </c>
      <c r="CY227" s="9">
        <v>0</v>
      </c>
      <c r="CZ227" s="9">
        <v>0</v>
      </c>
      <c r="DA227" s="9">
        <v>0</v>
      </c>
      <c r="DB227" s="9">
        <f>MIN(Tabelle5897112140[[#This Row],[Durchschnittsauslastung durch Sommer WTT]:[Durchschnittsauslastung max Winter SFN]])</f>
        <v>0</v>
      </c>
      <c r="DC2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7" s="9">
        <f>MAX(Tabelle5897112140[[#This Row],[Durchschnittsauslastung durch Sommer WTT]:[Durchschnittsauslastung max Winter SFN]])</f>
        <v>0.56999999999999995</v>
      </c>
      <c r="DE227" s="40">
        <f>Tabelle5897112140[[#This Row],[Durchschnittsauslastung min]]*Tabelle5897112140[[#This Row],[installierte Leistung MW min]]</f>
        <v>0</v>
      </c>
      <c r="DF227" s="40">
        <f>Tabelle5897112140[[#This Row],[Durchschnittsauslastung durch]]*Tabelle5897112140[[#This Row],[installierte Leistung MW durch]]</f>
        <v>10.298633333333333</v>
      </c>
      <c r="DG227" s="40">
        <f>Tabelle5897112140[[#This Row],[Durchschnittsauslastung max]]*Tabelle5897112140[[#This Row],[installierte Leistung MW max]]</f>
        <v>119.16989999999998</v>
      </c>
      <c r="DH227" s="46">
        <f>Tabelle5897112140[[#This Row],[Maximalauslastung min]]*Tabelle5897112140[[#This Row],[installierte Leistung MW min]]</f>
        <v>25.553000000000001</v>
      </c>
      <c r="DI227" s="46">
        <f>Tabelle5897112140[[#This Row],[Maximalauslastung durch]]*Tabelle5897112140[[#This Row],[installierte Leistung MW durch]]</f>
        <v>39.026400000000002</v>
      </c>
      <c r="DJ227" s="19">
        <f>Tabelle5897112140[[#This Row],[Maximalauslastung max]]*Tabelle5897112140[[#This Row],[installierte Leistung MW durch]]</f>
        <v>42.278600000000004</v>
      </c>
      <c r="DK227" s="9">
        <v>0.22</v>
      </c>
      <c r="DL227" s="9">
        <v>0.24</v>
      </c>
      <c r="DM227" s="9">
        <v>0.26</v>
      </c>
      <c r="DN227" s="1">
        <v>162.61000000000001</v>
      </c>
      <c r="DO227" s="1">
        <v>116.15</v>
      </c>
      <c r="DP227" s="1">
        <v>209.07</v>
      </c>
      <c r="DQ227" s="19"/>
      <c r="DR227" s="19"/>
      <c r="EL227" s="1">
        <v>365</v>
      </c>
      <c r="EM227" s="1">
        <v>292</v>
      </c>
      <c r="EN227" s="1">
        <v>438</v>
      </c>
      <c r="EO227" s="11"/>
      <c r="EP227" s="11"/>
      <c r="EQ227" s="11"/>
      <c r="ER227" s="1">
        <v>365</v>
      </c>
      <c r="ES227" s="1">
        <v>292</v>
      </c>
      <c r="ET227" s="1">
        <v>438</v>
      </c>
      <c r="EV227" s="19"/>
      <c r="EW227" s="19"/>
      <c r="EX227" s="19"/>
      <c r="EY227" s="19"/>
      <c r="EZ227" s="19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O227" s="1">
        <v>67</v>
      </c>
      <c r="FP227" s="1">
        <v>67</v>
      </c>
      <c r="FQ227" s="1">
        <v>67</v>
      </c>
      <c r="FR227" s="13" t="s">
        <v>806</v>
      </c>
      <c r="FS227" s="13" t="s">
        <v>806</v>
      </c>
      <c r="FT227" s="13" t="s">
        <v>806</v>
      </c>
      <c r="FU227" s="13"/>
      <c r="FV227" s="13" t="s">
        <v>806</v>
      </c>
      <c r="FW227" s="13" t="s">
        <v>806</v>
      </c>
      <c r="FX227" s="13" t="s">
        <v>806</v>
      </c>
      <c r="FY227" s="13" t="s">
        <v>806</v>
      </c>
      <c r="FZ227" s="13" t="s">
        <v>806</v>
      </c>
      <c r="GA227" s="13" t="s">
        <v>806</v>
      </c>
      <c r="GB227" s="13" t="s">
        <v>806</v>
      </c>
      <c r="GE227" s="13" t="s">
        <v>806</v>
      </c>
      <c r="GF227" s="13" t="s">
        <v>806</v>
      </c>
      <c r="GH227" s="13" t="s">
        <v>806</v>
      </c>
    </row>
    <row r="228" spans="1:190" ht="12.75" customHeight="1" x14ac:dyDescent="0.25">
      <c r="A228" s="1" t="s">
        <v>362</v>
      </c>
      <c r="B228" s="1" t="s">
        <v>650</v>
      </c>
      <c r="C228" s="1" t="s">
        <v>666</v>
      </c>
      <c r="D228" s="1" t="s">
        <v>702</v>
      </c>
      <c r="E228" s="1" t="s">
        <v>126</v>
      </c>
      <c r="F228" s="1">
        <v>0</v>
      </c>
      <c r="G228" s="1">
        <v>2025</v>
      </c>
      <c r="H228" s="1">
        <v>1</v>
      </c>
      <c r="I228" s="1">
        <v>0</v>
      </c>
      <c r="J228" s="1">
        <v>0</v>
      </c>
      <c r="K2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10.400600000000001</v>
      </c>
      <c r="M2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120.3498</v>
      </c>
      <c r="N228" s="19">
        <v>77.183400000000006</v>
      </c>
      <c r="O228" s="19">
        <v>43.400999999999996</v>
      </c>
      <c r="P228" s="19">
        <v>120.3498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39.412800000000004</v>
      </c>
      <c r="X228" s="19">
        <v>25.806000000000001</v>
      </c>
      <c r="Y228" s="19">
        <v>54.8964</v>
      </c>
      <c r="Z228" s="19">
        <v>0</v>
      </c>
      <c r="AA228" s="19">
        <v>0</v>
      </c>
      <c r="AB228" s="19">
        <v>0</v>
      </c>
      <c r="AC228" s="19">
        <v>39.412800000000004</v>
      </c>
      <c r="AD228" s="19">
        <v>25.806000000000001</v>
      </c>
      <c r="AE228" s="19">
        <v>54.8964</v>
      </c>
      <c r="AF228" s="19">
        <v>16.422000000000001</v>
      </c>
      <c r="AG228" s="19">
        <v>0</v>
      </c>
      <c r="AH228" s="19">
        <v>42.228000000000002</v>
      </c>
      <c r="AI228" s="19">
        <v>22.9908</v>
      </c>
      <c r="AJ228" s="19">
        <v>2.3459999999999996</v>
      </c>
      <c r="AK228" s="19">
        <v>54.8964</v>
      </c>
      <c r="AL228" s="19">
        <v>0</v>
      </c>
      <c r="AM228" s="19">
        <v>0</v>
      </c>
      <c r="AN228" s="19">
        <v>0</v>
      </c>
      <c r="AO228" s="19">
        <v>39.412800000000004</v>
      </c>
      <c r="AP228" s="19">
        <v>25.806000000000001</v>
      </c>
      <c r="AQ228" s="19">
        <v>54.8964</v>
      </c>
      <c r="AR228" s="19">
        <v>0</v>
      </c>
      <c r="AS228" s="19">
        <v>0</v>
      </c>
      <c r="AT228" s="19">
        <v>0</v>
      </c>
      <c r="AU228" s="19">
        <v>39.412800000000004</v>
      </c>
      <c r="AV228" s="19">
        <v>25.806000000000001</v>
      </c>
      <c r="AW228" s="19">
        <v>54.8964</v>
      </c>
      <c r="AX228" s="19">
        <v>0</v>
      </c>
      <c r="AY228" s="19">
        <v>0</v>
      </c>
      <c r="AZ228" s="19">
        <v>0</v>
      </c>
      <c r="BA228" s="19">
        <v>39.412800000000004</v>
      </c>
      <c r="BB228" s="19">
        <v>25.806000000000001</v>
      </c>
      <c r="BC228" s="19">
        <v>54.8964</v>
      </c>
      <c r="BD228" s="19">
        <v>0</v>
      </c>
      <c r="BE228" s="19">
        <v>0</v>
      </c>
      <c r="BF228" s="19">
        <v>0</v>
      </c>
      <c r="BG228" s="19">
        <v>39.412800000000004</v>
      </c>
      <c r="BH228" s="19">
        <v>25.806000000000001</v>
      </c>
      <c r="BI228" s="19">
        <v>54.8964</v>
      </c>
      <c r="BJ228" s="19">
        <v>0</v>
      </c>
      <c r="BK228" s="19">
        <v>0</v>
      </c>
      <c r="BL228" s="19">
        <v>0</v>
      </c>
      <c r="BM228" s="19">
        <v>39.412800000000004</v>
      </c>
      <c r="BN228" s="19">
        <v>25.806000000000001</v>
      </c>
      <c r="BO228" s="19">
        <v>54.8964</v>
      </c>
      <c r="BP228" s="19"/>
      <c r="BQ2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33.208933333333341</v>
      </c>
      <c r="BS2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54.8964</v>
      </c>
      <c r="BT228" s="11">
        <f>Tabelle5897112140[[#This Row],[Mindestauslastung min]]*Tabelle5897112140[[#This Row],[installierte Leistung MW min]]</f>
        <v>0</v>
      </c>
      <c r="BU228" s="11">
        <f>Tabelle5897112140[[#This Row],[Mindestauslastung durch]]*Tabelle5897112140[[#This Row],[installierte Leistung MW durch]]</f>
        <v>0</v>
      </c>
      <c r="BV228" s="11">
        <f>Tabelle5897112140[[#This Row],[Mindestauslastung max]]*Tabelle5897112140[[#This Row],[installierte Leistung MW max]]</f>
        <v>0</v>
      </c>
      <c r="BW228" s="9">
        <v>0</v>
      </c>
      <c r="BX228" s="9">
        <v>0</v>
      </c>
      <c r="BY228" s="9">
        <v>0</v>
      </c>
      <c r="BZ228" s="9"/>
      <c r="CA228" s="9">
        <v>0.47</v>
      </c>
      <c r="CB228" s="9">
        <v>0.37</v>
      </c>
      <c r="CC228" s="9">
        <v>0.56999999999999995</v>
      </c>
      <c r="CD228" s="9">
        <v>0</v>
      </c>
      <c r="CE228" s="9">
        <v>0</v>
      </c>
      <c r="CF228" s="9">
        <v>0</v>
      </c>
      <c r="CG228" s="9">
        <v>0</v>
      </c>
      <c r="CH228" s="9">
        <v>0</v>
      </c>
      <c r="CI228" s="9">
        <v>0</v>
      </c>
      <c r="CJ228" s="9">
        <v>0.1</v>
      </c>
      <c r="CK228" s="9">
        <v>0</v>
      </c>
      <c r="CL228" s="9">
        <v>0.2</v>
      </c>
      <c r="CM228" s="9">
        <v>0</v>
      </c>
      <c r="CN228" s="9">
        <v>0</v>
      </c>
      <c r="CO228" s="9">
        <v>0</v>
      </c>
      <c r="CP228" s="9">
        <v>0</v>
      </c>
      <c r="CQ228" s="9">
        <v>0</v>
      </c>
      <c r="CR228" s="9">
        <v>0</v>
      </c>
      <c r="CS228" s="9">
        <v>0</v>
      </c>
      <c r="CT228" s="9">
        <v>0</v>
      </c>
      <c r="CU228" s="9">
        <v>0</v>
      </c>
      <c r="CV228" s="9">
        <v>0</v>
      </c>
      <c r="CW228" s="9">
        <v>0</v>
      </c>
      <c r="CX228" s="9">
        <v>0</v>
      </c>
      <c r="CY228" s="9">
        <v>0</v>
      </c>
      <c r="CZ228" s="9">
        <v>0</v>
      </c>
      <c r="DA228" s="9">
        <v>0</v>
      </c>
      <c r="DB228" s="9">
        <f>MIN(Tabelle5897112140[[#This Row],[Durchschnittsauslastung durch Sommer WTT]:[Durchschnittsauslastung max Winter SFN]])</f>
        <v>0</v>
      </c>
      <c r="DC2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8" s="9">
        <f>MAX(Tabelle5897112140[[#This Row],[Durchschnittsauslastung durch Sommer WTT]:[Durchschnittsauslastung max Winter SFN]])</f>
        <v>0.56999999999999995</v>
      </c>
      <c r="DE228" s="40">
        <f>Tabelle5897112140[[#This Row],[Durchschnittsauslastung min]]*Tabelle5897112140[[#This Row],[installierte Leistung MW min]]</f>
        <v>0</v>
      </c>
      <c r="DF228" s="40">
        <f>Tabelle5897112140[[#This Row],[Durchschnittsauslastung durch]]*Tabelle5897112140[[#This Row],[installierte Leistung MW durch]]</f>
        <v>10.400599999999999</v>
      </c>
      <c r="DG228" s="40">
        <f>Tabelle5897112140[[#This Row],[Durchschnittsauslastung max]]*Tabelle5897112140[[#This Row],[installierte Leistung MW max]]</f>
        <v>120.34979999999999</v>
      </c>
      <c r="DH228" s="46">
        <f>Tabelle5897112140[[#This Row],[Maximalauslastung min]]*Tabelle5897112140[[#This Row],[installierte Leistung MW min]]</f>
        <v>25.806000000000001</v>
      </c>
      <c r="DI228" s="46">
        <f>Tabelle5897112140[[#This Row],[Maximalauslastung durch]]*Tabelle5897112140[[#This Row],[installierte Leistung MW durch]]</f>
        <v>39.412799999999997</v>
      </c>
      <c r="DJ228" s="19">
        <f>Tabelle5897112140[[#This Row],[Maximalauslastung max]]*Tabelle5897112140[[#This Row],[installierte Leistung MW durch]]</f>
        <v>42.697200000000002</v>
      </c>
      <c r="DK228" s="9">
        <v>0.22</v>
      </c>
      <c r="DL228" s="9">
        <v>0.24</v>
      </c>
      <c r="DM228" s="9">
        <v>0.26</v>
      </c>
      <c r="DN228" s="1">
        <v>164.22</v>
      </c>
      <c r="DO228" s="1">
        <v>117.3</v>
      </c>
      <c r="DP228" s="1">
        <v>211.14</v>
      </c>
      <c r="DQ228" s="19"/>
      <c r="DR228" s="19"/>
      <c r="EL228" s="1">
        <v>365</v>
      </c>
      <c r="EM228" s="1">
        <v>292</v>
      </c>
      <c r="EN228" s="1">
        <v>438</v>
      </c>
      <c r="EO228" s="11"/>
      <c r="EP228" s="11"/>
      <c r="EQ228" s="11"/>
      <c r="ER228" s="1">
        <v>365</v>
      </c>
      <c r="ES228" s="1">
        <v>292</v>
      </c>
      <c r="ET228" s="1">
        <v>438</v>
      </c>
      <c r="EV228" s="19"/>
      <c r="EW228" s="19"/>
      <c r="EX228" s="19"/>
      <c r="EY228" s="19"/>
      <c r="EZ228" s="19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O228" s="1">
        <v>67</v>
      </c>
      <c r="FP228" s="1">
        <v>67</v>
      </c>
      <c r="FQ228" s="1">
        <v>67</v>
      </c>
      <c r="FR228" s="13" t="s">
        <v>806</v>
      </c>
      <c r="FS228" s="13" t="s">
        <v>806</v>
      </c>
      <c r="FT228" s="13" t="s">
        <v>806</v>
      </c>
      <c r="FU228" s="13"/>
      <c r="FV228" s="13" t="s">
        <v>806</v>
      </c>
      <c r="FW228" s="13" t="s">
        <v>806</v>
      </c>
      <c r="FX228" s="13" t="s">
        <v>806</v>
      </c>
      <c r="FY228" s="13" t="s">
        <v>806</v>
      </c>
      <c r="FZ228" s="13" t="s">
        <v>806</v>
      </c>
      <c r="GA228" s="13" t="s">
        <v>806</v>
      </c>
      <c r="GB228" s="13" t="s">
        <v>806</v>
      </c>
      <c r="GE228" s="13" t="s">
        <v>806</v>
      </c>
      <c r="GF228" s="13" t="s">
        <v>806</v>
      </c>
      <c r="GH228" s="13" t="s">
        <v>806</v>
      </c>
    </row>
    <row r="229" spans="1:190" ht="12.75" customHeight="1" x14ac:dyDescent="0.25">
      <c r="A229" s="1" t="s">
        <v>362</v>
      </c>
      <c r="B229" s="1" t="s">
        <v>650</v>
      </c>
      <c r="C229" s="1" t="s">
        <v>666</v>
      </c>
      <c r="D229" s="1" t="s">
        <v>702</v>
      </c>
      <c r="E229" s="1" t="s">
        <v>126</v>
      </c>
      <c r="F229" s="1">
        <v>0</v>
      </c>
      <c r="G229" s="1">
        <v>2030</v>
      </c>
      <c r="H229" s="1">
        <v>1</v>
      </c>
      <c r="I229" s="1">
        <v>0</v>
      </c>
      <c r="J229" s="1">
        <v>0</v>
      </c>
      <c r="K2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10.502566666666667</v>
      </c>
      <c r="M2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121.52969999999999</v>
      </c>
      <c r="N229" s="19">
        <v>77.940100000000001</v>
      </c>
      <c r="O229" s="19">
        <v>43.826499999999996</v>
      </c>
      <c r="P229" s="19">
        <v>121.52969999999999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39.799199999999999</v>
      </c>
      <c r="X229" s="19">
        <v>26.059000000000001</v>
      </c>
      <c r="Y229" s="19">
        <v>55.434600000000003</v>
      </c>
      <c r="Z229" s="19">
        <v>0</v>
      </c>
      <c r="AA229" s="19">
        <v>0</v>
      </c>
      <c r="AB229" s="19">
        <v>0</v>
      </c>
      <c r="AC229" s="19">
        <v>39.799199999999999</v>
      </c>
      <c r="AD229" s="19">
        <v>26.059000000000001</v>
      </c>
      <c r="AE229" s="19">
        <v>55.434600000000003</v>
      </c>
      <c r="AF229" s="19">
        <v>16.583000000000002</v>
      </c>
      <c r="AG229" s="19">
        <v>0</v>
      </c>
      <c r="AH229" s="19">
        <v>42.642000000000003</v>
      </c>
      <c r="AI229" s="19">
        <v>23.216200000000001</v>
      </c>
      <c r="AJ229" s="19">
        <v>2.3689999999999998</v>
      </c>
      <c r="AK229" s="19">
        <v>55.434600000000003</v>
      </c>
      <c r="AL229" s="19">
        <v>0</v>
      </c>
      <c r="AM229" s="19">
        <v>0</v>
      </c>
      <c r="AN229" s="19">
        <v>0</v>
      </c>
      <c r="AO229" s="19">
        <v>39.799199999999999</v>
      </c>
      <c r="AP229" s="19">
        <v>26.059000000000001</v>
      </c>
      <c r="AQ229" s="19">
        <v>55.434600000000003</v>
      </c>
      <c r="AR229" s="19">
        <v>0</v>
      </c>
      <c r="AS229" s="19">
        <v>0</v>
      </c>
      <c r="AT229" s="19">
        <v>0</v>
      </c>
      <c r="AU229" s="19">
        <v>39.799199999999999</v>
      </c>
      <c r="AV229" s="19">
        <v>26.059000000000001</v>
      </c>
      <c r="AW229" s="19">
        <v>55.434600000000003</v>
      </c>
      <c r="AX229" s="19">
        <v>0</v>
      </c>
      <c r="AY229" s="19">
        <v>0</v>
      </c>
      <c r="AZ229" s="19">
        <v>0</v>
      </c>
      <c r="BA229" s="19">
        <v>39.799199999999999</v>
      </c>
      <c r="BB229" s="19">
        <v>26.059000000000001</v>
      </c>
      <c r="BC229" s="19">
        <v>55.434600000000003</v>
      </c>
      <c r="BD229" s="19">
        <v>0</v>
      </c>
      <c r="BE229" s="19">
        <v>0</v>
      </c>
      <c r="BF229" s="19">
        <v>0</v>
      </c>
      <c r="BG229" s="19">
        <v>39.799199999999999</v>
      </c>
      <c r="BH229" s="19">
        <v>26.059000000000001</v>
      </c>
      <c r="BI229" s="19">
        <v>55.434600000000003</v>
      </c>
      <c r="BJ229" s="19">
        <v>0</v>
      </c>
      <c r="BK229" s="19">
        <v>0</v>
      </c>
      <c r="BL229" s="19">
        <v>0</v>
      </c>
      <c r="BM229" s="19">
        <v>39.799199999999999</v>
      </c>
      <c r="BN229" s="19">
        <v>26.059000000000001</v>
      </c>
      <c r="BO229" s="19">
        <v>55.434600000000003</v>
      </c>
      <c r="BP229" s="19"/>
      <c r="BQ2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33.534511111111108</v>
      </c>
      <c r="BS2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55.434600000000003</v>
      </c>
      <c r="BT229" s="11">
        <f>Tabelle5897112140[[#This Row],[Mindestauslastung min]]*Tabelle5897112140[[#This Row],[installierte Leistung MW min]]</f>
        <v>0</v>
      </c>
      <c r="BU229" s="11">
        <f>Tabelle5897112140[[#This Row],[Mindestauslastung durch]]*Tabelle5897112140[[#This Row],[installierte Leistung MW durch]]</f>
        <v>0</v>
      </c>
      <c r="BV229" s="11">
        <f>Tabelle5897112140[[#This Row],[Mindestauslastung max]]*Tabelle5897112140[[#This Row],[installierte Leistung MW max]]</f>
        <v>0</v>
      </c>
      <c r="BW229" s="9">
        <v>0</v>
      </c>
      <c r="BX229" s="9">
        <v>0</v>
      </c>
      <c r="BY229" s="9">
        <v>0</v>
      </c>
      <c r="BZ229" s="9"/>
      <c r="CA229" s="9">
        <v>0.47</v>
      </c>
      <c r="CB229" s="9">
        <v>0.37</v>
      </c>
      <c r="CC229" s="9">
        <v>0.56999999999999995</v>
      </c>
      <c r="CD229" s="9">
        <v>0</v>
      </c>
      <c r="CE229" s="9">
        <v>0</v>
      </c>
      <c r="CF229" s="9">
        <v>0</v>
      </c>
      <c r="CG229" s="9">
        <v>0</v>
      </c>
      <c r="CH229" s="9">
        <v>0</v>
      </c>
      <c r="CI229" s="9">
        <v>0</v>
      </c>
      <c r="CJ229" s="9">
        <v>0.1</v>
      </c>
      <c r="CK229" s="9">
        <v>0</v>
      </c>
      <c r="CL229" s="9">
        <v>0.2</v>
      </c>
      <c r="CM229" s="9">
        <v>0</v>
      </c>
      <c r="CN229" s="9">
        <v>0</v>
      </c>
      <c r="CO229" s="9">
        <v>0</v>
      </c>
      <c r="CP229" s="9">
        <v>0</v>
      </c>
      <c r="CQ229" s="9">
        <v>0</v>
      </c>
      <c r="CR229" s="9">
        <v>0</v>
      </c>
      <c r="CS229" s="9">
        <v>0</v>
      </c>
      <c r="CT229" s="9">
        <v>0</v>
      </c>
      <c r="CU229" s="9">
        <v>0</v>
      </c>
      <c r="CV229" s="9">
        <v>0</v>
      </c>
      <c r="CW229" s="9">
        <v>0</v>
      </c>
      <c r="CX229" s="9">
        <v>0</v>
      </c>
      <c r="CY229" s="9">
        <v>0</v>
      </c>
      <c r="CZ229" s="9">
        <v>0</v>
      </c>
      <c r="DA229" s="9">
        <v>0</v>
      </c>
      <c r="DB229" s="9">
        <f>MIN(Tabelle5897112140[[#This Row],[Durchschnittsauslastung durch Sommer WTT]:[Durchschnittsauslastung max Winter SFN]])</f>
        <v>0</v>
      </c>
      <c r="DC2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9" s="9">
        <f>MAX(Tabelle5897112140[[#This Row],[Durchschnittsauslastung durch Sommer WTT]:[Durchschnittsauslastung max Winter SFN]])</f>
        <v>0.56999999999999995</v>
      </c>
      <c r="DE229" s="40">
        <f>Tabelle5897112140[[#This Row],[Durchschnittsauslastung min]]*Tabelle5897112140[[#This Row],[installierte Leistung MW min]]</f>
        <v>0</v>
      </c>
      <c r="DF229" s="40">
        <f>Tabelle5897112140[[#This Row],[Durchschnittsauslastung durch]]*Tabelle5897112140[[#This Row],[installierte Leistung MW durch]]</f>
        <v>10.502566666666667</v>
      </c>
      <c r="DG229" s="40">
        <f>Tabelle5897112140[[#This Row],[Durchschnittsauslastung max]]*Tabelle5897112140[[#This Row],[installierte Leistung MW max]]</f>
        <v>121.52969999999999</v>
      </c>
      <c r="DH229" s="46">
        <f>Tabelle5897112140[[#This Row],[Maximalauslastung min]]*Tabelle5897112140[[#This Row],[installierte Leistung MW min]]</f>
        <v>26.059000000000001</v>
      </c>
      <c r="DI229" s="46">
        <f>Tabelle5897112140[[#This Row],[Maximalauslastung durch]]*Tabelle5897112140[[#This Row],[installierte Leistung MW durch]]</f>
        <v>39.799199999999999</v>
      </c>
      <c r="DJ229" s="19">
        <f>Tabelle5897112140[[#This Row],[Maximalauslastung max]]*Tabelle5897112140[[#This Row],[installierte Leistung MW durch]]</f>
        <v>43.115800000000007</v>
      </c>
      <c r="DK229" s="9">
        <v>0.22</v>
      </c>
      <c r="DL229" s="9">
        <v>0.24</v>
      </c>
      <c r="DM229" s="9">
        <v>0.26</v>
      </c>
      <c r="DN229" s="1">
        <v>165.83</v>
      </c>
      <c r="DO229" s="1">
        <v>118.45</v>
      </c>
      <c r="DP229" s="1">
        <v>213.21</v>
      </c>
      <c r="DQ229" s="19"/>
      <c r="DR229" s="19"/>
      <c r="EL229" s="1">
        <v>365</v>
      </c>
      <c r="EM229" s="1">
        <v>292</v>
      </c>
      <c r="EN229" s="1">
        <v>438</v>
      </c>
      <c r="EO229" s="11"/>
      <c r="EP229" s="11"/>
      <c r="EQ229" s="11"/>
      <c r="ER229" s="1">
        <v>365</v>
      </c>
      <c r="ES229" s="1">
        <v>292</v>
      </c>
      <c r="ET229" s="1">
        <v>438</v>
      </c>
      <c r="EV229" s="19"/>
      <c r="EW229" s="19"/>
      <c r="EX229" s="19"/>
      <c r="EY229" s="19"/>
      <c r="EZ229" s="19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O229" s="1">
        <v>67</v>
      </c>
      <c r="FP229" s="1">
        <v>67</v>
      </c>
      <c r="FQ229" s="1">
        <v>67</v>
      </c>
      <c r="FR229" s="13" t="s">
        <v>806</v>
      </c>
      <c r="FS229" s="13" t="s">
        <v>806</v>
      </c>
      <c r="FT229" s="13" t="s">
        <v>806</v>
      </c>
      <c r="FU229" s="13"/>
      <c r="FV229" s="13" t="s">
        <v>806</v>
      </c>
      <c r="FW229" s="13" t="s">
        <v>806</v>
      </c>
      <c r="FX229" s="13" t="s">
        <v>806</v>
      </c>
      <c r="FY229" s="13" t="s">
        <v>806</v>
      </c>
      <c r="FZ229" s="13" t="s">
        <v>806</v>
      </c>
      <c r="GA229" s="13" t="s">
        <v>806</v>
      </c>
      <c r="GB229" s="13" t="s">
        <v>806</v>
      </c>
      <c r="GE229" s="13" t="s">
        <v>806</v>
      </c>
      <c r="GF229" s="13" t="s">
        <v>806</v>
      </c>
      <c r="GH229" s="13" t="s">
        <v>806</v>
      </c>
    </row>
    <row r="230" spans="1:190" ht="12.75" customHeight="1" x14ac:dyDescent="0.25">
      <c r="A230" s="1" t="s">
        <v>362</v>
      </c>
      <c r="B230" s="1" t="s">
        <v>650</v>
      </c>
      <c r="C230" s="1" t="s">
        <v>666</v>
      </c>
      <c r="D230" s="1" t="s">
        <v>702</v>
      </c>
      <c r="E230" s="1" t="s">
        <v>126</v>
      </c>
      <c r="F230" s="1">
        <v>0</v>
      </c>
      <c r="G230" s="1">
        <v>2035</v>
      </c>
      <c r="H230" s="1">
        <v>1</v>
      </c>
      <c r="I230" s="1">
        <v>0</v>
      </c>
      <c r="J230" s="1">
        <v>0</v>
      </c>
      <c r="K2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10.7065</v>
      </c>
      <c r="M2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123.8895</v>
      </c>
      <c r="N230" s="19">
        <v>79.453500000000005</v>
      </c>
      <c r="O230" s="19">
        <v>44.677500000000002</v>
      </c>
      <c r="P230" s="19">
        <v>123.8895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40.572000000000003</v>
      </c>
      <c r="X230" s="19">
        <v>26.565000000000001</v>
      </c>
      <c r="Y230" s="19">
        <v>56.511000000000003</v>
      </c>
      <c r="Z230" s="19">
        <v>0</v>
      </c>
      <c r="AA230" s="19">
        <v>0</v>
      </c>
      <c r="AB230" s="19">
        <v>0</v>
      </c>
      <c r="AC230" s="19">
        <v>40.572000000000003</v>
      </c>
      <c r="AD230" s="19">
        <v>26.565000000000001</v>
      </c>
      <c r="AE230" s="19">
        <v>56.511000000000003</v>
      </c>
      <c r="AF230" s="19">
        <v>16.905000000000001</v>
      </c>
      <c r="AG230" s="19">
        <v>0</v>
      </c>
      <c r="AH230" s="19">
        <v>43.47</v>
      </c>
      <c r="AI230" s="19">
        <v>23.667000000000002</v>
      </c>
      <c r="AJ230" s="19">
        <v>2.415</v>
      </c>
      <c r="AK230" s="19">
        <v>56.511000000000003</v>
      </c>
      <c r="AL230" s="19">
        <v>0</v>
      </c>
      <c r="AM230" s="19">
        <v>0</v>
      </c>
      <c r="AN230" s="19">
        <v>0</v>
      </c>
      <c r="AO230" s="19">
        <v>40.572000000000003</v>
      </c>
      <c r="AP230" s="19">
        <v>26.565000000000001</v>
      </c>
      <c r="AQ230" s="19">
        <v>56.511000000000003</v>
      </c>
      <c r="AR230" s="19">
        <v>0</v>
      </c>
      <c r="AS230" s="19">
        <v>0</v>
      </c>
      <c r="AT230" s="19">
        <v>0</v>
      </c>
      <c r="AU230" s="19">
        <v>40.572000000000003</v>
      </c>
      <c r="AV230" s="19">
        <v>26.565000000000001</v>
      </c>
      <c r="AW230" s="19">
        <v>56.511000000000003</v>
      </c>
      <c r="AX230" s="19">
        <v>0</v>
      </c>
      <c r="AY230" s="19">
        <v>0</v>
      </c>
      <c r="AZ230" s="19">
        <v>0</v>
      </c>
      <c r="BA230" s="19">
        <v>40.572000000000003</v>
      </c>
      <c r="BB230" s="19">
        <v>26.565000000000001</v>
      </c>
      <c r="BC230" s="19">
        <v>56.511000000000003</v>
      </c>
      <c r="BD230" s="19">
        <v>0</v>
      </c>
      <c r="BE230" s="19">
        <v>0</v>
      </c>
      <c r="BF230" s="19">
        <v>0</v>
      </c>
      <c r="BG230" s="19">
        <v>40.572000000000003</v>
      </c>
      <c r="BH230" s="19">
        <v>26.565000000000001</v>
      </c>
      <c r="BI230" s="19">
        <v>56.511000000000003</v>
      </c>
      <c r="BJ230" s="19">
        <v>0</v>
      </c>
      <c r="BK230" s="19">
        <v>0</v>
      </c>
      <c r="BL230" s="19">
        <v>0</v>
      </c>
      <c r="BM230" s="19">
        <v>40.572000000000003</v>
      </c>
      <c r="BN230" s="19">
        <v>26.565000000000001</v>
      </c>
      <c r="BO230" s="19">
        <v>56.511000000000003</v>
      </c>
      <c r="BP230" s="19"/>
      <c r="BQ2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34.18566666666667</v>
      </c>
      <c r="BS2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56.511000000000003</v>
      </c>
      <c r="BT230" s="11">
        <f>Tabelle5897112140[[#This Row],[Mindestauslastung min]]*Tabelle5897112140[[#This Row],[installierte Leistung MW min]]</f>
        <v>0</v>
      </c>
      <c r="BU230" s="11">
        <f>Tabelle5897112140[[#This Row],[Mindestauslastung durch]]*Tabelle5897112140[[#This Row],[installierte Leistung MW durch]]</f>
        <v>0</v>
      </c>
      <c r="BV230" s="11">
        <f>Tabelle5897112140[[#This Row],[Mindestauslastung max]]*Tabelle5897112140[[#This Row],[installierte Leistung MW max]]</f>
        <v>0</v>
      </c>
      <c r="BW230" s="9">
        <v>0</v>
      </c>
      <c r="BX230" s="9">
        <v>0</v>
      </c>
      <c r="BY230" s="9">
        <v>0</v>
      </c>
      <c r="BZ230" s="9"/>
      <c r="CA230" s="9">
        <v>0.47</v>
      </c>
      <c r="CB230" s="9">
        <v>0.37</v>
      </c>
      <c r="CC230" s="9">
        <v>0.56999999999999995</v>
      </c>
      <c r="CD230" s="9">
        <v>0</v>
      </c>
      <c r="CE230" s="9">
        <v>0</v>
      </c>
      <c r="CF230" s="9">
        <v>0</v>
      </c>
      <c r="CG230" s="9">
        <v>0</v>
      </c>
      <c r="CH230" s="9">
        <v>0</v>
      </c>
      <c r="CI230" s="9">
        <v>0</v>
      </c>
      <c r="CJ230" s="9">
        <v>0.1</v>
      </c>
      <c r="CK230" s="9">
        <v>0</v>
      </c>
      <c r="CL230" s="9">
        <v>0.2</v>
      </c>
      <c r="CM230" s="9">
        <v>0</v>
      </c>
      <c r="CN230" s="9">
        <v>0</v>
      </c>
      <c r="CO230" s="9">
        <v>0</v>
      </c>
      <c r="CP230" s="9">
        <v>0</v>
      </c>
      <c r="CQ230" s="9">
        <v>0</v>
      </c>
      <c r="CR230" s="9">
        <v>0</v>
      </c>
      <c r="CS230" s="9">
        <v>0</v>
      </c>
      <c r="CT230" s="9">
        <v>0</v>
      </c>
      <c r="CU230" s="9">
        <v>0</v>
      </c>
      <c r="CV230" s="9">
        <v>0</v>
      </c>
      <c r="CW230" s="9">
        <v>0</v>
      </c>
      <c r="CX230" s="9">
        <v>0</v>
      </c>
      <c r="CY230" s="9">
        <v>0</v>
      </c>
      <c r="CZ230" s="9">
        <v>0</v>
      </c>
      <c r="DA230" s="9">
        <v>0</v>
      </c>
      <c r="DB230" s="9">
        <f>MIN(Tabelle5897112140[[#This Row],[Durchschnittsauslastung durch Sommer WTT]:[Durchschnittsauslastung max Winter SFN]])</f>
        <v>0</v>
      </c>
      <c r="DC2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0" s="9">
        <f>MAX(Tabelle5897112140[[#This Row],[Durchschnittsauslastung durch Sommer WTT]:[Durchschnittsauslastung max Winter SFN]])</f>
        <v>0.56999999999999995</v>
      </c>
      <c r="DE230" s="40">
        <f>Tabelle5897112140[[#This Row],[Durchschnittsauslastung min]]*Tabelle5897112140[[#This Row],[installierte Leistung MW min]]</f>
        <v>0</v>
      </c>
      <c r="DF230" s="40">
        <f>Tabelle5897112140[[#This Row],[Durchschnittsauslastung durch]]*Tabelle5897112140[[#This Row],[installierte Leistung MW durch]]</f>
        <v>10.7065</v>
      </c>
      <c r="DG230" s="40">
        <f>Tabelle5897112140[[#This Row],[Durchschnittsauslastung max]]*Tabelle5897112140[[#This Row],[installierte Leistung MW max]]</f>
        <v>123.88949999999998</v>
      </c>
      <c r="DH230" s="46">
        <f>Tabelle5897112140[[#This Row],[Maximalauslastung min]]*Tabelle5897112140[[#This Row],[installierte Leistung MW min]]</f>
        <v>26.565000000000001</v>
      </c>
      <c r="DI230" s="46">
        <f>Tabelle5897112140[[#This Row],[Maximalauslastung durch]]*Tabelle5897112140[[#This Row],[installierte Leistung MW durch]]</f>
        <v>40.572000000000003</v>
      </c>
      <c r="DJ230" s="19">
        <f>Tabelle5897112140[[#This Row],[Maximalauslastung max]]*Tabelle5897112140[[#This Row],[installierte Leistung MW durch]]</f>
        <v>43.953000000000003</v>
      </c>
      <c r="DK230" s="9">
        <v>0.22</v>
      </c>
      <c r="DL230" s="9">
        <v>0.24</v>
      </c>
      <c r="DM230" s="9">
        <v>0.26</v>
      </c>
      <c r="DN230" s="1">
        <v>169.05</v>
      </c>
      <c r="DO230" s="1">
        <v>120.75</v>
      </c>
      <c r="DP230" s="1">
        <v>217.35</v>
      </c>
      <c r="DQ230" s="19"/>
      <c r="DR230" s="19"/>
      <c r="EL230" s="1">
        <v>365</v>
      </c>
      <c r="EM230" s="1">
        <v>292</v>
      </c>
      <c r="EN230" s="1">
        <v>438</v>
      </c>
      <c r="EO230" s="11"/>
      <c r="EP230" s="11"/>
      <c r="EQ230" s="11"/>
      <c r="ER230" s="1">
        <v>365</v>
      </c>
      <c r="ES230" s="1">
        <v>292</v>
      </c>
      <c r="ET230" s="1">
        <v>438</v>
      </c>
      <c r="EV230" s="19"/>
      <c r="EW230" s="19"/>
      <c r="EX230" s="19"/>
      <c r="EY230" s="19"/>
      <c r="EZ230" s="19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O230" s="1">
        <v>67</v>
      </c>
      <c r="FP230" s="1">
        <v>67</v>
      </c>
      <c r="FQ230" s="1">
        <v>67</v>
      </c>
      <c r="FR230" s="13" t="s">
        <v>806</v>
      </c>
      <c r="FS230" s="13" t="s">
        <v>806</v>
      </c>
      <c r="FT230" s="13" t="s">
        <v>806</v>
      </c>
      <c r="FU230" s="13"/>
      <c r="FV230" s="13" t="s">
        <v>806</v>
      </c>
      <c r="FW230" s="13" t="s">
        <v>806</v>
      </c>
      <c r="FX230" s="13" t="s">
        <v>806</v>
      </c>
      <c r="FY230" s="13" t="s">
        <v>806</v>
      </c>
      <c r="FZ230" s="13" t="s">
        <v>806</v>
      </c>
      <c r="GA230" s="13" t="s">
        <v>806</v>
      </c>
      <c r="GB230" s="13" t="s">
        <v>806</v>
      </c>
      <c r="GE230" s="13" t="s">
        <v>806</v>
      </c>
      <c r="GF230" s="13" t="s">
        <v>806</v>
      </c>
      <c r="GH230" s="13" t="s">
        <v>806</v>
      </c>
    </row>
    <row r="231" spans="1:190" ht="12.75" customHeight="1" x14ac:dyDescent="0.25">
      <c r="A231" s="1" t="s">
        <v>362</v>
      </c>
      <c r="B231" s="1" t="s">
        <v>650</v>
      </c>
      <c r="C231" s="1" t="s">
        <v>666</v>
      </c>
      <c r="D231" s="1" t="s">
        <v>702</v>
      </c>
      <c r="E231" s="1" t="s">
        <v>126</v>
      </c>
      <c r="F231" s="1">
        <v>0</v>
      </c>
      <c r="G231" s="1">
        <v>2040</v>
      </c>
      <c r="H231" s="1">
        <v>1</v>
      </c>
      <c r="I231" s="1">
        <v>0</v>
      </c>
      <c r="J231" s="1">
        <v>0</v>
      </c>
      <c r="K2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10.808466666666668</v>
      </c>
      <c r="M2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125.0694</v>
      </c>
      <c r="N231" s="19">
        <v>80.2102</v>
      </c>
      <c r="O231" s="19">
        <v>45.103000000000002</v>
      </c>
      <c r="P231" s="19">
        <v>125.0694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40.958400000000005</v>
      </c>
      <c r="X231" s="19">
        <v>26.818000000000001</v>
      </c>
      <c r="Y231" s="19">
        <v>57.049200000000006</v>
      </c>
      <c r="Z231" s="19">
        <v>0</v>
      </c>
      <c r="AA231" s="19">
        <v>0</v>
      </c>
      <c r="AB231" s="19">
        <v>0</v>
      </c>
      <c r="AC231" s="19">
        <v>40.958400000000005</v>
      </c>
      <c r="AD231" s="19">
        <v>26.818000000000001</v>
      </c>
      <c r="AE231" s="19">
        <v>57.049200000000006</v>
      </c>
      <c r="AF231" s="19">
        <v>17.066000000000003</v>
      </c>
      <c r="AG231" s="19">
        <v>0</v>
      </c>
      <c r="AH231" s="19">
        <v>43.884</v>
      </c>
      <c r="AI231" s="19">
        <v>23.892399999999999</v>
      </c>
      <c r="AJ231" s="19">
        <v>2.4379999999999997</v>
      </c>
      <c r="AK231" s="19">
        <v>57.049200000000006</v>
      </c>
      <c r="AL231" s="19">
        <v>0</v>
      </c>
      <c r="AM231" s="19">
        <v>0</v>
      </c>
      <c r="AN231" s="19">
        <v>0</v>
      </c>
      <c r="AO231" s="19">
        <v>40.958400000000005</v>
      </c>
      <c r="AP231" s="19">
        <v>26.818000000000001</v>
      </c>
      <c r="AQ231" s="19">
        <v>57.049200000000006</v>
      </c>
      <c r="AR231" s="19">
        <v>0</v>
      </c>
      <c r="AS231" s="19">
        <v>0</v>
      </c>
      <c r="AT231" s="19">
        <v>0</v>
      </c>
      <c r="AU231" s="19">
        <v>40.958400000000005</v>
      </c>
      <c r="AV231" s="19">
        <v>26.818000000000001</v>
      </c>
      <c r="AW231" s="19">
        <v>57.049200000000006</v>
      </c>
      <c r="AX231" s="19">
        <v>0</v>
      </c>
      <c r="AY231" s="19">
        <v>0</v>
      </c>
      <c r="AZ231" s="19">
        <v>0</v>
      </c>
      <c r="BA231" s="19">
        <v>40.958400000000005</v>
      </c>
      <c r="BB231" s="19">
        <v>26.818000000000001</v>
      </c>
      <c r="BC231" s="19">
        <v>57.049200000000006</v>
      </c>
      <c r="BD231" s="19">
        <v>0</v>
      </c>
      <c r="BE231" s="19">
        <v>0</v>
      </c>
      <c r="BF231" s="19">
        <v>0</v>
      </c>
      <c r="BG231" s="19">
        <v>40.958400000000005</v>
      </c>
      <c r="BH231" s="19">
        <v>26.818000000000001</v>
      </c>
      <c r="BI231" s="19">
        <v>57.049200000000006</v>
      </c>
      <c r="BJ231" s="19">
        <v>0</v>
      </c>
      <c r="BK231" s="19">
        <v>0</v>
      </c>
      <c r="BL231" s="19">
        <v>0</v>
      </c>
      <c r="BM231" s="19">
        <v>40.958400000000005</v>
      </c>
      <c r="BN231" s="19">
        <v>26.818000000000001</v>
      </c>
      <c r="BO231" s="19">
        <v>57.049200000000006</v>
      </c>
      <c r="BP231" s="19"/>
      <c r="BQ2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34.511244444444444</v>
      </c>
      <c r="BS2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57.049200000000006</v>
      </c>
      <c r="BT231" s="11">
        <f>Tabelle5897112140[[#This Row],[Mindestauslastung min]]*Tabelle5897112140[[#This Row],[installierte Leistung MW min]]</f>
        <v>0</v>
      </c>
      <c r="BU231" s="11">
        <f>Tabelle5897112140[[#This Row],[Mindestauslastung durch]]*Tabelle5897112140[[#This Row],[installierte Leistung MW durch]]</f>
        <v>0</v>
      </c>
      <c r="BV231" s="11">
        <f>Tabelle5897112140[[#This Row],[Mindestauslastung max]]*Tabelle5897112140[[#This Row],[installierte Leistung MW max]]</f>
        <v>0</v>
      </c>
      <c r="BW231" s="9">
        <v>0</v>
      </c>
      <c r="BX231" s="9">
        <v>0</v>
      </c>
      <c r="BY231" s="9">
        <v>0</v>
      </c>
      <c r="BZ231" s="9"/>
      <c r="CA231" s="9">
        <v>0.47</v>
      </c>
      <c r="CB231" s="9">
        <v>0.37</v>
      </c>
      <c r="CC231" s="9">
        <v>0.56999999999999995</v>
      </c>
      <c r="CD231" s="9">
        <v>0</v>
      </c>
      <c r="CE231" s="9">
        <v>0</v>
      </c>
      <c r="CF231" s="9">
        <v>0</v>
      </c>
      <c r="CG231" s="9">
        <v>0</v>
      </c>
      <c r="CH231" s="9">
        <v>0</v>
      </c>
      <c r="CI231" s="9">
        <v>0</v>
      </c>
      <c r="CJ231" s="9">
        <v>0.1</v>
      </c>
      <c r="CK231" s="9">
        <v>0</v>
      </c>
      <c r="CL231" s="9">
        <v>0.2</v>
      </c>
      <c r="CM231" s="9">
        <v>0</v>
      </c>
      <c r="CN231" s="9">
        <v>0</v>
      </c>
      <c r="CO231" s="9">
        <v>0</v>
      </c>
      <c r="CP231" s="9">
        <v>0</v>
      </c>
      <c r="CQ231" s="9">
        <v>0</v>
      </c>
      <c r="CR231" s="9">
        <v>0</v>
      </c>
      <c r="CS231" s="9">
        <v>0</v>
      </c>
      <c r="CT231" s="9">
        <v>0</v>
      </c>
      <c r="CU231" s="9">
        <v>0</v>
      </c>
      <c r="CV231" s="9">
        <v>0</v>
      </c>
      <c r="CW231" s="9">
        <v>0</v>
      </c>
      <c r="CX231" s="9">
        <v>0</v>
      </c>
      <c r="CY231" s="9">
        <v>0</v>
      </c>
      <c r="CZ231" s="9">
        <v>0</v>
      </c>
      <c r="DA231" s="9">
        <v>0</v>
      </c>
      <c r="DB231" s="9">
        <f>MIN(Tabelle5897112140[[#This Row],[Durchschnittsauslastung durch Sommer WTT]:[Durchschnittsauslastung max Winter SFN]])</f>
        <v>0</v>
      </c>
      <c r="DC2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1" s="9">
        <f>MAX(Tabelle5897112140[[#This Row],[Durchschnittsauslastung durch Sommer WTT]:[Durchschnittsauslastung max Winter SFN]])</f>
        <v>0.56999999999999995</v>
      </c>
      <c r="DE231" s="40">
        <f>Tabelle5897112140[[#This Row],[Durchschnittsauslastung min]]*Tabelle5897112140[[#This Row],[installierte Leistung MW min]]</f>
        <v>0</v>
      </c>
      <c r="DF231" s="40">
        <f>Tabelle5897112140[[#This Row],[Durchschnittsauslastung durch]]*Tabelle5897112140[[#This Row],[installierte Leistung MW durch]]</f>
        <v>10.808466666666664</v>
      </c>
      <c r="DG231" s="40">
        <f>Tabelle5897112140[[#This Row],[Durchschnittsauslastung max]]*Tabelle5897112140[[#This Row],[installierte Leistung MW max]]</f>
        <v>125.06939999999999</v>
      </c>
      <c r="DH231" s="46">
        <f>Tabelle5897112140[[#This Row],[Maximalauslastung min]]*Tabelle5897112140[[#This Row],[installierte Leistung MW min]]</f>
        <v>26.818000000000001</v>
      </c>
      <c r="DI231" s="46">
        <f>Tabelle5897112140[[#This Row],[Maximalauslastung durch]]*Tabelle5897112140[[#This Row],[installierte Leistung MW durch]]</f>
        <v>40.958399999999997</v>
      </c>
      <c r="DJ231" s="19">
        <f>Tabelle5897112140[[#This Row],[Maximalauslastung max]]*Tabelle5897112140[[#This Row],[installierte Leistung MW durch]]</f>
        <v>44.371600000000001</v>
      </c>
      <c r="DK231" s="9">
        <v>0.22</v>
      </c>
      <c r="DL231" s="9">
        <v>0.24</v>
      </c>
      <c r="DM231" s="9">
        <v>0.26</v>
      </c>
      <c r="DN231" s="1">
        <v>170.66</v>
      </c>
      <c r="DO231" s="1">
        <v>121.9</v>
      </c>
      <c r="DP231" s="1">
        <v>219.42</v>
      </c>
      <c r="DQ231" s="19"/>
      <c r="DR231" s="19"/>
      <c r="EL231" s="1">
        <v>365</v>
      </c>
      <c r="EM231" s="1">
        <v>292</v>
      </c>
      <c r="EN231" s="1">
        <v>438</v>
      </c>
      <c r="EO231" s="11"/>
      <c r="EP231" s="11"/>
      <c r="EQ231" s="11"/>
      <c r="ER231" s="1">
        <v>365</v>
      </c>
      <c r="ES231" s="1">
        <v>292</v>
      </c>
      <c r="ET231" s="1">
        <v>438</v>
      </c>
      <c r="EV231" s="19"/>
      <c r="EW231" s="19"/>
      <c r="EX231" s="19"/>
      <c r="EY231" s="19"/>
      <c r="EZ231" s="19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O231" s="1">
        <v>67</v>
      </c>
      <c r="FP231" s="1">
        <v>67</v>
      </c>
      <c r="FQ231" s="1">
        <v>67</v>
      </c>
      <c r="FR231" s="13" t="s">
        <v>806</v>
      </c>
      <c r="FS231" s="13" t="s">
        <v>806</v>
      </c>
      <c r="FT231" s="13" t="s">
        <v>806</v>
      </c>
      <c r="FU231" s="13"/>
      <c r="FV231" s="13" t="s">
        <v>806</v>
      </c>
      <c r="FW231" s="13" t="s">
        <v>806</v>
      </c>
      <c r="FX231" s="13" t="s">
        <v>806</v>
      </c>
      <c r="FY231" s="13" t="s">
        <v>806</v>
      </c>
      <c r="FZ231" s="13" t="s">
        <v>806</v>
      </c>
      <c r="GA231" s="13" t="s">
        <v>806</v>
      </c>
      <c r="GB231" s="13" t="s">
        <v>806</v>
      </c>
      <c r="GE231" s="13" t="s">
        <v>806</v>
      </c>
      <c r="GF231" s="13" t="s">
        <v>806</v>
      </c>
      <c r="GH231" s="13" t="s">
        <v>806</v>
      </c>
    </row>
    <row r="232" spans="1:190" ht="12.75" customHeight="1" x14ac:dyDescent="0.25">
      <c r="A232" s="1" t="s">
        <v>362</v>
      </c>
      <c r="B232" s="1" t="s">
        <v>650</v>
      </c>
      <c r="C232" s="1" t="s">
        <v>666</v>
      </c>
      <c r="D232" s="1" t="s">
        <v>702</v>
      </c>
      <c r="E232" s="1" t="s">
        <v>126</v>
      </c>
      <c r="F232" s="1">
        <v>0</v>
      </c>
      <c r="G232" s="1">
        <v>2045</v>
      </c>
      <c r="H232" s="1">
        <v>1</v>
      </c>
      <c r="I232" s="1">
        <v>0</v>
      </c>
      <c r="J232" s="1">
        <v>0</v>
      </c>
      <c r="K2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10.910433333333335</v>
      </c>
      <c r="M2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126.24930000000001</v>
      </c>
      <c r="N232" s="19">
        <v>80.96690000000001</v>
      </c>
      <c r="O232" s="19">
        <v>45.528500000000001</v>
      </c>
      <c r="P232" s="19">
        <v>126.24930000000001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41.344800000000006</v>
      </c>
      <c r="X232" s="19">
        <v>27.071000000000002</v>
      </c>
      <c r="Y232" s="19">
        <v>57.587400000000002</v>
      </c>
      <c r="Z232" s="19">
        <v>0</v>
      </c>
      <c r="AA232" s="19">
        <v>0</v>
      </c>
      <c r="AB232" s="19">
        <v>0</v>
      </c>
      <c r="AC232" s="19">
        <v>41.344800000000006</v>
      </c>
      <c r="AD232" s="19">
        <v>27.071000000000002</v>
      </c>
      <c r="AE232" s="19">
        <v>57.587400000000002</v>
      </c>
      <c r="AF232" s="19">
        <v>17.227000000000004</v>
      </c>
      <c r="AG232" s="19">
        <v>0</v>
      </c>
      <c r="AH232" s="19">
        <v>44.298000000000002</v>
      </c>
      <c r="AI232" s="19">
        <v>24.117799999999999</v>
      </c>
      <c r="AJ232" s="19">
        <v>2.4609999999999999</v>
      </c>
      <c r="AK232" s="19">
        <v>57.587400000000002</v>
      </c>
      <c r="AL232" s="19">
        <v>0</v>
      </c>
      <c r="AM232" s="19">
        <v>0</v>
      </c>
      <c r="AN232" s="19">
        <v>0</v>
      </c>
      <c r="AO232" s="19">
        <v>41.344800000000006</v>
      </c>
      <c r="AP232" s="19">
        <v>27.071000000000002</v>
      </c>
      <c r="AQ232" s="19">
        <v>57.587400000000002</v>
      </c>
      <c r="AR232" s="19">
        <v>0</v>
      </c>
      <c r="AS232" s="19">
        <v>0</v>
      </c>
      <c r="AT232" s="19">
        <v>0</v>
      </c>
      <c r="AU232" s="19">
        <v>41.344800000000006</v>
      </c>
      <c r="AV232" s="19">
        <v>27.071000000000002</v>
      </c>
      <c r="AW232" s="19">
        <v>57.587400000000002</v>
      </c>
      <c r="AX232" s="19">
        <v>0</v>
      </c>
      <c r="AY232" s="19">
        <v>0</v>
      </c>
      <c r="AZ232" s="19">
        <v>0</v>
      </c>
      <c r="BA232" s="19">
        <v>41.344800000000006</v>
      </c>
      <c r="BB232" s="19">
        <v>27.071000000000002</v>
      </c>
      <c r="BC232" s="19">
        <v>57.587400000000002</v>
      </c>
      <c r="BD232" s="19">
        <v>0</v>
      </c>
      <c r="BE232" s="19">
        <v>0</v>
      </c>
      <c r="BF232" s="19">
        <v>0</v>
      </c>
      <c r="BG232" s="19">
        <v>41.344800000000006</v>
      </c>
      <c r="BH232" s="19">
        <v>27.071000000000002</v>
      </c>
      <c r="BI232" s="19">
        <v>57.587400000000002</v>
      </c>
      <c r="BJ232" s="19">
        <v>0</v>
      </c>
      <c r="BK232" s="19">
        <v>0</v>
      </c>
      <c r="BL232" s="19">
        <v>0</v>
      </c>
      <c r="BM232" s="19">
        <v>41.344800000000006</v>
      </c>
      <c r="BN232" s="19">
        <v>27.071000000000002</v>
      </c>
      <c r="BO232" s="19">
        <v>57.587400000000002</v>
      </c>
      <c r="BP232" s="19"/>
      <c r="BQ2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34.836822222222231</v>
      </c>
      <c r="BS2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57.587400000000002</v>
      </c>
      <c r="BT232" s="11">
        <f>Tabelle5897112140[[#This Row],[Mindestauslastung min]]*Tabelle5897112140[[#This Row],[installierte Leistung MW min]]</f>
        <v>0</v>
      </c>
      <c r="BU232" s="11">
        <f>Tabelle5897112140[[#This Row],[Mindestauslastung durch]]*Tabelle5897112140[[#This Row],[installierte Leistung MW durch]]</f>
        <v>0</v>
      </c>
      <c r="BV232" s="11">
        <f>Tabelle5897112140[[#This Row],[Mindestauslastung max]]*Tabelle5897112140[[#This Row],[installierte Leistung MW max]]</f>
        <v>0</v>
      </c>
      <c r="BW232" s="9">
        <v>0</v>
      </c>
      <c r="BX232" s="9">
        <v>0</v>
      </c>
      <c r="BY232" s="9">
        <v>0</v>
      </c>
      <c r="BZ232" s="9"/>
      <c r="CA232" s="9">
        <v>0.47</v>
      </c>
      <c r="CB232" s="9">
        <v>0.37</v>
      </c>
      <c r="CC232" s="9">
        <v>0.56999999999999995</v>
      </c>
      <c r="CD232" s="9">
        <v>0</v>
      </c>
      <c r="CE232" s="9">
        <v>0</v>
      </c>
      <c r="CF232" s="9">
        <v>0</v>
      </c>
      <c r="CG232" s="9">
        <v>0</v>
      </c>
      <c r="CH232" s="9">
        <v>0</v>
      </c>
      <c r="CI232" s="9">
        <v>0</v>
      </c>
      <c r="CJ232" s="9">
        <v>0.1</v>
      </c>
      <c r="CK232" s="9">
        <v>0</v>
      </c>
      <c r="CL232" s="9">
        <v>0.2</v>
      </c>
      <c r="CM232" s="9">
        <v>0</v>
      </c>
      <c r="CN232" s="9">
        <v>0</v>
      </c>
      <c r="CO232" s="9">
        <v>0</v>
      </c>
      <c r="CP232" s="9">
        <v>0</v>
      </c>
      <c r="CQ232" s="9">
        <v>0</v>
      </c>
      <c r="CR232" s="9">
        <v>0</v>
      </c>
      <c r="CS232" s="9">
        <v>0</v>
      </c>
      <c r="CT232" s="9">
        <v>0</v>
      </c>
      <c r="CU232" s="9">
        <v>0</v>
      </c>
      <c r="CV232" s="9">
        <v>0</v>
      </c>
      <c r="CW232" s="9">
        <v>0</v>
      </c>
      <c r="CX232" s="9">
        <v>0</v>
      </c>
      <c r="CY232" s="9">
        <v>0</v>
      </c>
      <c r="CZ232" s="9">
        <v>0</v>
      </c>
      <c r="DA232" s="9">
        <v>0</v>
      </c>
      <c r="DB232" s="9">
        <f>MIN(Tabelle5897112140[[#This Row],[Durchschnittsauslastung durch Sommer WTT]:[Durchschnittsauslastung max Winter SFN]])</f>
        <v>0</v>
      </c>
      <c r="DC2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2" s="9">
        <f>MAX(Tabelle5897112140[[#This Row],[Durchschnittsauslastung durch Sommer WTT]:[Durchschnittsauslastung max Winter SFN]])</f>
        <v>0.56999999999999995</v>
      </c>
      <c r="DE232" s="40">
        <f>Tabelle5897112140[[#This Row],[Durchschnittsauslastung min]]*Tabelle5897112140[[#This Row],[installierte Leistung MW min]]</f>
        <v>0</v>
      </c>
      <c r="DF232" s="40">
        <f>Tabelle5897112140[[#This Row],[Durchschnittsauslastung durch]]*Tabelle5897112140[[#This Row],[installierte Leistung MW durch]]</f>
        <v>10.910433333333332</v>
      </c>
      <c r="DG232" s="40">
        <f>Tabelle5897112140[[#This Row],[Durchschnittsauslastung max]]*Tabelle5897112140[[#This Row],[installierte Leistung MW max]]</f>
        <v>126.24929999999999</v>
      </c>
      <c r="DH232" s="46">
        <f>Tabelle5897112140[[#This Row],[Maximalauslastung min]]*Tabelle5897112140[[#This Row],[installierte Leistung MW min]]</f>
        <v>27.070999999999998</v>
      </c>
      <c r="DI232" s="46">
        <f>Tabelle5897112140[[#This Row],[Maximalauslastung durch]]*Tabelle5897112140[[#This Row],[installierte Leistung MW durch]]</f>
        <v>41.344799999999999</v>
      </c>
      <c r="DJ232" s="19">
        <f>Tabelle5897112140[[#This Row],[Maximalauslastung max]]*Tabelle5897112140[[#This Row],[installierte Leistung MW durch]]</f>
        <v>44.790200000000006</v>
      </c>
      <c r="DK232" s="9">
        <v>0.22</v>
      </c>
      <c r="DL232" s="9">
        <v>0.24</v>
      </c>
      <c r="DM232" s="9">
        <v>0.26</v>
      </c>
      <c r="DN232" s="1">
        <v>172.27</v>
      </c>
      <c r="DO232" s="1">
        <v>123.05</v>
      </c>
      <c r="DP232" s="1">
        <v>221.49</v>
      </c>
      <c r="DQ232" s="19"/>
      <c r="DR232" s="19"/>
      <c r="EL232" s="1">
        <v>365</v>
      </c>
      <c r="EM232" s="1">
        <v>292</v>
      </c>
      <c r="EN232" s="1">
        <v>438</v>
      </c>
      <c r="EO232" s="11"/>
      <c r="EP232" s="11"/>
      <c r="EQ232" s="11"/>
      <c r="ER232" s="1">
        <v>365</v>
      </c>
      <c r="ES232" s="1">
        <v>292</v>
      </c>
      <c r="ET232" s="1">
        <v>438</v>
      </c>
      <c r="EV232" s="19"/>
      <c r="EW232" s="19"/>
      <c r="EX232" s="19"/>
      <c r="EY232" s="19"/>
      <c r="EZ232" s="19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O232" s="1">
        <v>67</v>
      </c>
      <c r="FP232" s="1">
        <v>67</v>
      </c>
      <c r="FQ232" s="1">
        <v>67</v>
      </c>
      <c r="FR232" s="13" t="s">
        <v>806</v>
      </c>
      <c r="FS232" s="13" t="s">
        <v>806</v>
      </c>
      <c r="FT232" s="13" t="s">
        <v>806</v>
      </c>
      <c r="FU232" s="13"/>
      <c r="FV232" s="13" t="s">
        <v>806</v>
      </c>
      <c r="FW232" s="13" t="s">
        <v>806</v>
      </c>
      <c r="FX232" s="13" t="s">
        <v>806</v>
      </c>
      <c r="FY232" s="13" t="s">
        <v>806</v>
      </c>
      <c r="FZ232" s="13" t="s">
        <v>806</v>
      </c>
      <c r="GA232" s="13" t="s">
        <v>806</v>
      </c>
      <c r="GB232" s="13" t="s">
        <v>806</v>
      </c>
      <c r="GE232" s="13" t="s">
        <v>806</v>
      </c>
      <c r="GF232" s="13" t="s">
        <v>806</v>
      </c>
      <c r="GH232" s="13" t="s">
        <v>806</v>
      </c>
    </row>
    <row r="233" spans="1:190" x14ac:dyDescent="0.25">
      <c r="A233" s="1" t="s">
        <v>362</v>
      </c>
      <c r="B233" s="1" t="s">
        <v>650</v>
      </c>
      <c r="C233" s="1" t="s">
        <v>666</v>
      </c>
      <c r="D233" s="1" t="s">
        <v>702</v>
      </c>
      <c r="E233" s="1" t="s">
        <v>126</v>
      </c>
      <c r="F233" s="1">
        <v>0</v>
      </c>
      <c r="G233" s="1">
        <v>2050</v>
      </c>
      <c r="H233" s="1">
        <v>1</v>
      </c>
      <c r="I233" s="1">
        <v>0</v>
      </c>
      <c r="J233" s="1">
        <v>0</v>
      </c>
      <c r="K2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11.114366666666669</v>
      </c>
      <c r="M2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128.60910000000001</v>
      </c>
      <c r="N233" s="19">
        <v>82.480300000000014</v>
      </c>
      <c r="O233" s="19">
        <v>46.3795</v>
      </c>
      <c r="P233" s="19">
        <v>128.60910000000001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42.117600000000003</v>
      </c>
      <c r="X233" s="19">
        <v>27.577000000000002</v>
      </c>
      <c r="Y233" s="19">
        <v>58.663800000000002</v>
      </c>
      <c r="Z233" s="19">
        <v>0</v>
      </c>
      <c r="AA233" s="19">
        <v>0</v>
      </c>
      <c r="AB233" s="19">
        <v>0</v>
      </c>
      <c r="AC233" s="19">
        <v>42.117600000000003</v>
      </c>
      <c r="AD233" s="19">
        <v>27.577000000000002</v>
      </c>
      <c r="AE233" s="19">
        <v>58.663800000000002</v>
      </c>
      <c r="AF233" s="19">
        <v>17.549000000000003</v>
      </c>
      <c r="AG233" s="19">
        <v>0</v>
      </c>
      <c r="AH233" s="19">
        <v>45.126000000000005</v>
      </c>
      <c r="AI233" s="19">
        <v>24.5686</v>
      </c>
      <c r="AJ233" s="19">
        <v>2.5070000000000001</v>
      </c>
      <c r="AK233" s="19">
        <v>58.663800000000002</v>
      </c>
      <c r="AL233" s="19">
        <v>0</v>
      </c>
      <c r="AM233" s="19">
        <v>0</v>
      </c>
      <c r="AN233" s="19">
        <v>0</v>
      </c>
      <c r="AO233" s="19">
        <v>42.117600000000003</v>
      </c>
      <c r="AP233" s="19">
        <v>27.577000000000002</v>
      </c>
      <c r="AQ233" s="19">
        <v>58.663800000000002</v>
      </c>
      <c r="AR233" s="19">
        <v>0</v>
      </c>
      <c r="AS233" s="19">
        <v>0</v>
      </c>
      <c r="AT233" s="19">
        <v>0</v>
      </c>
      <c r="AU233" s="19">
        <v>42.117600000000003</v>
      </c>
      <c r="AV233" s="19">
        <v>27.577000000000002</v>
      </c>
      <c r="AW233" s="19">
        <v>58.663800000000002</v>
      </c>
      <c r="AX233" s="19">
        <v>0</v>
      </c>
      <c r="AY233" s="19">
        <v>0</v>
      </c>
      <c r="AZ233" s="19">
        <v>0</v>
      </c>
      <c r="BA233" s="19">
        <v>42.117600000000003</v>
      </c>
      <c r="BB233" s="19">
        <v>27.577000000000002</v>
      </c>
      <c r="BC233" s="19">
        <v>58.663800000000002</v>
      </c>
      <c r="BD233" s="19">
        <v>0</v>
      </c>
      <c r="BE233" s="19">
        <v>0</v>
      </c>
      <c r="BF233" s="19">
        <v>0</v>
      </c>
      <c r="BG233" s="19">
        <v>42.117600000000003</v>
      </c>
      <c r="BH233" s="19">
        <v>27.577000000000002</v>
      </c>
      <c r="BI233" s="19">
        <v>58.663800000000002</v>
      </c>
      <c r="BJ233" s="19">
        <v>0</v>
      </c>
      <c r="BK233" s="19">
        <v>0</v>
      </c>
      <c r="BL233" s="19">
        <v>0</v>
      </c>
      <c r="BM233" s="19">
        <v>42.117600000000003</v>
      </c>
      <c r="BN233" s="19">
        <v>27.577000000000002</v>
      </c>
      <c r="BO233" s="19">
        <v>58.663800000000002</v>
      </c>
      <c r="BP233" s="19"/>
      <c r="BQ2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35.487977777777779</v>
      </c>
      <c r="BS2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58.663800000000002</v>
      </c>
      <c r="BT233" s="11">
        <f>Tabelle5897112140[[#This Row],[Mindestauslastung min]]*Tabelle5897112140[[#This Row],[installierte Leistung MW min]]</f>
        <v>0</v>
      </c>
      <c r="BU233" s="11">
        <f>Tabelle5897112140[[#This Row],[Mindestauslastung durch]]*Tabelle5897112140[[#This Row],[installierte Leistung MW durch]]</f>
        <v>0</v>
      </c>
      <c r="BV233" s="11">
        <f>Tabelle5897112140[[#This Row],[Mindestauslastung max]]*Tabelle5897112140[[#This Row],[installierte Leistung MW max]]</f>
        <v>0</v>
      </c>
      <c r="BW233" s="9">
        <v>0</v>
      </c>
      <c r="BX233" s="9">
        <v>0</v>
      </c>
      <c r="BY233" s="9">
        <v>0</v>
      </c>
      <c r="BZ233" s="9"/>
      <c r="CA233" s="9">
        <v>0.47</v>
      </c>
      <c r="CB233" s="9">
        <v>0.37</v>
      </c>
      <c r="CC233" s="9">
        <v>0.56999999999999995</v>
      </c>
      <c r="CD233" s="9">
        <v>0</v>
      </c>
      <c r="CE233" s="9">
        <v>0</v>
      </c>
      <c r="CF233" s="9">
        <v>0</v>
      </c>
      <c r="CG233" s="9">
        <v>0</v>
      </c>
      <c r="CH233" s="9">
        <v>0</v>
      </c>
      <c r="CI233" s="9">
        <v>0</v>
      </c>
      <c r="CJ233" s="9">
        <v>0.1</v>
      </c>
      <c r="CK233" s="9">
        <v>0</v>
      </c>
      <c r="CL233" s="9">
        <v>0.2</v>
      </c>
      <c r="CM233" s="9">
        <v>0</v>
      </c>
      <c r="CN233" s="9">
        <v>0</v>
      </c>
      <c r="CO233" s="9">
        <v>0</v>
      </c>
      <c r="CP233" s="9">
        <v>0</v>
      </c>
      <c r="CQ233" s="9">
        <v>0</v>
      </c>
      <c r="CR233" s="9">
        <v>0</v>
      </c>
      <c r="CS233" s="9">
        <v>0</v>
      </c>
      <c r="CT233" s="9">
        <v>0</v>
      </c>
      <c r="CU233" s="9">
        <v>0</v>
      </c>
      <c r="CV233" s="9">
        <v>0</v>
      </c>
      <c r="CW233" s="9">
        <v>0</v>
      </c>
      <c r="CX233" s="9">
        <v>0</v>
      </c>
      <c r="CY233" s="9">
        <v>0</v>
      </c>
      <c r="CZ233" s="9">
        <v>0</v>
      </c>
      <c r="DA233" s="9">
        <v>0</v>
      </c>
      <c r="DB233" s="9">
        <f>MIN(Tabelle5897112140[[#This Row],[Durchschnittsauslastung durch Sommer WTT]:[Durchschnittsauslastung max Winter SFN]])</f>
        <v>0</v>
      </c>
      <c r="DC2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3" s="9">
        <f>MAX(Tabelle5897112140[[#This Row],[Durchschnittsauslastung durch Sommer WTT]:[Durchschnittsauslastung max Winter SFN]])</f>
        <v>0.56999999999999995</v>
      </c>
      <c r="DE233" s="40">
        <f>Tabelle5897112140[[#This Row],[Durchschnittsauslastung min]]*Tabelle5897112140[[#This Row],[installierte Leistung MW min]]</f>
        <v>0</v>
      </c>
      <c r="DF233" s="40">
        <f>Tabelle5897112140[[#This Row],[Durchschnittsauslastung durch]]*Tabelle5897112140[[#This Row],[installierte Leistung MW durch]]</f>
        <v>11.114366666666665</v>
      </c>
      <c r="DG233" s="40">
        <f>Tabelle5897112140[[#This Row],[Durchschnittsauslastung max]]*Tabelle5897112140[[#This Row],[installierte Leistung MW max]]</f>
        <v>128.60909999999998</v>
      </c>
      <c r="DH233" s="46">
        <f>Tabelle5897112140[[#This Row],[Maximalauslastung min]]*Tabelle5897112140[[#This Row],[installierte Leistung MW min]]</f>
        <v>27.576999999999998</v>
      </c>
      <c r="DI233" s="46">
        <f>Tabelle5897112140[[#This Row],[Maximalauslastung durch]]*Tabelle5897112140[[#This Row],[installierte Leistung MW durch]]</f>
        <v>42.117600000000003</v>
      </c>
      <c r="DJ233" s="19">
        <f>Tabelle5897112140[[#This Row],[Maximalauslastung max]]*Tabelle5897112140[[#This Row],[installierte Leistung MW durch]]</f>
        <v>45.627400000000002</v>
      </c>
      <c r="DK233" s="9">
        <v>0.22</v>
      </c>
      <c r="DL233" s="9">
        <v>0.24</v>
      </c>
      <c r="DM233" s="9">
        <v>0.26</v>
      </c>
      <c r="DN233" s="1">
        <v>175.49</v>
      </c>
      <c r="DO233" s="1">
        <v>125.35</v>
      </c>
      <c r="DP233" s="1">
        <v>225.63</v>
      </c>
      <c r="DQ233" s="19"/>
      <c r="DR233" s="19"/>
      <c r="EL233" s="1">
        <v>365</v>
      </c>
      <c r="EM233" s="1">
        <v>292</v>
      </c>
      <c r="EN233" s="1">
        <v>438</v>
      </c>
      <c r="EO233" s="11"/>
      <c r="EP233" s="11"/>
      <c r="EQ233" s="11"/>
      <c r="ER233" s="1">
        <v>365</v>
      </c>
      <c r="ES233" s="1">
        <v>292</v>
      </c>
      <c r="ET233" s="1">
        <v>438</v>
      </c>
      <c r="EV233" s="19"/>
      <c r="EW233" s="19"/>
      <c r="EX233" s="19"/>
      <c r="EY233" s="19"/>
      <c r="EZ233" s="19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O233" s="1">
        <v>67</v>
      </c>
      <c r="FP233" s="1">
        <v>67</v>
      </c>
      <c r="FQ233" s="1">
        <v>67</v>
      </c>
      <c r="FR233" s="13" t="s">
        <v>806</v>
      </c>
      <c r="FS233" s="13" t="s">
        <v>806</v>
      </c>
      <c r="FT233" s="13" t="s">
        <v>806</v>
      </c>
      <c r="FU233" s="13"/>
      <c r="FV233" s="13" t="s">
        <v>806</v>
      </c>
      <c r="FW233" s="13" t="s">
        <v>806</v>
      </c>
      <c r="FX233" s="13" t="s">
        <v>806</v>
      </c>
      <c r="FY233" s="13" t="s">
        <v>806</v>
      </c>
      <c r="FZ233" s="13" t="s">
        <v>806</v>
      </c>
      <c r="GA233" s="13" t="s">
        <v>806</v>
      </c>
      <c r="GB233" s="13" t="s">
        <v>806</v>
      </c>
      <c r="GE233" s="13" t="s">
        <v>806</v>
      </c>
      <c r="GF233" s="13" t="s">
        <v>806</v>
      </c>
      <c r="GH233" s="13" t="s">
        <v>806</v>
      </c>
    </row>
    <row r="234" spans="1:190" x14ac:dyDescent="0.25">
      <c r="A234" s="1" t="s">
        <v>208</v>
      </c>
      <c r="B234" s="1" t="s">
        <v>651</v>
      </c>
      <c r="C234" s="1" t="s">
        <v>666</v>
      </c>
      <c r="D234" s="1" t="s">
        <v>703</v>
      </c>
      <c r="E234" s="1" t="s">
        <v>126</v>
      </c>
      <c r="F234" s="1">
        <v>0</v>
      </c>
      <c r="G234" s="1">
        <v>2015</v>
      </c>
      <c r="H234" s="1">
        <v>1</v>
      </c>
      <c r="I234" s="1">
        <v>0</v>
      </c>
      <c r="J234" s="1">
        <v>0</v>
      </c>
      <c r="K2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0.72</v>
      </c>
      <c r="L2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8.3033333333333346</v>
      </c>
      <c r="M2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27.26</v>
      </c>
      <c r="N234" s="19">
        <v>16.45</v>
      </c>
      <c r="O234" s="19">
        <v>8.2799999999999994</v>
      </c>
      <c r="P234" s="19">
        <v>27.26</v>
      </c>
      <c r="Q234" s="19">
        <v>0.47</v>
      </c>
      <c r="R234" s="19">
        <v>0</v>
      </c>
      <c r="S234" s="19">
        <v>9.2799999999999994</v>
      </c>
      <c r="T234" s="19">
        <v>4.2300000000000004</v>
      </c>
      <c r="U234" s="19">
        <v>0.72</v>
      </c>
      <c r="V234" s="19">
        <v>9.2799999999999994</v>
      </c>
      <c r="W234" s="19">
        <v>12.69</v>
      </c>
      <c r="X234" s="19">
        <v>6.12</v>
      </c>
      <c r="Y234" s="19">
        <v>21.46</v>
      </c>
      <c r="Z234" s="19">
        <v>4.2300000000000004</v>
      </c>
      <c r="AA234" s="19">
        <v>0.72</v>
      </c>
      <c r="AB234" s="19">
        <v>9.2799999999999994</v>
      </c>
      <c r="AC234" s="19">
        <v>12.69</v>
      </c>
      <c r="AD234" s="19">
        <v>6.12</v>
      </c>
      <c r="AE234" s="19">
        <v>21.46</v>
      </c>
      <c r="AF234" s="19">
        <v>16.45</v>
      </c>
      <c r="AG234" s="19">
        <v>8.2799999999999994</v>
      </c>
      <c r="AH234" s="19">
        <v>27.26</v>
      </c>
      <c r="AI234" s="19">
        <v>0.47</v>
      </c>
      <c r="AJ234" s="19">
        <v>0</v>
      </c>
      <c r="AK234" s="19">
        <v>9.2799999999999994</v>
      </c>
      <c r="AL234" s="19">
        <v>4.2300000000000004</v>
      </c>
      <c r="AM234" s="19">
        <v>0.72</v>
      </c>
      <c r="AN234" s="19">
        <v>9.2799999999999994</v>
      </c>
      <c r="AO234" s="19">
        <v>12.69</v>
      </c>
      <c r="AP234" s="19">
        <v>6.12</v>
      </c>
      <c r="AQ234" s="19">
        <v>21.46</v>
      </c>
      <c r="AR234" s="19">
        <v>4.2300000000000004</v>
      </c>
      <c r="AS234" s="19">
        <v>0.72</v>
      </c>
      <c r="AT234" s="19">
        <v>9.2799999999999994</v>
      </c>
      <c r="AU234" s="19">
        <v>12.69</v>
      </c>
      <c r="AV234" s="19">
        <v>6.12</v>
      </c>
      <c r="AW234" s="19">
        <v>21.46</v>
      </c>
      <c r="AX234" s="19">
        <v>16.45</v>
      </c>
      <c r="AY234" s="19">
        <v>8.2799999999999994</v>
      </c>
      <c r="AZ234" s="19">
        <v>27.26</v>
      </c>
      <c r="BA234" s="19">
        <v>0.47</v>
      </c>
      <c r="BB234" s="19">
        <v>0</v>
      </c>
      <c r="BC234" s="19">
        <v>9.2799999999999994</v>
      </c>
      <c r="BD234" s="19">
        <v>4.2300000000000004</v>
      </c>
      <c r="BE234" s="19">
        <v>0.72</v>
      </c>
      <c r="BF234" s="19">
        <v>9.2799999999999994</v>
      </c>
      <c r="BG234" s="19">
        <v>12.69</v>
      </c>
      <c r="BH234" s="19">
        <v>6.12</v>
      </c>
      <c r="BI234" s="19">
        <v>21.46</v>
      </c>
      <c r="BJ234" s="19">
        <v>4.2300000000000004</v>
      </c>
      <c r="BK234" s="19">
        <v>0.72</v>
      </c>
      <c r="BL234" s="19">
        <v>9.2799999999999994</v>
      </c>
      <c r="BM234" s="19">
        <v>12.69</v>
      </c>
      <c r="BN234" s="19">
        <v>6.12</v>
      </c>
      <c r="BO234" s="19">
        <v>21.46</v>
      </c>
      <c r="BP234" s="19"/>
      <c r="BQ2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8.6166666666666671</v>
      </c>
      <c r="BS2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21.46</v>
      </c>
      <c r="BT234" s="11">
        <f>Tabelle5897112140[[#This Row],[Mindestauslastung min]]*Tabelle5897112140[[#This Row],[installierte Leistung MW min]]</f>
        <v>0</v>
      </c>
      <c r="BU234" s="11">
        <f>Tabelle5897112140[[#This Row],[Mindestauslastung durch]]*Tabelle5897112140[[#This Row],[installierte Leistung MW durch]]</f>
        <v>0</v>
      </c>
      <c r="BV234" s="11">
        <f>Tabelle5897112140[[#This Row],[Mindestauslastung max]]*Tabelle5897112140[[#This Row],[installierte Leistung MW max]]</f>
        <v>0</v>
      </c>
      <c r="BW234" s="9">
        <v>0</v>
      </c>
      <c r="BX234" s="9">
        <v>0</v>
      </c>
      <c r="BY234" s="9">
        <v>0</v>
      </c>
      <c r="BZ234" s="9"/>
      <c r="CA234" s="9">
        <v>0.5</v>
      </c>
      <c r="CB234" s="9">
        <v>0.4</v>
      </c>
      <c r="CC234" s="9">
        <v>0.6</v>
      </c>
      <c r="CD234" s="9">
        <v>0.24</v>
      </c>
      <c r="CE234" s="9">
        <v>0.19</v>
      </c>
      <c r="CF234" s="9">
        <v>0.28999999999999998</v>
      </c>
      <c r="CG234" s="9">
        <v>0.24</v>
      </c>
      <c r="CH234" s="9">
        <v>0.19</v>
      </c>
      <c r="CI234" s="9">
        <v>0.28999999999999998</v>
      </c>
      <c r="CJ234" s="9">
        <v>0.5</v>
      </c>
      <c r="CK234" s="9">
        <v>0.4</v>
      </c>
      <c r="CL234" s="9">
        <v>0.6</v>
      </c>
      <c r="CM234" s="9">
        <v>0.24</v>
      </c>
      <c r="CN234" s="9">
        <v>0.19</v>
      </c>
      <c r="CO234" s="9">
        <v>0.28999999999999998</v>
      </c>
      <c r="CP234" s="9">
        <v>0.24</v>
      </c>
      <c r="CQ234" s="9">
        <v>0.19</v>
      </c>
      <c r="CR234" s="9">
        <v>0.28999999999999998</v>
      </c>
      <c r="CS234" s="9">
        <v>0.5</v>
      </c>
      <c r="CT234" s="9">
        <v>0.4</v>
      </c>
      <c r="CU234" s="9">
        <v>0.6</v>
      </c>
      <c r="CV234" s="9">
        <v>0.24</v>
      </c>
      <c r="CW234" s="9">
        <v>0.19</v>
      </c>
      <c r="CX234" s="9">
        <v>0.28999999999999998</v>
      </c>
      <c r="CY234" s="9">
        <v>0.24</v>
      </c>
      <c r="CZ234" s="9">
        <v>0.19</v>
      </c>
      <c r="DA234" s="9">
        <v>0.28999999999999998</v>
      </c>
      <c r="DB234" s="9">
        <f>MIN(Tabelle5897112140[[#This Row],[Durchschnittsauslastung durch Sommer WTT]:[Durchschnittsauslastung max Winter SFN]])</f>
        <v>0.19</v>
      </c>
      <c r="DC2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4" s="9">
        <f>MAX(Tabelle5897112140[[#This Row],[Durchschnittsauslastung durch Sommer WTT]:[Durchschnittsauslastung max Winter SFN]])</f>
        <v>0.6</v>
      </c>
      <c r="DE234" s="40">
        <f>Tabelle5897112140[[#This Row],[Durchschnittsauslastung min]]*Tabelle5897112140[[#This Row],[installierte Leistung MW min]]</f>
        <v>6.84</v>
      </c>
      <c r="DF234" s="40">
        <f>Tabelle5897112140[[#This Row],[Durchschnittsauslastung durch]]*Tabelle5897112140[[#This Row],[installierte Leistung MW durch]]</f>
        <v>15.353333333333335</v>
      </c>
      <c r="DG234" s="40">
        <f>Tabelle5897112140[[#This Row],[Durchschnittsauslastung max]]*Tabelle5897112140[[#This Row],[installierte Leistung MW max]]</f>
        <v>34.799999999999997</v>
      </c>
      <c r="DH234" s="46">
        <f>Tabelle5897112140[[#This Row],[Maximalauslastung min]]*Tabelle5897112140[[#This Row],[installierte Leistung MW min]]</f>
        <v>7.92</v>
      </c>
      <c r="DI234" s="46">
        <f>Tabelle5897112140[[#This Row],[Maximalauslastung durch]]*Tabelle5897112140[[#This Row],[installierte Leistung MW durch]]</f>
        <v>11.28</v>
      </c>
      <c r="DJ234" s="19">
        <f>Tabelle5897112140[[#This Row],[Maximalauslastung max]]*Tabelle5897112140[[#This Row],[installierte Leistung MW durch]]</f>
        <v>12.22</v>
      </c>
      <c r="DK234" s="9">
        <v>0.22</v>
      </c>
      <c r="DL234" s="9">
        <v>0.24</v>
      </c>
      <c r="DM234" s="9">
        <v>0.26</v>
      </c>
      <c r="DN234" s="1">
        <v>47</v>
      </c>
      <c r="DO234" s="1">
        <v>36</v>
      </c>
      <c r="DP234" s="1">
        <v>58</v>
      </c>
      <c r="DQ234" s="19"/>
      <c r="DR234" s="19"/>
      <c r="DW234" s="1">
        <v>1.1000000000000001</v>
      </c>
      <c r="DX234" s="1">
        <v>0.8</v>
      </c>
      <c r="DY234" s="1">
        <v>1.4</v>
      </c>
      <c r="EL234" s="1">
        <v>365</v>
      </c>
      <c r="EM234" s="1">
        <v>292</v>
      </c>
      <c r="EN234" s="1">
        <v>438</v>
      </c>
      <c r="EO234" s="11"/>
      <c r="EP234" s="11"/>
      <c r="EQ234" s="11"/>
      <c r="ER234" s="1">
        <v>365</v>
      </c>
      <c r="ES234" s="1">
        <v>292</v>
      </c>
      <c r="ET234" s="1">
        <v>438</v>
      </c>
      <c r="EV234" s="19"/>
      <c r="EW234" s="19"/>
      <c r="EX234" s="19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O234" s="1">
        <v>67</v>
      </c>
      <c r="FP234" s="1">
        <v>67</v>
      </c>
      <c r="FQ234" s="1">
        <v>67</v>
      </c>
      <c r="FR234" s="13" t="s">
        <v>806</v>
      </c>
      <c r="FS234" s="13" t="s">
        <v>806</v>
      </c>
      <c r="FT234" s="13" t="s">
        <v>806</v>
      </c>
      <c r="FU234" s="13"/>
      <c r="FV234" s="13" t="s">
        <v>806</v>
      </c>
      <c r="FW234" s="13" t="s">
        <v>806</v>
      </c>
      <c r="FX234" s="13" t="s">
        <v>806</v>
      </c>
      <c r="FY234" s="13" t="s">
        <v>806</v>
      </c>
      <c r="FZ234" s="13" t="s">
        <v>806</v>
      </c>
      <c r="GA234" s="13" t="s">
        <v>806</v>
      </c>
      <c r="GB234" s="13" t="s">
        <v>806</v>
      </c>
      <c r="GE234" s="13" t="s">
        <v>806</v>
      </c>
      <c r="GF234" s="13" t="s">
        <v>806</v>
      </c>
      <c r="GH234" s="13" t="s">
        <v>806</v>
      </c>
    </row>
    <row r="235" spans="1:190" x14ac:dyDescent="0.25">
      <c r="A235" s="1" t="s">
        <v>208</v>
      </c>
      <c r="B235" s="1" t="s">
        <v>651</v>
      </c>
      <c r="C235" s="1" t="s">
        <v>666</v>
      </c>
      <c r="D235" s="1" t="s">
        <v>703</v>
      </c>
      <c r="E235" s="1" t="s">
        <v>126</v>
      </c>
      <c r="F235" s="1">
        <v>0</v>
      </c>
      <c r="G235" s="1">
        <v>2020</v>
      </c>
      <c r="H235" s="1">
        <v>1</v>
      </c>
      <c r="I235" s="1">
        <v>0</v>
      </c>
      <c r="J235" s="1">
        <v>0</v>
      </c>
      <c r="K2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0.72719999999999996</v>
      </c>
      <c r="L2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8.3863666666666674</v>
      </c>
      <c r="M2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27.532600000000002</v>
      </c>
      <c r="N235" s="19">
        <v>16.6145</v>
      </c>
      <c r="O235" s="19">
        <v>8.3628</v>
      </c>
      <c r="P235" s="19">
        <v>27.532600000000002</v>
      </c>
      <c r="Q235" s="19">
        <v>0.47469999999999996</v>
      </c>
      <c r="R235" s="19">
        <v>0</v>
      </c>
      <c r="S235" s="19">
        <v>9.3727999999999998</v>
      </c>
      <c r="T235" s="19">
        <v>4.2723000000000004</v>
      </c>
      <c r="U235" s="19">
        <v>0.72719999999999996</v>
      </c>
      <c r="V235" s="19">
        <v>9.3727999999999998</v>
      </c>
      <c r="W235" s="19">
        <v>12.8169</v>
      </c>
      <c r="X235" s="19">
        <v>6.1812000000000005</v>
      </c>
      <c r="Y235" s="19">
        <v>21.674600000000002</v>
      </c>
      <c r="Z235" s="19">
        <v>4.2723000000000004</v>
      </c>
      <c r="AA235" s="19">
        <v>0.72719999999999996</v>
      </c>
      <c r="AB235" s="19">
        <v>9.3727999999999998</v>
      </c>
      <c r="AC235" s="19">
        <v>12.8169</v>
      </c>
      <c r="AD235" s="19">
        <v>6.1812000000000005</v>
      </c>
      <c r="AE235" s="19">
        <v>21.674600000000002</v>
      </c>
      <c r="AF235" s="19">
        <v>16.6145</v>
      </c>
      <c r="AG235" s="19">
        <v>8.3628</v>
      </c>
      <c r="AH235" s="19">
        <v>27.532600000000002</v>
      </c>
      <c r="AI235" s="19">
        <v>0.47469999999999996</v>
      </c>
      <c r="AJ235" s="19">
        <v>0</v>
      </c>
      <c r="AK235" s="19">
        <v>9.3727999999999998</v>
      </c>
      <c r="AL235" s="19">
        <v>4.2723000000000004</v>
      </c>
      <c r="AM235" s="19">
        <v>0.72719999999999996</v>
      </c>
      <c r="AN235" s="19">
        <v>9.3727999999999998</v>
      </c>
      <c r="AO235" s="19">
        <v>12.8169</v>
      </c>
      <c r="AP235" s="19">
        <v>6.1812000000000005</v>
      </c>
      <c r="AQ235" s="19">
        <v>21.674600000000002</v>
      </c>
      <c r="AR235" s="19">
        <v>4.2723000000000004</v>
      </c>
      <c r="AS235" s="19">
        <v>0.72719999999999996</v>
      </c>
      <c r="AT235" s="19">
        <v>9.3727999999999998</v>
      </c>
      <c r="AU235" s="19">
        <v>12.8169</v>
      </c>
      <c r="AV235" s="19">
        <v>6.1812000000000005</v>
      </c>
      <c r="AW235" s="19">
        <v>21.674600000000002</v>
      </c>
      <c r="AX235" s="19">
        <v>16.6145</v>
      </c>
      <c r="AY235" s="19">
        <v>8.3628</v>
      </c>
      <c r="AZ235" s="19">
        <v>27.532600000000002</v>
      </c>
      <c r="BA235" s="19">
        <v>0.47469999999999996</v>
      </c>
      <c r="BB235" s="19">
        <v>0</v>
      </c>
      <c r="BC235" s="19">
        <v>9.3727999999999998</v>
      </c>
      <c r="BD235" s="19">
        <v>4.2723000000000004</v>
      </c>
      <c r="BE235" s="19">
        <v>0.72719999999999996</v>
      </c>
      <c r="BF235" s="19">
        <v>9.3727999999999998</v>
      </c>
      <c r="BG235" s="19">
        <v>12.8169</v>
      </c>
      <c r="BH235" s="19">
        <v>6.1812000000000005</v>
      </c>
      <c r="BI235" s="19">
        <v>21.674600000000002</v>
      </c>
      <c r="BJ235" s="19">
        <v>4.2723000000000004</v>
      </c>
      <c r="BK235" s="19">
        <v>0.72719999999999996</v>
      </c>
      <c r="BL235" s="19">
        <v>9.3727999999999998</v>
      </c>
      <c r="BM235" s="19">
        <v>12.8169</v>
      </c>
      <c r="BN235" s="19">
        <v>6.1812000000000005</v>
      </c>
      <c r="BO235" s="19">
        <v>21.674600000000002</v>
      </c>
      <c r="BP235" s="19"/>
      <c r="BQ2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8.7028333333333343</v>
      </c>
      <c r="BS2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21.674600000000002</v>
      </c>
      <c r="BT235" s="11">
        <f>Tabelle5897112140[[#This Row],[Mindestauslastung min]]*Tabelle5897112140[[#This Row],[installierte Leistung MW min]]</f>
        <v>4.7267999999999999</v>
      </c>
      <c r="BU235" s="11">
        <f>Tabelle5897112140[[#This Row],[Mindestauslastung durch]]*Tabelle5897112140[[#This Row],[installierte Leistung MW durch]]</f>
        <v>7.1204999999999998</v>
      </c>
      <c r="BV235" s="11">
        <f>Tabelle5897112140[[#This Row],[Mindestauslastung max]]*Tabelle5897112140[[#This Row],[installierte Leistung MW max]]</f>
        <v>9.9586000000000006</v>
      </c>
      <c r="BW235" s="9">
        <v>0.13</v>
      </c>
      <c r="BX235" s="9">
        <v>0.15</v>
      </c>
      <c r="BY235" s="9">
        <v>0.17</v>
      </c>
      <c r="BZ235" s="9"/>
      <c r="CA235" s="9">
        <v>0.5</v>
      </c>
      <c r="CB235" s="9">
        <v>0.4</v>
      </c>
      <c r="CC235" s="9">
        <v>0.6</v>
      </c>
      <c r="CD235" s="9">
        <v>0.24</v>
      </c>
      <c r="CE235" s="9">
        <v>0.19</v>
      </c>
      <c r="CF235" s="9">
        <v>0.28999999999999998</v>
      </c>
      <c r="CG235" s="9">
        <v>0.24</v>
      </c>
      <c r="CH235" s="9">
        <v>0.19</v>
      </c>
      <c r="CI235" s="9">
        <v>0.28999999999999998</v>
      </c>
      <c r="CJ235" s="9">
        <v>0.5</v>
      </c>
      <c r="CK235" s="9">
        <v>0.4</v>
      </c>
      <c r="CL235" s="9">
        <v>0.6</v>
      </c>
      <c r="CM235" s="9">
        <v>0.24</v>
      </c>
      <c r="CN235" s="9">
        <v>0.19</v>
      </c>
      <c r="CO235" s="9">
        <v>0.28999999999999998</v>
      </c>
      <c r="CP235" s="9">
        <v>0.24</v>
      </c>
      <c r="CQ235" s="9">
        <v>0.19</v>
      </c>
      <c r="CR235" s="9">
        <v>0.28999999999999998</v>
      </c>
      <c r="CS235" s="9">
        <v>0.5</v>
      </c>
      <c r="CT235" s="9">
        <v>0.4</v>
      </c>
      <c r="CU235" s="9">
        <v>0.6</v>
      </c>
      <c r="CV235" s="9">
        <v>0.24</v>
      </c>
      <c r="CW235" s="9">
        <v>0.19</v>
      </c>
      <c r="CX235" s="9">
        <v>0.28999999999999998</v>
      </c>
      <c r="CY235" s="9">
        <v>0.24</v>
      </c>
      <c r="CZ235" s="9">
        <v>0.19</v>
      </c>
      <c r="DA235" s="9">
        <v>0.28999999999999998</v>
      </c>
      <c r="DB235" s="9">
        <f>MIN(Tabelle5897112140[[#This Row],[Durchschnittsauslastung durch Sommer WTT]:[Durchschnittsauslastung max Winter SFN]])</f>
        <v>0.19</v>
      </c>
      <c r="DC2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5" s="9">
        <f>MAX(Tabelle5897112140[[#This Row],[Durchschnittsauslastung durch Sommer WTT]:[Durchschnittsauslastung max Winter SFN]])</f>
        <v>0.6</v>
      </c>
      <c r="DE235" s="40">
        <f>Tabelle5897112140[[#This Row],[Durchschnittsauslastung min]]*Tabelle5897112140[[#This Row],[installierte Leistung MW min]]</f>
        <v>6.9084000000000003</v>
      </c>
      <c r="DF235" s="40">
        <f>Tabelle5897112140[[#This Row],[Durchschnittsauslastung durch]]*Tabelle5897112140[[#This Row],[installierte Leistung MW durch]]</f>
        <v>15.506866666666669</v>
      </c>
      <c r="DG235" s="40">
        <f>Tabelle5897112140[[#This Row],[Durchschnittsauslastung max]]*Tabelle5897112140[[#This Row],[installierte Leistung MW max]]</f>
        <v>35.147999999999996</v>
      </c>
      <c r="DH235" s="46">
        <f>Tabelle5897112140[[#This Row],[Maximalauslastung min]]*Tabelle5897112140[[#This Row],[installierte Leistung MW min]]</f>
        <v>16.7256</v>
      </c>
      <c r="DI235" s="46">
        <f>Tabelle5897112140[[#This Row],[Maximalauslastung durch]]*Tabelle5897112140[[#This Row],[installierte Leistung MW durch]]</f>
        <v>24.209700000000002</v>
      </c>
      <c r="DJ235" s="19">
        <f>Tabelle5897112140[[#This Row],[Maximalauslastung max]]*Tabelle5897112140[[#This Row],[installierte Leistung MW durch]]</f>
        <v>26.583200000000001</v>
      </c>
      <c r="DK235" s="9">
        <v>0.46</v>
      </c>
      <c r="DL235" s="9">
        <v>0.51</v>
      </c>
      <c r="DM235" s="9">
        <v>0.56000000000000005</v>
      </c>
      <c r="DN235" s="1">
        <v>47.47</v>
      </c>
      <c r="DO235" s="1">
        <v>36.36</v>
      </c>
      <c r="DP235" s="1">
        <v>58.58</v>
      </c>
      <c r="DQ235" s="19"/>
      <c r="DR235" s="19"/>
      <c r="DW235" s="1">
        <v>1.1000000000000001</v>
      </c>
      <c r="DX235" s="1">
        <v>0.8</v>
      </c>
      <c r="DY235" s="1">
        <v>1.4</v>
      </c>
      <c r="EL235" s="1">
        <v>365</v>
      </c>
      <c r="EM235" s="1">
        <v>292</v>
      </c>
      <c r="EN235" s="1">
        <v>438</v>
      </c>
      <c r="EO235" s="11"/>
      <c r="EP235" s="11"/>
      <c r="EQ235" s="11"/>
      <c r="ER235" s="1">
        <v>365</v>
      </c>
      <c r="ES235" s="1">
        <v>292</v>
      </c>
      <c r="ET235" s="1">
        <v>438</v>
      </c>
      <c r="EV235" s="19"/>
      <c r="EW235" s="19"/>
      <c r="EX235" s="19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O235" s="1">
        <v>67</v>
      </c>
      <c r="FP235" s="1">
        <v>67</v>
      </c>
      <c r="FQ235" s="1">
        <v>67</v>
      </c>
      <c r="FR235" s="13" t="s">
        <v>806</v>
      </c>
      <c r="FS235" s="13" t="s">
        <v>806</v>
      </c>
      <c r="FT235" s="13" t="s">
        <v>806</v>
      </c>
      <c r="FU235" s="13"/>
      <c r="FV235" s="13" t="s">
        <v>806</v>
      </c>
      <c r="FW235" s="13" t="s">
        <v>806</v>
      </c>
      <c r="FX235" s="13" t="s">
        <v>806</v>
      </c>
      <c r="FY235" s="13" t="s">
        <v>806</v>
      </c>
      <c r="FZ235" s="13" t="s">
        <v>806</v>
      </c>
      <c r="GA235" s="13" t="s">
        <v>806</v>
      </c>
      <c r="GB235" s="13" t="s">
        <v>806</v>
      </c>
      <c r="GE235" s="13" t="s">
        <v>806</v>
      </c>
      <c r="GF235" s="13" t="s">
        <v>806</v>
      </c>
      <c r="GH235" s="13" t="s">
        <v>806</v>
      </c>
    </row>
    <row r="236" spans="1:190" x14ac:dyDescent="0.25">
      <c r="A236" s="1" t="s">
        <v>208</v>
      </c>
      <c r="B236" s="1" t="s">
        <v>651</v>
      </c>
      <c r="C236" s="1" t="s">
        <v>666</v>
      </c>
      <c r="D236" s="1" t="s">
        <v>703</v>
      </c>
      <c r="E236" s="1" t="s">
        <v>126</v>
      </c>
      <c r="F236" s="1">
        <v>0</v>
      </c>
      <c r="G236" s="1">
        <v>2025</v>
      </c>
      <c r="H236" s="1">
        <v>1</v>
      </c>
      <c r="I236" s="1">
        <v>0</v>
      </c>
      <c r="J236" s="1">
        <v>0</v>
      </c>
      <c r="K2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0.73439999999999994</v>
      </c>
      <c r="L2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8.4694000000000003</v>
      </c>
      <c r="M2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27.805200000000003</v>
      </c>
      <c r="N236" s="19">
        <v>16.779</v>
      </c>
      <c r="O236" s="19">
        <v>8.4455999999999989</v>
      </c>
      <c r="P236" s="19">
        <v>27.805200000000003</v>
      </c>
      <c r="Q236" s="19">
        <v>0.47939999999999999</v>
      </c>
      <c r="R236" s="19">
        <v>0</v>
      </c>
      <c r="S236" s="19">
        <v>9.4656000000000002</v>
      </c>
      <c r="T236" s="19">
        <v>4.3146000000000004</v>
      </c>
      <c r="U236" s="19">
        <v>0.73439999999999994</v>
      </c>
      <c r="V236" s="19">
        <v>9.4656000000000002</v>
      </c>
      <c r="W236" s="19">
        <v>12.9438</v>
      </c>
      <c r="X236" s="19">
        <v>6.2423999999999999</v>
      </c>
      <c r="Y236" s="19">
        <v>21.889200000000002</v>
      </c>
      <c r="Z236" s="19">
        <v>4.3146000000000004</v>
      </c>
      <c r="AA236" s="19">
        <v>0.73439999999999994</v>
      </c>
      <c r="AB236" s="19">
        <v>9.4656000000000002</v>
      </c>
      <c r="AC236" s="19">
        <v>12.9438</v>
      </c>
      <c r="AD236" s="19">
        <v>6.2423999999999999</v>
      </c>
      <c r="AE236" s="19">
        <v>21.889200000000002</v>
      </c>
      <c r="AF236" s="19">
        <v>16.779</v>
      </c>
      <c r="AG236" s="19">
        <v>8.4455999999999989</v>
      </c>
      <c r="AH236" s="19">
        <v>27.805200000000003</v>
      </c>
      <c r="AI236" s="19">
        <v>0.47939999999999999</v>
      </c>
      <c r="AJ236" s="19">
        <v>0</v>
      </c>
      <c r="AK236" s="19">
        <v>9.4656000000000002</v>
      </c>
      <c r="AL236" s="19">
        <v>4.3146000000000004</v>
      </c>
      <c r="AM236" s="19">
        <v>0.73439999999999994</v>
      </c>
      <c r="AN236" s="19">
        <v>9.4656000000000002</v>
      </c>
      <c r="AO236" s="19">
        <v>12.9438</v>
      </c>
      <c r="AP236" s="19">
        <v>6.2423999999999999</v>
      </c>
      <c r="AQ236" s="19">
        <v>21.889200000000002</v>
      </c>
      <c r="AR236" s="19">
        <v>4.3146000000000004</v>
      </c>
      <c r="AS236" s="19">
        <v>0.73439999999999994</v>
      </c>
      <c r="AT236" s="19">
        <v>9.4656000000000002</v>
      </c>
      <c r="AU236" s="19">
        <v>12.9438</v>
      </c>
      <c r="AV236" s="19">
        <v>6.2423999999999999</v>
      </c>
      <c r="AW236" s="19">
        <v>21.889200000000002</v>
      </c>
      <c r="AX236" s="19">
        <v>16.779</v>
      </c>
      <c r="AY236" s="19">
        <v>8.4455999999999989</v>
      </c>
      <c r="AZ236" s="19">
        <v>27.805200000000003</v>
      </c>
      <c r="BA236" s="19">
        <v>0.47939999999999999</v>
      </c>
      <c r="BB236" s="19">
        <v>0</v>
      </c>
      <c r="BC236" s="19">
        <v>9.4656000000000002</v>
      </c>
      <c r="BD236" s="19">
        <v>4.3146000000000004</v>
      </c>
      <c r="BE236" s="19">
        <v>0.73439999999999994</v>
      </c>
      <c r="BF236" s="19">
        <v>9.4656000000000002</v>
      </c>
      <c r="BG236" s="19">
        <v>12.9438</v>
      </c>
      <c r="BH236" s="19">
        <v>6.2423999999999999</v>
      </c>
      <c r="BI236" s="19">
        <v>21.889200000000002</v>
      </c>
      <c r="BJ236" s="19">
        <v>4.3146000000000004</v>
      </c>
      <c r="BK236" s="19">
        <v>0.73439999999999994</v>
      </c>
      <c r="BL236" s="19">
        <v>9.4656000000000002</v>
      </c>
      <c r="BM236" s="19">
        <v>12.9438</v>
      </c>
      <c r="BN236" s="19">
        <v>6.2423999999999999</v>
      </c>
      <c r="BO236" s="19">
        <v>21.889200000000002</v>
      </c>
      <c r="BP236" s="19"/>
      <c r="BQ2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8.7889999999999979</v>
      </c>
      <c r="BS2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21.889200000000002</v>
      </c>
      <c r="BT236" s="11">
        <f>Tabelle5897112140[[#This Row],[Mindestauslastung min]]*Tabelle5897112140[[#This Row],[installierte Leistung MW min]]</f>
        <v>4.7736000000000001</v>
      </c>
      <c r="BU236" s="11">
        <f>Tabelle5897112140[[#This Row],[Mindestauslastung durch]]*Tabelle5897112140[[#This Row],[installierte Leistung MW durch]]</f>
        <v>7.1909999999999998</v>
      </c>
      <c r="BV236" s="11">
        <f>Tabelle5897112140[[#This Row],[Mindestauslastung max]]*Tabelle5897112140[[#This Row],[installierte Leistung MW max]]</f>
        <v>10.0572</v>
      </c>
      <c r="BW236" s="9">
        <v>0.13</v>
      </c>
      <c r="BX236" s="9">
        <v>0.15</v>
      </c>
      <c r="BY236" s="9">
        <v>0.17</v>
      </c>
      <c r="BZ236" s="9"/>
      <c r="CA236" s="9">
        <v>0.5</v>
      </c>
      <c r="CB236" s="9">
        <v>0.4</v>
      </c>
      <c r="CC236" s="9">
        <v>0.6</v>
      </c>
      <c r="CD236" s="9">
        <v>0.24</v>
      </c>
      <c r="CE236" s="9">
        <v>0.19</v>
      </c>
      <c r="CF236" s="9">
        <v>0.28999999999999998</v>
      </c>
      <c r="CG236" s="9">
        <v>0.24</v>
      </c>
      <c r="CH236" s="9">
        <v>0.19</v>
      </c>
      <c r="CI236" s="9">
        <v>0.28999999999999998</v>
      </c>
      <c r="CJ236" s="9">
        <v>0.5</v>
      </c>
      <c r="CK236" s="9">
        <v>0.4</v>
      </c>
      <c r="CL236" s="9">
        <v>0.6</v>
      </c>
      <c r="CM236" s="9">
        <v>0.24</v>
      </c>
      <c r="CN236" s="9">
        <v>0.19</v>
      </c>
      <c r="CO236" s="9">
        <v>0.28999999999999998</v>
      </c>
      <c r="CP236" s="9">
        <v>0.24</v>
      </c>
      <c r="CQ236" s="9">
        <v>0.19</v>
      </c>
      <c r="CR236" s="9">
        <v>0.28999999999999998</v>
      </c>
      <c r="CS236" s="9">
        <v>0.5</v>
      </c>
      <c r="CT236" s="9">
        <v>0.4</v>
      </c>
      <c r="CU236" s="9">
        <v>0.6</v>
      </c>
      <c r="CV236" s="9">
        <v>0.24</v>
      </c>
      <c r="CW236" s="9">
        <v>0.19</v>
      </c>
      <c r="CX236" s="9">
        <v>0.28999999999999998</v>
      </c>
      <c r="CY236" s="9">
        <v>0.24</v>
      </c>
      <c r="CZ236" s="9">
        <v>0.19</v>
      </c>
      <c r="DA236" s="9">
        <v>0.28999999999999998</v>
      </c>
      <c r="DB236" s="9">
        <f>MIN(Tabelle5897112140[[#This Row],[Durchschnittsauslastung durch Sommer WTT]:[Durchschnittsauslastung max Winter SFN]])</f>
        <v>0.19</v>
      </c>
      <c r="DC2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6" s="9">
        <f>MAX(Tabelle5897112140[[#This Row],[Durchschnittsauslastung durch Sommer WTT]:[Durchschnittsauslastung max Winter SFN]])</f>
        <v>0.6</v>
      </c>
      <c r="DE236" s="40">
        <f>Tabelle5897112140[[#This Row],[Durchschnittsauslastung min]]*Tabelle5897112140[[#This Row],[installierte Leistung MW min]]</f>
        <v>6.9767999999999999</v>
      </c>
      <c r="DF236" s="40">
        <f>Tabelle5897112140[[#This Row],[Durchschnittsauslastung durch]]*Tabelle5897112140[[#This Row],[installierte Leistung MW durch]]</f>
        <v>15.660400000000001</v>
      </c>
      <c r="DG236" s="40">
        <f>Tabelle5897112140[[#This Row],[Durchschnittsauslastung max]]*Tabelle5897112140[[#This Row],[installierte Leistung MW max]]</f>
        <v>35.495999999999995</v>
      </c>
      <c r="DH236" s="46">
        <f>Tabelle5897112140[[#This Row],[Maximalauslastung min]]*Tabelle5897112140[[#This Row],[installierte Leistung MW min]]</f>
        <v>16.891200000000001</v>
      </c>
      <c r="DI236" s="46">
        <f>Tabelle5897112140[[#This Row],[Maximalauslastung durch]]*Tabelle5897112140[[#This Row],[installierte Leistung MW durch]]</f>
        <v>24.449400000000001</v>
      </c>
      <c r="DJ236" s="19">
        <f>Tabelle5897112140[[#This Row],[Maximalauslastung max]]*Tabelle5897112140[[#This Row],[installierte Leistung MW durch]]</f>
        <v>26.846400000000003</v>
      </c>
      <c r="DK236" s="9">
        <v>0.46</v>
      </c>
      <c r="DL236" s="9">
        <v>0.51</v>
      </c>
      <c r="DM236" s="9">
        <v>0.56000000000000005</v>
      </c>
      <c r="DN236" s="1">
        <v>47.94</v>
      </c>
      <c r="DO236" s="1">
        <v>36.72</v>
      </c>
      <c r="DP236" s="1">
        <v>59.16</v>
      </c>
      <c r="DQ236" s="19"/>
      <c r="DR236" s="19"/>
      <c r="DW236" s="1">
        <v>1.1000000000000001</v>
      </c>
      <c r="DX236" s="1">
        <v>0.8</v>
      </c>
      <c r="DY236" s="1">
        <v>1.4</v>
      </c>
      <c r="EL236" s="1">
        <v>365</v>
      </c>
      <c r="EM236" s="1">
        <v>292</v>
      </c>
      <c r="EN236" s="1">
        <v>438</v>
      </c>
      <c r="EO236" s="11"/>
      <c r="EP236" s="11"/>
      <c r="EQ236" s="11"/>
      <c r="ER236" s="1">
        <v>365</v>
      </c>
      <c r="ES236" s="1">
        <v>292</v>
      </c>
      <c r="ET236" s="1">
        <v>438</v>
      </c>
      <c r="EV236" s="19"/>
      <c r="EW236" s="19"/>
      <c r="EX236" s="19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O236" s="1">
        <v>67</v>
      </c>
      <c r="FP236" s="1">
        <v>67</v>
      </c>
      <c r="FQ236" s="1">
        <v>67</v>
      </c>
      <c r="FR236" s="13" t="s">
        <v>806</v>
      </c>
      <c r="FS236" s="13" t="s">
        <v>806</v>
      </c>
      <c r="FT236" s="13" t="s">
        <v>806</v>
      </c>
      <c r="FU236" s="13"/>
      <c r="FV236" s="13" t="s">
        <v>806</v>
      </c>
      <c r="FW236" s="13" t="s">
        <v>806</v>
      </c>
      <c r="FX236" s="13" t="s">
        <v>806</v>
      </c>
      <c r="FY236" s="13" t="s">
        <v>806</v>
      </c>
      <c r="FZ236" s="13" t="s">
        <v>806</v>
      </c>
      <c r="GA236" s="13" t="s">
        <v>806</v>
      </c>
      <c r="GB236" s="13" t="s">
        <v>806</v>
      </c>
      <c r="GE236" s="13" t="s">
        <v>806</v>
      </c>
      <c r="GF236" s="13" t="s">
        <v>806</v>
      </c>
      <c r="GH236" s="13" t="s">
        <v>806</v>
      </c>
    </row>
    <row r="237" spans="1:190" x14ac:dyDescent="0.25">
      <c r="A237" s="1" t="s">
        <v>208</v>
      </c>
      <c r="B237" s="1" t="s">
        <v>651</v>
      </c>
      <c r="C237" s="1" t="s">
        <v>666</v>
      </c>
      <c r="D237" s="1" t="s">
        <v>703</v>
      </c>
      <c r="E237" s="1" t="s">
        <v>126</v>
      </c>
      <c r="F237" s="1">
        <v>0</v>
      </c>
      <c r="G237" s="1">
        <v>2030</v>
      </c>
      <c r="H237" s="1">
        <v>1</v>
      </c>
      <c r="I237" s="1">
        <v>0</v>
      </c>
      <c r="J237" s="1">
        <v>0</v>
      </c>
      <c r="K2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0.74160000000000004</v>
      </c>
      <c r="L2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8.5524333333333331</v>
      </c>
      <c r="M2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28.077800000000003</v>
      </c>
      <c r="N237" s="19">
        <v>16.9435</v>
      </c>
      <c r="O237" s="19">
        <v>8.5283999999999995</v>
      </c>
      <c r="P237" s="19">
        <v>28.077800000000003</v>
      </c>
      <c r="Q237" s="19">
        <v>0.48409999999999997</v>
      </c>
      <c r="R237" s="19">
        <v>0</v>
      </c>
      <c r="S237" s="19">
        <v>9.5583999999999989</v>
      </c>
      <c r="T237" s="19">
        <v>4.3569000000000004</v>
      </c>
      <c r="U237" s="19">
        <v>0.74160000000000004</v>
      </c>
      <c r="V237" s="19">
        <v>9.5583999999999989</v>
      </c>
      <c r="W237" s="19">
        <v>13.0707</v>
      </c>
      <c r="X237" s="19">
        <v>6.3036000000000003</v>
      </c>
      <c r="Y237" s="19">
        <v>22.103800000000003</v>
      </c>
      <c r="Z237" s="19">
        <v>4.3569000000000004</v>
      </c>
      <c r="AA237" s="19">
        <v>0.74160000000000004</v>
      </c>
      <c r="AB237" s="19">
        <v>9.5583999999999989</v>
      </c>
      <c r="AC237" s="19">
        <v>13.0707</v>
      </c>
      <c r="AD237" s="19">
        <v>6.3036000000000003</v>
      </c>
      <c r="AE237" s="19">
        <v>22.103800000000003</v>
      </c>
      <c r="AF237" s="19">
        <v>16.9435</v>
      </c>
      <c r="AG237" s="19">
        <v>8.5283999999999995</v>
      </c>
      <c r="AH237" s="19">
        <v>28.077800000000003</v>
      </c>
      <c r="AI237" s="19">
        <v>0.48409999999999997</v>
      </c>
      <c r="AJ237" s="19">
        <v>0</v>
      </c>
      <c r="AK237" s="19">
        <v>9.5583999999999989</v>
      </c>
      <c r="AL237" s="19">
        <v>4.3569000000000004</v>
      </c>
      <c r="AM237" s="19">
        <v>0.74160000000000004</v>
      </c>
      <c r="AN237" s="19">
        <v>9.5583999999999989</v>
      </c>
      <c r="AO237" s="19">
        <v>13.0707</v>
      </c>
      <c r="AP237" s="19">
        <v>6.3036000000000003</v>
      </c>
      <c r="AQ237" s="19">
        <v>22.103800000000003</v>
      </c>
      <c r="AR237" s="19">
        <v>4.3569000000000004</v>
      </c>
      <c r="AS237" s="19">
        <v>0.74160000000000004</v>
      </c>
      <c r="AT237" s="19">
        <v>9.5583999999999989</v>
      </c>
      <c r="AU237" s="19">
        <v>13.0707</v>
      </c>
      <c r="AV237" s="19">
        <v>6.3036000000000003</v>
      </c>
      <c r="AW237" s="19">
        <v>22.103800000000003</v>
      </c>
      <c r="AX237" s="19">
        <v>16.9435</v>
      </c>
      <c r="AY237" s="19">
        <v>8.5283999999999995</v>
      </c>
      <c r="AZ237" s="19">
        <v>28.077800000000003</v>
      </c>
      <c r="BA237" s="19">
        <v>0.48409999999999997</v>
      </c>
      <c r="BB237" s="19">
        <v>0</v>
      </c>
      <c r="BC237" s="19">
        <v>9.5583999999999989</v>
      </c>
      <c r="BD237" s="19">
        <v>4.3569000000000004</v>
      </c>
      <c r="BE237" s="19">
        <v>0.74160000000000004</v>
      </c>
      <c r="BF237" s="19">
        <v>9.5583999999999989</v>
      </c>
      <c r="BG237" s="19">
        <v>13.0707</v>
      </c>
      <c r="BH237" s="19">
        <v>6.3036000000000003</v>
      </c>
      <c r="BI237" s="19">
        <v>22.103800000000003</v>
      </c>
      <c r="BJ237" s="19">
        <v>4.3569000000000004</v>
      </c>
      <c r="BK237" s="19">
        <v>0.74160000000000004</v>
      </c>
      <c r="BL237" s="19">
        <v>9.5583999999999989</v>
      </c>
      <c r="BM237" s="19">
        <v>13.0707</v>
      </c>
      <c r="BN237" s="19">
        <v>6.3036000000000003</v>
      </c>
      <c r="BO237" s="19">
        <v>22.103800000000003</v>
      </c>
      <c r="BP237" s="19"/>
      <c r="BQ2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8.8751666666666669</v>
      </c>
      <c r="BS2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22.103800000000003</v>
      </c>
      <c r="BT237" s="11">
        <f>Tabelle5897112140[[#This Row],[Mindestauslastung min]]*Tabelle5897112140[[#This Row],[installierte Leistung MW min]]</f>
        <v>4.8204000000000002</v>
      </c>
      <c r="BU237" s="11">
        <f>Tabelle5897112140[[#This Row],[Mindestauslastung durch]]*Tabelle5897112140[[#This Row],[installierte Leistung MW durch]]</f>
        <v>7.261499999999999</v>
      </c>
      <c r="BV237" s="11">
        <f>Tabelle5897112140[[#This Row],[Mindestauslastung max]]*Tabelle5897112140[[#This Row],[installierte Leistung MW max]]</f>
        <v>10.155800000000001</v>
      </c>
      <c r="BW237" s="9">
        <v>0.13</v>
      </c>
      <c r="BX237" s="9">
        <v>0.15</v>
      </c>
      <c r="BY237" s="9">
        <v>0.17</v>
      </c>
      <c r="BZ237" s="9"/>
      <c r="CA237" s="9">
        <v>0.5</v>
      </c>
      <c r="CB237" s="9">
        <v>0.4</v>
      </c>
      <c r="CC237" s="9">
        <v>0.6</v>
      </c>
      <c r="CD237" s="9">
        <v>0.24</v>
      </c>
      <c r="CE237" s="9">
        <v>0.19</v>
      </c>
      <c r="CF237" s="9">
        <v>0.28999999999999998</v>
      </c>
      <c r="CG237" s="9">
        <v>0.24</v>
      </c>
      <c r="CH237" s="9">
        <v>0.19</v>
      </c>
      <c r="CI237" s="9">
        <v>0.28999999999999998</v>
      </c>
      <c r="CJ237" s="9">
        <v>0.5</v>
      </c>
      <c r="CK237" s="9">
        <v>0.4</v>
      </c>
      <c r="CL237" s="9">
        <v>0.6</v>
      </c>
      <c r="CM237" s="9">
        <v>0.24</v>
      </c>
      <c r="CN237" s="9">
        <v>0.19</v>
      </c>
      <c r="CO237" s="9">
        <v>0.28999999999999998</v>
      </c>
      <c r="CP237" s="9">
        <v>0.24</v>
      </c>
      <c r="CQ237" s="9">
        <v>0.19</v>
      </c>
      <c r="CR237" s="9">
        <v>0.28999999999999998</v>
      </c>
      <c r="CS237" s="9">
        <v>0.5</v>
      </c>
      <c r="CT237" s="9">
        <v>0.4</v>
      </c>
      <c r="CU237" s="9">
        <v>0.6</v>
      </c>
      <c r="CV237" s="9">
        <v>0.24</v>
      </c>
      <c r="CW237" s="9">
        <v>0.19</v>
      </c>
      <c r="CX237" s="9">
        <v>0.28999999999999998</v>
      </c>
      <c r="CY237" s="9">
        <v>0.24</v>
      </c>
      <c r="CZ237" s="9">
        <v>0.19</v>
      </c>
      <c r="DA237" s="9">
        <v>0.28999999999999998</v>
      </c>
      <c r="DB237" s="9">
        <f>MIN(Tabelle5897112140[[#This Row],[Durchschnittsauslastung durch Sommer WTT]:[Durchschnittsauslastung max Winter SFN]])</f>
        <v>0.19</v>
      </c>
      <c r="DC2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7" s="9">
        <f>MAX(Tabelle5897112140[[#This Row],[Durchschnittsauslastung durch Sommer WTT]:[Durchschnittsauslastung max Winter SFN]])</f>
        <v>0.6</v>
      </c>
      <c r="DE237" s="40">
        <f>Tabelle5897112140[[#This Row],[Durchschnittsauslastung min]]*Tabelle5897112140[[#This Row],[installierte Leistung MW min]]</f>
        <v>7.0451999999999995</v>
      </c>
      <c r="DF237" s="40">
        <f>Tabelle5897112140[[#This Row],[Durchschnittsauslastung durch]]*Tabelle5897112140[[#This Row],[installierte Leistung MW durch]]</f>
        <v>15.813933333333335</v>
      </c>
      <c r="DG237" s="40">
        <f>Tabelle5897112140[[#This Row],[Durchschnittsauslastung max]]*Tabelle5897112140[[#This Row],[installierte Leistung MW max]]</f>
        <v>35.844000000000001</v>
      </c>
      <c r="DH237" s="46">
        <f>Tabelle5897112140[[#This Row],[Maximalauslastung min]]*Tabelle5897112140[[#This Row],[installierte Leistung MW min]]</f>
        <v>17.056799999999999</v>
      </c>
      <c r="DI237" s="46">
        <f>Tabelle5897112140[[#This Row],[Maximalauslastung durch]]*Tabelle5897112140[[#This Row],[installierte Leistung MW durch]]</f>
        <v>24.6891</v>
      </c>
      <c r="DJ237" s="19">
        <f>Tabelle5897112140[[#This Row],[Maximalauslastung max]]*Tabelle5897112140[[#This Row],[installierte Leistung MW durch]]</f>
        <v>27.1096</v>
      </c>
      <c r="DK237" s="9">
        <v>0.46</v>
      </c>
      <c r="DL237" s="9">
        <v>0.51</v>
      </c>
      <c r="DM237" s="9">
        <v>0.56000000000000005</v>
      </c>
      <c r="DN237" s="1">
        <v>48.41</v>
      </c>
      <c r="DO237" s="1">
        <v>37.08</v>
      </c>
      <c r="DP237" s="1">
        <v>59.74</v>
      </c>
      <c r="DQ237" s="19"/>
      <c r="DR237" s="19"/>
      <c r="DW237" s="1">
        <v>1.1000000000000001</v>
      </c>
      <c r="DX237" s="1">
        <v>0.8</v>
      </c>
      <c r="DY237" s="1">
        <v>1.4</v>
      </c>
      <c r="EL237" s="1">
        <v>365</v>
      </c>
      <c r="EM237" s="1">
        <v>292</v>
      </c>
      <c r="EN237" s="1">
        <v>438</v>
      </c>
      <c r="EO237" s="11"/>
      <c r="EP237" s="11"/>
      <c r="EQ237" s="11"/>
      <c r="ER237" s="1">
        <v>365</v>
      </c>
      <c r="ES237" s="1">
        <v>292</v>
      </c>
      <c r="ET237" s="1">
        <v>438</v>
      </c>
      <c r="EV237" s="19"/>
      <c r="EW237" s="19"/>
      <c r="EX237" s="19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O237" s="1">
        <v>67</v>
      </c>
      <c r="FP237" s="1">
        <v>67</v>
      </c>
      <c r="FQ237" s="1">
        <v>67</v>
      </c>
      <c r="FR237" s="13" t="s">
        <v>806</v>
      </c>
      <c r="FS237" s="13" t="s">
        <v>806</v>
      </c>
      <c r="FT237" s="13" t="s">
        <v>806</v>
      </c>
      <c r="FU237" s="13"/>
      <c r="FV237" s="13" t="s">
        <v>806</v>
      </c>
      <c r="FW237" s="13" t="s">
        <v>806</v>
      </c>
      <c r="FX237" s="13" t="s">
        <v>806</v>
      </c>
      <c r="FY237" s="13" t="s">
        <v>806</v>
      </c>
      <c r="FZ237" s="13" t="s">
        <v>806</v>
      </c>
      <c r="GA237" s="13" t="s">
        <v>806</v>
      </c>
      <c r="GB237" s="13" t="s">
        <v>806</v>
      </c>
      <c r="GE237" s="13" t="s">
        <v>806</v>
      </c>
      <c r="GF237" s="13" t="s">
        <v>806</v>
      </c>
      <c r="GH237" s="13" t="s">
        <v>806</v>
      </c>
    </row>
    <row r="238" spans="1:190" x14ac:dyDescent="0.25">
      <c r="A238" s="1" t="s">
        <v>208</v>
      </c>
      <c r="B238" s="1" t="s">
        <v>651</v>
      </c>
      <c r="C238" s="1" t="s">
        <v>666</v>
      </c>
      <c r="D238" s="1" t="s">
        <v>703</v>
      </c>
      <c r="E238" s="1" t="s">
        <v>126</v>
      </c>
      <c r="F238" s="1">
        <v>0</v>
      </c>
      <c r="G238" s="1">
        <v>2035</v>
      </c>
      <c r="H238" s="1">
        <v>1</v>
      </c>
      <c r="I238" s="1">
        <v>0</v>
      </c>
      <c r="J238" s="1">
        <v>0</v>
      </c>
      <c r="K23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0.75600000000000001</v>
      </c>
      <c r="L23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8.7185000000000006</v>
      </c>
      <c r="M23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28.623000000000001</v>
      </c>
      <c r="N238" s="19">
        <v>17.272500000000001</v>
      </c>
      <c r="O238" s="19">
        <v>8.6939999999999991</v>
      </c>
      <c r="P238" s="19">
        <v>28.623000000000001</v>
      </c>
      <c r="Q238" s="19">
        <v>0.49349999999999999</v>
      </c>
      <c r="R238" s="19">
        <v>0</v>
      </c>
      <c r="S238" s="19">
        <v>9.7439999999999998</v>
      </c>
      <c r="T238" s="19">
        <v>4.4415000000000004</v>
      </c>
      <c r="U238" s="19">
        <v>0.75600000000000001</v>
      </c>
      <c r="V238" s="19">
        <v>9.7439999999999998</v>
      </c>
      <c r="W238" s="19">
        <v>13.3245</v>
      </c>
      <c r="X238" s="19">
        <v>6.4260000000000002</v>
      </c>
      <c r="Y238" s="19">
        <v>22.533000000000001</v>
      </c>
      <c r="Z238" s="19">
        <v>4.4415000000000004</v>
      </c>
      <c r="AA238" s="19">
        <v>0.75600000000000001</v>
      </c>
      <c r="AB238" s="19">
        <v>9.7439999999999998</v>
      </c>
      <c r="AC238" s="19">
        <v>13.3245</v>
      </c>
      <c r="AD238" s="19">
        <v>6.4260000000000002</v>
      </c>
      <c r="AE238" s="19">
        <v>22.533000000000001</v>
      </c>
      <c r="AF238" s="19">
        <v>17.272500000000001</v>
      </c>
      <c r="AG238" s="19">
        <v>8.6939999999999991</v>
      </c>
      <c r="AH238" s="19">
        <v>28.623000000000001</v>
      </c>
      <c r="AI238" s="19">
        <v>0.49349999999999999</v>
      </c>
      <c r="AJ238" s="19">
        <v>0</v>
      </c>
      <c r="AK238" s="19">
        <v>9.7439999999999998</v>
      </c>
      <c r="AL238" s="19">
        <v>4.4415000000000004</v>
      </c>
      <c r="AM238" s="19">
        <v>0.75600000000000001</v>
      </c>
      <c r="AN238" s="19">
        <v>9.7439999999999998</v>
      </c>
      <c r="AO238" s="19">
        <v>13.3245</v>
      </c>
      <c r="AP238" s="19">
        <v>6.4260000000000002</v>
      </c>
      <c r="AQ238" s="19">
        <v>22.533000000000001</v>
      </c>
      <c r="AR238" s="19">
        <v>4.4415000000000004</v>
      </c>
      <c r="AS238" s="19">
        <v>0.75600000000000001</v>
      </c>
      <c r="AT238" s="19">
        <v>9.7439999999999998</v>
      </c>
      <c r="AU238" s="19">
        <v>13.3245</v>
      </c>
      <c r="AV238" s="19">
        <v>6.4260000000000002</v>
      </c>
      <c r="AW238" s="19">
        <v>22.533000000000001</v>
      </c>
      <c r="AX238" s="19">
        <v>17.272500000000001</v>
      </c>
      <c r="AY238" s="19">
        <v>8.6939999999999991</v>
      </c>
      <c r="AZ238" s="19">
        <v>28.623000000000001</v>
      </c>
      <c r="BA238" s="19">
        <v>0.49349999999999999</v>
      </c>
      <c r="BB238" s="19">
        <v>0</v>
      </c>
      <c r="BC238" s="19">
        <v>9.7439999999999998</v>
      </c>
      <c r="BD238" s="19">
        <v>4.4415000000000004</v>
      </c>
      <c r="BE238" s="19">
        <v>0.75600000000000001</v>
      </c>
      <c r="BF238" s="19">
        <v>9.7439999999999998</v>
      </c>
      <c r="BG238" s="19">
        <v>13.3245</v>
      </c>
      <c r="BH238" s="19">
        <v>6.4260000000000002</v>
      </c>
      <c r="BI238" s="19">
        <v>22.533000000000001</v>
      </c>
      <c r="BJ238" s="19">
        <v>4.4415000000000004</v>
      </c>
      <c r="BK238" s="19">
        <v>0.75600000000000001</v>
      </c>
      <c r="BL238" s="19">
        <v>9.7439999999999998</v>
      </c>
      <c r="BM238" s="19">
        <v>13.3245</v>
      </c>
      <c r="BN238" s="19">
        <v>6.4260000000000002</v>
      </c>
      <c r="BO238" s="19">
        <v>22.533000000000001</v>
      </c>
      <c r="BP238" s="19"/>
      <c r="BQ23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9.0474999999999994</v>
      </c>
      <c r="BS23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22.533000000000001</v>
      </c>
      <c r="BT238" s="11">
        <f>Tabelle5897112140[[#This Row],[Mindestauslastung min]]*Tabelle5897112140[[#This Row],[installierte Leistung MW min]]</f>
        <v>4.9139999999999997</v>
      </c>
      <c r="BU238" s="11">
        <f>Tabelle5897112140[[#This Row],[Mindestauslastung durch]]*Tabelle5897112140[[#This Row],[installierte Leistung MW durch]]</f>
        <v>7.4024999999999999</v>
      </c>
      <c r="BV238" s="11">
        <f>Tabelle5897112140[[#This Row],[Mindestauslastung max]]*Tabelle5897112140[[#This Row],[installierte Leistung MW max]]</f>
        <v>10.353</v>
      </c>
      <c r="BW238" s="9">
        <v>0.13</v>
      </c>
      <c r="BX238" s="9">
        <v>0.15</v>
      </c>
      <c r="BY238" s="9">
        <v>0.17</v>
      </c>
      <c r="BZ238" s="9"/>
      <c r="CA238" s="9">
        <v>0.5</v>
      </c>
      <c r="CB238" s="9">
        <v>0.4</v>
      </c>
      <c r="CC238" s="9">
        <v>0.6</v>
      </c>
      <c r="CD238" s="9">
        <v>0.24</v>
      </c>
      <c r="CE238" s="9">
        <v>0.19</v>
      </c>
      <c r="CF238" s="9">
        <v>0.28999999999999998</v>
      </c>
      <c r="CG238" s="9">
        <v>0.24</v>
      </c>
      <c r="CH238" s="9">
        <v>0.19</v>
      </c>
      <c r="CI238" s="9">
        <v>0.28999999999999998</v>
      </c>
      <c r="CJ238" s="9">
        <v>0.5</v>
      </c>
      <c r="CK238" s="9">
        <v>0.4</v>
      </c>
      <c r="CL238" s="9">
        <v>0.6</v>
      </c>
      <c r="CM238" s="9">
        <v>0.24</v>
      </c>
      <c r="CN238" s="9">
        <v>0.19</v>
      </c>
      <c r="CO238" s="9">
        <v>0.28999999999999998</v>
      </c>
      <c r="CP238" s="9">
        <v>0.24</v>
      </c>
      <c r="CQ238" s="9">
        <v>0.19</v>
      </c>
      <c r="CR238" s="9">
        <v>0.28999999999999998</v>
      </c>
      <c r="CS238" s="9">
        <v>0.5</v>
      </c>
      <c r="CT238" s="9">
        <v>0.4</v>
      </c>
      <c r="CU238" s="9">
        <v>0.6</v>
      </c>
      <c r="CV238" s="9">
        <v>0.24</v>
      </c>
      <c r="CW238" s="9">
        <v>0.19</v>
      </c>
      <c r="CX238" s="9">
        <v>0.28999999999999998</v>
      </c>
      <c r="CY238" s="9">
        <v>0.24</v>
      </c>
      <c r="CZ238" s="9">
        <v>0.19</v>
      </c>
      <c r="DA238" s="9">
        <v>0.28999999999999998</v>
      </c>
      <c r="DB238" s="9">
        <f>MIN(Tabelle5897112140[[#This Row],[Durchschnittsauslastung durch Sommer WTT]:[Durchschnittsauslastung max Winter SFN]])</f>
        <v>0.19</v>
      </c>
      <c r="DC23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8" s="9">
        <f>MAX(Tabelle5897112140[[#This Row],[Durchschnittsauslastung durch Sommer WTT]:[Durchschnittsauslastung max Winter SFN]])</f>
        <v>0.6</v>
      </c>
      <c r="DE238" s="40">
        <f>Tabelle5897112140[[#This Row],[Durchschnittsauslastung min]]*Tabelle5897112140[[#This Row],[installierte Leistung MW min]]</f>
        <v>7.1819999999999995</v>
      </c>
      <c r="DF238" s="40">
        <f>Tabelle5897112140[[#This Row],[Durchschnittsauslastung durch]]*Tabelle5897112140[[#This Row],[installierte Leistung MW durch]]</f>
        <v>16.121000000000002</v>
      </c>
      <c r="DG238" s="40">
        <f>Tabelle5897112140[[#This Row],[Durchschnittsauslastung max]]*Tabelle5897112140[[#This Row],[installierte Leistung MW max]]</f>
        <v>36.54</v>
      </c>
      <c r="DH238" s="46">
        <f>Tabelle5897112140[[#This Row],[Maximalauslastung min]]*Tabelle5897112140[[#This Row],[installierte Leistung MW min]]</f>
        <v>17.387999999999998</v>
      </c>
      <c r="DI238" s="46">
        <f>Tabelle5897112140[[#This Row],[Maximalauslastung durch]]*Tabelle5897112140[[#This Row],[installierte Leistung MW durch]]</f>
        <v>25.168500000000002</v>
      </c>
      <c r="DJ238" s="19">
        <f>Tabelle5897112140[[#This Row],[Maximalauslastung max]]*Tabelle5897112140[[#This Row],[installierte Leistung MW durch]]</f>
        <v>27.636000000000003</v>
      </c>
      <c r="DK238" s="9">
        <v>0.46</v>
      </c>
      <c r="DL238" s="9">
        <v>0.51</v>
      </c>
      <c r="DM238" s="9">
        <v>0.56000000000000005</v>
      </c>
      <c r="DN238" s="1">
        <v>49.35</v>
      </c>
      <c r="DO238" s="1">
        <v>37.799999999999997</v>
      </c>
      <c r="DP238" s="1">
        <v>60.9</v>
      </c>
      <c r="DQ238" s="19"/>
      <c r="DR238" s="19"/>
      <c r="DW238" s="1">
        <v>1.1000000000000001</v>
      </c>
      <c r="DX238" s="1">
        <v>0.8</v>
      </c>
      <c r="DY238" s="1">
        <v>1.4</v>
      </c>
      <c r="EL238" s="1">
        <v>365</v>
      </c>
      <c r="EM238" s="1">
        <v>292</v>
      </c>
      <c r="EN238" s="1">
        <v>438</v>
      </c>
      <c r="EO238" s="11"/>
      <c r="EP238" s="11"/>
      <c r="EQ238" s="11"/>
      <c r="ER238" s="1">
        <v>365</v>
      </c>
      <c r="ES238" s="1">
        <v>292</v>
      </c>
      <c r="ET238" s="1">
        <v>438</v>
      </c>
      <c r="EV238" s="19"/>
      <c r="EW238" s="19"/>
      <c r="EX238" s="19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O238" s="1">
        <v>67</v>
      </c>
      <c r="FP238" s="1">
        <v>67</v>
      </c>
      <c r="FQ238" s="1">
        <v>67</v>
      </c>
      <c r="FR238" s="13" t="s">
        <v>806</v>
      </c>
      <c r="FS238" s="13" t="s">
        <v>806</v>
      </c>
      <c r="FT238" s="13" t="s">
        <v>806</v>
      </c>
      <c r="FU238" s="13"/>
      <c r="FV238" s="13" t="s">
        <v>806</v>
      </c>
      <c r="FW238" s="13" t="s">
        <v>806</v>
      </c>
      <c r="FX238" s="13" t="s">
        <v>806</v>
      </c>
      <c r="FY238" s="13" t="s">
        <v>806</v>
      </c>
      <c r="FZ238" s="13" t="s">
        <v>806</v>
      </c>
      <c r="GA238" s="13" t="s">
        <v>806</v>
      </c>
      <c r="GB238" s="13" t="s">
        <v>806</v>
      </c>
      <c r="GE238" s="13" t="s">
        <v>806</v>
      </c>
      <c r="GF238" s="13" t="s">
        <v>806</v>
      </c>
      <c r="GH238" s="13" t="s">
        <v>806</v>
      </c>
    </row>
    <row r="239" spans="1:190" x14ac:dyDescent="0.25">
      <c r="A239" s="1" t="s">
        <v>208</v>
      </c>
      <c r="B239" s="1" t="s">
        <v>651</v>
      </c>
      <c r="C239" s="1" t="s">
        <v>666</v>
      </c>
      <c r="D239" s="1" t="s">
        <v>703</v>
      </c>
      <c r="E239" s="1" t="s">
        <v>126</v>
      </c>
      <c r="F239" s="1">
        <v>0</v>
      </c>
      <c r="G239" s="1">
        <v>2040</v>
      </c>
      <c r="H239" s="1">
        <v>1</v>
      </c>
      <c r="I239" s="1">
        <v>0</v>
      </c>
      <c r="J239" s="1">
        <v>0</v>
      </c>
      <c r="K23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0.76319999999999999</v>
      </c>
      <c r="L23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8.8015333333333334</v>
      </c>
      <c r="M23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28.895600000000002</v>
      </c>
      <c r="N239" s="19">
        <v>17.437000000000001</v>
      </c>
      <c r="O239" s="19">
        <v>8.7767999999999997</v>
      </c>
      <c r="P239" s="19">
        <v>28.895600000000002</v>
      </c>
      <c r="Q239" s="19">
        <v>0.49819999999999998</v>
      </c>
      <c r="R239" s="19">
        <v>0</v>
      </c>
      <c r="S239" s="19">
        <v>9.8368000000000002</v>
      </c>
      <c r="T239" s="19">
        <v>4.4838000000000005</v>
      </c>
      <c r="U239" s="19">
        <v>0.76319999999999999</v>
      </c>
      <c r="V239" s="19">
        <v>9.8368000000000002</v>
      </c>
      <c r="W239" s="19">
        <v>13.4514</v>
      </c>
      <c r="X239" s="19">
        <v>6.4872000000000005</v>
      </c>
      <c r="Y239" s="19">
        <v>22.747600000000002</v>
      </c>
      <c r="Z239" s="19">
        <v>4.4838000000000005</v>
      </c>
      <c r="AA239" s="19">
        <v>0.76319999999999999</v>
      </c>
      <c r="AB239" s="19">
        <v>9.8368000000000002</v>
      </c>
      <c r="AC239" s="19">
        <v>13.4514</v>
      </c>
      <c r="AD239" s="19">
        <v>6.4872000000000005</v>
      </c>
      <c r="AE239" s="19">
        <v>22.747600000000002</v>
      </c>
      <c r="AF239" s="19">
        <v>17.437000000000001</v>
      </c>
      <c r="AG239" s="19">
        <v>8.7767999999999997</v>
      </c>
      <c r="AH239" s="19">
        <v>28.895600000000002</v>
      </c>
      <c r="AI239" s="19">
        <v>0.49819999999999998</v>
      </c>
      <c r="AJ239" s="19">
        <v>0</v>
      </c>
      <c r="AK239" s="19">
        <v>9.8368000000000002</v>
      </c>
      <c r="AL239" s="19">
        <v>4.4838000000000005</v>
      </c>
      <c r="AM239" s="19">
        <v>0.76319999999999999</v>
      </c>
      <c r="AN239" s="19">
        <v>9.8368000000000002</v>
      </c>
      <c r="AO239" s="19">
        <v>13.4514</v>
      </c>
      <c r="AP239" s="19">
        <v>6.4872000000000005</v>
      </c>
      <c r="AQ239" s="19">
        <v>22.747600000000002</v>
      </c>
      <c r="AR239" s="19">
        <v>4.4838000000000005</v>
      </c>
      <c r="AS239" s="19">
        <v>0.76319999999999999</v>
      </c>
      <c r="AT239" s="19">
        <v>9.8368000000000002</v>
      </c>
      <c r="AU239" s="19">
        <v>13.4514</v>
      </c>
      <c r="AV239" s="19">
        <v>6.4872000000000005</v>
      </c>
      <c r="AW239" s="19">
        <v>22.747600000000002</v>
      </c>
      <c r="AX239" s="19">
        <v>17.437000000000001</v>
      </c>
      <c r="AY239" s="19">
        <v>8.7767999999999997</v>
      </c>
      <c r="AZ239" s="19">
        <v>28.895600000000002</v>
      </c>
      <c r="BA239" s="19">
        <v>0.49819999999999998</v>
      </c>
      <c r="BB239" s="19">
        <v>0</v>
      </c>
      <c r="BC239" s="19">
        <v>9.8368000000000002</v>
      </c>
      <c r="BD239" s="19">
        <v>4.4838000000000005</v>
      </c>
      <c r="BE239" s="19">
        <v>0.76319999999999999</v>
      </c>
      <c r="BF239" s="19">
        <v>9.8368000000000002</v>
      </c>
      <c r="BG239" s="19">
        <v>13.4514</v>
      </c>
      <c r="BH239" s="19">
        <v>6.4872000000000005</v>
      </c>
      <c r="BI239" s="19">
        <v>22.747600000000002</v>
      </c>
      <c r="BJ239" s="19">
        <v>4.4838000000000005</v>
      </c>
      <c r="BK239" s="19">
        <v>0.76319999999999999</v>
      </c>
      <c r="BL239" s="19">
        <v>9.8368000000000002</v>
      </c>
      <c r="BM239" s="19">
        <v>13.4514</v>
      </c>
      <c r="BN239" s="19">
        <v>6.4872000000000005</v>
      </c>
      <c r="BO239" s="19">
        <v>22.747600000000002</v>
      </c>
      <c r="BP239" s="19"/>
      <c r="BQ23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9.1336666666666666</v>
      </c>
      <c r="BS23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22.747600000000002</v>
      </c>
      <c r="BT239" s="11">
        <f>Tabelle5897112140[[#This Row],[Mindestauslastung min]]*Tabelle5897112140[[#This Row],[installierte Leistung MW min]]</f>
        <v>4.9607999999999999</v>
      </c>
      <c r="BU239" s="11">
        <f>Tabelle5897112140[[#This Row],[Mindestauslastung durch]]*Tabelle5897112140[[#This Row],[installierte Leistung MW durch]]</f>
        <v>7.4729999999999999</v>
      </c>
      <c r="BV239" s="11">
        <f>Tabelle5897112140[[#This Row],[Mindestauslastung max]]*Tabelle5897112140[[#This Row],[installierte Leistung MW max]]</f>
        <v>10.451600000000001</v>
      </c>
      <c r="BW239" s="9">
        <v>0.13</v>
      </c>
      <c r="BX239" s="9">
        <v>0.15</v>
      </c>
      <c r="BY239" s="9">
        <v>0.17</v>
      </c>
      <c r="BZ239" s="9"/>
      <c r="CA239" s="9">
        <v>0.5</v>
      </c>
      <c r="CB239" s="9">
        <v>0.4</v>
      </c>
      <c r="CC239" s="9">
        <v>0.6</v>
      </c>
      <c r="CD239" s="9">
        <v>0.24</v>
      </c>
      <c r="CE239" s="9">
        <v>0.19</v>
      </c>
      <c r="CF239" s="9">
        <v>0.28999999999999998</v>
      </c>
      <c r="CG239" s="9">
        <v>0.24</v>
      </c>
      <c r="CH239" s="9">
        <v>0.19</v>
      </c>
      <c r="CI239" s="9">
        <v>0.28999999999999998</v>
      </c>
      <c r="CJ239" s="9">
        <v>0.5</v>
      </c>
      <c r="CK239" s="9">
        <v>0.4</v>
      </c>
      <c r="CL239" s="9">
        <v>0.6</v>
      </c>
      <c r="CM239" s="9">
        <v>0.24</v>
      </c>
      <c r="CN239" s="9">
        <v>0.19</v>
      </c>
      <c r="CO239" s="9">
        <v>0.28999999999999998</v>
      </c>
      <c r="CP239" s="9">
        <v>0.24</v>
      </c>
      <c r="CQ239" s="9">
        <v>0.19</v>
      </c>
      <c r="CR239" s="9">
        <v>0.28999999999999998</v>
      </c>
      <c r="CS239" s="9">
        <v>0.5</v>
      </c>
      <c r="CT239" s="9">
        <v>0.4</v>
      </c>
      <c r="CU239" s="9">
        <v>0.6</v>
      </c>
      <c r="CV239" s="9">
        <v>0.24</v>
      </c>
      <c r="CW239" s="9">
        <v>0.19</v>
      </c>
      <c r="CX239" s="9">
        <v>0.28999999999999998</v>
      </c>
      <c r="CY239" s="9">
        <v>0.24</v>
      </c>
      <c r="CZ239" s="9">
        <v>0.19</v>
      </c>
      <c r="DA239" s="9">
        <v>0.28999999999999998</v>
      </c>
      <c r="DB239" s="9">
        <f>MIN(Tabelle5897112140[[#This Row],[Durchschnittsauslastung durch Sommer WTT]:[Durchschnittsauslastung max Winter SFN]])</f>
        <v>0.19</v>
      </c>
      <c r="DC23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9" s="9">
        <f>MAX(Tabelle5897112140[[#This Row],[Durchschnittsauslastung durch Sommer WTT]:[Durchschnittsauslastung max Winter SFN]])</f>
        <v>0.6</v>
      </c>
      <c r="DE239" s="40">
        <f>Tabelle5897112140[[#This Row],[Durchschnittsauslastung min]]*Tabelle5897112140[[#This Row],[installierte Leistung MW min]]</f>
        <v>7.2503999999999991</v>
      </c>
      <c r="DF239" s="40">
        <f>Tabelle5897112140[[#This Row],[Durchschnittsauslastung durch]]*Tabelle5897112140[[#This Row],[installierte Leistung MW durch]]</f>
        <v>16.274533333333334</v>
      </c>
      <c r="DG239" s="40">
        <f>Tabelle5897112140[[#This Row],[Durchschnittsauslastung max]]*Tabelle5897112140[[#This Row],[installierte Leistung MW max]]</f>
        <v>36.887999999999998</v>
      </c>
      <c r="DH239" s="46">
        <f>Tabelle5897112140[[#This Row],[Maximalauslastung min]]*Tabelle5897112140[[#This Row],[installierte Leistung MW min]]</f>
        <v>17.553599999999999</v>
      </c>
      <c r="DI239" s="46">
        <f>Tabelle5897112140[[#This Row],[Maximalauslastung durch]]*Tabelle5897112140[[#This Row],[installierte Leistung MW durch]]</f>
        <v>25.408200000000001</v>
      </c>
      <c r="DJ239" s="19">
        <f>Tabelle5897112140[[#This Row],[Maximalauslastung max]]*Tabelle5897112140[[#This Row],[installierte Leistung MW durch]]</f>
        <v>27.899200000000004</v>
      </c>
      <c r="DK239" s="9">
        <v>0.46</v>
      </c>
      <c r="DL239" s="9">
        <v>0.51</v>
      </c>
      <c r="DM239" s="9">
        <v>0.56000000000000005</v>
      </c>
      <c r="DN239" s="1">
        <v>49.82</v>
      </c>
      <c r="DO239" s="1">
        <v>38.159999999999997</v>
      </c>
      <c r="DP239" s="1">
        <v>61.48</v>
      </c>
      <c r="DQ239" s="19"/>
      <c r="DR239" s="19"/>
      <c r="DW239" s="1">
        <v>1.1000000000000001</v>
      </c>
      <c r="DX239" s="1">
        <v>0.8</v>
      </c>
      <c r="DY239" s="1">
        <v>1.4</v>
      </c>
      <c r="EL239" s="1">
        <v>365</v>
      </c>
      <c r="EM239" s="1">
        <v>292</v>
      </c>
      <c r="EN239" s="1">
        <v>438</v>
      </c>
      <c r="EO239" s="11"/>
      <c r="EP239" s="11"/>
      <c r="EQ239" s="11"/>
      <c r="ER239" s="1">
        <v>365</v>
      </c>
      <c r="ES239" s="1">
        <v>292</v>
      </c>
      <c r="ET239" s="1">
        <v>438</v>
      </c>
      <c r="EV239" s="19"/>
      <c r="EW239" s="19"/>
      <c r="EX239" s="19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O239" s="1">
        <v>67</v>
      </c>
      <c r="FP239" s="1">
        <v>67</v>
      </c>
      <c r="FQ239" s="1">
        <v>67</v>
      </c>
      <c r="FR239" s="13" t="s">
        <v>806</v>
      </c>
      <c r="FS239" s="13" t="s">
        <v>806</v>
      </c>
      <c r="FT239" s="13" t="s">
        <v>806</v>
      </c>
      <c r="FU239" s="13"/>
      <c r="FV239" s="13" t="s">
        <v>806</v>
      </c>
      <c r="FW239" s="13" t="s">
        <v>806</v>
      </c>
      <c r="FX239" s="13" t="s">
        <v>806</v>
      </c>
      <c r="FY239" s="13" t="s">
        <v>806</v>
      </c>
      <c r="FZ239" s="13" t="s">
        <v>806</v>
      </c>
      <c r="GA239" s="13" t="s">
        <v>806</v>
      </c>
      <c r="GB239" s="13" t="s">
        <v>806</v>
      </c>
      <c r="GE239" s="13" t="s">
        <v>806</v>
      </c>
      <c r="GF239" s="13" t="s">
        <v>806</v>
      </c>
      <c r="GH239" s="13" t="s">
        <v>806</v>
      </c>
    </row>
    <row r="240" spans="1:190" x14ac:dyDescent="0.25">
      <c r="A240" s="1" t="s">
        <v>208</v>
      </c>
      <c r="B240" s="1" t="s">
        <v>651</v>
      </c>
      <c r="C240" s="1" t="s">
        <v>666</v>
      </c>
      <c r="D240" s="1" t="s">
        <v>703</v>
      </c>
      <c r="E240" s="1" t="s">
        <v>126</v>
      </c>
      <c r="F240" s="1">
        <v>0</v>
      </c>
      <c r="G240" s="1">
        <v>2045</v>
      </c>
      <c r="H240" s="1">
        <v>1</v>
      </c>
      <c r="I240" s="1">
        <v>0</v>
      </c>
      <c r="J240" s="1">
        <v>0</v>
      </c>
      <c r="K24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0.77039999999999997</v>
      </c>
      <c r="L24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8.8845666666666663</v>
      </c>
      <c r="M24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29.168200000000002</v>
      </c>
      <c r="N240" s="19">
        <v>17.601500000000001</v>
      </c>
      <c r="O240" s="19">
        <v>8.8596000000000004</v>
      </c>
      <c r="P240" s="19">
        <v>29.168200000000002</v>
      </c>
      <c r="Q240" s="19">
        <v>0.50290000000000001</v>
      </c>
      <c r="R240" s="19">
        <v>0</v>
      </c>
      <c r="S240" s="19">
        <v>9.9296000000000006</v>
      </c>
      <c r="T240" s="19">
        <v>4.5261000000000005</v>
      </c>
      <c r="U240" s="19">
        <v>0.77039999999999997</v>
      </c>
      <c r="V240" s="19">
        <v>9.9296000000000006</v>
      </c>
      <c r="W240" s="19">
        <v>13.5783</v>
      </c>
      <c r="X240" s="19">
        <v>6.5484000000000009</v>
      </c>
      <c r="Y240" s="19">
        <v>22.962200000000003</v>
      </c>
      <c r="Z240" s="19">
        <v>4.5261000000000005</v>
      </c>
      <c r="AA240" s="19">
        <v>0.77039999999999997</v>
      </c>
      <c r="AB240" s="19">
        <v>9.9296000000000006</v>
      </c>
      <c r="AC240" s="19">
        <v>13.5783</v>
      </c>
      <c r="AD240" s="19">
        <v>6.5484000000000009</v>
      </c>
      <c r="AE240" s="19">
        <v>22.962200000000003</v>
      </c>
      <c r="AF240" s="19">
        <v>17.601500000000001</v>
      </c>
      <c r="AG240" s="19">
        <v>8.8596000000000004</v>
      </c>
      <c r="AH240" s="19">
        <v>29.168200000000002</v>
      </c>
      <c r="AI240" s="19">
        <v>0.50290000000000001</v>
      </c>
      <c r="AJ240" s="19">
        <v>0</v>
      </c>
      <c r="AK240" s="19">
        <v>9.9296000000000006</v>
      </c>
      <c r="AL240" s="19">
        <v>4.5261000000000005</v>
      </c>
      <c r="AM240" s="19">
        <v>0.77039999999999997</v>
      </c>
      <c r="AN240" s="19">
        <v>9.9296000000000006</v>
      </c>
      <c r="AO240" s="19">
        <v>13.5783</v>
      </c>
      <c r="AP240" s="19">
        <v>6.5484000000000009</v>
      </c>
      <c r="AQ240" s="19">
        <v>22.962200000000003</v>
      </c>
      <c r="AR240" s="19">
        <v>4.5261000000000005</v>
      </c>
      <c r="AS240" s="19">
        <v>0.77039999999999997</v>
      </c>
      <c r="AT240" s="19">
        <v>9.9296000000000006</v>
      </c>
      <c r="AU240" s="19">
        <v>13.5783</v>
      </c>
      <c r="AV240" s="19">
        <v>6.5484000000000009</v>
      </c>
      <c r="AW240" s="19">
        <v>22.962200000000003</v>
      </c>
      <c r="AX240" s="19">
        <v>17.601500000000001</v>
      </c>
      <c r="AY240" s="19">
        <v>8.8596000000000004</v>
      </c>
      <c r="AZ240" s="19">
        <v>29.168200000000002</v>
      </c>
      <c r="BA240" s="19">
        <v>0.50290000000000001</v>
      </c>
      <c r="BB240" s="19">
        <v>0</v>
      </c>
      <c r="BC240" s="19">
        <v>9.9296000000000006</v>
      </c>
      <c r="BD240" s="19">
        <v>4.5261000000000005</v>
      </c>
      <c r="BE240" s="19">
        <v>0.77039999999999997</v>
      </c>
      <c r="BF240" s="19">
        <v>9.9296000000000006</v>
      </c>
      <c r="BG240" s="19">
        <v>13.5783</v>
      </c>
      <c r="BH240" s="19">
        <v>6.5484000000000009</v>
      </c>
      <c r="BI240" s="19">
        <v>22.962200000000003</v>
      </c>
      <c r="BJ240" s="19">
        <v>4.5261000000000005</v>
      </c>
      <c r="BK240" s="19">
        <v>0.77039999999999997</v>
      </c>
      <c r="BL240" s="19">
        <v>9.9296000000000006</v>
      </c>
      <c r="BM240" s="19">
        <v>13.5783</v>
      </c>
      <c r="BN240" s="19">
        <v>6.5484000000000009</v>
      </c>
      <c r="BO240" s="19">
        <v>22.962200000000003</v>
      </c>
      <c r="BP240" s="19"/>
      <c r="BQ24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4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9.2198333333333338</v>
      </c>
      <c r="BS24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22.962200000000003</v>
      </c>
      <c r="BT240" s="11">
        <f>Tabelle5897112140[[#This Row],[Mindestauslastung min]]*Tabelle5897112140[[#This Row],[installierte Leistung MW min]]</f>
        <v>5.0076000000000009</v>
      </c>
      <c r="BU240" s="11">
        <f>Tabelle5897112140[[#This Row],[Mindestauslastung durch]]*Tabelle5897112140[[#This Row],[installierte Leistung MW durch]]</f>
        <v>7.5434999999999999</v>
      </c>
      <c r="BV240" s="11">
        <f>Tabelle5897112140[[#This Row],[Mindestauslastung max]]*Tabelle5897112140[[#This Row],[installierte Leistung MW max]]</f>
        <v>10.550200000000002</v>
      </c>
      <c r="BW240" s="9">
        <v>0.13</v>
      </c>
      <c r="BX240" s="9">
        <v>0.15</v>
      </c>
      <c r="BY240" s="9">
        <v>0.17</v>
      </c>
      <c r="BZ240" s="9"/>
      <c r="CA240" s="9">
        <v>0.5</v>
      </c>
      <c r="CB240" s="9">
        <v>0.4</v>
      </c>
      <c r="CC240" s="9">
        <v>0.6</v>
      </c>
      <c r="CD240" s="9">
        <v>0.24</v>
      </c>
      <c r="CE240" s="9">
        <v>0.19</v>
      </c>
      <c r="CF240" s="9">
        <v>0.28999999999999998</v>
      </c>
      <c r="CG240" s="9">
        <v>0.24</v>
      </c>
      <c r="CH240" s="9">
        <v>0.19</v>
      </c>
      <c r="CI240" s="9">
        <v>0.28999999999999998</v>
      </c>
      <c r="CJ240" s="9">
        <v>0.5</v>
      </c>
      <c r="CK240" s="9">
        <v>0.4</v>
      </c>
      <c r="CL240" s="9">
        <v>0.6</v>
      </c>
      <c r="CM240" s="9">
        <v>0.24</v>
      </c>
      <c r="CN240" s="9">
        <v>0.19</v>
      </c>
      <c r="CO240" s="9">
        <v>0.28999999999999998</v>
      </c>
      <c r="CP240" s="9">
        <v>0.24</v>
      </c>
      <c r="CQ240" s="9">
        <v>0.19</v>
      </c>
      <c r="CR240" s="9">
        <v>0.28999999999999998</v>
      </c>
      <c r="CS240" s="9">
        <v>0.5</v>
      </c>
      <c r="CT240" s="9">
        <v>0.4</v>
      </c>
      <c r="CU240" s="9">
        <v>0.6</v>
      </c>
      <c r="CV240" s="9">
        <v>0.24</v>
      </c>
      <c r="CW240" s="9">
        <v>0.19</v>
      </c>
      <c r="CX240" s="9">
        <v>0.28999999999999998</v>
      </c>
      <c r="CY240" s="9">
        <v>0.24</v>
      </c>
      <c r="CZ240" s="9">
        <v>0.19</v>
      </c>
      <c r="DA240" s="9">
        <v>0.28999999999999998</v>
      </c>
      <c r="DB240" s="9">
        <f>MIN(Tabelle5897112140[[#This Row],[Durchschnittsauslastung durch Sommer WTT]:[Durchschnittsauslastung max Winter SFN]])</f>
        <v>0.19</v>
      </c>
      <c r="DC24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40" s="9">
        <f>MAX(Tabelle5897112140[[#This Row],[Durchschnittsauslastung durch Sommer WTT]:[Durchschnittsauslastung max Winter SFN]])</f>
        <v>0.6</v>
      </c>
      <c r="DE240" s="40">
        <f>Tabelle5897112140[[#This Row],[Durchschnittsauslastung min]]*Tabelle5897112140[[#This Row],[installierte Leistung MW min]]</f>
        <v>7.3188000000000004</v>
      </c>
      <c r="DF240" s="40">
        <f>Tabelle5897112140[[#This Row],[Durchschnittsauslastung durch]]*Tabelle5897112140[[#This Row],[installierte Leistung MW durch]]</f>
        <v>16.42806666666667</v>
      </c>
      <c r="DG240" s="40">
        <f>Tabelle5897112140[[#This Row],[Durchschnittsauslastung max]]*Tabelle5897112140[[#This Row],[installierte Leistung MW max]]</f>
        <v>37.235999999999997</v>
      </c>
      <c r="DH240" s="46">
        <f>Tabelle5897112140[[#This Row],[Maximalauslastung min]]*Tabelle5897112140[[#This Row],[installierte Leistung MW min]]</f>
        <v>17.719200000000001</v>
      </c>
      <c r="DI240" s="46">
        <f>Tabelle5897112140[[#This Row],[Maximalauslastung durch]]*Tabelle5897112140[[#This Row],[installierte Leistung MW durch]]</f>
        <v>25.6479</v>
      </c>
      <c r="DJ240" s="19">
        <f>Tabelle5897112140[[#This Row],[Maximalauslastung max]]*Tabelle5897112140[[#This Row],[installierte Leistung MW durch]]</f>
        <v>28.162400000000002</v>
      </c>
      <c r="DK240" s="9">
        <v>0.46</v>
      </c>
      <c r="DL240" s="9">
        <v>0.51</v>
      </c>
      <c r="DM240" s="9">
        <v>0.56000000000000005</v>
      </c>
      <c r="DN240" s="1">
        <v>50.29</v>
      </c>
      <c r="DO240" s="1">
        <v>38.520000000000003</v>
      </c>
      <c r="DP240" s="1">
        <v>62.06</v>
      </c>
      <c r="DQ240" s="19"/>
      <c r="DR240" s="19"/>
      <c r="DW240" s="1">
        <v>1.1000000000000001</v>
      </c>
      <c r="DX240" s="1">
        <v>0.8</v>
      </c>
      <c r="DY240" s="1">
        <v>1.4</v>
      </c>
      <c r="EL240" s="1">
        <v>365</v>
      </c>
      <c r="EM240" s="1">
        <v>292</v>
      </c>
      <c r="EN240" s="1">
        <v>438</v>
      </c>
      <c r="EO240" s="11"/>
      <c r="EP240" s="11"/>
      <c r="EQ240" s="11"/>
      <c r="ER240" s="1">
        <v>365</v>
      </c>
      <c r="ES240" s="1">
        <v>292</v>
      </c>
      <c r="ET240" s="1">
        <v>438</v>
      </c>
      <c r="EV240" s="19"/>
      <c r="EW240" s="19"/>
      <c r="EX240" s="19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O240" s="1">
        <v>67</v>
      </c>
      <c r="FP240" s="1">
        <v>67</v>
      </c>
      <c r="FQ240" s="1">
        <v>67</v>
      </c>
      <c r="FR240" s="13" t="s">
        <v>806</v>
      </c>
      <c r="FS240" s="13" t="s">
        <v>806</v>
      </c>
      <c r="FT240" s="13" t="s">
        <v>806</v>
      </c>
      <c r="FU240" s="13"/>
      <c r="FV240" s="13" t="s">
        <v>806</v>
      </c>
      <c r="FW240" s="13" t="s">
        <v>806</v>
      </c>
      <c r="FX240" s="13" t="s">
        <v>806</v>
      </c>
      <c r="FY240" s="13" t="s">
        <v>806</v>
      </c>
      <c r="FZ240" s="13" t="s">
        <v>806</v>
      </c>
      <c r="GA240" s="13" t="s">
        <v>806</v>
      </c>
      <c r="GB240" s="13" t="s">
        <v>806</v>
      </c>
      <c r="GE240" s="13" t="s">
        <v>806</v>
      </c>
      <c r="GF240" s="13" t="s">
        <v>806</v>
      </c>
      <c r="GH240" s="13" t="s">
        <v>806</v>
      </c>
    </row>
    <row r="241" spans="1:190" x14ac:dyDescent="0.25">
      <c r="A241" s="1" t="s">
        <v>208</v>
      </c>
      <c r="B241" s="1" t="s">
        <v>651</v>
      </c>
      <c r="C241" s="1" t="s">
        <v>666</v>
      </c>
      <c r="D241" s="1" t="s">
        <v>703</v>
      </c>
      <c r="E241" s="1" t="s">
        <v>126</v>
      </c>
      <c r="F241" s="1">
        <v>0</v>
      </c>
      <c r="G241" s="1">
        <v>2050</v>
      </c>
      <c r="H241" s="1">
        <v>1</v>
      </c>
      <c r="I241" s="1">
        <v>0</v>
      </c>
      <c r="J241" s="1">
        <v>0</v>
      </c>
      <c r="K24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0.78480000000000005</v>
      </c>
      <c r="L24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9.0506333333333338</v>
      </c>
      <c r="M24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29.713400000000004</v>
      </c>
      <c r="N241" s="19">
        <v>17.930500000000002</v>
      </c>
      <c r="O241" s="19">
        <v>9.0251999999999999</v>
      </c>
      <c r="P241" s="19">
        <v>29.713400000000004</v>
      </c>
      <c r="Q241" s="19">
        <v>0.51229999999999998</v>
      </c>
      <c r="R241" s="19">
        <v>0</v>
      </c>
      <c r="S241" s="19">
        <v>10.1152</v>
      </c>
      <c r="T241" s="19">
        <v>4.6107000000000005</v>
      </c>
      <c r="U241" s="19">
        <v>0.78480000000000005</v>
      </c>
      <c r="V241" s="19">
        <v>10.1152</v>
      </c>
      <c r="W241" s="19">
        <v>13.832100000000001</v>
      </c>
      <c r="X241" s="19">
        <v>6.6708000000000007</v>
      </c>
      <c r="Y241" s="19">
        <v>23.391400000000004</v>
      </c>
      <c r="Z241" s="19">
        <v>4.6107000000000005</v>
      </c>
      <c r="AA241" s="19">
        <v>0.78480000000000005</v>
      </c>
      <c r="AB241" s="19">
        <v>10.1152</v>
      </c>
      <c r="AC241" s="19">
        <v>13.832100000000001</v>
      </c>
      <c r="AD241" s="19">
        <v>6.6708000000000007</v>
      </c>
      <c r="AE241" s="19">
        <v>23.391400000000004</v>
      </c>
      <c r="AF241" s="19">
        <v>17.930500000000002</v>
      </c>
      <c r="AG241" s="19">
        <v>9.0251999999999999</v>
      </c>
      <c r="AH241" s="19">
        <v>29.713400000000004</v>
      </c>
      <c r="AI241" s="19">
        <v>0.51229999999999998</v>
      </c>
      <c r="AJ241" s="19">
        <v>0</v>
      </c>
      <c r="AK241" s="19">
        <v>10.1152</v>
      </c>
      <c r="AL241" s="19">
        <v>4.6107000000000005</v>
      </c>
      <c r="AM241" s="19">
        <v>0.78480000000000005</v>
      </c>
      <c r="AN241" s="19">
        <v>10.1152</v>
      </c>
      <c r="AO241" s="19">
        <v>13.832100000000001</v>
      </c>
      <c r="AP241" s="19">
        <v>6.6708000000000007</v>
      </c>
      <c r="AQ241" s="19">
        <v>23.391400000000004</v>
      </c>
      <c r="AR241" s="19">
        <v>4.6107000000000005</v>
      </c>
      <c r="AS241" s="19">
        <v>0.78480000000000005</v>
      </c>
      <c r="AT241" s="19">
        <v>10.1152</v>
      </c>
      <c r="AU241" s="19">
        <v>13.832100000000001</v>
      </c>
      <c r="AV241" s="19">
        <v>6.6708000000000007</v>
      </c>
      <c r="AW241" s="19">
        <v>23.391400000000004</v>
      </c>
      <c r="AX241" s="19">
        <v>17.930500000000002</v>
      </c>
      <c r="AY241" s="19">
        <v>9.0251999999999999</v>
      </c>
      <c r="AZ241" s="19">
        <v>29.713400000000004</v>
      </c>
      <c r="BA241" s="19">
        <v>0.51229999999999998</v>
      </c>
      <c r="BB241" s="19">
        <v>0</v>
      </c>
      <c r="BC241" s="19">
        <v>10.1152</v>
      </c>
      <c r="BD241" s="19">
        <v>4.6107000000000005</v>
      </c>
      <c r="BE241" s="19">
        <v>0.78480000000000005</v>
      </c>
      <c r="BF241" s="19">
        <v>10.1152</v>
      </c>
      <c r="BG241" s="19">
        <v>13.832100000000001</v>
      </c>
      <c r="BH241" s="19">
        <v>6.6708000000000007</v>
      </c>
      <c r="BI241" s="19">
        <v>23.391400000000004</v>
      </c>
      <c r="BJ241" s="19">
        <v>4.6107000000000005</v>
      </c>
      <c r="BK241" s="19">
        <v>0.78480000000000005</v>
      </c>
      <c r="BL241" s="19">
        <v>10.1152</v>
      </c>
      <c r="BM241" s="19">
        <v>13.832100000000001</v>
      </c>
      <c r="BN241" s="19">
        <v>6.6708000000000007</v>
      </c>
      <c r="BO241" s="19">
        <v>23.391400000000004</v>
      </c>
      <c r="BP241" s="19"/>
      <c r="BQ24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4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9.3921666666666663</v>
      </c>
      <c r="BS24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23.391400000000004</v>
      </c>
      <c r="BT241" s="11">
        <f>Tabelle5897112140[[#This Row],[Mindestauslastung min]]*Tabelle5897112140[[#This Row],[installierte Leistung MW min]]</f>
        <v>5.1012000000000004</v>
      </c>
      <c r="BU241" s="11">
        <f>Tabelle5897112140[[#This Row],[Mindestauslastung durch]]*Tabelle5897112140[[#This Row],[installierte Leistung MW durch]]</f>
        <v>7.684499999999999</v>
      </c>
      <c r="BV241" s="11">
        <f>Tabelle5897112140[[#This Row],[Mindestauslastung max]]*Tabelle5897112140[[#This Row],[installierte Leistung MW max]]</f>
        <v>10.747400000000001</v>
      </c>
      <c r="BW241" s="9">
        <v>0.13</v>
      </c>
      <c r="BX241" s="9">
        <v>0.15</v>
      </c>
      <c r="BY241" s="9">
        <v>0.17</v>
      </c>
      <c r="BZ241" s="9"/>
      <c r="CA241" s="9">
        <v>0.5</v>
      </c>
      <c r="CB241" s="9">
        <v>0.4</v>
      </c>
      <c r="CC241" s="9">
        <v>0.6</v>
      </c>
      <c r="CD241" s="9">
        <v>0.24</v>
      </c>
      <c r="CE241" s="9">
        <v>0.19</v>
      </c>
      <c r="CF241" s="9">
        <v>0.28999999999999998</v>
      </c>
      <c r="CG241" s="9">
        <v>0.24</v>
      </c>
      <c r="CH241" s="9">
        <v>0.19</v>
      </c>
      <c r="CI241" s="9">
        <v>0.28999999999999998</v>
      </c>
      <c r="CJ241" s="9">
        <v>0.5</v>
      </c>
      <c r="CK241" s="9">
        <v>0.4</v>
      </c>
      <c r="CL241" s="9">
        <v>0.6</v>
      </c>
      <c r="CM241" s="9">
        <v>0.24</v>
      </c>
      <c r="CN241" s="9">
        <v>0.19</v>
      </c>
      <c r="CO241" s="9">
        <v>0.28999999999999998</v>
      </c>
      <c r="CP241" s="9">
        <v>0.24</v>
      </c>
      <c r="CQ241" s="9">
        <v>0.19</v>
      </c>
      <c r="CR241" s="9">
        <v>0.28999999999999998</v>
      </c>
      <c r="CS241" s="9">
        <v>0.5</v>
      </c>
      <c r="CT241" s="9">
        <v>0.4</v>
      </c>
      <c r="CU241" s="9">
        <v>0.6</v>
      </c>
      <c r="CV241" s="9">
        <v>0.24</v>
      </c>
      <c r="CW241" s="9">
        <v>0.19</v>
      </c>
      <c r="CX241" s="9">
        <v>0.28999999999999998</v>
      </c>
      <c r="CY241" s="9">
        <v>0.24</v>
      </c>
      <c r="CZ241" s="9">
        <v>0.19</v>
      </c>
      <c r="DA241" s="9">
        <v>0.28999999999999998</v>
      </c>
      <c r="DB241" s="9">
        <f>MIN(Tabelle5897112140[[#This Row],[Durchschnittsauslastung durch Sommer WTT]:[Durchschnittsauslastung max Winter SFN]])</f>
        <v>0.19</v>
      </c>
      <c r="DC24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41" s="9">
        <f>MAX(Tabelle5897112140[[#This Row],[Durchschnittsauslastung durch Sommer WTT]:[Durchschnittsauslastung max Winter SFN]])</f>
        <v>0.6</v>
      </c>
      <c r="DE241" s="40">
        <f>Tabelle5897112140[[#This Row],[Durchschnittsauslastung min]]*Tabelle5897112140[[#This Row],[installierte Leistung MW min]]</f>
        <v>7.4556000000000004</v>
      </c>
      <c r="DF241" s="40">
        <f>Tabelle5897112140[[#This Row],[Durchschnittsauslastung durch]]*Tabelle5897112140[[#This Row],[installierte Leistung MW durch]]</f>
        <v>16.735133333333334</v>
      </c>
      <c r="DG241" s="40">
        <f>Tabelle5897112140[[#This Row],[Durchschnittsauslastung max]]*Tabelle5897112140[[#This Row],[installierte Leistung MW max]]</f>
        <v>37.931999999999995</v>
      </c>
      <c r="DH241" s="46">
        <f>Tabelle5897112140[[#This Row],[Maximalauslastung min]]*Tabelle5897112140[[#This Row],[installierte Leistung MW min]]</f>
        <v>18.050400000000003</v>
      </c>
      <c r="DI241" s="46">
        <f>Tabelle5897112140[[#This Row],[Maximalauslastung durch]]*Tabelle5897112140[[#This Row],[installierte Leistung MW durch]]</f>
        <v>26.127299999999998</v>
      </c>
      <c r="DJ241" s="19">
        <f>Tabelle5897112140[[#This Row],[Maximalauslastung max]]*Tabelle5897112140[[#This Row],[installierte Leistung MW durch]]</f>
        <v>28.688800000000001</v>
      </c>
      <c r="DK241" s="9">
        <v>0.46</v>
      </c>
      <c r="DL241" s="9">
        <v>0.51</v>
      </c>
      <c r="DM241" s="9">
        <v>0.56000000000000005</v>
      </c>
      <c r="DN241" s="1">
        <v>51.23</v>
      </c>
      <c r="DO241" s="1">
        <v>39.24</v>
      </c>
      <c r="DP241" s="1">
        <v>63.22</v>
      </c>
      <c r="DQ241" s="19"/>
      <c r="DR241" s="19"/>
      <c r="DW241" s="1">
        <v>1.1000000000000001</v>
      </c>
      <c r="DX241" s="1">
        <v>0.8</v>
      </c>
      <c r="DY241" s="1">
        <v>1.4</v>
      </c>
      <c r="EL241" s="1">
        <v>365</v>
      </c>
      <c r="EM241" s="1">
        <v>292</v>
      </c>
      <c r="EN241" s="1">
        <v>438</v>
      </c>
      <c r="EO241" s="11"/>
      <c r="EP241" s="11"/>
      <c r="EQ241" s="11"/>
      <c r="ER241" s="1">
        <v>365</v>
      </c>
      <c r="ES241" s="1">
        <v>292</v>
      </c>
      <c r="ET241" s="1">
        <v>438</v>
      </c>
      <c r="EV241" s="19"/>
      <c r="EW241" s="19"/>
      <c r="EX241" s="19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O241" s="1">
        <v>67</v>
      </c>
      <c r="FP241" s="1">
        <v>67</v>
      </c>
      <c r="FQ241" s="1">
        <v>67</v>
      </c>
      <c r="FR241" s="13" t="s">
        <v>806</v>
      </c>
      <c r="FS241" s="13" t="s">
        <v>806</v>
      </c>
      <c r="FT241" s="13" t="s">
        <v>806</v>
      </c>
      <c r="FU241" s="13"/>
      <c r="FV241" s="13" t="s">
        <v>806</v>
      </c>
      <c r="FW241" s="13" t="s">
        <v>806</v>
      </c>
      <c r="FX241" s="13" t="s">
        <v>806</v>
      </c>
      <c r="FY241" s="13" t="s">
        <v>806</v>
      </c>
      <c r="FZ241" s="13" t="s">
        <v>806</v>
      </c>
      <c r="GA241" s="13" t="s">
        <v>806</v>
      </c>
      <c r="GB241" s="13" t="s">
        <v>806</v>
      </c>
      <c r="GE241" s="13" t="s">
        <v>806</v>
      </c>
      <c r="GF241" s="13" t="s">
        <v>806</v>
      </c>
      <c r="GH241" s="13" t="s">
        <v>806</v>
      </c>
    </row>
    <row r="242" spans="1:190" x14ac:dyDescent="0.25">
      <c r="A242" s="1" t="s">
        <v>654</v>
      </c>
      <c r="B242" s="1" t="s">
        <v>654</v>
      </c>
      <c r="C242" s="1" t="s">
        <v>667</v>
      </c>
      <c r="D242" s="1" t="s">
        <v>704</v>
      </c>
      <c r="E242" s="1" t="s">
        <v>127</v>
      </c>
      <c r="F242" s="1">
        <v>0</v>
      </c>
      <c r="G242" s="1">
        <v>2015</v>
      </c>
      <c r="H242" s="1">
        <v>1</v>
      </c>
      <c r="I242" s="1">
        <v>0</v>
      </c>
      <c r="J242" s="1">
        <v>0</v>
      </c>
      <c r="K24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2" s="19">
        <v>32.299999999999997</v>
      </c>
      <c r="O242" s="19">
        <v>21.6</v>
      </c>
      <c r="P242" s="19">
        <v>44.1</v>
      </c>
      <c r="Q242" s="19">
        <v>5.7</v>
      </c>
      <c r="R242" s="19">
        <v>2.7</v>
      </c>
      <c r="S242" s="19">
        <v>9.8000000000000007</v>
      </c>
      <c r="T242" s="19">
        <v>24.32</v>
      </c>
      <c r="U242" s="19">
        <v>15.93</v>
      </c>
      <c r="V242" s="19">
        <v>33.81</v>
      </c>
      <c r="W242" s="19">
        <v>13.68</v>
      </c>
      <c r="X242" s="19">
        <v>8.3699999999999992</v>
      </c>
      <c r="Y242" s="19">
        <v>20.09</v>
      </c>
      <c r="Z242" s="19">
        <v>14.44</v>
      </c>
      <c r="AA242" s="19">
        <v>8.91</v>
      </c>
      <c r="AB242" s="19">
        <v>21.07</v>
      </c>
      <c r="AC242" s="19">
        <v>23.56</v>
      </c>
      <c r="AD242" s="19">
        <v>15.39</v>
      </c>
      <c r="AE242" s="19">
        <v>32.83</v>
      </c>
      <c r="AF242" s="19">
        <v>32.299999999999997</v>
      </c>
      <c r="AG242" s="19">
        <v>21.6</v>
      </c>
      <c r="AH242" s="19">
        <v>44.1</v>
      </c>
      <c r="AI242" s="19">
        <v>5.7</v>
      </c>
      <c r="AJ242" s="19">
        <v>2.7</v>
      </c>
      <c r="AK242" s="19">
        <v>9.8000000000000007</v>
      </c>
      <c r="AL242" s="19">
        <v>24.32</v>
      </c>
      <c r="AM242" s="19">
        <v>15.93</v>
      </c>
      <c r="AN242" s="19">
        <v>33.81</v>
      </c>
      <c r="AO242" s="19">
        <v>13.68</v>
      </c>
      <c r="AP242" s="19">
        <v>8.3699999999999992</v>
      </c>
      <c r="AQ242" s="19">
        <v>20.09</v>
      </c>
      <c r="AR242" s="19">
        <v>14.44</v>
      </c>
      <c r="AS242" s="19">
        <v>8.91</v>
      </c>
      <c r="AT242" s="19">
        <v>21.07</v>
      </c>
      <c r="AU242" s="19">
        <v>23.56</v>
      </c>
      <c r="AV242" s="19">
        <v>15.39</v>
      </c>
      <c r="AW242" s="19">
        <v>32.83</v>
      </c>
      <c r="AX242" s="19">
        <v>32.299999999999997</v>
      </c>
      <c r="AY242" s="19">
        <v>21.6</v>
      </c>
      <c r="AZ242" s="19">
        <v>44.1</v>
      </c>
      <c r="BA242" s="19">
        <v>5.7</v>
      </c>
      <c r="BB242" s="19">
        <v>2.7</v>
      </c>
      <c r="BC242" s="19">
        <v>9.8000000000000007</v>
      </c>
      <c r="BD242" s="19">
        <v>24.32</v>
      </c>
      <c r="BE242" s="19">
        <v>15.93</v>
      </c>
      <c r="BF242" s="19">
        <v>33.81</v>
      </c>
      <c r="BG242" s="19">
        <v>13.68</v>
      </c>
      <c r="BH242" s="19">
        <v>8.3699999999999992</v>
      </c>
      <c r="BI242" s="19">
        <v>20.09</v>
      </c>
      <c r="BJ242" s="19">
        <v>14.44</v>
      </c>
      <c r="BK242" s="19">
        <v>8.91</v>
      </c>
      <c r="BL242" s="19">
        <v>21.07</v>
      </c>
      <c r="BM242" s="19">
        <v>23.56</v>
      </c>
      <c r="BN242" s="19">
        <v>15.39</v>
      </c>
      <c r="BO242" s="19">
        <v>32.83</v>
      </c>
      <c r="BP242" s="19"/>
      <c r="BQ24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2" s="11">
        <f>Tabelle5897112140[[#This Row],[Mindestauslastung min]]*Tabelle5897112140[[#This Row],[installierte Leistung MW min]]</f>
        <v>1.35</v>
      </c>
      <c r="BU242" s="11">
        <f>Tabelle5897112140[[#This Row],[Mindestauslastung durch]]*Tabelle5897112140[[#This Row],[installierte Leistung MW durch]]</f>
        <v>1.9000000000000001</v>
      </c>
      <c r="BV242" s="11">
        <f>Tabelle5897112140[[#This Row],[Mindestauslastung max]]*Tabelle5897112140[[#This Row],[installierte Leistung MW max]]</f>
        <v>2.4500000000000002</v>
      </c>
      <c r="BW242" s="9">
        <v>0.05</v>
      </c>
      <c r="BX242" s="9">
        <v>0.05</v>
      </c>
      <c r="BY242" s="9">
        <v>0.05</v>
      </c>
      <c r="BZ242" s="9"/>
      <c r="CA242" s="9">
        <v>0.85</v>
      </c>
      <c r="CB242" s="9">
        <v>0.8</v>
      </c>
      <c r="CC242" s="9">
        <v>0.9</v>
      </c>
      <c r="CD242" s="9">
        <v>0.64</v>
      </c>
      <c r="CE242" s="9">
        <v>0.59</v>
      </c>
      <c r="CF242" s="9">
        <v>0.69</v>
      </c>
      <c r="CG242" s="9">
        <v>0.38</v>
      </c>
      <c r="CH242" s="9">
        <v>0.33</v>
      </c>
      <c r="CI242" s="9">
        <v>0.43</v>
      </c>
      <c r="CJ242" s="9">
        <v>0.85</v>
      </c>
      <c r="CK242" s="9">
        <v>0.8</v>
      </c>
      <c r="CL242" s="9">
        <v>0.9</v>
      </c>
      <c r="CM242" s="9">
        <v>0.64</v>
      </c>
      <c r="CN242" s="9">
        <v>0.59</v>
      </c>
      <c r="CO242" s="9">
        <v>0.69</v>
      </c>
      <c r="CP242" s="9">
        <v>0.38</v>
      </c>
      <c r="CQ242" s="9">
        <v>0.33</v>
      </c>
      <c r="CR242" s="9">
        <v>0.43</v>
      </c>
      <c r="CS242" s="9">
        <v>0.85</v>
      </c>
      <c r="CT242" s="9">
        <v>0.8</v>
      </c>
      <c r="CU242" s="9">
        <v>0.9</v>
      </c>
      <c r="CV242" s="9">
        <v>0.64</v>
      </c>
      <c r="CW242" s="9">
        <v>0.59</v>
      </c>
      <c r="CX242" s="9">
        <v>0.69</v>
      </c>
      <c r="CY242" s="9">
        <v>0.38</v>
      </c>
      <c r="CZ242" s="9">
        <v>0.33</v>
      </c>
      <c r="DA242" s="9">
        <v>0.43</v>
      </c>
      <c r="DB242" s="9">
        <f>MIN(Tabelle5897112140[[#This Row],[Durchschnittsauslastung durch Sommer WTT]:[Durchschnittsauslastung max Winter SFN]])</f>
        <v>0.33</v>
      </c>
      <c r="DC24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2" s="9">
        <f>MAX(Tabelle5897112140[[#This Row],[Durchschnittsauslastung durch Sommer WTT]:[Durchschnittsauslastung max Winter SFN]])</f>
        <v>0.9</v>
      </c>
      <c r="DE242" s="40">
        <f>Tabelle5897112140[[#This Row],[Durchschnittsauslastung min]]*Tabelle5897112140[[#This Row],[installierte Leistung MW min]]</f>
        <v>8.91</v>
      </c>
      <c r="DF242" s="40">
        <f>Tabelle5897112140[[#This Row],[Durchschnittsauslastung durch]]*Tabelle5897112140[[#This Row],[installierte Leistung MW durch]]</f>
        <v>23.686666666666664</v>
      </c>
      <c r="DG242" s="40">
        <f>Tabelle5897112140[[#This Row],[Durchschnittsauslastung max]]*Tabelle5897112140[[#This Row],[installierte Leistung MW max]]</f>
        <v>44.1</v>
      </c>
      <c r="DH242" s="46">
        <f>Tabelle5897112140[[#This Row],[Maximalauslastung min]]*Tabelle5897112140[[#This Row],[installierte Leistung MW min]]</f>
        <v>12.42</v>
      </c>
      <c r="DI242" s="46">
        <f>Tabelle5897112140[[#This Row],[Maximalauslastung durch]]*Tabelle5897112140[[#This Row],[installierte Leistung MW durch]]</f>
        <v>19.38</v>
      </c>
      <c r="DJ242" s="19">
        <f>Tabelle5897112140[[#This Row],[Maximalauslastung max]]*Tabelle5897112140[[#This Row],[installierte Leistung MW durch]]</f>
        <v>21.28</v>
      </c>
      <c r="DK242" s="9">
        <v>0.46</v>
      </c>
      <c r="DL242" s="9">
        <v>0.51</v>
      </c>
      <c r="DM242" s="9">
        <v>0.56000000000000005</v>
      </c>
      <c r="DN242" s="1">
        <v>38</v>
      </c>
      <c r="DO242" s="1">
        <v>27</v>
      </c>
      <c r="DP242" s="1">
        <v>49</v>
      </c>
      <c r="DQ242" s="19"/>
      <c r="DR242" s="19"/>
      <c r="DW242" s="1">
        <v>4</v>
      </c>
      <c r="DX242" s="1">
        <v>3.2</v>
      </c>
      <c r="DY242" s="1">
        <v>4.8</v>
      </c>
      <c r="DZ242" s="1">
        <v>4</v>
      </c>
      <c r="EA242" s="1">
        <v>3.2</v>
      </c>
      <c r="EB242" s="1">
        <v>4.8</v>
      </c>
      <c r="EC242" s="1">
        <v>24</v>
      </c>
      <c r="EF242" s="1">
        <v>7.2</v>
      </c>
      <c r="EG242" s="1">
        <v>4.5999999999999996</v>
      </c>
      <c r="EH242" s="1">
        <v>9.8000000000000007</v>
      </c>
      <c r="EL242" s="1">
        <v>365</v>
      </c>
      <c r="EM242" s="1">
        <v>328</v>
      </c>
      <c r="EN242" s="1">
        <v>402</v>
      </c>
      <c r="EO242" s="11"/>
      <c r="EP242" s="11"/>
      <c r="EQ242" s="11"/>
      <c r="ER242" s="1">
        <v>365</v>
      </c>
      <c r="ES242" s="1">
        <v>328</v>
      </c>
      <c r="ET242" s="1">
        <v>402</v>
      </c>
      <c r="EV242" s="19"/>
      <c r="EW242" s="19"/>
      <c r="EX242" s="19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O242" s="1">
        <v>67</v>
      </c>
      <c r="FP242" s="1">
        <v>67</v>
      </c>
      <c r="FQ242" s="1">
        <v>67</v>
      </c>
      <c r="FR242" s="13" t="s">
        <v>806</v>
      </c>
      <c r="FS242" s="13" t="s">
        <v>806</v>
      </c>
      <c r="FT242" s="13" t="s">
        <v>806</v>
      </c>
      <c r="FU242" s="13"/>
      <c r="FV242" s="13" t="s">
        <v>806</v>
      </c>
      <c r="FW242" s="13" t="s">
        <v>806</v>
      </c>
      <c r="FX242" s="13" t="s">
        <v>806</v>
      </c>
      <c r="FY242" s="13" t="s">
        <v>806</v>
      </c>
      <c r="FZ242" s="13" t="s">
        <v>806</v>
      </c>
      <c r="GA242" s="13" t="s">
        <v>806</v>
      </c>
      <c r="GB242" s="13" t="s">
        <v>806</v>
      </c>
      <c r="GE242" s="13" t="s">
        <v>806</v>
      </c>
      <c r="GF242" s="13" t="s">
        <v>806</v>
      </c>
      <c r="GH242" s="13" t="s">
        <v>806</v>
      </c>
    </row>
    <row r="243" spans="1:190" x14ac:dyDescent="0.25">
      <c r="A243" s="1" t="s">
        <v>654</v>
      </c>
      <c r="B243" s="1" t="s">
        <v>654</v>
      </c>
      <c r="C243" s="1" t="s">
        <v>667</v>
      </c>
      <c r="D243" s="1" t="s">
        <v>704</v>
      </c>
      <c r="E243" s="1" t="s">
        <v>127</v>
      </c>
      <c r="F243" s="1">
        <v>0</v>
      </c>
      <c r="G243" s="1">
        <v>2020</v>
      </c>
      <c r="H243" s="1">
        <v>1</v>
      </c>
      <c r="I243" s="1">
        <v>0</v>
      </c>
      <c r="J243" s="1">
        <v>0</v>
      </c>
      <c r="K24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3" s="19">
        <v>32.299999999999997</v>
      </c>
      <c r="O243" s="19">
        <v>21.6</v>
      </c>
      <c r="P243" s="19">
        <v>44.1</v>
      </c>
      <c r="Q243" s="19">
        <v>5.7</v>
      </c>
      <c r="R243" s="19">
        <v>2.7</v>
      </c>
      <c r="S243" s="19">
        <v>9.8000000000000007</v>
      </c>
      <c r="T243" s="19">
        <v>24.32</v>
      </c>
      <c r="U243" s="19">
        <v>15.93</v>
      </c>
      <c r="V243" s="19">
        <v>33.81</v>
      </c>
      <c r="W243" s="19">
        <v>13.68</v>
      </c>
      <c r="X243" s="19">
        <v>8.3699999999999992</v>
      </c>
      <c r="Y243" s="19">
        <v>20.09</v>
      </c>
      <c r="Z243" s="19">
        <v>14.44</v>
      </c>
      <c r="AA243" s="19">
        <v>8.91</v>
      </c>
      <c r="AB243" s="19">
        <v>21.07</v>
      </c>
      <c r="AC243" s="19">
        <v>23.56</v>
      </c>
      <c r="AD243" s="19">
        <v>15.39</v>
      </c>
      <c r="AE243" s="19">
        <v>32.83</v>
      </c>
      <c r="AF243" s="19">
        <v>32.299999999999997</v>
      </c>
      <c r="AG243" s="19">
        <v>21.6</v>
      </c>
      <c r="AH243" s="19">
        <v>44.1</v>
      </c>
      <c r="AI243" s="19">
        <v>5.7</v>
      </c>
      <c r="AJ243" s="19">
        <v>2.7</v>
      </c>
      <c r="AK243" s="19">
        <v>9.8000000000000007</v>
      </c>
      <c r="AL243" s="19">
        <v>24.32</v>
      </c>
      <c r="AM243" s="19">
        <v>15.93</v>
      </c>
      <c r="AN243" s="19">
        <v>33.81</v>
      </c>
      <c r="AO243" s="19">
        <v>13.68</v>
      </c>
      <c r="AP243" s="19">
        <v>8.3699999999999992</v>
      </c>
      <c r="AQ243" s="19">
        <v>20.09</v>
      </c>
      <c r="AR243" s="19">
        <v>14.44</v>
      </c>
      <c r="AS243" s="19">
        <v>8.91</v>
      </c>
      <c r="AT243" s="19">
        <v>21.07</v>
      </c>
      <c r="AU243" s="19">
        <v>23.56</v>
      </c>
      <c r="AV243" s="19">
        <v>15.39</v>
      </c>
      <c r="AW243" s="19">
        <v>32.83</v>
      </c>
      <c r="AX243" s="19">
        <v>32.299999999999997</v>
      </c>
      <c r="AY243" s="19">
        <v>21.6</v>
      </c>
      <c r="AZ243" s="19">
        <v>44.1</v>
      </c>
      <c r="BA243" s="19">
        <v>5.7</v>
      </c>
      <c r="BB243" s="19">
        <v>2.7</v>
      </c>
      <c r="BC243" s="19">
        <v>9.8000000000000007</v>
      </c>
      <c r="BD243" s="19">
        <v>24.32</v>
      </c>
      <c r="BE243" s="19">
        <v>15.93</v>
      </c>
      <c r="BF243" s="19">
        <v>33.81</v>
      </c>
      <c r="BG243" s="19">
        <v>13.68</v>
      </c>
      <c r="BH243" s="19">
        <v>8.3699999999999992</v>
      </c>
      <c r="BI243" s="19">
        <v>20.09</v>
      </c>
      <c r="BJ243" s="19">
        <v>14.44</v>
      </c>
      <c r="BK243" s="19">
        <v>8.91</v>
      </c>
      <c r="BL243" s="19">
        <v>21.07</v>
      </c>
      <c r="BM243" s="19">
        <v>23.56</v>
      </c>
      <c r="BN243" s="19">
        <v>15.39</v>
      </c>
      <c r="BO243" s="19">
        <v>32.83</v>
      </c>
      <c r="BP243" s="19"/>
      <c r="BQ24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3" s="11">
        <f>Tabelle5897112140[[#This Row],[Mindestauslastung min]]*Tabelle5897112140[[#This Row],[installierte Leistung MW min]]</f>
        <v>1.35</v>
      </c>
      <c r="BU243" s="11">
        <f>Tabelle5897112140[[#This Row],[Mindestauslastung durch]]*Tabelle5897112140[[#This Row],[installierte Leistung MW durch]]</f>
        <v>1.9000000000000001</v>
      </c>
      <c r="BV243" s="11">
        <f>Tabelle5897112140[[#This Row],[Mindestauslastung max]]*Tabelle5897112140[[#This Row],[installierte Leistung MW max]]</f>
        <v>2.4500000000000002</v>
      </c>
      <c r="BW243" s="9">
        <v>0.05</v>
      </c>
      <c r="BX243" s="9">
        <v>0.05</v>
      </c>
      <c r="BY243" s="9">
        <v>0.05</v>
      </c>
      <c r="BZ243" s="9"/>
      <c r="CA243" s="9">
        <v>0.85</v>
      </c>
      <c r="CB243" s="9">
        <v>0.8</v>
      </c>
      <c r="CC243" s="9">
        <v>0.9</v>
      </c>
      <c r="CD243" s="9">
        <v>0.64</v>
      </c>
      <c r="CE243" s="9">
        <v>0.59</v>
      </c>
      <c r="CF243" s="9">
        <v>0.69</v>
      </c>
      <c r="CG243" s="9">
        <v>0.38</v>
      </c>
      <c r="CH243" s="9">
        <v>0.33</v>
      </c>
      <c r="CI243" s="9">
        <v>0.43</v>
      </c>
      <c r="CJ243" s="9">
        <v>0.85</v>
      </c>
      <c r="CK243" s="9">
        <v>0.8</v>
      </c>
      <c r="CL243" s="9">
        <v>0.9</v>
      </c>
      <c r="CM243" s="9">
        <v>0.64</v>
      </c>
      <c r="CN243" s="9">
        <v>0.59</v>
      </c>
      <c r="CO243" s="9">
        <v>0.69</v>
      </c>
      <c r="CP243" s="9">
        <v>0.38</v>
      </c>
      <c r="CQ243" s="9">
        <v>0.33</v>
      </c>
      <c r="CR243" s="9">
        <v>0.43</v>
      </c>
      <c r="CS243" s="9">
        <v>0.85</v>
      </c>
      <c r="CT243" s="9">
        <v>0.8</v>
      </c>
      <c r="CU243" s="9">
        <v>0.9</v>
      </c>
      <c r="CV243" s="9">
        <v>0.64</v>
      </c>
      <c r="CW243" s="9">
        <v>0.59</v>
      </c>
      <c r="CX243" s="9">
        <v>0.69</v>
      </c>
      <c r="CY243" s="9">
        <v>0.38</v>
      </c>
      <c r="CZ243" s="9">
        <v>0.33</v>
      </c>
      <c r="DA243" s="9">
        <v>0.43</v>
      </c>
      <c r="DB243" s="9">
        <f>MIN(Tabelle5897112140[[#This Row],[Durchschnittsauslastung durch Sommer WTT]:[Durchschnittsauslastung max Winter SFN]])</f>
        <v>0.33</v>
      </c>
      <c r="DC24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3" s="9">
        <f>MAX(Tabelle5897112140[[#This Row],[Durchschnittsauslastung durch Sommer WTT]:[Durchschnittsauslastung max Winter SFN]])</f>
        <v>0.9</v>
      </c>
      <c r="DE243" s="40">
        <f>Tabelle5897112140[[#This Row],[Durchschnittsauslastung min]]*Tabelle5897112140[[#This Row],[installierte Leistung MW min]]</f>
        <v>8.91</v>
      </c>
      <c r="DF243" s="40">
        <f>Tabelle5897112140[[#This Row],[Durchschnittsauslastung durch]]*Tabelle5897112140[[#This Row],[installierte Leistung MW durch]]</f>
        <v>23.686666666666664</v>
      </c>
      <c r="DG243" s="40">
        <f>Tabelle5897112140[[#This Row],[Durchschnittsauslastung max]]*Tabelle5897112140[[#This Row],[installierte Leistung MW max]]</f>
        <v>44.1</v>
      </c>
      <c r="DH243" s="46">
        <f>Tabelle5897112140[[#This Row],[Maximalauslastung min]]*Tabelle5897112140[[#This Row],[installierte Leistung MW min]]</f>
        <v>11.34</v>
      </c>
      <c r="DI243" s="46">
        <f>Tabelle5897112140[[#This Row],[Maximalauslastung durch]]*Tabelle5897112140[[#This Row],[installierte Leistung MW durch]]</f>
        <v>17.86</v>
      </c>
      <c r="DJ243" s="19">
        <f>Tabelle5897112140[[#This Row],[Maximalauslastung max]]*Tabelle5897112140[[#This Row],[installierte Leistung MW durch]]</f>
        <v>19.760000000000002</v>
      </c>
      <c r="DK243" s="9">
        <v>0.42</v>
      </c>
      <c r="DL243" s="9">
        <v>0.47</v>
      </c>
      <c r="DM243" s="9">
        <v>0.52</v>
      </c>
      <c r="DN243" s="1">
        <v>38</v>
      </c>
      <c r="DO243" s="1">
        <v>27</v>
      </c>
      <c r="DP243" s="1">
        <v>49</v>
      </c>
      <c r="DQ243" s="19"/>
      <c r="DR243" s="19"/>
      <c r="DW243" s="1">
        <v>4</v>
      </c>
      <c r="DX243" s="1">
        <v>3.2</v>
      </c>
      <c r="DY243" s="1">
        <v>4.8</v>
      </c>
      <c r="DZ243" s="1">
        <v>4</v>
      </c>
      <c r="EA243" s="1">
        <v>3.2</v>
      </c>
      <c r="EB243" s="1">
        <v>4.8</v>
      </c>
      <c r="EC243" s="1">
        <v>24</v>
      </c>
      <c r="EF243" s="1">
        <v>7.2</v>
      </c>
      <c r="EG243" s="1">
        <v>4.5999999999999996</v>
      </c>
      <c r="EH243" s="1">
        <v>9.8000000000000007</v>
      </c>
      <c r="EL243" s="1">
        <v>365</v>
      </c>
      <c r="EM243" s="1">
        <v>328</v>
      </c>
      <c r="EN243" s="1">
        <v>402</v>
      </c>
      <c r="EO243" s="11"/>
      <c r="EP243" s="11"/>
      <c r="EQ243" s="11"/>
      <c r="ER243" s="1">
        <v>365</v>
      </c>
      <c r="ES243" s="1">
        <v>328</v>
      </c>
      <c r="ET243" s="1">
        <v>402</v>
      </c>
      <c r="EV243" s="19"/>
      <c r="EW243" s="19"/>
      <c r="EX243" s="19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O243" s="1">
        <v>67</v>
      </c>
      <c r="FP243" s="1">
        <v>67</v>
      </c>
      <c r="FQ243" s="1">
        <v>67</v>
      </c>
      <c r="FR243" s="13" t="s">
        <v>806</v>
      </c>
      <c r="FS243" s="13" t="s">
        <v>806</v>
      </c>
      <c r="FT243" s="13" t="s">
        <v>806</v>
      </c>
      <c r="FU243" s="13"/>
      <c r="FV243" s="13" t="s">
        <v>806</v>
      </c>
      <c r="FW243" s="13" t="s">
        <v>806</v>
      </c>
      <c r="FX243" s="13" t="s">
        <v>806</v>
      </c>
      <c r="FY243" s="13" t="s">
        <v>806</v>
      </c>
      <c r="FZ243" s="13" t="s">
        <v>806</v>
      </c>
      <c r="GA243" s="13" t="s">
        <v>806</v>
      </c>
      <c r="GB243" s="13" t="s">
        <v>806</v>
      </c>
      <c r="GE243" s="13" t="s">
        <v>806</v>
      </c>
      <c r="GF243" s="13" t="s">
        <v>806</v>
      </c>
      <c r="GH243" s="13" t="s">
        <v>806</v>
      </c>
    </row>
    <row r="244" spans="1:190" x14ac:dyDescent="0.25">
      <c r="A244" s="1" t="s">
        <v>654</v>
      </c>
      <c r="B244" s="1" t="s">
        <v>654</v>
      </c>
      <c r="C244" s="1" t="s">
        <v>667</v>
      </c>
      <c r="D244" s="1" t="s">
        <v>704</v>
      </c>
      <c r="E244" s="1" t="s">
        <v>127</v>
      </c>
      <c r="F244" s="1">
        <v>0</v>
      </c>
      <c r="G244" s="1">
        <v>2025</v>
      </c>
      <c r="H244" s="1">
        <v>1</v>
      </c>
      <c r="I244" s="1">
        <v>0</v>
      </c>
      <c r="J244" s="1">
        <v>0</v>
      </c>
      <c r="K24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4" s="19">
        <v>32.299999999999997</v>
      </c>
      <c r="O244" s="19">
        <v>21.6</v>
      </c>
      <c r="P244" s="19">
        <v>44.1</v>
      </c>
      <c r="Q244" s="19">
        <v>5.7</v>
      </c>
      <c r="R244" s="19">
        <v>2.7</v>
      </c>
      <c r="S244" s="19">
        <v>9.8000000000000007</v>
      </c>
      <c r="T244" s="19">
        <v>24.32</v>
      </c>
      <c r="U244" s="19">
        <v>15.93</v>
      </c>
      <c r="V244" s="19">
        <v>33.81</v>
      </c>
      <c r="W244" s="19">
        <v>13.68</v>
      </c>
      <c r="X244" s="19">
        <v>8.3699999999999992</v>
      </c>
      <c r="Y244" s="19">
        <v>20.09</v>
      </c>
      <c r="Z244" s="19">
        <v>14.44</v>
      </c>
      <c r="AA244" s="19">
        <v>8.91</v>
      </c>
      <c r="AB244" s="19">
        <v>21.07</v>
      </c>
      <c r="AC244" s="19">
        <v>23.56</v>
      </c>
      <c r="AD244" s="19">
        <v>15.39</v>
      </c>
      <c r="AE244" s="19">
        <v>32.83</v>
      </c>
      <c r="AF244" s="19">
        <v>32.299999999999997</v>
      </c>
      <c r="AG244" s="19">
        <v>21.6</v>
      </c>
      <c r="AH244" s="19">
        <v>44.1</v>
      </c>
      <c r="AI244" s="19">
        <v>5.7</v>
      </c>
      <c r="AJ244" s="19">
        <v>2.7</v>
      </c>
      <c r="AK244" s="19">
        <v>9.8000000000000007</v>
      </c>
      <c r="AL244" s="19">
        <v>24.32</v>
      </c>
      <c r="AM244" s="19">
        <v>15.93</v>
      </c>
      <c r="AN244" s="19">
        <v>33.81</v>
      </c>
      <c r="AO244" s="19">
        <v>13.68</v>
      </c>
      <c r="AP244" s="19">
        <v>8.3699999999999992</v>
      </c>
      <c r="AQ244" s="19">
        <v>20.09</v>
      </c>
      <c r="AR244" s="19">
        <v>14.44</v>
      </c>
      <c r="AS244" s="19">
        <v>8.91</v>
      </c>
      <c r="AT244" s="19">
        <v>21.07</v>
      </c>
      <c r="AU244" s="19">
        <v>23.56</v>
      </c>
      <c r="AV244" s="19">
        <v>15.39</v>
      </c>
      <c r="AW244" s="19">
        <v>32.83</v>
      </c>
      <c r="AX244" s="19">
        <v>32.299999999999997</v>
      </c>
      <c r="AY244" s="19">
        <v>21.6</v>
      </c>
      <c r="AZ244" s="19">
        <v>44.1</v>
      </c>
      <c r="BA244" s="19">
        <v>5.7</v>
      </c>
      <c r="BB244" s="19">
        <v>2.7</v>
      </c>
      <c r="BC244" s="19">
        <v>9.8000000000000007</v>
      </c>
      <c r="BD244" s="19">
        <v>24.32</v>
      </c>
      <c r="BE244" s="19">
        <v>15.93</v>
      </c>
      <c r="BF244" s="19">
        <v>33.81</v>
      </c>
      <c r="BG244" s="19">
        <v>13.68</v>
      </c>
      <c r="BH244" s="19">
        <v>8.3699999999999992</v>
      </c>
      <c r="BI244" s="19">
        <v>20.09</v>
      </c>
      <c r="BJ244" s="19">
        <v>14.44</v>
      </c>
      <c r="BK244" s="19">
        <v>8.91</v>
      </c>
      <c r="BL244" s="19">
        <v>21.07</v>
      </c>
      <c r="BM244" s="19">
        <v>23.56</v>
      </c>
      <c r="BN244" s="19">
        <v>15.39</v>
      </c>
      <c r="BO244" s="19">
        <v>32.83</v>
      </c>
      <c r="BP244" s="19"/>
      <c r="BQ24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4" s="11">
        <f>Tabelle5897112140[[#This Row],[Mindestauslastung min]]*Tabelle5897112140[[#This Row],[installierte Leistung MW min]]</f>
        <v>1.35</v>
      </c>
      <c r="BU244" s="11">
        <f>Tabelle5897112140[[#This Row],[Mindestauslastung durch]]*Tabelle5897112140[[#This Row],[installierte Leistung MW durch]]</f>
        <v>1.9000000000000001</v>
      </c>
      <c r="BV244" s="11">
        <f>Tabelle5897112140[[#This Row],[Mindestauslastung max]]*Tabelle5897112140[[#This Row],[installierte Leistung MW max]]</f>
        <v>2.4500000000000002</v>
      </c>
      <c r="BW244" s="9">
        <v>0.05</v>
      </c>
      <c r="BX244" s="9">
        <v>0.05</v>
      </c>
      <c r="BY244" s="9">
        <v>0.05</v>
      </c>
      <c r="BZ244" s="9"/>
      <c r="CA244" s="9">
        <v>0.85</v>
      </c>
      <c r="CB244" s="9">
        <v>0.8</v>
      </c>
      <c r="CC244" s="9">
        <v>0.9</v>
      </c>
      <c r="CD244" s="9">
        <v>0.64</v>
      </c>
      <c r="CE244" s="9">
        <v>0.59</v>
      </c>
      <c r="CF244" s="9">
        <v>0.69</v>
      </c>
      <c r="CG244" s="9">
        <v>0.38</v>
      </c>
      <c r="CH244" s="9">
        <v>0.33</v>
      </c>
      <c r="CI244" s="9">
        <v>0.43</v>
      </c>
      <c r="CJ244" s="9">
        <v>0.85</v>
      </c>
      <c r="CK244" s="9">
        <v>0.8</v>
      </c>
      <c r="CL244" s="9">
        <v>0.9</v>
      </c>
      <c r="CM244" s="9">
        <v>0.64</v>
      </c>
      <c r="CN244" s="9">
        <v>0.59</v>
      </c>
      <c r="CO244" s="9">
        <v>0.69</v>
      </c>
      <c r="CP244" s="9">
        <v>0.38</v>
      </c>
      <c r="CQ244" s="9">
        <v>0.33</v>
      </c>
      <c r="CR244" s="9">
        <v>0.43</v>
      </c>
      <c r="CS244" s="9">
        <v>0.85</v>
      </c>
      <c r="CT244" s="9">
        <v>0.8</v>
      </c>
      <c r="CU244" s="9">
        <v>0.9</v>
      </c>
      <c r="CV244" s="9">
        <v>0.64</v>
      </c>
      <c r="CW244" s="9">
        <v>0.59</v>
      </c>
      <c r="CX244" s="9">
        <v>0.69</v>
      </c>
      <c r="CY244" s="9">
        <v>0.38</v>
      </c>
      <c r="CZ244" s="9">
        <v>0.33</v>
      </c>
      <c r="DA244" s="9">
        <v>0.43</v>
      </c>
      <c r="DB244" s="9">
        <f>MIN(Tabelle5897112140[[#This Row],[Durchschnittsauslastung durch Sommer WTT]:[Durchschnittsauslastung max Winter SFN]])</f>
        <v>0.33</v>
      </c>
      <c r="DC24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4" s="9">
        <f>MAX(Tabelle5897112140[[#This Row],[Durchschnittsauslastung durch Sommer WTT]:[Durchschnittsauslastung max Winter SFN]])</f>
        <v>0.9</v>
      </c>
      <c r="DE244" s="40">
        <f>Tabelle5897112140[[#This Row],[Durchschnittsauslastung min]]*Tabelle5897112140[[#This Row],[installierte Leistung MW min]]</f>
        <v>8.91</v>
      </c>
      <c r="DF244" s="40">
        <f>Tabelle5897112140[[#This Row],[Durchschnittsauslastung durch]]*Tabelle5897112140[[#This Row],[installierte Leistung MW durch]]</f>
        <v>23.686666666666664</v>
      </c>
      <c r="DG244" s="40">
        <f>Tabelle5897112140[[#This Row],[Durchschnittsauslastung max]]*Tabelle5897112140[[#This Row],[installierte Leistung MW max]]</f>
        <v>44.1</v>
      </c>
      <c r="DH244" s="46">
        <f>Tabelle5897112140[[#This Row],[Maximalauslastung min]]*Tabelle5897112140[[#This Row],[installierte Leistung MW min]]</f>
        <v>11.34</v>
      </c>
      <c r="DI244" s="46">
        <f>Tabelle5897112140[[#This Row],[Maximalauslastung durch]]*Tabelle5897112140[[#This Row],[installierte Leistung MW durch]]</f>
        <v>17.86</v>
      </c>
      <c r="DJ244" s="19">
        <f>Tabelle5897112140[[#This Row],[Maximalauslastung max]]*Tabelle5897112140[[#This Row],[installierte Leistung MW durch]]</f>
        <v>19.760000000000002</v>
      </c>
      <c r="DK244" s="9">
        <v>0.42</v>
      </c>
      <c r="DL244" s="9">
        <v>0.47</v>
      </c>
      <c r="DM244" s="9">
        <v>0.52</v>
      </c>
      <c r="DN244" s="1">
        <v>38</v>
      </c>
      <c r="DO244" s="1">
        <v>27</v>
      </c>
      <c r="DP244" s="1">
        <v>49</v>
      </c>
      <c r="DQ244" s="19"/>
      <c r="DR244" s="19"/>
      <c r="DW244" s="1">
        <v>4</v>
      </c>
      <c r="DX244" s="1">
        <v>3.2</v>
      </c>
      <c r="DY244" s="1">
        <v>4.8</v>
      </c>
      <c r="DZ244" s="1">
        <v>4</v>
      </c>
      <c r="EA244" s="1">
        <v>3.2</v>
      </c>
      <c r="EB244" s="1">
        <v>4.8</v>
      </c>
      <c r="EC244" s="1">
        <v>24</v>
      </c>
      <c r="EF244" s="1">
        <v>7.2</v>
      </c>
      <c r="EG244" s="1">
        <v>4.5999999999999996</v>
      </c>
      <c r="EH244" s="1">
        <v>9.8000000000000007</v>
      </c>
      <c r="EL244" s="1">
        <v>365</v>
      </c>
      <c r="EM244" s="1">
        <v>328</v>
      </c>
      <c r="EN244" s="1">
        <v>402</v>
      </c>
      <c r="EO244" s="11"/>
      <c r="EP244" s="11"/>
      <c r="EQ244" s="11"/>
      <c r="ER244" s="1">
        <v>365</v>
      </c>
      <c r="ES244" s="1">
        <v>328</v>
      </c>
      <c r="ET244" s="1">
        <v>402</v>
      </c>
      <c r="EV244" s="19"/>
      <c r="EW244" s="19"/>
      <c r="EX244" s="19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O244" s="1">
        <v>67</v>
      </c>
      <c r="FP244" s="1">
        <v>67</v>
      </c>
      <c r="FQ244" s="1">
        <v>67</v>
      </c>
      <c r="FR244" s="13" t="s">
        <v>806</v>
      </c>
      <c r="FS244" s="13" t="s">
        <v>806</v>
      </c>
      <c r="FT244" s="13" t="s">
        <v>806</v>
      </c>
      <c r="FU244" s="13"/>
      <c r="FV244" s="13" t="s">
        <v>806</v>
      </c>
      <c r="FW244" s="13" t="s">
        <v>806</v>
      </c>
      <c r="FX244" s="13" t="s">
        <v>806</v>
      </c>
      <c r="FY244" s="13" t="s">
        <v>806</v>
      </c>
      <c r="FZ244" s="13" t="s">
        <v>806</v>
      </c>
      <c r="GA244" s="13" t="s">
        <v>806</v>
      </c>
      <c r="GB244" s="13" t="s">
        <v>806</v>
      </c>
      <c r="GE244" s="13" t="s">
        <v>806</v>
      </c>
      <c r="GF244" s="13" t="s">
        <v>806</v>
      </c>
      <c r="GH244" s="13" t="s">
        <v>806</v>
      </c>
    </row>
    <row r="245" spans="1:190" x14ac:dyDescent="0.25">
      <c r="A245" s="1" t="s">
        <v>654</v>
      </c>
      <c r="B245" s="1" t="s">
        <v>654</v>
      </c>
      <c r="C245" s="1" t="s">
        <v>667</v>
      </c>
      <c r="D245" s="1" t="s">
        <v>704</v>
      </c>
      <c r="E245" s="1" t="s">
        <v>127</v>
      </c>
      <c r="F245" s="1">
        <v>0</v>
      </c>
      <c r="G245" s="1">
        <v>2030</v>
      </c>
      <c r="H245" s="1">
        <v>1</v>
      </c>
      <c r="I245" s="1">
        <v>0</v>
      </c>
      <c r="J245" s="1">
        <v>0</v>
      </c>
      <c r="K24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5" s="19">
        <v>32.299999999999997</v>
      </c>
      <c r="O245" s="19">
        <v>21.6</v>
      </c>
      <c r="P245" s="19">
        <v>44.1</v>
      </c>
      <c r="Q245" s="19">
        <v>5.7</v>
      </c>
      <c r="R245" s="19">
        <v>2.7</v>
      </c>
      <c r="S245" s="19">
        <v>9.8000000000000007</v>
      </c>
      <c r="T245" s="19">
        <v>24.32</v>
      </c>
      <c r="U245" s="19">
        <v>15.93</v>
      </c>
      <c r="V245" s="19">
        <v>33.81</v>
      </c>
      <c r="W245" s="19">
        <v>13.68</v>
      </c>
      <c r="X245" s="19">
        <v>8.3699999999999992</v>
      </c>
      <c r="Y245" s="19">
        <v>20.09</v>
      </c>
      <c r="Z245" s="19">
        <v>14.44</v>
      </c>
      <c r="AA245" s="19">
        <v>8.91</v>
      </c>
      <c r="AB245" s="19">
        <v>21.07</v>
      </c>
      <c r="AC245" s="19">
        <v>23.56</v>
      </c>
      <c r="AD245" s="19">
        <v>15.39</v>
      </c>
      <c r="AE245" s="19">
        <v>32.83</v>
      </c>
      <c r="AF245" s="19">
        <v>32.299999999999997</v>
      </c>
      <c r="AG245" s="19">
        <v>21.6</v>
      </c>
      <c r="AH245" s="19">
        <v>44.1</v>
      </c>
      <c r="AI245" s="19">
        <v>5.7</v>
      </c>
      <c r="AJ245" s="19">
        <v>2.7</v>
      </c>
      <c r="AK245" s="19">
        <v>9.8000000000000007</v>
      </c>
      <c r="AL245" s="19">
        <v>24.32</v>
      </c>
      <c r="AM245" s="19">
        <v>15.93</v>
      </c>
      <c r="AN245" s="19">
        <v>33.81</v>
      </c>
      <c r="AO245" s="19">
        <v>13.68</v>
      </c>
      <c r="AP245" s="19">
        <v>8.3699999999999992</v>
      </c>
      <c r="AQ245" s="19">
        <v>20.09</v>
      </c>
      <c r="AR245" s="19">
        <v>14.44</v>
      </c>
      <c r="AS245" s="19">
        <v>8.91</v>
      </c>
      <c r="AT245" s="19">
        <v>21.07</v>
      </c>
      <c r="AU245" s="19">
        <v>23.56</v>
      </c>
      <c r="AV245" s="19">
        <v>15.39</v>
      </c>
      <c r="AW245" s="19">
        <v>32.83</v>
      </c>
      <c r="AX245" s="19">
        <v>32.299999999999997</v>
      </c>
      <c r="AY245" s="19">
        <v>21.6</v>
      </c>
      <c r="AZ245" s="19">
        <v>44.1</v>
      </c>
      <c r="BA245" s="19">
        <v>5.7</v>
      </c>
      <c r="BB245" s="19">
        <v>2.7</v>
      </c>
      <c r="BC245" s="19">
        <v>9.8000000000000007</v>
      </c>
      <c r="BD245" s="19">
        <v>24.32</v>
      </c>
      <c r="BE245" s="19">
        <v>15.93</v>
      </c>
      <c r="BF245" s="19">
        <v>33.81</v>
      </c>
      <c r="BG245" s="19">
        <v>13.68</v>
      </c>
      <c r="BH245" s="19">
        <v>8.3699999999999992</v>
      </c>
      <c r="BI245" s="19">
        <v>20.09</v>
      </c>
      <c r="BJ245" s="19">
        <v>14.44</v>
      </c>
      <c r="BK245" s="19">
        <v>8.91</v>
      </c>
      <c r="BL245" s="19">
        <v>21.07</v>
      </c>
      <c r="BM245" s="19">
        <v>23.56</v>
      </c>
      <c r="BN245" s="19">
        <v>15.39</v>
      </c>
      <c r="BO245" s="19">
        <v>32.83</v>
      </c>
      <c r="BP245" s="19"/>
      <c r="BQ24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5" s="11">
        <f>Tabelle5897112140[[#This Row],[Mindestauslastung min]]*Tabelle5897112140[[#This Row],[installierte Leistung MW min]]</f>
        <v>1.35</v>
      </c>
      <c r="BU245" s="11">
        <f>Tabelle5897112140[[#This Row],[Mindestauslastung durch]]*Tabelle5897112140[[#This Row],[installierte Leistung MW durch]]</f>
        <v>1.9000000000000001</v>
      </c>
      <c r="BV245" s="11">
        <f>Tabelle5897112140[[#This Row],[Mindestauslastung max]]*Tabelle5897112140[[#This Row],[installierte Leistung MW max]]</f>
        <v>2.4500000000000002</v>
      </c>
      <c r="BW245" s="9">
        <v>0.05</v>
      </c>
      <c r="BX245" s="9">
        <v>0.05</v>
      </c>
      <c r="BY245" s="9">
        <v>0.05</v>
      </c>
      <c r="BZ245" s="9"/>
      <c r="CA245" s="9">
        <v>0.85</v>
      </c>
      <c r="CB245" s="9">
        <v>0.8</v>
      </c>
      <c r="CC245" s="9">
        <v>0.9</v>
      </c>
      <c r="CD245" s="9">
        <v>0.64</v>
      </c>
      <c r="CE245" s="9">
        <v>0.59</v>
      </c>
      <c r="CF245" s="9">
        <v>0.69</v>
      </c>
      <c r="CG245" s="9">
        <v>0.38</v>
      </c>
      <c r="CH245" s="9">
        <v>0.33</v>
      </c>
      <c r="CI245" s="9">
        <v>0.43</v>
      </c>
      <c r="CJ245" s="9">
        <v>0.85</v>
      </c>
      <c r="CK245" s="9">
        <v>0.8</v>
      </c>
      <c r="CL245" s="9">
        <v>0.9</v>
      </c>
      <c r="CM245" s="9">
        <v>0.64</v>
      </c>
      <c r="CN245" s="9">
        <v>0.59</v>
      </c>
      <c r="CO245" s="9">
        <v>0.69</v>
      </c>
      <c r="CP245" s="9">
        <v>0.38</v>
      </c>
      <c r="CQ245" s="9">
        <v>0.33</v>
      </c>
      <c r="CR245" s="9">
        <v>0.43</v>
      </c>
      <c r="CS245" s="9">
        <v>0.85</v>
      </c>
      <c r="CT245" s="9">
        <v>0.8</v>
      </c>
      <c r="CU245" s="9">
        <v>0.9</v>
      </c>
      <c r="CV245" s="9">
        <v>0.64</v>
      </c>
      <c r="CW245" s="9">
        <v>0.59</v>
      </c>
      <c r="CX245" s="9">
        <v>0.69</v>
      </c>
      <c r="CY245" s="9">
        <v>0.38</v>
      </c>
      <c r="CZ245" s="9">
        <v>0.33</v>
      </c>
      <c r="DA245" s="9">
        <v>0.43</v>
      </c>
      <c r="DB245" s="9">
        <f>MIN(Tabelle5897112140[[#This Row],[Durchschnittsauslastung durch Sommer WTT]:[Durchschnittsauslastung max Winter SFN]])</f>
        <v>0.33</v>
      </c>
      <c r="DC24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5" s="9">
        <f>MAX(Tabelle5897112140[[#This Row],[Durchschnittsauslastung durch Sommer WTT]:[Durchschnittsauslastung max Winter SFN]])</f>
        <v>0.9</v>
      </c>
      <c r="DE245" s="40">
        <f>Tabelle5897112140[[#This Row],[Durchschnittsauslastung min]]*Tabelle5897112140[[#This Row],[installierte Leistung MW min]]</f>
        <v>8.91</v>
      </c>
      <c r="DF245" s="40">
        <f>Tabelle5897112140[[#This Row],[Durchschnittsauslastung durch]]*Tabelle5897112140[[#This Row],[installierte Leistung MW durch]]</f>
        <v>23.686666666666664</v>
      </c>
      <c r="DG245" s="40">
        <f>Tabelle5897112140[[#This Row],[Durchschnittsauslastung max]]*Tabelle5897112140[[#This Row],[installierte Leistung MW max]]</f>
        <v>44.1</v>
      </c>
      <c r="DH245" s="46">
        <f>Tabelle5897112140[[#This Row],[Maximalauslastung min]]*Tabelle5897112140[[#This Row],[installierte Leistung MW min]]</f>
        <v>11.34</v>
      </c>
      <c r="DI245" s="46">
        <f>Tabelle5897112140[[#This Row],[Maximalauslastung durch]]*Tabelle5897112140[[#This Row],[installierte Leistung MW durch]]</f>
        <v>17.86</v>
      </c>
      <c r="DJ245" s="19">
        <f>Tabelle5897112140[[#This Row],[Maximalauslastung max]]*Tabelle5897112140[[#This Row],[installierte Leistung MW durch]]</f>
        <v>19.760000000000002</v>
      </c>
      <c r="DK245" s="9">
        <v>0.42</v>
      </c>
      <c r="DL245" s="9">
        <v>0.47</v>
      </c>
      <c r="DM245" s="9">
        <v>0.52</v>
      </c>
      <c r="DN245" s="1">
        <v>38</v>
      </c>
      <c r="DO245" s="1">
        <v>27</v>
      </c>
      <c r="DP245" s="1">
        <v>49</v>
      </c>
      <c r="DQ245" s="19"/>
      <c r="DR245" s="19"/>
      <c r="DW245" s="1">
        <v>4</v>
      </c>
      <c r="DX245" s="1">
        <v>3.2</v>
      </c>
      <c r="DY245" s="1">
        <v>4.8</v>
      </c>
      <c r="DZ245" s="1">
        <v>4</v>
      </c>
      <c r="EA245" s="1">
        <v>3.2</v>
      </c>
      <c r="EB245" s="1">
        <v>4.8</v>
      </c>
      <c r="EC245" s="1">
        <v>24</v>
      </c>
      <c r="EF245" s="1">
        <v>7.2</v>
      </c>
      <c r="EG245" s="1">
        <v>4.5999999999999996</v>
      </c>
      <c r="EH245" s="1">
        <v>9.8000000000000007</v>
      </c>
      <c r="EL245" s="1">
        <v>365</v>
      </c>
      <c r="EM245" s="1">
        <v>328</v>
      </c>
      <c r="EN245" s="1">
        <v>402</v>
      </c>
      <c r="EO245" s="11"/>
      <c r="EP245" s="11"/>
      <c r="EQ245" s="11"/>
      <c r="ER245" s="1">
        <v>365</v>
      </c>
      <c r="ES245" s="1">
        <v>328</v>
      </c>
      <c r="ET245" s="1">
        <v>402</v>
      </c>
      <c r="EV245" s="19"/>
      <c r="EW245" s="19"/>
      <c r="EX245" s="19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O245" s="1">
        <v>67</v>
      </c>
      <c r="FP245" s="1">
        <v>67</v>
      </c>
      <c r="FQ245" s="1">
        <v>67</v>
      </c>
      <c r="FR245" s="13" t="s">
        <v>806</v>
      </c>
      <c r="FS245" s="13" t="s">
        <v>806</v>
      </c>
      <c r="FT245" s="13" t="s">
        <v>806</v>
      </c>
      <c r="FU245" s="13"/>
      <c r="FV245" s="13" t="s">
        <v>806</v>
      </c>
      <c r="FW245" s="13" t="s">
        <v>806</v>
      </c>
      <c r="FX245" s="13" t="s">
        <v>806</v>
      </c>
      <c r="FY245" s="13" t="s">
        <v>806</v>
      </c>
      <c r="FZ245" s="13" t="s">
        <v>806</v>
      </c>
      <c r="GA245" s="13" t="s">
        <v>806</v>
      </c>
      <c r="GB245" s="13" t="s">
        <v>806</v>
      </c>
      <c r="GE245" s="13" t="s">
        <v>806</v>
      </c>
      <c r="GF245" s="13" t="s">
        <v>806</v>
      </c>
      <c r="GH245" s="13" t="s">
        <v>806</v>
      </c>
    </row>
    <row r="246" spans="1:190" x14ac:dyDescent="0.25">
      <c r="A246" s="1" t="s">
        <v>654</v>
      </c>
      <c r="B246" s="1" t="s">
        <v>654</v>
      </c>
      <c r="C246" s="1" t="s">
        <v>667</v>
      </c>
      <c r="D246" s="1" t="s">
        <v>704</v>
      </c>
      <c r="E246" s="1" t="s">
        <v>127</v>
      </c>
      <c r="F246" s="1">
        <v>0</v>
      </c>
      <c r="G246" s="1">
        <v>2035</v>
      </c>
      <c r="H246" s="1">
        <v>1</v>
      </c>
      <c r="I246" s="1">
        <v>0</v>
      </c>
      <c r="J246" s="1">
        <v>0</v>
      </c>
      <c r="K24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6" s="19">
        <v>32.299999999999997</v>
      </c>
      <c r="O246" s="19">
        <v>21.6</v>
      </c>
      <c r="P246" s="19">
        <v>44.1</v>
      </c>
      <c r="Q246" s="19">
        <v>5.7</v>
      </c>
      <c r="R246" s="19">
        <v>2.7</v>
      </c>
      <c r="S246" s="19">
        <v>9.8000000000000007</v>
      </c>
      <c r="T246" s="19">
        <v>24.32</v>
      </c>
      <c r="U246" s="19">
        <v>15.93</v>
      </c>
      <c r="V246" s="19">
        <v>33.81</v>
      </c>
      <c r="W246" s="19">
        <v>13.68</v>
      </c>
      <c r="X246" s="19">
        <v>8.3699999999999992</v>
      </c>
      <c r="Y246" s="19">
        <v>20.09</v>
      </c>
      <c r="Z246" s="19">
        <v>14.44</v>
      </c>
      <c r="AA246" s="19">
        <v>8.91</v>
      </c>
      <c r="AB246" s="19">
        <v>21.07</v>
      </c>
      <c r="AC246" s="19">
        <v>23.56</v>
      </c>
      <c r="AD246" s="19">
        <v>15.39</v>
      </c>
      <c r="AE246" s="19">
        <v>32.83</v>
      </c>
      <c r="AF246" s="19">
        <v>32.299999999999997</v>
      </c>
      <c r="AG246" s="19">
        <v>21.6</v>
      </c>
      <c r="AH246" s="19">
        <v>44.1</v>
      </c>
      <c r="AI246" s="19">
        <v>5.7</v>
      </c>
      <c r="AJ246" s="19">
        <v>2.7</v>
      </c>
      <c r="AK246" s="19">
        <v>9.8000000000000007</v>
      </c>
      <c r="AL246" s="19">
        <v>24.32</v>
      </c>
      <c r="AM246" s="19">
        <v>15.93</v>
      </c>
      <c r="AN246" s="19">
        <v>33.81</v>
      </c>
      <c r="AO246" s="19">
        <v>13.68</v>
      </c>
      <c r="AP246" s="19">
        <v>8.3699999999999992</v>
      </c>
      <c r="AQ246" s="19">
        <v>20.09</v>
      </c>
      <c r="AR246" s="19">
        <v>14.44</v>
      </c>
      <c r="AS246" s="19">
        <v>8.91</v>
      </c>
      <c r="AT246" s="19">
        <v>21.07</v>
      </c>
      <c r="AU246" s="19">
        <v>23.56</v>
      </c>
      <c r="AV246" s="19">
        <v>15.39</v>
      </c>
      <c r="AW246" s="19">
        <v>32.83</v>
      </c>
      <c r="AX246" s="19">
        <v>32.299999999999997</v>
      </c>
      <c r="AY246" s="19">
        <v>21.6</v>
      </c>
      <c r="AZ246" s="19">
        <v>44.1</v>
      </c>
      <c r="BA246" s="19">
        <v>5.7</v>
      </c>
      <c r="BB246" s="19">
        <v>2.7</v>
      </c>
      <c r="BC246" s="19">
        <v>9.8000000000000007</v>
      </c>
      <c r="BD246" s="19">
        <v>24.32</v>
      </c>
      <c r="BE246" s="19">
        <v>15.93</v>
      </c>
      <c r="BF246" s="19">
        <v>33.81</v>
      </c>
      <c r="BG246" s="19">
        <v>13.68</v>
      </c>
      <c r="BH246" s="19">
        <v>8.3699999999999992</v>
      </c>
      <c r="BI246" s="19">
        <v>20.09</v>
      </c>
      <c r="BJ246" s="19">
        <v>14.44</v>
      </c>
      <c r="BK246" s="19">
        <v>8.91</v>
      </c>
      <c r="BL246" s="19">
        <v>21.07</v>
      </c>
      <c r="BM246" s="19">
        <v>23.56</v>
      </c>
      <c r="BN246" s="19">
        <v>15.39</v>
      </c>
      <c r="BO246" s="19">
        <v>32.83</v>
      </c>
      <c r="BP246" s="19"/>
      <c r="BQ24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6" s="11">
        <f>Tabelle5897112140[[#This Row],[Mindestauslastung min]]*Tabelle5897112140[[#This Row],[installierte Leistung MW min]]</f>
        <v>1.35</v>
      </c>
      <c r="BU246" s="11">
        <f>Tabelle5897112140[[#This Row],[Mindestauslastung durch]]*Tabelle5897112140[[#This Row],[installierte Leistung MW durch]]</f>
        <v>1.9000000000000001</v>
      </c>
      <c r="BV246" s="11">
        <f>Tabelle5897112140[[#This Row],[Mindestauslastung max]]*Tabelle5897112140[[#This Row],[installierte Leistung MW max]]</f>
        <v>2.4500000000000002</v>
      </c>
      <c r="BW246" s="9">
        <v>0.05</v>
      </c>
      <c r="BX246" s="9">
        <v>0.05</v>
      </c>
      <c r="BY246" s="9">
        <v>0.05</v>
      </c>
      <c r="BZ246" s="9"/>
      <c r="CA246" s="9">
        <v>0.85</v>
      </c>
      <c r="CB246" s="9">
        <v>0.8</v>
      </c>
      <c r="CC246" s="9">
        <v>0.9</v>
      </c>
      <c r="CD246" s="9">
        <v>0.64</v>
      </c>
      <c r="CE246" s="9">
        <v>0.59</v>
      </c>
      <c r="CF246" s="9">
        <v>0.69</v>
      </c>
      <c r="CG246" s="9">
        <v>0.38</v>
      </c>
      <c r="CH246" s="9">
        <v>0.33</v>
      </c>
      <c r="CI246" s="9">
        <v>0.43</v>
      </c>
      <c r="CJ246" s="9">
        <v>0.85</v>
      </c>
      <c r="CK246" s="9">
        <v>0.8</v>
      </c>
      <c r="CL246" s="9">
        <v>0.9</v>
      </c>
      <c r="CM246" s="9">
        <v>0.64</v>
      </c>
      <c r="CN246" s="9">
        <v>0.59</v>
      </c>
      <c r="CO246" s="9">
        <v>0.69</v>
      </c>
      <c r="CP246" s="9">
        <v>0.38</v>
      </c>
      <c r="CQ246" s="9">
        <v>0.33</v>
      </c>
      <c r="CR246" s="9">
        <v>0.43</v>
      </c>
      <c r="CS246" s="9">
        <v>0.85</v>
      </c>
      <c r="CT246" s="9">
        <v>0.8</v>
      </c>
      <c r="CU246" s="9">
        <v>0.9</v>
      </c>
      <c r="CV246" s="9">
        <v>0.64</v>
      </c>
      <c r="CW246" s="9">
        <v>0.59</v>
      </c>
      <c r="CX246" s="9">
        <v>0.69</v>
      </c>
      <c r="CY246" s="9">
        <v>0.38</v>
      </c>
      <c r="CZ246" s="9">
        <v>0.33</v>
      </c>
      <c r="DA246" s="9">
        <v>0.43</v>
      </c>
      <c r="DB246" s="9">
        <f>MIN(Tabelle5897112140[[#This Row],[Durchschnittsauslastung durch Sommer WTT]:[Durchschnittsauslastung max Winter SFN]])</f>
        <v>0.33</v>
      </c>
      <c r="DC24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6" s="9">
        <f>MAX(Tabelle5897112140[[#This Row],[Durchschnittsauslastung durch Sommer WTT]:[Durchschnittsauslastung max Winter SFN]])</f>
        <v>0.9</v>
      </c>
      <c r="DE246" s="40">
        <f>Tabelle5897112140[[#This Row],[Durchschnittsauslastung min]]*Tabelle5897112140[[#This Row],[installierte Leistung MW min]]</f>
        <v>8.91</v>
      </c>
      <c r="DF246" s="40">
        <f>Tabelle5897112140[[#This Row],[Durchschnittsauslastung durch]]*Tabelle5897112140[[#This Row],[installierte Leistung MW durch]]</f>
        <v>23.686666666666664</v>
      </c>
      <c r="DG246" s="40">
        <f>Tabelle5897112140[[#This Row],[Durchschnittsauslastung max]]*Tabelle5897112140[[#This Row],[installierte Leistung MW max]]</f>
        <v>44.1</v>
      </c>
      <c r="DH246" s="46">
        <f>Tabelle5897112140[[#This Row],[Maximalauslastung min]]*Tabelle5897112140[[#This Row],[installierte Leistung MW min]]</f>
        <v>11.34</v>
      </c>
      <c r="DI246" s="46">
        <f>Tabelle5897112140[[#This Row],[Maximalauslastung durch]]*Tabelle5897112140[[#This Row],[installierte Leistung MW durch]]</f>
        <v>17.86</v>
      </c>
      <c r="DJ246" s="19">
        <f>Tabelle5897112140[[#This Row],[Maximalauslastung max]]*Tabelle5897112140[[#This Row],[installierte Leistung MW durch]]</f>
        <v>19.760000000000002</v>
      </c>
      <c r="DK246" s="9">
        <v>0.42</v>
      </c>
      <c r="DL246" s="9">
        <v>0.47</v>
      </c>
      <c r="DM246" s="9">
        <v>0.52</v>
      </c>
      <c r="DN246" s="1">
        <v>38</v>
      </c>
      <c r="DO246" s="1">
        <v>27</v>
      </c>
      <c r="DP246" s="1">
        <v>49</v>
      </c>
      <c r="DQ246" s="19"/>
      <c r="DR246" s="19"/>
      <c r="DW246" s="1">
        <v>4</v>
      </c>
      <c r="DX246" s="1">
        <v>3.2</v>
      </c>
      <c r="DY246" s="1">
        <v>4.8</v>
      </c>
      <c r="DZ246" s="1">
        <v>4</v>
      </c>
      <c r="EA246" s="1">
        <v>3.2</v>
      </c>
      <c r="EB246" s="1">
        <v>4.8</v>
      </c>
      <c r="EC246" s="1">
        <v>24</v>
      </c>
      <c r="EF246" s="1">
        <v>7.2</v>
      </c>
      <c r="EG246" s="1">
        <v>4.5999999999999996</v>
      </c>
      <c r="EH246" s="1">
        <v>9.8000000000000007</v>
      </c>
      <c r="EL246" s="1">
        <v>365</v>
      </c>
      <c r="EM246" s="1">
        <v>328</v>
      </c>
      <c r="EN246" s="1">
        <v>402</v>
      </c>
      <c r="EO246" s="11"/>
      <c r="EP246" s="11"/>
      <c r="EQ246" s="11"/>
      <c r="ER246" s="1">
        <v>365</v>
      </c>
      <c r="ES246" s="1">
        <v>328</v>
      </c>
      <c r="ET246" s="1">
        <v>402</v>
      </c>
      <c r="EV246" s="19"/>
      <c r="EW246" s="19"/>
      <c r="EX246" s="19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O246" s="1">
        <v>67</v>
      </c>
      <c r="FP246" s="1">
        <v>67</v>
      </c>
      <c r="FQ246" s="1">
        <v>67</v>
      </c>
      <c r="FR246" s="13" t="s">
        <v>806</v>
      </c>
      <c r="FS246" s="13" t="s">
        <v>806</v>
      </c>
      <c r="FT246" s="13" t="s">
        <v>806</v>
      </c>
      <c r="FU246" s="13"/>
      <c r="FV246" s="13" t="s">
        <v>806</v>
      </c>
      <c r="FW246" s="13" t="s">
        <v>806</v>
      </c>
      <c r="FX246" s="13" t="s">
        <v>806</v>
      </c>
      <c r="FY246" s="13" t="s">
        <v>806</v>
      </c>
      <c r="FZ246" s="13" t="s">
        <v>806</v>
      </c>
      <c r="GA246" s="13" t="s">
        <v>806</v>
      </c>
      <c r="GB246" s="13" t="s">
        <v>806</v>
      </c>
      <c r="GE246" s="13" t="s">
        <v>806</v>
      </c>
      <c r="GF246" s="13" t="s">
        <v>806</v>
      </c>
      <c r="GH246" s="13" t="s">
        <v>806</v>
      </c>
    </row>
    <row r="247" spans="1:190" x14ac:dyDescent="0.25">
      <c r="A247" s="1" t="s">
        <v>654</v>
      </c>
      <c r="B247" s="1" t="s">
        <v>654</v>
      </c>
      <c r="C247" s="1" t="s">
        <v>667</v>
      </c>
      <c r="D247" s="1" t="s">
        <v>704</v>
      </c>
      <c r="E247" s="1" t="s">
        <v>127</v>
      </c>
      <c r="F247" s="1">
        <v>0</v>
      </c>
      <c r="G247" s="1">
        <v>2040</v>
      </c>
      <c r="H247" s="1">
        <v>1</v>
      </c>
      <c r="I247" s="1">
        <v>0</v>
      </c>
      <c r="J247" s="1">
        <v>0</v>
      </c>
      <c r="K24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7" s="19">
        <v>32.299999999999997</v>
      </c>
      <c r="O247" s="19">
        <v>21.6</v>
      </c>
      <c r="P247" s="19">
        <v>44.1</v>
      </c>
      <c r="Q247" s="19">
        <v>5.7</v>
      </c>
      <c r="R247" s="19">
        <v>2.7</v>
      </c>
      <c r="S247" s="19">
        <v>9.8000000000000007</v>
      </c>
      <c r="T247" s="19">
        <v>24.32</v>
      </c>
      <c r="U247" s="19">
        <v>15.93</v>
      </c>
      <c r="V247" s="19">
        <v>33.81</v>
      </c>
      <c r="W247" s="19">
        <v>13.68</v>
      </c>
      <c r="X247" s="19">
        <v>8.3699999999999992</v>
      </c>
      <c r="Y247" s="19">
        <v>20.09</v>
      </c>
      <c r="Z247" s="19">
        <v>14.44</v>
      </c>
      <c r="AA247" s="19">
        <v>8.91</v>
      </c>
      <c r="AB247" s="19">
        <v>21.07</v>
      </c>
      <c r="AC247" s="19">
        <v>23.56</v>
      </c>
      <c r="AD247" s="19">
        <v>15.39</v>
      </c>
      <c r="AE247" s="19">
        <v>32.83</v>
      </c>
      <c r="AF247" s="19">
        <v>32.299999999999997</v>
      </c>
      <c r="AG247" s="19">
        <v>21.6</v>
      </c>
      <c r="AH247" s="19">
        <v>44.1</v>
      </c>
      <c r="AI247" s="19">
        <v>5.7</v>
      </c>
      <c r="AJ247" s="19">
        <v>2.7</v>
      </c>
      <c r="AK247" s="19">
        <v>9.8000000000000007</v>
      </c>
      <c r="AL247" s="19">
        <v>24.32</v>
      </c>
      <c r="AM247" s="19">
        <v>15.93</v>
      </c>
      <c r="AN247" s="19">
        <v>33.81</v>
      </c>
      <c r="AO247" s="19">
        <v>13.68</v>
      </c>
      <c r="AP247" s="19">
        <v>8.3699999999999992</v>
      </c>
      <c r="AQ247" s="19">
        <v>20.09</v>
      </c>
      <c r="AR247" s="19">
        <v>14.44</v>
      </c>
      <c r="AS247" s="19">
        <v>8.91</v>
      </c>
      <c r="AT247" s="19">
        <v>21.07</v>
      </c>
      <c r="AU247" s="19">
        <v>23.56</v>
      </c>
      <c r="AV247" s="19">
        <v>15.39</v>
      </c>
      <c r="AW247" s="19">
        <v>32.83</v>
      </c>
      <c r="AX247" s="19">
        <v>32.299999999999997</v>
      </c>
      <c r="AY247" s="19">
        <v>21.6</v>
      </c>
      <c r="AZ247" s="19">
        <v>44.1</v>
      </c>
      <c r="BA247" s="19">
        <v>5.7</v>
      </c>
      <c r="BB247" s="19">
        <v>2.7</v>
      </c>
      <c r="BC247" s="19">
        <v>9.8000000000000007</v>
      </c>
      <c r="BD247" s="19">
        <v>24.32</v>
      </c>
      <c r="BE247" s="19">
        <v>15.93</v>
      </c>
      <c r="BF247" s="19">
        <v>33.81</v>
      </c>
      <c r="BG247" s="19">
        <v>13.68</v>
      </c>
      <c r="BH247" s="19">
        <v>8.3699999999999992</v>
      </c>
      <c r="BI247" s="19">
        <v>20.09</v>
      </c>
      <c r="BJ247" s="19">
        <v>14.44</v>
      </c>
      <c r="BK247" s="19">
        <v>8.91</v>
      </c>
      <c r="BL247" s="19">
        <v>21.07</v>
      </c>
      <c r="BM247" s="19">
        <v>23.56</v>
      </c>
      <c r="BN247" s="19">
        <v>15.39</v>
      </c>
      <c r="BO247" s="19">
        <v>32.83</v>
      </c>
      <c r="BP247" s="19"/>
      <c r="BQ24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7" s="11">
        <f>Tabelle5897112140[[#This Row],[Mindestauslastung min]]*Tabelle5897112140[[#This Row],[installierte Leistung MW min]]</f>
        <v>1.35</v>
      </c>
      <c r="BU247" s="11">
        <f>Tabelle5897112140[[#This Row],[Mindestauslastung durch]]*Tabelle5897112140[[#This Row],[installierte Leistung MW durch]]</f>
        <v>1.9000000000000001</v>
      </c>
      <c r="BV247" s="11">
        <f>Tabelle5897112140[[#This Row],[Mindestauslastung max]]*Tabelle5897112140[[#This Row],[installierte Leistung MW max]]</f>
        <v>2.4500000000000002</v>
      </c>
      <c r="BW247" s="9">
        <v>0.05</v>
      </c>
      <c r="BX247" s="9">
        <v>0.05</v>
      </c>
      <c r="BY247" s="9">
        <v>0.05</v>
      </c>
      <c r="BZ247" s="9"/>
      <c r="CA247" s="9">
        <v>0.85</v>
      </c>
      <c r="CB247" s="9">
        <v>0.8</v>
      </c>
      <c r="CC247" s="9">
        <v>0.9</v>
      </c>
      <c r="CD247" s="9">
        <v>0.64</v>
      </c>
      <c r="CE247" s="9">
        <v>0.59</v>
      </c>
      <c r="CF247" s="9">
        <v>0.69</v>
      </c>
      <c r="CG247" s="9">
        <v>0.38</v>
      </c>
      <c r="CH247" s="9">
        <v>0.33</v>
      </c>
      <c r="CI247" s="9">
        <v>0.43</v>
      </c>
      <c r="CJ247" s="9">
        <v>0.85</v>
      </c>
      <c r="CK247" s="9">
        <v>0.8</v>
      </c>
      <c r="CL247" s="9">
        <v>0.9</v>
      </c>
      <c r="CM247" s="9">
        <v>0.64</v>
      </c>
      <c r="CN247" s="9">
        <v>0.59</v>
      </c>
      <c r="CO247" s="9">
        <v>0.69</v>
      </c>
      <c r="CP247" s="9">
        <v>0.38</v>
      </c>
      <c r="CQ247" s="9">
        <v>0.33</v>
      </c>
      <c r="CR247" s="9">
        <v>0.43</v>
      </c>
      <c r="CS247" s="9">
        <v>0.85</v>
      </c>
      <c r="CT247" s="9">
        <v>0.8</v>
      </c>
      <c r="CU247" s="9">
        <v>0.9</v>
      </c>
      <c r="CV247" s="9">
        <v>0.64</v>
      </c>
      <c r="CW247" s="9">
        <v>0.59</v>
      </c>
      <c r="CX247" s="9">
        <v>0.69</v>
      </c>
      <c r="CY247" s="9">
        <v>0.38</v>
      </c>
      <c r="CZ247" s="9">
        <v>0.33</v>
      </c>
      <c r="DA247" s="9">
        <v>0.43</v>
      </c>
      <c r="DB247" s="9">
        <f>MIN(Tabelle5897112140[[#This Row],[Durchschnittsauslastung durch Sommer WTT]:[Durchschnittsauslastung max Winter SFN]])</f>
        <v>0.33</v>
      </c>
      <c r="DC24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7" s="9">
        <f>MAX(Tabelle5897112140[[#This Row],[Durchschnittsauslastung durch Sommer WTT]:[Durchschnittsauslastung max Winter SFN]])</f>
        <v>0.9</v>
      </c>
      <c r="DE247" s="40">
        <f>Tabelle5897112140[[#This Row],[Durchschnittsauslastung min]]*Tabelle5897112140[[#This Row],[installierte Leistung MW min]]</f>
        <v>8.91</v>
      </c>
      <c r="DF247" s="40">
        <f>Tabelle5897112140[[#This Row],[Durchschnittsauslastung durch]]*Tabelle5897112140[[#This Row],[installierte Leistung MW durch]]</f>
        <v>23.686666666666664</v>
      </c>
      <c r="DG247" s="40">
        <f>Tabelle5897112140[[#This Row],[Durchschnittsauslastung max]]*Tabelle5897112140[[#This Row],[installierte Leistung MW max]]</f>
        <v>44.1</v>
      </c>
      <c r="DH247" s="46">
        <f>Tabelle5897112140[[#This Row],[Maximalauslastung min]]*Tabelle5897112140[[#This Row],[installierte Leistung MW min]]</f>
        <v>11.34</v>
      </c>
      <c r="DI247" s="46">
        <f>Tabelle5897112140[[#This Row],[Maximalauslastung durch]]*Tabelle5897112140[[#This Row],[installierte Leistung MW durch]]</f>
        <v>17.86</v>
      </c>
      <c r="DJ247" s="19">
        <f>Tabelle5897112140[[#This Row],[Maximalauslastung max]]*Tabelle5897112140[[#This Row],[installierte Leistung MW durch]]</f>
        <v>19.760000000000002</v>
      </c>
      <c r="DK247" s="9">
        <v>0.42</v>
      </c>
      <c r="DL247" s="9">
        <v>0.47</v>
      </c>
      <c r="DM247" s="9">
        <v>0.52</v>
      </c>
      <c r="DN247" s="1">
        <v>38</v>
      </c>
      <c r="DO247" s="1">
        <v>27</v>
      </c>
      <c r="DP247" s="1">
        <v>49</v>
      </c>
      <c r="DQ247" s="19"/>
      <c r="DR247" s="19"/>
      <c r="DW247" s="1">
        <v>4</v>
      </c>
      <c r="DX247" s="1">
        <v>3.2</v>
      </c>
      <c r="DY247" s="1">
        <v>4.8</v>
      </c>
      <c r="DZ247" s="1">
        <v>4</v>
      </c>
      <c r="EA247" s="1">
        <v>3.2</v>
      </c>
      <c r="EB247" s="1">
        <v>4.8</v>
      </c>
      <c r="EC247" s="1">
        <v>24</v>
      </c>
      <c r="EF247" s="1">
        <v>7.2</v>
      </c>
      <c r="EG247" s="1">
        <v>4.5999999999999996</v>
      </c>
      <c r="EH247" s="1">
        <v>9.8000000000000007</v>
      </c>
      <c r="EL247" s="1">
        <v>365</v>
      </c>
      <c r="EM247" s="1">
        <v>328</v>
      </c>
      <c r="EN247" s="1">
        <v>402</v>
      </c>
      <c r="EO247" s="11"/>
      <c r="EP247" s="11"/>
      <c r="EQ247" s="11"/>
      <c r="ER247" s="1">
        <v>365</v>
      </c>
      <c r="ES247" s="1">
        <v>328</v>
      </c>
      <c r="ET247" s="1">
        <v>402</v>
      </c>
      <c r="EV247" s="19"/>
      <c r="EW247" s="19"/>
      <c r="EX247" s="19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O247" s="1">
        <v>67</v>
      </c>
      <c r="FP247" s="1">
        <v>67</v>
      </c>
      <c r="FQ247" s="1">
        <v>67</v>
      </c>
      <c r="FR247" s="13" t="s">
        <v>806</v>
      </c>
      <c r="FS247" s="13" t="s">
        <v>806</v>
      </c>
      <c r="FT247" s="13" t="s">
        <v>806</v>
      </c>
      <c r="FU247" s="13"/>
      <c r="FV247" s="13" t="s">
        <v>806</v>
      </c>
      <c r="FW247" s="13" t="s">
        <v>806</v>
      </c>
      <c r="FX247" s="13" t="s">
        <v>806</v>
      </c>
      <c r="FY247" s="13" t="s">
        <v>806</v>
      </c>
      <c r="FZ247" s="13" t="s">
        <v>806</v>
      </c>
      <c r="GA247" s="13" t="s">
        <v>806</v>
      </c>
      <c r="GB247" s="13" t="s">
        <v>806</v>
      </c>
      <c r="GE247" s="13" t="s">
        <v>806</v>
      </c>
      <c r="GF247" s="13" t="s">
        <v>806</v>
      </c>
      <c r="GH247" s="13" t="s">
        <v>806</v>
      </c>
    </row>
    <row r="248" spans="1:190" x14ac:dyDescent="0.25">
      <c r="A248" s="1" t="s">
        <v>654</v>
      </c>
      <c r="B248" s="1" t="s">
        <v>654</v>
      </c>
      <c r="C248" s="1" t="s">
        <v>667</v>
      </c>
      <c r="D248" s="1" t="s">
        <v>704</v>
      </c>
      <c r="E248" s="1" t="s">
        <v>127</v>
      </c>
      <c r="F248" s="1">
        <v>0</v>
      </c>
      <c r="G248" s="1">
        <v>2045</v>
      </c>
      <c r="H248" s="1">
        <v>1</v>
      </c>
      <c r="I248" s="1">
        <v>0</v>
      </c>
      <c r="J248" s="1">
        <v>0</v>
      </c>
      <c r="K24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8" s="19">
        <v>32.299999999999997</v>
      </c>
      <c r="O248" s="19">
        <v>21.6</v>
      </c>
      <c r="P248" s="19">
        <v>44.1</v>
      </c>
      <c r="Q248" s="19">
        <v>5.7</v>
      </c>
      <c r="R248" s="19">
        <v>2.7</v>
      </c>
      <c r="S248" s="19">
        <v>9.8000000000000007</v>
      </c>
      <c r="T248" s="19">
        <v>24.32</v>
      </c>
      <c r="U248" s="19">
        <v>15.93</v>
      </c>
      <c r="V248" s="19">
        <v>33.81</v>
      </c>
      <c r="W248" s="19">
        <v>13.68</v>
      </c>
      <c r="X248" s="19">
        <v>8.3699999999999992</v>
      </c>
      <c r="Y248" s="19">
        <v>20.09</v>
      </c>
      <c r="Z248" s="19">
        <v>14.44</v>
      </c>
      <c r="AA248" s="19">
        <v>8.91</v>
      </c>
      <c r="AB248" s="19">
        <v>21.07</v>
      </c>
      <c r="AC248" s="19">
        <v>23.56</v>
      </c>
      <c r="AD248" s="19">
        <v>15.39</v>
      </c>
      <c r="AE248" s="19">
        <v>32.83</v>
      </c>
      <c r="AF248" s="19">
        <v>32.299999999999997</v>
      </c>
      <c r="AG248" s="19">
        <v>21.6</v>
      </c>
      <c r="AH248" s="19">
        <v>44.1</v>
      </c>
      <c r="AI248" s="19">
        <v>5.7</v>
      </c>
      <c r="AJ248" s="19">
        <v>2.7</v>
      </c>
      <c r="AK248" s="19">
        <v>9.8000000000000007</v>
      </c>
      <c r="AL248" s="19">
        <v>24.32</v>
      </c>
      <c r="AM248" s="19">
        <v>15.93</v>
      </c>
      <c r="AN248" s="19">
        <v>33.81</v>
      </c>
      <c r="AO248" s="19">
        <v>13.68</v>
      </c>
      <c r="AP248" s="19">
        <v>8.3699999999999992</v>
      </c>
      <c r="AQ248" s="19">
        <v>20.09</v>
      </c>
      <c r="AR248" s="19">
        <v>14.44</v>
      </c>
      <c r="AS248" s="19">
        <v>8.91</v>
      </c>
      <c r="AT248" s="19">
        <v>21.07</v>
      </c>
      <c r="AU248" s="19">
        <v>23.56</v>
      </c>
      <c r="AV248" s="19">
        <v>15.39</v>
      </c>
      <c r="AW248" s="19">
        <v>32.83</v>
      </c>
      <c r="AX248" s="19">
        <v>32.299999999999997</v>
      </c>
      <c r="AY248" s="19">
        <v>21.6</v>
      </c>
      <c r="AZ248" s="19">
        <v>44.1</v>
      </c>
      <c r="BA248" s="19">
        <v>5.7</v>
      </c>
      <c r="BB248" s="19">
        <v>2.7</v>
      </c>
      <c r="BC248" s="19">
        <v>9.8000000000000007</v>
      </c>
      <c r="BD248" s="19">
        <v>24.32</v>
      </c>
      <c r="BE248" s="19">
        <v>15.93</v>
      </c>
      <c r="BF248" s="19">
        <v>33.81</v>
      </c>
      <c r="BG248" s="19">
        <v>13.68</v>
      </c>
      <c r="BH248" s="19">
        <v>8.3699999999999992</v>
      </c>
      <c r="BI248" s="19">
        <v>20.09</v>
      </c>
      <c r="BJ248" s="19">
        <v>14.44</v>
      </c>
      <c r="BK248" s="19">
        <v>8.91</v>
      </c>
      <c r="BL248" s="19">
        <v>21.07</v>
      </c>
      <c r="BM248" s="19">
        <v>23.56</v>
      </c>
      <c r="BN248" s="19">
        <v>15.39</v>
      </c>
      <c r="BO248" s="19">
        <v>32.83</v>
      </c>
      <c r="BP248" s="19"/>
      <c r="BQ24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8" s="11">
        <f>Tabelle5897112140[[#This Row],[Mindestauslastung min]]*Tabelle5897112140[[#This Row],[installierte Leistung MW min]]</f>
        <v>1.35</v>
      </c>
      <c r="BU248" s="11">
        <f>Tabelle5897112140[[#This Row],[Mindestauslastung durch]]*Tabelle5897112140[[#This Row],[installierte Leistung MW durch]]</f>
        <v>1.9000000000000001</v>
      </c>
      <c r="BV248" s="11">
        <f>Tabelle5897112140[[#This Row],[Mindestauslastung max]]*Tabelle5897112140[[#This Row],[installierte Leistung MW max]]</f>
        <v>2.4500000000000002</v>
      </c>
      <c r="BW248" s="9">
        <v>0.05</v>
      </c>
      <c r="BX248" s="9">
        <v>0.05</v>
      </c>
      <c r="BY248" s="9">
        <v>0.05</v>
      </c>
      <c r="BZ248" s="9"/>
      <c r="CA248" s="9">
        <v>0.85</v>
      </c>
      <c r="CB248" s="9">
        <v>0.8</v>
      </c>
      <c r="CC248" s="9">
        <v>0.9</v>
      </c>
      <c r="CD248" s="9">
        <v>0.64</v>
      </c>
      <c r="CE248" s="9">
        <v>0.59</v>
      </c>
      <c r="CF248" s="9">
        <v>0.69</v>
      </c>
      <c r="CG248" s="9">
        <v>0.38</v>
      </c>
      <c r="CH248" s="9">
        <v>0.33</v>
      </c>
      <c r="CI248" s="9">
        <v>0.43</v>
      </c>
      <c r="CJ248" s="9">
        <v>0.85</v>
      </c>
      <c r="CK248" s="9">
        <v>0.8</v>
      </c>
      <c r="CL248" s="9">
        <v>0.9</v>
      </c>
      <c r="CM248" s="9">
        <v>0.64</v>
      </c>
      <c r="CN248" s="9">
        <v>0.59</v>
      </c>
      <c r="CO248" s="9">
        <v>0.69</v>
      </c>
      <c r="CP248" s="9">
        <v>0.38</v>
      </c>
      <c r="CQ248" s="9">
        <v>0.33</v>
      </c>
      <c r="CR248" s="9">
        <v>0.43</v>
      </c>
      <c r="CS248" s="9">
        <v>0.85</v>
      </c>
      <c r="CT248" s="9">
        <v>0.8</v>
      </c>
      <c r="CU248" s="9">
        <v>0.9</v>
      </c>
      <c r="CV248" s="9">
        <v>0.64</v>
      </c>
      <c r="CW248" s="9">
        <v>0.59</v>
      </c>
      <c r="CX248" s="9">
        <v>0.69</v>
      </c>
      <c r="CY248" s="9">
        <v>0.38</v>
      </c>
      <c r="CZ248" s="9">
        <v>0.33</v>
      </c>
      <c r="DA248" s="9">
        <v>0.43</v>
      </c>
      <c r="DB248" s="9">
        <f>MIN(Tabelle5897112140[[#This Row],[Durchschnittsauslastung durch Sommer WTT]:[Durchschnittsauslastung max Winter SFN]])</f>
        <v>0.33</v>
      </c>
      <c r="DC24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8" s="9">
        <f>MAX(Tabelle5897112140[[#This Row],[Durchschnittsauslastung durch Sommer WTT]:[Durchschnittsauslastung max Winter SFN]])</f>
        <v>0.9</v>
      </c>
      <c r="DE248" s="40">
        <f>Tabelle5897112140[[#This Row],[Durchschnittsauslastung min]]*Tabelle5897112140[[#This Row],[installierte Leistung MW min]]</f>
        <v>8.91</v>
      </c>
      <c r="DF248" s="40">
        <f>Tabelle5897112140[[#This Row],[Durchschnittsauslastung durch]]*Tabelle5897112140[[#This Row],[installierte Leistung MW durch]]</f>
        <v>23.686666666666664</v>
      </c>
      <c r="DG248" s="40">
        <f>Tabelle5897112140[[#This Row],[Durchschnittsauslastung max]]*Tabelle5897112140[[#This Row],[installierte Leistung MW max]]</f>
        <v>44.1</v>
      </c>
      <c r="DH248" s="46">
        <f>Tabelle5897112140[[#This Row],[Maximalauslastung min]]*Tabelle5897112140[[#This Row],[installierte Leistung MW min]]</f>
        <v>11.34</v>
      </c>
      <c r="DI248" s="46">
        <f>Tabelle5897112140[[#This Row],[Maximalauslastung durch]]*Tabelle5897112140[[#This Row],[installierte Leistung MW durch]]</f>
        <v>17.86</v>
      </c>
      <c r="DJ248" s="19">
        <f>Tabelle5897112140[[#This Row],[Maximalauslastung max]]*Tabelle5897112140[[#This Row],[installierte Leistung MW durch]]</f>
        <v>19.760000000000002</v>
      </c>
      <c r="DK248" s="9">
        <v>0.42</v>
      </c>
      <c r="DL248" s="9">
        <v>0.47</v>
      </c>
      <c r="DM248" s="9">
        <v>0.52</v>
      </c>
      <c r="DN248" s="1">
        <v>38</v>
      </c>
      <c r="DO248" s="1">
        <v>27</v>
      </c>
      <c r="DP248" s="1">
        <v>49</v>
      </c>
      <c r="DQ248" s="19"/>
      <c r="DR248" s="19"/>
      <c r="DW248" s="1">
        <v>4</v>
      </c>
      <c r="DX248" s="1">
        <v>3.2</v>
      </c>
      <c r="DY248" s="1">
        <v>4.8</v>
      </c>
      <c r="DZ248" s="1">
        <v>4</v>
      </c>
      <c r="EA248" s="1">
        <v>3.2</v>
      </c>
      <c r="EB248" s="1">
        <v>4.8</v>
      </c>
      <c r="EC248" s="1">
        <v>24</v>
      </c>
      <c r="EF248" s="1">
        <v>7.2</v>
      </c>
      <c r="EG248" s="1">
        <v>4.5999999999999996</v>
      </c>
      <c r="EH248" s="1">
        <v>9.8000000000000007</v>
      </c>
      <c r="EL248" s="1">
        <v>365</v>
      </c>
      <c r="EM248" s="1">
        <v>328</v>
      </c>
      <c r="EN248" s="1">
        <v>402</v>
      </c>
      <c r="EO248" s="11"/>
      <c r="EP248" s="11"/>
      <c r="EQ248" s="11"/>
      <c r="ER248" s="1">
        <v>365</v>
      </c>
      <c r="ES248" s="1">
        <v>328</v>
      </c>
      <c r="ET248" s="1">
        <v>402</v>
      </c>
      <c r="EV248" s="19"/>
      <c r="EW248" s="19"/>
      <c r="EX248" s="19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O248" s="1">
        <v>67</v>
      </c>
      <c r="FP248" s="1">
        <v>67</v>
      </c>
      <c r="FQ248" s="1">
        <v>67</v>
      </c>
      <c r="FR248" s="13" t="s">
        <v>806</v>
      </c>
      <c r="FS248" s="13" t="s">
        <v>806</v>
      </c>
      <c r="FT248" s="13" t="s">
        <v>806</v>
      </c>
      <c r="FU248" s="13"/>
      <c r="FV248" s="13" t="s">
        <v>806</v>
      </c>
      <c r="FW248" s="13" t="s">
        <v>806</v>
      </c>
      <c r="FX248" s="13" t="s">
        <v>806</v>
      </c>
      <c r="FY248" s="13" t="s">
        <v>806</v>
      </c>
      <c r="FZ248" s="13" t="s">
        <v>806</v>
      </c>
      <c r="GA248" s="13" t="s">
        <v>806</v>
      </c>
      <c r="GB248" s="13" t="s">
        <v>806</v>
      </c>
      <c r="GE248" s="13" t="s">
        <v>806</v>
      </c>
      <c r="GF248" s="13" t="s">
        <v>806</v>
      </c>
      <c r="GH248" s="13" t="s">
        <v>806</v>
      </c>
    </row>
    <row r="249" spans="1:190" x14ac:dyDescent="0.25">
      <c r="A249" s="1" t="s">
        <v>654</v>
      </c>
      <c r="B249" s="1" t="s">
        <v>654</v>
      </c>
      <c r="C249" s="1" t="s">
        <v>667</v>
      </c>
      <c r="D249" s="1" t="s">
        <v>704</v>
      </c>
      <c r="E249" s="1" t="s">
        <v>127</v>
      </c>
      <c r="F249" s="1">
        <v>0</v>
      </c>
      <c r="G249" s="1">
        <v>2050</v>
      </c>
      <c r="H249" s="1">
        <v>1</v>
      </c>
      <c r="I249" s="1">
        <v>0</v>
      </c>
      <c r="J249" s="1">
        <v>0</v>
      </c>
      <c r="K24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9" s="19">
        <v>32.299999999999997</v>
      </c>
      <c r="O249" s="19">
        <v>21.6</v>
      </c>
      <c r="P249" s="19">
        <v>44.1</v>
      </c>
      <c r="Q249" s="19">
        <v>5.7</v>
      </c>
      <c r="R249" s="19">
        <v>2.7</v>
      </c>
      <c r="S249" s="19">
        <v>9.8000000000000007</v>
      </c>
      <c r="T249" s="19">
        <v>24.32</v>
      </c>
      <c r="U249" s="19">
        <v>15.93</v>
      </c>
      <c r="V249" s="19">
        <v>33.81</v>
      </c>
      <c r="W249" s="19">
        <v>13.68</v>
      </c>
      <c r="X249" s="19">
        <v>8.3699999999999992</v>
      </c>
      <c r="Y249" s="19">
        <v>20.09</v>
      </c>
      <c r="Z249" s="19">
        <v>14.44</v>
      </c>
      <c r="AA249" s="19">
        <v>8.91</v>
      </c>
      <c r="AB249" s="19">
        <v>21.07</v>
      </c>
      <c r="AC249" s="19">
        <v>23.56</v>
      </c>
      <c r="AD249" s="19">
        <v>15.39</v>
      </c>
      <c r="AE249" s="19">
        <v>32.83</v>
      </c>
      <c r="AF249" s="19">
        <v>32.299999999999997</v>
      </c>
      <c r="AG249" s="19">
        <v>21.6</v>
      </c>
      <c r="AH249" s="19">
        <v>44.1</v>
      </c>
      <c r="AI249" s="19">
        <v>5.7</v>
      </c>
      <c r="AJ249" s="19">
        <v>2.7</v>
      </c>
      <c r="AK249" s="19">
        <v>9.8000000000000007</v>
      </c>
      <c r="AL249" s="19">
        <v>24.32</v>
      </c>
      <c r="AM249" s="19">
        <v>15.93</v>
      </c>
      <c r="AN249" s="19">
        <v>33.81</v>
      </c>
      <c r="AO249" s="19">
        <v>13.68</v>
      </c>
      <c r="AP249" s="19">
        <v>8.3699999999999992</v>
      </c>
      <c r="AQ249" s="19">
        <v>20.09</v>
      </c>
      <c r="AR249" s="19">
        <v>14.44</v>
      </c>
      <c r="AS249" s="19">
        <v>8.91</v>
      </c>
      <c r="AT249" s="19">
        <v>21.07</v>
      </c>
      <c r="AU249" s="19">
        <v>23.56</v>
      </c>
      <c r="AV249" s="19">
        <v>15.39</v>
      </c>
      <c r="AW249" s="19">
        <v>32.83</v>
      </c>
      <c r="AX249" s="19">
        <v>32.299999999999997</v>
      </c>
      <c r="AY249" s="19">
        <v>21.6</v>
      </c>
      <c r="AZ249" s="19">
        <v>44.1</v>
      </c>
      <c r="BA249" s="19">
        <v>5.7</v>
      </c>
      <c r="BB249" s="19">
        <v>2.7</v>
      </c>
      <c r="BC249" s="19">
        <v>9.8000000000000007</v>
      </c>
      <c r="BD249" s="19">
        <v>24.32</v>
      </c>
      <c r="BE249" s="19">
        <v>15.93</v>
      </c>
      <c r="BF249" s="19">
        <v>33.81</v>
      </c>
      <c r="BG249" s="19">
        <v>13.68</v>
      </c>
      <c r="BH249" s="19">
        <v>8.3699999999999992</v>
      </c>
      <c r="BI249" s="19">
        <v>20.09</v>
      </c>
      <c r="BJ249" s="19">
        <v>14.44</v>
      </c>
      <c r="BK249" s="19">
        <v>8.91</v>
      </c>
      <c r="BL249" s="19">
        <v>21.07</v>
      </c>
      <c r="BM249" s="19">
        <v>23.56</v>
      </c>
      <c r="BN249" s="19">
        <v>15.39</v>
      </c>
      <c r="BO249" s="19">
        <v>32.83</v>
      </c>
      <c r="BP249" s="19"/>
      <c r="BQ24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9" s="11">
        <f>Tabelle5897112140[[#This Row],[Mindestauslastung min]]*Tabelle5897112140[[#This Row],[installierte Leistung MW min]]</f>
        <v>1.35</v>
      </c>
      <c r="BU249" s="11">
        <f>Tabelle5897112140[[#This Row],[Mindestauslastung durch]]*Tabelle5897112140[[#This Row],[installierte Leistung MW durch]]</f>
        <v>1.9000000000000001</v>
      </c>
      <c r="BV249" s="11">
        <f>Tabelle5897112140[[#This Row],[Mindestauslastung max]]*Tabelle5897112140[[#This Row],[installierte Leistung MW max]]</f>
        <v>2.4500000000000002</v>
      </c>
      <c r="BW249" s="9">
        <v>0.05</v>
      </c>
      <c r="BX249" s="9">
        <v>0.05</v>
      </c>
      <c r="BY249" s="9">
        <v>0.05</v>
      </c>
      <c r="BZ249" s="9"/>
      <c r="CA249" s="9">
        <v>0.85</v>
      </c>
      <c r="CB249" s="9">
        <v>0.8</v>
      </c>
      <c r="CC249" s="9">
        <v>0.9</v>
      </c>
      <c r="CD249" s="9">
        <v>0.64</v>
      </c>
      <c r="CE249" s="9">
        <v>0.59</v>
      </c>
      <c r="CF249" s="9">
        <v>0.69</v>
      </c>
      <c r="CG249" s="9">
        <v>0.38</v>
      </c>
      <c r="CH249" s="9">
        <v>0.33</v>
      </c>
      <c r="CI249" s="9">
        <v>0.43</v>
      </c>
      <c r="CJ249" s="9">
        <v>0.85</v>
      </c>
      <c r="CK249" s="9">
        <v>0.8</v>
      </c>
      <c r="CL249" s="9">
        <v>0.9</v>
      </c>
      <c r="CM249" s="9">
        <v>0.64</v>
      </c>
      <c r="CN249" s="9">
        <v>0.59</v>
      </c>
      <c r="CO249" s="9">
        <v>0.69</v>
      </c>
      <c r="CP249" s="9">
        <v>0.38</v>
      </c>
      <c r="CQ249" s="9">
        <v>0.33</v>
      </c>
      <c r="CR249" s="9">
        <v>0.43</v>
      </c>
      <c r="CS249" s="9">
        <v>0.85</v>
      </c>
      <c r="CT249" s="9">
        <v>0.8</v>
      </c>
      <c r="CU249" s="9">
        <v>0.9</v>
      </c>
      <c r="CV249" s="9">
        <v>0.64</v>
      </c>
      <c r="CW249" s="9">
        <v>0.59</v>
      </c>
      <c r="CX249" s="9">
        <v>0.69</v>
      </c>
      <c r="CY249" s="9">
        <v>0.38</v>
      </c>
      <c r="CZ249" s="9">
        <v>0.33</v>
      </c>
      <c r="DA249" s="9">
        <v>0.43</v>
      </c>
      <c r="DB249" s="9">
        <f>MIN(Tabelle5897112140[[#This Row],[Durchschnittsauslastung durch Sommer WTT]:[Durchschnittsauslastung max Winter SFN]])</f>
        <v>0.33</v>
      </c>
      <c r="DC24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9" s="9">
        <f>MAX(Tabelle5897112140[[#This Row],[Durchschnittsauslastung durch Sommer WTT]:[Durchschnittsauslastung max Winter SFN]])</f>
        <v>0.9</v>
      </c>
      <c r="DE249" s="40">
        <f>Tabelle5897112140[[#This Row],[Durchschnittsauslastung min]]*Tabelle5897112140[[#This Row],[installierte Leistung MW min]]</f>
        <v>8.91</v>
      </c>
      <c r="DF249" s="40">
        <f>Tabelle5897112140[[#This Row],[Durchschnittsauslastung durch]]*Tabelle5897112140[[#This Row],[installierte Leistung MW durch]]</f>
        <v>23.686666666666664</v>
      </c>
      <c r="DG249" s="40">
        <f>Tabelle5897112140[[#This Row],[Durchschnittsauslastung max]]*Tabelle5897112140[[#This Row],[installierte Leistung MW max]]</f>
        <v>44.1</v>
      </c>
      <c r="DH249" s="46">
        <f>Tabelle5897112140[[#This Row],[Maximalauslastung min]]*Tabelle5897112140[[#This Row],[installierte Leistung MW min]]</f>
        <v>11.34</v>
      </c>
      <c r="DI249" s="46">
        <f>Tabelle5897112140[[#This Row],[Maximalauslastung durch]]*Tabelle5897112140[[#This Row],[installierte Leistung MW durch]]</f>
        <v>17.86</v>
      </c>
      <c r="DJ249" s="19">
        <f>Tabelle5897112140[[#This Row],[Maximalauslastung max]]*Tabelle5897112140[[#This Row],[installierte Leistung MW durch]]</f>
        <v>19.760000000000002</v>
      </c>
      <c r="DK249" s="9">
        <v>0.42</v>
      </c>
      <c r="DL249" s="9">
        <v>0.47</v>
      </c>
      <c r="DM249" s="9">
        <v>0.52</v>
      </c>
      <c r="DN249" s="1">
        <v>38</v>
      </c>
      <c r="DO249" s="1">
        <v>27</v>
      </c>
      <c r="DP249" s="1">
        <v>49</v>
      </c>
      <c r="DQ249" s="19"/>
      <c r="DR249" s="19"/>
      <c r="DW249" s="1">
        <v>4</v>
      </c>
      <c r="DX249" s="1">
        <v>3.2</v>
      </c>
      <c r="DY249" s="1">
        <v>4.8</v>
      </c>
      <c r="DZ249" s="1">
        <v>4</v>
      </c>
      <c r="EA249" s="1">
        <v>3.2</v>
      </c>
      <c r="EB249" s="1">
        <v>4.8</v>
      </c>
      <c r="EC249" s="1">
        <v>24</v>
      </c>
      <c r="EF249" s="1">
        <v>7.2</v>
      </c>
      <c r="EG249" s="1">
        <v>4.5999999999999996</v>
      </c>
      <c r="EH249" s="1">
        <v>9.8000000000000007</v>
      </c>
      <c r="EL249" s="1">
        <v>365</v>
      </c>
      <c r="EM249" s="1">
        <v>328</v>
      </c>
      <c r="EN249" s="1">
        <v>402</v>
      </c>
      <c r="EO249" s="11"/>
      <c r="EP249" s="11"/>
      <c r="EQ249" s="11"/>
      <c r="ER249" s="1">
        <v>365</v>
      </c>
      <c r="ES249" s="1">
        <v>328</v>
      </c>
      <c r="ET249" s="1">
        <v>402</v>
      </c>
      <c r="EV249" s="19"/>
      <c r="EW249" s="19"/>
      <c r="EX249" s="19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O249" s="1">
        <v>67</v>
      </c>
      <c r="FP249" s="1">
        <v>67</v>
      </c>
      <c r="FQ249" s="1">
        <v>67</v>
      </c>
      <c r="FR249" s="13" t="s">
        <v>806</v>
      </c>
      <c r="FS249" s="13" t="s">
        <v>806</v>
      </c>
      <c r="FT249" s="13" t="s">
        <v>806</v>
      </c>
      <c r="FU249" s="13"/>
      <c r="FV249" s="13" t="s">
        <v>806</v>
      </c>
      <c r="FW249" s="13" t="s">
        <v>806</v>
      </c>
      <c r="FX249" s="13" t="s">
        <v>806</v>
      </c>
      <c r="FY249" s="13" t="s">
        <v>806</v>
      </c>
      <c r="FZ249" s="13" t="s">
        <v>806</v>
      </c>
      <c r="GA249" s="13" t="s">
        <v>806</v>
      </c>
      <c r="GB249" s="13" t="s">
        <v>806</v>
      </c>
      <c r="GE249" s="13" t="s">
        <v>806</v>
      </c>
      <c r="GF249" s="13" t="s">
        <v>806</v>
      </c>
      <c r="GH249" s="13" t="s">
        <v>806</v>
      </c>
    </row>
    <row r="250" spans="1:190" x14ac:dyDescent="0.25">
      <c r="A250" s="1" t="s">
        <v>374</v>
      </c>
      <c r="B250" s="1" t="s">
        <v>742</v>
      </c>
      <c r="C250" s="1" t="s">
        <v>668</v>
      </c>
      <c r="D250" s="1" t="s">
        <v>710</v>
      </c>
      <c r="E250" s="1" t="s">
        <v>127</v>
      </c>
      <c r="F250" s="1">
        <v>0</v>
      </c>
      <c r="G250" s="1">
        <v>2015</v>
      </c>
      <c r="H250" s="1">
        <v>1</v>
      </c>
      <c r="I250" s="1">
        <v>0</v>
      </c>
      <c r="J250" s="1">
        <v>0</v>
      </c>
      <c r="K25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0" s="19">
        <v>290</v>
      </c>
      <c r="O250" s="19">
        <v>173.92500000000001</v>
      </c>
      <c r="P250" s="19">
        <v>425.42500000000001</v>
      </c>
      <c r="Q250" s="19">
        <v>290</v>
      </c>
      <c r="R250" s="19">
        <v>135.27500000000001</v>
      </c>
      <c r="S250" s="19">
        <v>502.77499999999998</v>
      </c>
      <c r="T250" s="19">
        <v>290</v>
      </c>
      <c r="U250" s="19">
        <v>173.92500000000001</v>
      </c>
      <c r="V250" s="19">
        <v>425.42500000000001</v>
      </c>
      <c r="W250" s="19">
        <v>290</v>
      </c>
      <c r="X250" s="19">
        <v>135.27500000000001</v>
      </c>
      <c r="Y250" s="19">
        <v>502.77499999999998</v>
      </c>
      <c r="Z250" s="19">
        <v>290</v>
      </c>
      <c r="AA250" s="19">
        <v>173.92500000000001</v>
      </c>
      <c r="AB250" s="19">
        <v>425.42500000000001</v>
      </c>
      <c r="AC250" s="19">
        <v>290</v>
      </c>
      <c r="AD250" s="19">
        <v>135.27500000000001</v>
      </c>
      <c r="AE250" s="19">
        <v>502.77499999999998</v>
      </c>
      <c r="AF250" s="19">
        <v>290</v>
      </c>
      <c r="AG250" s="19">
        <v>173.92500000000001</v>
      </c>
      <c r="AH250" s="19">
        <v>425.42500000000001</v>
      </c>
      <c r="AI250" s="19">
        <v>290</v>
      </c>
      <c r="AJ250" s="19">
        <v>135.27500000000001</v>
      </c>
      <c r="AK250" s="19">
        <v>502.77499999999998</v>
      </c>
      <c r="AL250" s="19">
        <v>290</v>
      </c>
      <c r="AM250" s="19">
        <v>173.92500000000001</v>
      </c>
      <c r="AN250" s="19">
        <v>425.42500000000001</v>
      </c>
      <c r="AO250" s="19">
        <v>290</v>
      </c>
      <c r="AP250" s="19">
        <v>135.27500000000001</v>
      </c>
      <c r="AQ250" s="19">
        <v>502.77499999999998</v>
      </c>
      <c r="AR250" s="19">
        <v>290</v>
      </c>
      <c r="AS250" s="19">
        <v>173.92500000000001</v>
      </c>
      <c r="AT250" s="19">
        <v>425.42500000000001</v>
      </c>
      <c r="AU250" s="19">
        <v>290</v>
      </c>
      <c r="AV250" s="19">
        <v>135.27500000000001</v>
      </c>
      <c r="AW250" s="19">
        <v>502.77499999999998</v>
      </c>
      <c r="AX250" s="19">
        <v>290</v>
      </c>
      <c r="AY250" s="19">
        <v>173.92500000000001</v>
      </c>
      <c r="AZ250" s="19">
        <v>425.42500000000001</v>
      </c>
      <c r="BA250" s="19">
        <v>290</v>
      </c>
      <c r="BB250" s="19">
        <v>135.27500000000001</v>
      </c>
      <c r="BC250" s="19">
        <v>502.77499999999998</v>
      </c>
      <c r="BD250" s="19">
        <v>290</v>
      </c>
      <c r="BE250" s="19">
        <v>173.92500000000001</v>
      </c>
      <c r="BF250" s="19">
        <v>425.42500000000001</v>
      </c>
      <c r="BG250" s="19">
        <v>290</v>
      </c>
      <c r="BH250" s="19">
        <v>135.27500000000001</v>
      </c>
      <c r="BI250" s="19">
        <v>502.77499999999998</v>
      </c>
      <c r="BJ250" s="19">
        <v>290</v>
      </c>
      <c r="BK250" s="19">
        <v>173.92500000000001</v>
      </c>
      <c r="BL250" s="19">
        <v>425.42500000000001</v>
      </c>
      <c r="BM250" s="19">
        <v>290</v>
      </c>
      <c r="BN250" s="19">
        <v>135.27500000000001</v>
      </c>
      <c r="BO250" s="19">
        <v>502.77499999999998</v>
      </c>
      <c r="BP250" s="19"/>
      <c r="BQ25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0" s="11">
        <f>Tabelle5897112140[[#This Row],[Mindestauslastung min]]*Tabelle5897112140[[#This Row],[installierte Leistung MW min]]</f>
        <v>38.650000000000006</v>
      </c>
      <c r="BU250" s="11">
        <f>Tabelle5897112140[[#This Row],[Mindestauslastung durch]]*Tabelle5897112140[[#This Row],[installierte Leistung MW durch]]</f>
        <v>58</v>
      </c>
      <c r="BV250" s="11">
        <f>Tabelle5897112140[[#This Row],[Mindestauslastung max]]*Tabelle5897112140[[#This Row],[installierte Leistung MW max]]</f>
        <v>77.350000000000009</v>
      </c>
      <c r="BW250" s="9">
        <v>0.05</v>
      </c>
      <c r="BX250" s="9">
        <v>0.05</v>
      </c>
      <c r="BY250" s="9">
        <v>0.05</v>
      </c>
      <c r="BZ250" s="9"/>
      <c r="CA250" s="9">
        <v>0.25</v>
      </c>
      <c r="CB250" s="9">
        <v>0.22500000000000001</v>
      </c>
      <c r="CC250" s="9">
        <v>0.27500000000000002</v>
      </c>
      <c r="CD250" s="9">
        <v>0.25</v>
      </c>
      <c r="CE250" s="9">
        <v>0.22500000000000001</v>
      </c>
      <c r="CF250" s="9">
        <v>0.27500000000000002</v>
      </c>
      <c r="CG250" s="9">
        <v>0.25</v>
      </c>
      <c r="CH250" s="9">
        <v>0.22500000000000001</v>
      </c>
      <c r="CI250" s="9">
        <v>0.27500000000000002</v>
      </c>
      <c r="CJ250" s="9">
        <v>0.25</v>
      </c>
      <c r="CK250" s="9">
        <v>0.22500000000000001</v>
      </c>
      <c r="CL250" s="9">
        <v>0.27500000000000002</v>
      </c>
      <c r="CM250" s="9">
        <v>0.25</v>
      </c>
      <c r="CN250" s="9">
        <v>0.22500000000000001</v>
      </c>
      <c r="CO250" s="9">
        <v>0.27500000000000002</v>
      </c>
      <c r="CP250" s="9">
        <v>0.25</v>
      </c>
      <c r="CQ250" s="9">
        <v>0.22500000000000001</v>
      </c>
      <c r="CR250" s="9">
        <v>0.27500000000000002</v>
      </c>
      <c r="CS250" s="9">
        <v>0.25</v>
      </c>
      <c r="CT250" s="9">
        <v>0.22500000000000001</v>
      </c>
      <c r="CU250" s="9">
        <v>0.27500000000000002</v>
      </c>
      <c r="CV250" s="9">
        <v>0.25</v>
      </c>
      <c r="CW250" s="9">
        <v>0.22500000000000001</v>
      </c>
      <c r="CX250" s="9">
        <v>0.27500000000000002</v>
      </c>
      <c r="CY250" s="9">
        <v>0.25</v>
      </c>
      <c r="CZ250" s="9">
        <v>0.22500000000000001</v>
      </c>
      <c r="DA250" s="9">
        <v>0.27500000000000002</v>
      </c>
      <c r="DB250" s="9">
        <f>MIN(Tabelle5897112140[[#This Row],[Durchschnittsauslastung durch Sommer WTT]:[Durchschnittsauslastung max Winter SFN]])</f>
        <v>0.22500000000000001</v>
      </c>
      <c r="DC25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0" s="9">
        <f>MAX(Tabelle5897112140[[#This Row],[Durchschnittsauslastung durch Sommer WTT]:[Durchschnittsauslastung max Winter SFN]])</f>
        <v>0.27500000000000002</v>
      </c>
      <c r="DE250" s="40">
        <f>Tabelle5897112140[[#This Row],[Durchschnittsauslastung min]]*Tabelle5897112140[[#This Row],[installierte Leistung MW min]]</f>
        <v>173.92500000000001</v>
      </c>
      <c r="DF250" s="40">
        <f>Tabelle5897112140[[#This Row],[Durchschnittsauslastung durch]]*Tabelle5897112140[[#This Row],[installierte Leistung MW durch]]</f>
        <v>290</v>
      </c>
      <c r="DG250" s="40">
        <f>Tabelle5897112140[[#This Row],[Durchschnittsauslastung max]]*Tabelle5897112140[[#This Row],[installierte Leistung MW max]]</f>
        <v>425.42500000000001</v>
      </c>
      <c r="DH250" s="46">
        <f>Tabelle5897112140[[#This Row],[Maximalauslastung min]]*Tabelle5897112140[[#This Row],[installierte Leistung MW min]]</f>
        <v>773</v>
      </c>
      <c r="DI250" s="46">
        <f>Tabelle5897112140[[#This Row],[Maximalauslastung durch]]*Tabelle5897112140[[#This Row],[installierte Leistung MW durch]]</f>
        <v>1160</v>
      </c>
      <c r="DJ250" s="19">
        <f>Tabelle5897112140[[#This Row],[Maximalauslastung max]]*Tabelle5897112140[[#This Row],[installierte Leistung MW durch]]</f>
        <v>1160</v>
      </c>
      <c r="DK250" s="9">
        <v>1</v>
      </c>
      <c r="DL250" s="9">
        <v>1</v>
      </c>
      <c r="DM250" s="9">
        <v>1</v>
      </c>
      <c r="DN250" s="1">
        <v>1160</v>
      </c>
      <c r="DO250" s="1">
        <v>773</v>
      </c>
      <c r="DP250" s="1">
        <v>1547</v>
      </c>
      <c r="DQ250" s="19"/>
      <c r="DR250" s="19"/>
      <c r="DW250" s="1">
        <v>5</v>
      </c>
      <c r="DX250" s="1">
        <v>4.5</v>
      </c>
      <c r="DY250" s="1">
        <v>5.5</v>
      </c>
      <c r="DZ250" s="1">
        <v>5</v>
      </c>
      <c r="EA250" s="1">
        <v>4.5</v>
      </c>
      <c r="EB250" s="1">
        <v>5.5</v>
      </c>
      <c r="EC250" s="1">
        <v>24</v>
      </c>
      <c r="EF250" s="1">
        <v>10</v>
      </c>
      <c r="EG250" s="1">
        <v>9</v>
      </c>
      <c r="EH250" s="1">
        <v>11</v>
      </c>
      <c r="EL250" s="1">
        <v>365</v>
      </c>
      <c r="EM250" s="1">
        <v>328</v>
      </c>
      <c r="EN250" s="1">
        <v>402</v>
      </c>
      <c r="EO250" s="11"/>
      <c r="EP250" s="11"/>
      <c r="EQ250" s="11"/>
      <c r="ER250" s="1">
        <v>365</v>
      </c>
      <c r="ES250" s="1">
        <v>328</v>
      </c>
      <c r="ET250" s="1">
        <v>402</v>
      </c>
      <c r="EV250" s="19"/>
      <c r="EW250" s="19"/>
      <c r="EX250" s="19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O250" s="1">
        <v>67</v>
      </c>
      <c r="FP250" s="1">
        <v>67</v>
      </c>
      <c r="FQ250" s="1">
        <v>67</v>
      </c>
      <c r="FR250" s="13" t="s">
        <v>806</v>
      </c>
      <c r="FS250" s="13" t="s">
        <v>806</v>
      </c>
      <c r="FT250" s="13" t="s">
        <v>806</v>
      </c>
      <c r="FU250" s="13"/>
      <c r="FV250" s="13" t="s">
        <v>806</v>
      </c>
      <c r="FW250" s="13" t="s">
        <v>806</v>
      </c>
      <c r="FX250" s="13" t="s">
        <v>806</v>
      </c>
      <c r="FY250" s="13" t="s">
        <v>806</v>
      </c>
      <c r="FZ250" s="13" t="s">
        <v>806</v>
      </c>
      <c r="GA250" s="13" t="s">
        <v>806</v>
      </c>
      <c r="GB250" s="13" t="s">
        <v>806</v>
      </c>
      <c r="GE250" s="13" t="s">
        <v>806</v>
      </c>
      <c r="GF250" s="13" t="s">
        <v>806</v>
      </c>
      <c r="GH250" s="13" t="s">
        <v>806</v>
      </c>
    </row>
    <row r="251" spans="1:190" x14ac:dyDescent="0.25">
      <c r="A251" s="1" t="s">
        <v>374</v>
      </c>
      <c r="B251" s="1" t="s">
        <v>742</v>
      </c>
      <c r="C251" s="1" t="s">
        <v>668</v>
      </c>
      <c r="D251" s="1" t="s">
        <v>710</v>
      </c>
      <c r="E251" s="1" t="s">
        <v>127</v>
      </c>
      <c r="F251" s="1">
        <v>0</v>
      </c>
      <c r="G251" s="1">
        <v>2020</v>
      </c>
      <c r="H251" s="1">
        <v>1</v>
      </c>
      <c r="I251" s="1">
        <v>0</v>
      </c>
      <c r="J251" s="1">
        <v>0</v>
      </c>
      <c r="K25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1" s="19">
        <v>290</v>
      </c>
      <c r="O251" s="19">
        <v>173.92500000000001</v>
      </c>
      <c r="P251" s="19">
        <v>425.42500000000001</v>
      </c>
      <c r="Q251" s="19">
        <v>290</v>
      </c>
      <c r="R251" s="19">
        <v>135.27500000000001</v>
      </c>
      <c r="S251" s="19">
        <v>502.77499999999998</v>
      </c>
      <c r="T251" s="19">
        <v>290</v>
      </c>
      <c r="U251" s="19">
        <v>173.92500000000001</v>
      </c>
      <c r="V251" s="19">
        <v>425.42500000000001</v>
      </c>
      <c r="W251" s="19">
        <v>290</v>
      </c>
      <c r="X251" s="19">
        <v>135.27500000000001</v>
      </c>
      <c r="Y251" s="19">
        <v>502.77499999999998</v>
      </c>
      <c r="Z251" s="19">
        <v>290</v>
      </c>
      <c r="AA251" s="19">
        <v>173.92500000000001</v>
      </c>
      <c r="AB251" s="19">
        <v>425.42500000000001</v>
      </c>
      <c r="AC251" s="19">
        <v>290</v>
      </c>
      <c r="AD251" s="19">
        <v>135.27500000000001</v>
      </c>
      <c r="AE251" s="19">
        <v>502.77499999999998</v>
      </c>
      <c r="AF251" s="19">
        <v>290</v>
      </c>
      <c r="AG251" s="19">
        <v>173.92500000000001</v>
      </c>
      <c r="AH251" s="19">
        <v>425.42500000000001</v>
      </c>
      <c r="AI251" s="19">
        <v>290</v>
      </c>
      <c r="AJ251" s="19">
        <v>135.27500000000001</v>
      </c>
      <c r="AK251" s="19">
        <v>502.77499999999998</v>
      </c>
      <c r="AL251" s="19">
        <v>290</v>
      </c>
      <c r="AM251" s="19">
        <v>173.92500000000001</v>
      </c>
      <c r="AN251" s="19">
        <v>425.42500000000001</v>
      </c>
      <c r="AO251" s="19">
        <v>290</v>
      </c>
      <c r="AP251" s="19">
        <v>135.27500000000001</v>
      </c>
      <c r="AQ251" s="19">
        <v>502.77499999999998</v>
      </c>
      <c r="AR251" s="19">
        <v>290</v>
      </c>
      <c r="AS251" s="19">
        <v>173.92500000000001</v>
      </c>
      <c r="AT251" s="19">
        <v>425.42500000000001</v>
      </c>
      <c r="AU251" s="19">
        <v>290</v>
      </c>
      <c r="AV251" s="19">
        <v>135.27500000000001</v>
      </c>
      <c r="AW251" s="19">
        <v>502.77499999999998</v>
      </c>
      <c r="AX251" s="19">
        <v>290</v>
      </c>
      <c r="AY251" s="19">
        <v>173.92500000000001</v>
      </c>
      <c r="AZ251" s="19">
        <v>425.42500000000001</v>
      </c>
      <c r="BA251" s="19">
        <v>290</v>
      </c>
      <c r="BB251" s="19">
        <v>135.27500000000001</v>
      </c>
      <c r="BC251" s="19">
        <v>502.77499999999998</v>
      </c>
      <c r="BD251" s="19">
        <v>290</v>
      </c>
      <c r="BE251" s="19">
        <v>173.92500000000001</v>
      </c>
      <c r="BF251" s="19">
        <v>425.42500000000001</v>
      </c>
      <c r="BG251" s="19">
        <v>290</v>
      </c>
      <c r="BH251" s="19">
        <v>135.27500000000001</v>
      </c>
      <c r="BI251" s="19">
        <v>502.77499999999998</v>
      </c>
      <c r="BJ251" s="19">
        <v>290</v>
      </c>
      <c r="BK251" s="19">
        <v>173.92500000000001</v>
      </c>
      <c r="BL251" s="19">
        <v>425.42500000000001</v>
      </c>
      <c r="BM251" s="19">
        <v>290</v>
      </c>
      <c r="BN251" s="19">
        <v>135.27500000000001</v>
      </c>
      <c r="BO251" s="19">
        <v>502.77499999999998</v>
      </c>
      <c r="BP251" s="19"/>
      <c r="BQ25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1" s="11">
        <f>Tabelle5897112140[[#This Row],[Mindestauslastung min]]*Tabelle5897112140[[#This Row],[installierte Leistung MW min]]</f>
        <v>38.650000000000006</v>
      </c>
      <c r="BU251" s="11">
        <f>Tabelle5897112140[[#This Row],[Mindestauslastung durch]]*Tabelle5897112140[[#This Row],[installierte Leistung MW durch]]</f>
        <v>58</v>
      </c>
      <c r="BV251" s="11">
        <f>Tabelle5897112140[[#This Row],[Mindestauslastung max]]*Tabelle5897112140[[#This Row],[installierte Leistung MW max]]</f>
        <v>77.350000000000009</v>
      </c>
      <c r="BW251" s="9">
        <v>0.05</v>
      </c>
      <c r="BX251" s="9">
        <v>0.05</v>
      </c>
      <c r="BY251" s="9">
        <v>0.05</v>
      </c>
      <c r="BZ251" s="9"/>
      <c r="CA251" s="9">
        <v>0.25</v>
      </c>
      <c r="CB251" s="9">
        <v>0.22500000000000001</v>
      </c>
      <c r="CC251" s="9">
        <v>0.27500000000000002</v>
      </c>
      <c r="CD251" s="9">
        <v>0.25</v>
      </c>
      <c r="CE251" s="9">
        <v>0.22500000000000001</v>
      </c>
      <c r="CF251" s="9">
        <v>0.27500000000000002</v>
      </c>
      <c r="CG251" s="9">
        <v>0.25</v>
      </c>
      <c r="CH251" s="9">
        <v>0.22500000000000001</v>
      </c>
      <c r="CI251" s="9">
        <v>0.27500000000000002</v>
      </c>
      <c r="CJ251" s="9">
        <v>0.25</v>
      </c>
      <c r="CK251" s="9">
        <v>0.22500000000000001</v>
      </c>
      <c r="CL251" s="9">
        <v>0.27500000000000002</v>
      </c>
      <c r="CM251" s="9">
        <v>0.25</v>
      </c>
      <c r="CN251" s="9">
        <v>0.22500000000000001</v>
      </c>
      <c r="CO251" s="9">
        <v>0.27500000000000002</v>
      </c>
      <c r="CP251" s="9">
        <v>0.25</v>
      </c>
      <c r="CQ251" s="9">
        <v>0.22500000000000001</v>
      </c>
      <c r="CR251" s="9">
        <v>0.27500000000000002</v>
      </c>
      <c r="CS251" s="9">
        <v>0.25</v>
      </c>
      <c r="CT251" s="9">
        <v>0.22500000000000001</v>
      </c>
      <c r="CU251" s="9">
        <v>0.27500000000000002</v>
      </c>
      <c r="CV251" s="9">
        <v>0.25</v>
      </c>
      <c r="CW251" s="9">
        <v>0.22500000000000001</v>
      </c>
      <c r="CX251" s="9">
        <v>0.27500000000000002</v>
      </c>
      <c r="CY251" s="9">
        <v>0.25</v>
      </c>
      <c r="CZ251" s="9">
        <v>0.22500000000000001</v>
      </c>
      <c r="DA251" s="9">
        <v>0.27500000000000002</v>
      </c>
      <c r="DB251" s="9">
        <f>MIN(Tabelle5897112140[[#This Row],[Durchschnittsauslastung durch Sommer WTT]:[Durchschnittsauslastung max Winter SFN]])</f>
        <v>0.22500000000000001</v>
      </c>
      <c r="DC25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1" s="9">
        <f>MAX(Tabelle5897112140[[#This Row],[Durchschnittsauslastung durch Sommer WTT]:[Durchschnittsauslastung max Winter SFN]])</f>
        <v>0.27500000000000002</v>
      </c>
      <c r="DE251" s="40">
        <f>Tabelle5897112140[[#This Row],[Durchschnittsauslastung min]]*Tabelle5897112140[[#This Row],[installierte Leistung MW min]]</f>
        <v>173.92500000000001</v>
      </c>
      <c r="DF251" s="40">
        <f>Tabelle5897112140[[#This Row],[Durchschnittsauslastung durch]]*Tabelle5897112140[[#This Row],[installierte Leistung MW durch]]</f>
        <v>290</v>
      </c>
      <c r="DG251" s="40">
        <f>Tabelle5897112140[[#This Row],[Durchschnittsauslastung max]]*Tabelle5897112140[[#This Row],[installierte Leistung MW max]]</f>
        <v>425.42500000000001</v>
      </c>
      <c r="DH251" s="46">
        <f>Tabelle5897112140[[#This Row],[Maximalauslastung min]]*Tabelle5897112140[[#This Row],[installierte Leistung MW min]]</f>
        <v>347.85</v>
      </c>
      <c r="DI251" s="46">
        <f>Tabelle5897112140[[#This Row],[Maximalauslastung durch]]*Tabelle5897112140[[#This Row],[installierte Leistung MW durch]]</f>
        <v>580</v>
      </c>
      <c r="DJ251" s="19">
        <f>Tabelle5897112140[[#This Row],[Maximalauslastung max]]*Tabelle5897112140[[#This Row],[installierte Leistung MW durch]]</f>
        <v>638</v>
      </c>
      <c r="DK251" s="9">
        <v>0.45</v>
      </c>
      <c r="DL251" s="9">
        <v>0.5</v>
      </c>
      <c r="DM251" s="9">
        <v>0.55000000000000004</v>
      </c>
      <c r="DN251" s="1">
        <v>1160</v>
      </c>
      <c r="DO251" s="1">
        <v>773</v>
      </c>
      <c r="DP251" s="1">
        <v>1547</v>
      </c>
      <c r="DQ251" s="19"/>
      <c r="DR251" s="19"/>
      <c r="DW251" s="1">
        <v>5</v>
      </c>
      <c r="DX251" s="1">
        <v>4.5</v>
      </c>
      <c r="DY251" s="1">
        <v>5.5</v>
      </c>
      <c r="DZ251" s="1">
        <v>5</v>
      </c>
      <c r="EA251" s="1">
        <v>4.5</v>
      </c>
      <c r="EB251" s="1">
        <v>5.5</v>
      </c>
      <c r="EC251" s="1">
        <v>24</v>
      </c>
      <c r="EF251" s="1">
        <v>10</v>
      </c>
      <c r="EG251" s="1">
        <v>9</v>
      </c>
      <c r="EH251" s="1">
        <v>11</v>
      </c>
      <c r="EL251" s="1">
        <v>365</v>
      </c>
      <c r="EM251" s="1">
        <v>328</v>
      </c>
      <c r="EN251" s="1">
        <v>402</v>
      </c>
      <c r="EO251" s="11"/>
      <c r="EP251" s="11"/>
      <c r="EQ251" s="11"/>
      <c r="ER251" s="1">
        <v>365</v>
      </c>
      <c r="ES251" s="1">
        <v>328</v>
      </c>
      <c r="ET251" s="1">
        <v>402</v>
      </c>
      <c r="EV251" s="19"/>
      <c r="EW251" s="19"/>
      <c r="EX251" s="19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O251" s="1">
        <v>67</v>
      </c>
      <c r="FP251" s="1">
        <v>67</v>
      </c>
      <c r="FQ251" s="1">
        <v>67</v>
      </c>
      <c r="FR251" s="13" t="s">
        <v>806</v>
      </c>
      <c r="FS251" s="13" t="s">
        <v>806</v>
      </c>
      <c r="FT251" s="13" t="s">
        <v>806</v>
      </c>
      <c r="FU251" s="13"/>
      <c r="FV251" s="13" t="s">
        <v>806</v>
      </c>
      <c r="FW251" s="13" t="s">
        <v>806</v>
      </c>
      <c r="FX251" s="13" t="s">
        <v>806</v>
      </c>
      <c r="FY251" s="13" t="s">
        <v>806</v>
      </c>
      <c r="FZ251" s="13" t="s">
        <v>806</v>
      </c>
      <c r="GA251" s="13" t="s">
        <v>806</v>
      </c>
      <c r="GB251" s="13" t="s">
        <v>806</v>
      </c>
      <c r="GE251" s="13" t="s">
        <v>806</v>
      </c>
      <c r="GF251" s="13" t="s">
        <v>806</v>
      </c>
      <c r="GH251" s="13" t="s">
        <v>806</v>
      </c>
    </row>
    <row r="252" spans="1:190" x14ac:dyDescent="0.25">
      <c r="A252" s="1" t="s">
        <v>374</v>
      </c>
      <c r="B252" s="1" t="s">
        <v>742</v>
      </c>
      <c r="C252" s="1" t="s">
        <v>668</v>
      </c>
      <c r="D252" s="1" t="s">
        <v>710</v>
      </c>
      <c r="E252" s="1" t="s">
        <v>127</v>
      </c>
      <c r="F252" s="1">
        <v>0</v>
      </c>
      <c r="G252" s="1">
        <v>2025</v>
      </c>
      <c r="H252" s="1">
        <v>1</v>
      </c>
      <c r="I252" s="1">
        <v>0</v>
      </c>
      <c r="J252" s="1">
        <v>0</v>
      </c>
      <c r="K25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2" s="19">
        <v>290</v>
      </c>
      <c r="O252" s="19">
        <v>173.92500000000001</v>
      </c>
      <c r="P252" s="19">
        <v>425.42500000000001</v>
      </c>
      <c r="Q252" s="19">
        <v>290</v>
      </c>
      <c r="R252" s="19">
        <v>135.27500000000001</v>
      </c>
      <c r="S252" s="19">
        <v>502.77499999999998</v>
      </c>
      <c r="T252" s="19">
        <v>290</v>
      </c>
      <c r="U252" s="19">
        <v>173.92500000000001</v>
      </c>
      <c r="V252" s="19">
        <v>425.42500000000001</v>
      </c>
      <c r="W252" s="19">
        <v>290</v>
      </c>
      <c r="X252" s="19">
        <v>135.27500000000001</v>
      </c>
      <c r="Y252" s="19">
        <v>502.77499999999998</v>
      </c>
      <c r="Z252" s="19">
        <v>290</v>
      </c>
      <c r="AA252" s="19">
        <v>173.92500000000001</v>
      </c>
      <c r="AB252" s="19">
        <v>425.42500000000001</v>
      </c>
      <c r="AC252" s="19">
        <v>290</v>
      </c>
      <c r="AD252" s="19">
        <v>135.27500000000001</v>
      </c>
      <c r="AE252" s="19">
        <v>502.77499999999998</v>
      </c>
      <c r="AF252" s="19">
        <v>290</v>
      </c>
      <c r="AG252" s="19">
        <v>173.92500000000001</v>
      </c>
      <c r="AH252" s="19">
        <v>425.42500000000001</v>
      </c>
      <c r="AI252" s="19">
        <v>290</v>
      </c>
      <c r="AJ252" s="19">
        <v>135.27500000000001</v>
      </c>
      <c r="AK252" s="19">
        <v>502.77499999999998</v>
      </c>
      <c r="AL252" s="19">
        <v>290</v>
      </c>
      <c r="AM252" s="19">
        <v>173.92500000000001</v>
      </c>
      <c r="AN252" s="19">
        <v>425.42500000000001</v>
      </c>
      <c r="AO252" s="19">
        <v>290</v>
      </c>
      <c r="AP252" s="19">
        <v>135.27500000000001</v>
      </c>
      <c r="AQ252" s="19">
        <v>502.77499999999998</v>
      </c>
      <c r="AR252" s="19">
        <v>290</v>
      </c>
      <c r="AS252" s="19">
        <v>173.92500000000001</v>
      </c>
      <c r="AT252" s="19">
        <v>425.42500000000001</v>
      </c>
      <c r="AU252" s="19">
        <v>290</v>
      </c>
      <c r="AV252" s="19">
        <v>135.27500000000001</v>
      </c>
      <c r="AW252" s="19">
        <v>502.77499999999998</v>
      </c>
      <c r="AX252" s="19">
        <v>290</v>
      </c>
      <c r="AY252" s="19">
        <v>173.92500000000001</v>
      </c>
      <c r="AZ252" s="19">
        <v>425.42500000000001</v>
      </c>
      <c r="BA252" s="19">
        <v>290</v>
      </c>
      <c r="BB252" s="19">
        <v>135.27500000000001</v>
      </c>
      <c r="BC252" s="19">
        <v>502.77499999999998</v>
      </c>
      <c r="BD252" s="19">
        <v>290</v>
      </c>
      <c r="BE252" s="19">
        <v>173.92500000000001</v>
      </c>
      <c r="BF252" s="19">
        <v>425.42500000000001</v>
      </c>
      <c r="BG252" s="19">
        <v>290</v>
      </c>
      <c r="BH252" s="19">
        <v>135.27500000000001</v>
      </c>
      <c r="BI252" s="19">
        <v>502.77499999999998</v>
      </c>
      <c r="BJ252" s="19">
        <v>290</v>
      </c>
      <c r="BK252" s="19">
        <v>173.92500000000001</v>
      </c>
      <c r="BL252" s="19">
        <v>425.42500000000001</v>
      </c>
      <c r="BM252" s="19">
        <v>290</v>
      </c>
      <c r="BN252" s="19">
        <v>135.27500000000001</v>
      </c>
      <c r="BO252" s="19">
        <v>502.77499999999998</v>
      </c>
      <c r="BP252" s="19"/>
      <c r="BQ25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2" s="11">
        <f>Tabelle5897112140[[#This Row],[Mindestauslastung min]]*Tabelle5897112140[[#This Row],[installierte Leistung MW min]]</f>
        <v>38.650000000000006</v>
      </c>
      <c r="BU252" s="11">
        <f>Tabelle5897112140[[#This Row],[Mindestauslastung durch]]*Tabelle5897112140[[#This Row],[installierte Leistung MW durch]]</f>
        <v>58</v>
      </c>
      <c r="BV252" s="11">
        <f>Tabelle5897112140[[#This Row],[Mindestauslastung max]]*Tabelle5897112140[[#This Row],[installierte Leistung MW max]]</f>
        <v>77.350000000000009</v>
      </c>
      <c r="BW252" s="9">
        <v>0.05</v>
      </c>
      <c r="BX252" s="9">
        <v>0.05</v>
      </c>
      <c r="BY252" s="9">
        <v>0.05</v>
      </c>
      <c r="BZ252" s="9"/>
      <c r="CA252" s="9">
        <v>0.25</v>
      </c>
      <c r="CB252" s="9">
        <v>0.22500000000000001</v>
      </c>
      <c r="CC252" s="9">
        <v>0.27500000000000002</v>
      </c>
      <c r="CD252" s="9">
        <v>0.25</v>
      </c>
      <c r="CE252" s="9">
        <v>0.22500000000000001</v>
      </c>
      <c r="CF252" s="9">
        <v>0.27500000000000002</v>
      </c>
      <c r="CG252" s="9">
        <v>0.25</v>
      </c>
      <c r="CH252" s="9">
        <v>0.22500000000000001</v>
      </c>
      <c r="CI252" s="9">
        <v>0.27500000000000002</v>
      </c>
      <c r="CJ252" s="9">
        <v>0.25</v>
      </c>
      <c r="CK252" s="9">
        <v>0.22500000000000001</v>
      </c>
      <c r="CL252" s="9">
        <v>0.27500000000000002</v>
      </c>
      <c r="CM252" s="9">
        <v>0.25</v>
      </c>
      <c r="CN252" s="9">
        <v>0.22500000000000001</v>
      </c>
      <c r="CO252" s="9">
        <v>0.27500000000000002</v>
      </c>
      <c r="CP252" s="9">
        <v>0.25</v>
      </c>
      <c r="CQ252" s="9">
        <v>0.22500000000000001</v>
      </c>
      <c r="CR252" s="9">
        <v>0.27500000000000002</v>
      </c>
      <c r="CS252" s="9">
        <v>0.25</v>
      </c>
      <c r="CT252" s="9">
        <v>0.22500000000000001</v>
      </c>
      <c r="CU252" s="9">
        <v>0.27500000000000002</v>
      </c>
      <c r="CV252" s="9">
        <v>0.25</v>
      </c>
      <c r="CW252" s="9">
        <v>0.22500000000000001</v>
      </c>
      <c r="CX252" s="9">
        <v>0.27500000000000002</v>
      </c>
      <c r="CY252" s="9">
        <v>0.25</v>
      </c>
      <c r="CZ252" s="9">
        <v>0.22500000000000001</v>
      </c>
      <c r="DA252" s="9">
        <v>0.27500000000000002</v>
      </c>
      <c r="DB252" s="9">
        <f>MIN(Tabelle5897112140[[#This Row],[Durchschnittsauslastung durch Sommer WTT]:[Durchschnittsauslastung max Winter SFN]])</f>
        <v>0.22500000000000001</v>
      </c>
      <c r="DC25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2" s="9">
        <f>MAX(Tabelle5897112140[[#This Row],[Durchschnittsauslastung durch Sommer WTT]:[Durchschnittsauslastung max Winter SFN]])</f>
        <v>0.27500000000000002</v>
      </c>
      <c r="DE252" s="40">
        <f>Tabelle5897112140[[#This Row],[Durchschnittsauslastung min]]*Tabelle5897112140[[#This Row],[installierte Leistung MW min]]</f>
        <v>173.92500000000001</v>
      </c>
      <c r="DF252" s="40">
        <f>Tabelle5897112140[[#This Row],[Durchschnittsauslastung durch]]*Tabelle5897112140[[#This Row],[installierte Leistung MW durch]]</f>
        <v>290</v>
      </c>
      <c r="DG252" s="40">
        <f>Tabelle5897112140[[#This Row],[Durchschnittsauslastung max]]*Tabelle5897112140[[#This Row],[installierte Leistung MW max]]</f>
        <v>425.42500000000001</v>
      </c>
      <c r="DH252" s="46">
        <f>Tabelle5897112140[[#This Row],[Maximalauslastung min]]*Tabelle5897112140[[#This Row],[installierte Leistung MW min]]</f>
        <v>347.85</v>
      </c>
      <c r="DI252" s="46">
        <f>Tabelle5897112140[[#This Row],[Maximalauslastung durch]]*Tabelle5897112140[[#This Row],[installierte Leistung MW durch]]</f>
        <v>580</v>
      </c>
      <c r="DJ252" s="19">
        <f>Tabelle5897112140[[#This Row],[Maximalauslastung max]]*Tabelle5897112140[[#This Row],[installierte Leistung MW durch]]</f>
        <v>638</v>
      </c>
      <c r="DK252" s="9">
        <v>0.45</v>
      </c>
      <c r="DL252" s="9">
        <v>0.5</v>
      </c>
      <c r="DM252" s="9">
        <v>0.55000000000000004</v>
      </c>
      <c r="DN252" s="1">
        <v>1160</v>
      </c>
      <c r="DO252" s="1">
        <v>773</v>
      </c>
      <c r="DP252" s="1">
        <v>1547</v>
      </c>
      <c r="DQ252" s="19"/>
      <c r="DR252" s="19"/>
      <c r="DW252" s="1">
        <v>5</v>
      </c>
      <c r="DX252" s="1">
        <v>4.5</v>
      </c>
      <c r="DY252" s="1">
        <v>5.5</v>
      </c>
      <c r="DZ252" s="1">
        <v>5</v>
      </c>
      <c r="EA252" s="1">
        <v>4.5</v>
      </c>
      <c r="EB252" s="1">
        <v>5.5</v>
      </c>
      <c r="EC252" s="1">
        <v>24</v>
      </c>
      <c r="EF252" s="1">
        <v>10</v>
      </c>
      <c r="EG252" s="1">
        <v>9</v>
      </c>
      <c r="EH252" s="1">
        <v>11</v>
      </c>
      <c r="EL252" s="1">
        <v>365</v>
      </c>
      <c r="EM252" s="1">
        <v>328</v>
      </c>
      <c r="EN252" s="1">
        <v>402</v>
      </c>
      <c r="EO252" s="11"/>
      <c r="EP252" s="11"/>
      <c r="EQ252" s="11"/>
      <c r="ER252" s="1">
        <v>365</v>
      </c>
      <c r="ES252" s="1">
        <v>328</v>
      </c>
      <c r="ET252" s="1">
        <v>402</v>
      </c>
      <c r="EV252" s="19"/>
      <c r="EW252" s="19"/>
      <c r="EX252" s="19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O252" s="1">
        <v>67</v>
      </c>
      <c r="FP252" s="1">
        <v>67</v>
      </c>
      <c r="FQ252" s="1">
        <v>67</v>
      </c>
      <c r="FR252" s="13" t="s">
        <v>806</v>
      </c>
      <c r="FS252" s="13" t="s">
        <v>806</v>
      </c>
      <c r="FT252" s="13" t="s">
        <v>806</v>
      </c>
      <c r="FU252" s="13"/>
      <c r="FV252" s="13" t="s">
        <v>806</v>
      </c>
      <c r="FW252" s="13" t="s">
        <v>806</v>
      </c>
      <c r="FX252" s="13" t="s">
        <v>806</v>
      </c>
      <c r="FY252" s="13" t="s">
        <v>806</v>
      </c>
      <c r="FZ252" s="13" t="s">
        <v>806</v>
      </c>
      <c r="GA252" s="13" t="s">
        <v>806</v>
      </c>
      <c r="GB252" s="13" t="s">
        <v>806</v>
      </c>
      <c r="GE252" s="13" t="s">
        <v>806</v>
      </c>
      <c r="GF252" s="13" t="s">
        <v>806</v>
      </c>
      <c r="GH252" s="13" t="s">
        <v>806</v>
      </c>
    </row>
    <row r="253" spans="1:190" x14ac:dyDescent="0.25">
      <c r="A253" s="1" t="s">
        <v>374</v>
      </c>
      <c r="B253" s="1" t="s">
        <v>742</v>
      </c>
      <c r="C253" s="1" t="s">
        <v>668</v>
      </c>
      <c r="D253" s="1" t="s">
        <v>710</v>
      </c>
      <c r="E253" s="1" t="s">
        <v>127</v>
      </c>
      <c r="F253" s="1">
        <v>0</v>
      </c>
      <c r="G253" s="1">
        <v>2030</v>
      </c>
      <c r="H253" s="1">
        <v>1</v>
      </c>
      <c r="I253" s="1">
        <v>0</v>
      </c>
      <c r="J253" s="1">
        <v>0</v>
      </c>
      <c r="K25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3" s="19">
        <v>290</v>
      </c>
      <c r="O253" s="19">
        <v>173.92500000000001</v>
      </c>
      <c r="P253" s="19">
        <v>425.42500000000001</v>
      </c>
      <c r="Q253" s="19">
        <v>290</v>
      </c>
      <c r="R253" s="19">
        <v>135.27500000000001</v>
      </c>
      <c r="S253" s="19">
        <v>502.77499999999998</v>
      </c>
      <c r="T253" s="19">
        <v>290</v>
      </c>
      <c r="U253" s="19">
        <v>173.92500000000001</v>
      </c>
      <c r="V253" s="19">
        <v>425.42500000000001</v>
      </c>
      <c r="W253" s="19">
        <v>290</v>
      </c>
      <c r="X253" s="19">
        <v>135.27500000000001</v>
      </c>
      <c r="Y253" s="19">
        <v>502.77499999999998</v>
      </c>
      <c r="Z253" s="19">
        <v>290</v>
      </c>
      <c r="AA253" s="19">
        <v>173.92500000000001</v>
      </c>
      <c r="AB253" s="19">
        <v>425.42500000000001</v>
      </c>
      <c r="AC253" s="19">
        <v>290</v>
      </c>
      <c r="AD253" s="19">
        <v>135.27500000000001</v>
      </c>
      <c r="AE253" s="19">
        <v>502.77499999999998</v>
      </c>
      <c r="AF253" s="19">
        <v>290</v>
      </c>
      <c r="AG253" s="19">
        <v>173.92500000000001</v>
      </c>
      <c r="AH253" s="19">
        <v>425.42500000000001</v>
      </c>
      <c r="AI253" s="19">
        <v>290</v>
      </c>
      <c r="AJ253" s="19">
        <v>135.27500000000001</v>
      </c>
      <c r="AK253" s="19">
        <v>502.77499999999998</v>
      </c>
      <c r="AL253" s="19">
        <v>290</v>
      </c>
      <c r="AM253" s="19">
        <v>173.92500000000001</v>
      </c>
      <c r="AN253" s="19">
        <v>425.42500000000001</v>
      </c>
      <c r="AO253" s="19">
        <v>290</v>
      </c>
      <c r="AP253" s="19">
        <v>135.27500000000001</v>
      </c>
      <c r="AQ253" s="19">
        <v>502.77499999999998</v>
      </c>
      <c r="AR253" s="19">
        <v>290</v>
      </c>
      <c r="AS253" s="19">
        <v>173.92500000000001</v>
      </c>
      <c r="AT253" s="19">
        <v>425.42500000000001</v>
      </c>
      <c r="AU253" s="19">
        <v>290</v>
      </c>
      <c r="AV253" s="19">
        <v>135.27500000000001</v>
      </c>
      <c r="AW253" s="19">
        <v>502.77499999999998</v>
      </c>
      <c r="AX253" s="19">
        <v>290</v>
      </c>
      <c r="AY253" s="19">
        <v>173.92500000000001</v>
      </c>
      <c r="AZ253" s="19">
        <v>425.42500000000001</v>
      </c>
      <c r="BA253" s="19">
        <v>290</v>
      </c>
      <c r="BB253" s="19">
        <v>135.27500000000001</v>
      </c>
      <c r="BC253" s="19">
        <v>502.77499999999998</v>
      </c>
      <c r="BD253" s="19">
        <v>290</v>
      </c>
      <c r="BE253" s="19">
        <v>173.92500000000001</v>
      </c>
      <c r="BF253" s="19">
        <v>425.42500000000001</v>
      </c>
      <c r="BG253" s="19">
        <v>290</v>
      </c>
      <c r="BH253" s="19">
        <v>135.27500000000001</v>
      </c>
      <c r="BI253" s="19">
        <v>502.77499999999998</v>
      </c>
      <c r="BJ253" s="19">
        <v>290</v>
      </c>
      <c r="BK253" s="19">
        <v>173.92500000000001</v>
      </c>
      <c r="BL253" s="19">
        <v>425.42500000000001</v>
      </c>
      <c r="BM253" s="19">
        <v>290</v>
      </c>
      <c r="BN253" s="19">
        <v>135.27500000000001</v>
      </c>
      <c r="BO253" s="19">
        <v>502.77499999999998</v>
      </c>
      <c r="BP253" s="19"/>
      <c r="BQ25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3" s="11">
        <f>Tabelle5897112140[[#This Row],[Mindestauslastung min]]*Tabelle5897112140[[#This Row],[installierte Leistung MW min]]</f>
        <v>38.650000000000006</v>
      </c>
      <c r="BU253" s="11">
        <f>Tabelle5897112140[[#This Row],[Mindestauslastung durch]]*Tabelle5897112140[[#This Row],[installierte Leistung MW durch]]</f>
        <v>58</v>
      </c>
      <c r="BV253" s="11">
        <f>Tabelle5897112140[[#This Row],[Mindestauslastung max]]*Tabelle5897112140[[#This Row],[installierte Leistung MW max]]</f>
        <v>77.350000000000009</v>
      </c>
      <c r="BW253" s="9">
        <v>0.05</v>
      </c>
      <c r="BX253" s="9">
        <v>0.05</v>
      </c>
      <c r="BY253" s="9">
        <v>0.05</v>
      </c>
      <c r="BZ253" s="9"/>
      <c r="CA253" s="9">
        <v>0.25</v>
      </c>
      <c r="CB253" s="9">
        <v>0.22500000000000001</v>
      </c>
      <c r="CC253" s="9">
        <v>0.27500000000000002</v>
      </c>
      <c r="CD253" s="9">
        <v>0.25</v>
      </c>
      <c r="CE253" s="9">
        <v>0.22500000000000001</v>
      </c>
      <c r="CF253" s="9">
        <v>0.27500000000000002</v>
      </c>
      <c r="CG253" s="9">
        <v>0.25</v>
      </c>
      <c r="CH253" s="9">
        <v>0.22500000000000001</v>
      </c>
      <c r="CI253" s="9">
        <v>0.27500000000000002</v>
      </c>
      <c r="CJ253" s="9">
        <v>0.25</v>
      </c>
      <c r="CK253" s="9">
        <v>0.22500000000000001</v>
      </c>
      <c r="CL253" s="9">
        <v>0.27500000000000002</v>
      </c>
      <c r="CM253" s="9">
        <v>0.25</v>
      </c>
      <c r="CN253" s="9">
        <v>0.22500000000000001</v>
      </c>
      <c r="CO253" s="9">
        <v>0.27500000000000002</v>
      </c>
      <c r="CP253" s="9">
        <v>0.25</v>
      </c>
      <c r="CQ253" s="9">
        <v>0.22500000000000001</v>
      </c>
      <c r="CR253" s="9">
        <v>0.27500000000000002</v>
      </c>
      <c r="CS253" s="9">
        <v>0.25</v>
      </c>
      <c r="CT253" s="9">
        <v>0.22500000000000001</v>
      </c>
      <c r="CU253" s="9">
        <v>0.27500000000000002</v>
      </c>
      <c r="CV253" s="9">
        <v>0.25</v>
      </c>
      <c r="CW253" s="9">
        <v>0.22500000000000001</v>
      </c>
      <c r="CX253" s="9">
        <v>0.27500000000000002</v>
      </c>
      <c r="CY253" s="9">
        <v>0.25</v>
      </c>
      <c r="CZ253" s="9">
        <v>0.22500000000000001</v>
      </c>
      <c r="DA253" s="9">
        <v>0.27500000000000002</v>
      </c>
      <c r="DB253" s="9">
        <f>MIN(Tabelle5897112140[[#This Row],[Durchschnittsauslastung durch Sommer WTT]:[Durchschnittsauslastung max Winter SFN]])</f>
        <v>0.22500000000000001</v>
      </c>
      <c r="DC25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3" s="9">
        <f>MAX(Tabelle5897112140[[#This Row],[Durchschnittsauslastung durch Sommer WTT]:[Durchschnittsauslastung max Winter SFN]])</f>
        <v>0.27500000000000002</v>
      </c>
      <c r="DE253" s="40">
        <f>Tabelle5897112140[[#This Row],[Durchschnittsauslastung min]]*Tabelle5897112140[[#This Row],[installierte Leistung MW min]]</f>
        <v>173.92500000000001</v>
      </c>
      <c r="DF253" s="40">
        <f>Tabelle5897112140[[#This Row],[Durchschnittsauslastung durch]]*Tabelle5897112140[[#This Row],[installierte Leistung MW durch]]</f>
        <v>290</v>
      </c>
      <c r="DG253" s="40">
        <f>Tabelle5897112140[[#This Row],[Durchschnittsauslastung max]]*Tabelle5897112140[[#This Row],[installierte Leistung MW max]]</f>
        <v>425.42500000000001</v>
      </c>
      <c r="DH253" s="46">
        <f>Tabelle5897112140[[#This Row],[Maximalauslastung min]]*Tabelle5897112140[[#This Row],[installierte Leistung MW min]]</f>
        <v>347.85</v>
      </c>
      <c r="DI253" s="46">
        <f>Tabelle5897112140[[#This Row],[Maximalauslastung durch]]*Tabelle5897112140[[#This Row],[installierte Leistung MW durch]]</f>
        <v>580</v>
      </c>
      <c r="DJ253" s="19">
        <f>Tabelle5897112140[[#This Row],[Maximalauslastung max]]*Tabelle5897112140[[#This Row],[installierte Leistung MW durch]]</f>
        <v>638</v>
      </c>
      <c r="DK253" s="9">
        <v>0.45</v>
      </c>
      <c r="DL253" s="9">
        <v>0.5</v>
      </c>
      <c r="DM253" s="9">
        <v>0.55000000000000004</v>
      </c>
      <c r="DN253" s="1">
        <v>1160</v>
      </c>
      <c r="DO253" s="1">
        <v>773</v>
      </c>
      <c r="DP253" s="1">
        <v>1547</v>
      </c>
      <c r="DQ253" s="19"/>
      <c r="DR253" s="19"/>
      <c r="DW253" s="1">
        <v>5</v>
      </c>
      <c r="DX253" s="1">
        <v>4.5</v>
      </c>
      <c r="DY253" s="1">
        <v>5.5</v>
      </c>
      <c r="DZ253" s="1">
        <v>5</v>
      </c>
      <c r="EA253" s="1">
        <v>4.5</v>
      </c>
      <c r="EB253" s="1">
        <v>5.5</v>
      </c>
      <c r="EC253" s="1">
        <v>24</v>
      </c>
      <c r="EF253" s="1">
        <v>10</v>
      </c>
      <c r="EG253" s="1">
        <v>9</v>
      </c>
      <c r="EH253" s="1">
        <v>11</v>
      </c>
      <c r="EL253" s="1">
        <v>365</v>
      </c>
      <c r="EM253" s="1">
        <v>328</v>
      </c>
      <c r="EN253" s="1">
        <v>402</v>
      </c>
      <c r="EO253" s="11"/>
      <c r="EP253" s="11"/>
      <c r="EQ253" s="11"/>
      <c r="ER253" s="1">
        <v>365</v>
      </c>
      <c r="ES253" s="1">
        <v>328</v>
      </c>
      <c r="ET253" s="1">
        <v>402</v>
      </c>
      <c r="EV253" s="19"/>
      <c r="EW253" s="19"/>
      <c r="EX253" s="19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O253" s="1">
        <v>67</v>
      </c>
      <c r="FP253" s="1">
        <v>67</v>
      </c>
      <c r="FQ253" s="1">
        <v>67</v>
      </c>
      <c r="FR253" s="13" t="s">
        <v>806</v>
      </c>
      <c r="FS253" s="13" t="s">
        <v>806</v>
      </c>
      <c r="FT253" s="13" t="s">
        <v>806</v>
      </c>
      <c r="FU253" s="13"/>
      <c r="FV253" s="13" t="s">
        <v>806</v>
      </c>
      <c r="FW253" s="13" t="s">
        <v>806</v>
      </c>
      <c r="FX253" s="13" t="s">
        <v>806</v>
      </c>
      <c r="FY253" s="13" t="s">
        <v>806</v>
      </c>
      <c r="FZ253" s="13" t="s">
        <v>806</v>
      </c>
      <c r="GA253" s="13" t="s">
        <v>806</v>
      </c>
      <c r="GB253" s="13" t="s">
        <v>806</v>
      </c>
      <c r="GE253" s="13" t="s">
        <v>806</v>
      </c>
      <c r="GF253" s="13" t="s">
        <v>806</v>
      </c>
      <c r="GH253" s="13" t="s">
        <v>806</v>
      </c>
    </row>
    <row r="254" spans="1:190" x14ac:dyDescent="0.25">
      <c r="A254" s="1" t="s">
        <v>374</v>
      </c>
      <c r="B254" s="1" t="s">
        <v>742</v>
      </c>
      <c r="C254" s="1" t="s">
        <v>668</v>
      </c>
      <c r="D254" s="1" t="s">
        <v>710</v>
      </c>
      <c r="E254" s="1" t="s">
        <v>127</v>
      </c>
      <c r="F254" s="1">
        <v>0</v>
      </c>
      <c r="G254" s="1">
        <v>2035</v>
      </c>
      <c r="H254" s="1">
        <v>1</v>
      </c>
      <c r="I254" s="1">
        <v>0</v>
      </c>
      <c r="J254" s="1">
        <v>0</v>
      </c>
      <c r="K25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4" s="19">
        <v>290</v>
      </c>
      <c r="O254" s="19">
        <v>173.92500000000001</v>
      </c>
      <c r="P254" s="19">
        <v>425.42500000000001</v>
      </c>
      <c r="Q254" s="19">
        <v>290</v>
      </c>
      <c r="R254" s="19">
        <v>135.27500000000001</v>
      </c>
      <c r="S254" s="19">
        <v>502.77499999999998</v>
      </c>
      <c r="T254" s="19">
        <v>290</v>
      </c>
      <c r="U254" s="19">
        <v>173.92500000000001</v>
      </c>
      <c r="V254" s="19">
        <v>425.42500000000001</v>
      </c>
      <c r="W254" s="19">
        <v>290</v>
      </c>
      <c r="X254" s="19">
        <v>135.27500000000001</v>
      </c>
      <c r="Y254" s="19">
        <v>502.77499999999998</v>
      </c>
      <c r="Z254" s="19">
        <v>290</v>
      </c>
      <c r="AA254" s="19">
        <v>173.92500000000001</v>
      </c>
      <c r="AB254" s="19">
        <v>425.42500000000001</v>
      </c>
      <c r="AC254" s="19">
        <v>290</v>
      </c>
      <c r="AD254" s="19">
        <v>135.27500000000001</v>
      </c>
      <c r="AE254" s="19">
        <v>502.77499999999998</v>
      </c>
      <c r="AF254" s="19">
        <v>290</v>
      </c>
      <c r="AG254" s="19">
        <v>173.92500000000001</v>
      </c>
      <c r="AH254" s="19">
        <v>425.42500000000001</v>
      </c>
      <c r="AI254" s="19">
        <v>290</v>
      </c>
      <c r="AJ254" s="19">
        <v>135.27500000000001</v>
      </c>
      <c r="AK254" s="19">
        <v>502.77499999999998</v>
      </c>
      <c r="AL254" s="19">
        <v>290</v>
      </c>
      <c r="AM254" s="19">
        <v>173.92500000000001</v>
      </c>
      <c r="AN254" s="19">
        <v>425.42500000000001</v>
      </c>
      <c r="AO254" s="19">
        <v>290</v>
      </c>
      <c r="AP254" s="19">
        <v>135.27500000000001</v>
      </c>
      <c r="AQ254" s="19">
        <v>502.77499999999998</v>
      </c>
      <c r="AR254" s="19">
        <v>290</v>
      </c>
      <c r="AS254" s="19">
        <v>173.92500000000001</v>
      </c>
      <c r="AT254" s="19">
        <v>425.42500000000001</v>
      </c>
      <c r="AU254" s="19">
        <v>290</v>
      </c>
      <c r="AV254" s="19">
        <v>135.27500000000001</v>
      </c>
      <c r="AW254" s="19">
        <v>502.77499999999998</v>
      </c>
      <c r="AX254" s="19">
        <v>290</v>
      </c>
      <c r="AY254" s="19">
        <v>173.92500000000001</v>
      </c>
      <c r="AZ254" s="19">
        <v>425.42500000000001</v>
      </c>
      <c r="BA254" s="19">
        <v>290</v>
      </c>
      <c r="BB254" s="19">
        <v>135.27500000000001</v>
      </c>
      <c r="BC254" s="19">
        <v>502.77499999999998</v>
      </c>
      <c r="BD254" s="19">
        <v>290</v>
      </c>
      <c r="BE254" s="19">
        <v>173.92500000000001</v>
      </c>
      <c r="BF254" s="19">
        <v>425.42500000000001</v>
      </c>
      <c r="BG254" s="19">
        <v>290</v>
      </c>
      <c r="BH254" s="19">
        <v>135.27500000000001</v>
      </c>
      <c r="BI254" s="19">
        <v>502.77499999999998</v>
      </c>
      <c r="BJ254" s="19">
        <v>290</v>
      </c>
      <c r="BK254" s="19">
        <v>173.92500000000001</v>
      </c>
      <c r="BL254" s="19">
        <v>425.42500000000001</v>
      </c>
      <c r="BM254" s="19">
        <v>290</v>
      </c>
      <c r="BN254" s="19">
        <v>135.27500000000001</v>
      </c>
      <c r="BO254" s="19">
        <v>502.77499999999998</v>
      </c>
      <c r="BP254" s="19"/>
      <c r="BQ25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4" s="11">
        <f>Tabelle5897112140[[#This Row],[Mindestauslastung min]]*Tabelle5897112140[[#This Row],[installierte Leistung MW min]]</f>
        <v>38.650000000000006</v>
      </c>
      <c r="BU254" s="11">
        <f>Tabelle5897112140[[#This Row],[Mindestauslastung durch]]*Tabelle5897112140[[#This Row],[installierte Leistung MW durch]]</f>
        <v>58</v>
      </c>
      <c r="BV254" s="11">
        <f>Tabelle5897112140[[#This Row],[Mindestauslastung max]]*Tabelle5897112140[[#This Row],[installierte Leistung MW max]]</f>
        <v>77.350000000000009</v>
      </c>
      <c r="BW254" s="9">
        <v>0.05</v>
      </c>
      <c r="BX254" s="9">
        <v>0.05</v>
      </c>
      <c r="BY254" s="9">
        <v>0.05</v>
      </c>
      <c r="BZ254" s="9"/>
      <c r="CA254" s="9">
        <v>0.25</v>
      </c>
      <c r="CB254" s="9">
        <v>0.22500000000000001</v>
      </c>
      <c r="CC254" s="9">
        <v>0.27500000000000002</v>
      </c>
      <c r="CD254" s="9">
        <v>0.25</v>
      </c>
      <c r="CE254" s="9">
        <v>0.22500000000000001</v>
      </c>
      <c r="CF254" s="9">
        <v>0.27500000000000002</v>
      </c>
      <c r="CG254" s="9">
        <v>0.25</v>
      </c>
      <c r="CH254" s="9">
        <v>0.22500000000000001</v>
      </c>
      <c r="CI254" s="9">
        <v>0.27500000000000002</v>
      </c>
      <c r="CJ254" s="9">
        <v>0.25</v>
      </c>
      <c r="CK254" s="9">
        <v>0.22500000000000001</v>
      </c>
      <c r="CL254" s="9">
        <v>0.27500000000000002</v>
      </c>
      <c r="CM254" s="9">
        <v>0.25</v>
      </c>
      <c r="CN254" s="9">
        <v>0.22500000000000001</v>
      </c>
      <c r="CO254" s="9">
        <v>0.27500000000000002</v>
      </c>
      <c r="CP254" s="9">
        <v>0.25</v>
      </c>
      <c r="CQ254" s="9">
        <v>0.22500000000000001</v>
      </c>
      <c r="CR254" s="9">
        <v>0.27500000000000002</v>
      </c>
      <c r="CS254" s="9">
        <v>0.25</v>
      </c>
      <c r="CT254" s="9">
        <v>0.22500000000000001</v>
      </c>
      <c r="CU254" s="9">
        <v>0.27500000000000002</v>
      </c>
      <c r="CV254" s="9">
        <v>0.25</v>
      </c>
      <c r="CW254" s="9">
        <v>0.22500000000000001</v>
      </c>
      <c r="CX254" s="9">
        <v>0.27500000000000002</v>
      </c>
      <c r="CY254" s="9">
        <v>0.25</v>
      </c>
      <c r="CZ254" s="9">
        <v>0.22500000000000001</v>
      </c>
      <c r="DA254" s="9">
        <v>0.27500000000000002</v>
      </c>
      <c r="DB254" s="9">
        <f>MIN(Tabelle5897112140[[#This Row],[Durchschnittsauslastung durch Sommer WTT]:[Durchschnittsauslastung max Winter SFN]])</f>
        <v>0.22500000000000001</v>
      </c>
      <c r="DC25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4" s="9">
        <f>MAX(Tabelle5897112140[[#This Row],[Durchschnittsauslastung durch Sommer WTT]:[Durchschnittsauslastung max Winter SFN]])</f>
        <v>0.27500000000000002</v>
      </c>
      <c r="DE254" s="40">
        <f>Tabelle5897112140[[#This Row],[Durchschnittsauslastung min]]*Tabelle5897112140[[#This Row],[installierte Leistung MW min]]</f>
        <v>173.92500000000001</v>
      </c>
      <c r="DF254" s="40">
        <f>Tabelle5897112140[[#This Row],[Durchschnittsauslastung durch]]*Tabelle5897112140[[#This Row],[installierte Leistung MW durch]]</f>
        <v>290</v>
      </c>
      <c r="DG254" s="40">
        <f>Tabelle5897112140[[#This Row],[Durchschnittsauslastung max]]*Tabelle5897112140[[#This Row],[installierte Leistung MW max]]</f>
        <v>425.42500000000001</v>
      </c>
      <c r="DH254" s="46">
        <f>Tabelle5897112140[[#This Row],[Maximalauslastung min]]*Tabelle5897112140[[#This Row],[installierte Leistung MW min]]</f>
        <v>347.85</v>
      </c>
      <c r="DI254" s="46">
        <f>Tabelle5897112140[[#This Row],[Maximalauslastung durch]]*Tabelle5897112140[[#This Row],[installierte Leistung MW durch]]</f>
        <v>580</v>
      </c>
      <c r="DJ254" s="19">
        <f>Tabelle5897112140[[#This Row],[Maximalauslastung max]]*Tabelle5897112140[[#This Row],[installierte Leistung MW durch]]</f>
        <v>638</v>
      </c>
      <c r="DK254" s="9">
        <v>0.45</v>
      </c>
      <c r="DL254" s="9">
        <v>0.5</v>
      </c>
      <c r="DM254" s="9">
        <v>0.55000000000000004</v>
      </c>
      <c r="DN254" s="1">
        <v>1160</v>
      </c>
      <c r="DO254" s="1">
        <v>773</v>
      </c>
      <c r="DP254" s="1">
        <v>1547</v>
      </c>
      <c r="DQ254" s="19"/>
      <c r="DR254" s="19"/>
      <c r="DW254" s="1">
        <v>5</v>
      </c>
      <c r="DX254" s="1">
        <v>4.5</v>
      </c>
      <c r="DY254" s="1">
        <v>5.5</v>
      </c>
      <c r="DZ254" s="1">
        <v>5</v>
      </c>
      <c r="EA254" s="1">
        <v>4.5</v>
      </c>
      <c r="EB254" s="1">
        <v>5.5</v>
      </c>
      <c r="EC254" s="1">
        <v>24</v>
      </c>
      <c r="EF254" s="1">
        <v>10</v>
      </c>
      <c r="EG254" s="1">
        <v>9</v>
      </c>
      <c r="EH254" s="1">
        <v>11</v>
      </c>
      <c r="EL254" s="1">
        <v>365</v>
      </c>
      <c r="EM254" s="1">
        <v>328</v>
      </c>
      <c r="EN254" s="1">
        <v>402</v>
      </c>
      <c r="EO254" s="11"/>
      <c r="EP254" s="11"/>
      <c r="EQ254" s="11"/>
      <c r="ER254" s="1">
        <v>365</v>
      </c>
      <c r="ES254" s="1">
        <v>328</v>
      </c>
      <c r="ET254" s="1">
        <v>402</v>
      </c>
      <c r="EV254" s="19"/>
      <c r="EW254" s="19"/>
      <c r="EX254" s="19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O254" s="1">
        <v>67</v>
      </c>
      <c r="FP254" s="1">
        <v>67</v>
      </c>
      <c r="FQ254" s="1">
        <v>67</v>
      </c>
      <c r="FR254" s="13" t="s">
        <v>806</v>
      </c>
      <c r="FS254" s="13" t="s">
        <v>806</v>
      </c>
      <c r="FT254" s="13" t="s">
        <v>806</v>
      </c>
      <c r="FU254" s="13"/>
      <c r="FV254" s="13" t="s">
        <v>806</v>
      </c>
      <c r="FW254" s="13" t="s">
        <v>806</v>
      </c>
      <c r="FX254" s="13" t="s">
        <v>806</v>
      </c>
      <c r="FY254" s="13" t="s">
        <v>806</v>
      </c>
      <c r="FZ254" s="13" t="s">
        <v>806</v>
      </c>
      <c r="GA254" s="13" t="s">
        <v>806</v>
      </c>
      <c r="GB254" s="13" t="s">
        <v>806</v>
      </c>
      <c r="GE254" s="13" t="s">
        <v>806</v>
      </c>
      <c r="GF254" s="13" t="s">
        <v>806</v>
      </c>
      <c r="GH254" s="13" t="s">
        <v>806</v>
      </c>
    </row>
    <row r="255" spans="1:190" x14ac:dyDescent="0.25">
      <c r="A255" s="1" t="s">
        <v>374</v>
      </c>
      <c r="B255" s="1" t="s">
        <v>742</v>
      </c>
      <c r="C255" s="1" t="s">
        <v>668</v>
      </c>
      <c r="D255" s="1" t="s">
        <v>710</v>
      </c>
      <c r="E255" s="1" t="s">
        <v>127</v>
      </c>
      <c r="F255" s="1">
        <v>0</v>
      </c>
      <c r="G255" s="1">
        <v>2040</v>
      </c>
      <c r="H255" s="1">
        <v>1</v>
      </c>
      <c r="I255" s="1">
        <v>0</v>
      </c>
      <c r="J255" s="1">
        <v>0</v>
      </c>
      <c r="K25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5" s="19">
        <v>290</v>
      </c>
      <c r="O255" s="19">
        <v>173.92500000000001</v>
      </c>
      <c r="P255" s="19">
        <v>425.42500000000001</v>
      </c>
      <c r="Q255" s="19">
        <v>290</v>
      </c>
      <c r="R255" s="19">
        <v>135.27500000000001</v>
      </c>
      <c r="S255" s="19">
        <v>502.77499999999998</v>
      </c>
      <c r="T255" s="19">
        <v>290</v>
      </c>
      <c r="U255" s="19">
        <v>173.92500000000001</v>
      </c>
      <c r="V255" s="19">
        <v>425.42500000000001</v>
      </c>
      <c r="W255" s="19">
        <v>290</v>
      </c>
      <c r="X255" s="19">
        <v>135.27500000000001</v>
      </c>
      <c r="Y255" s="19">
        <v>502.77499999999998</v>
      </c>
      <c r="Z255" s="19">
        <v>290</v>
      </c>
      <c r="AA255" s="19">
        <v>173.92500000000001</v>
      </c>
      <c r="AB255" s="19">
        <v>425.42500000000001</v>
      </c>
      <c r="AC255" s="19">
        <v>290</v>
      </c>
      <c r="AD255" s="19">
        <v>135.27500000000001</v>
      </c>
      <c r="AE255" s="19">
        <v>502.77499999999998</v>
      </c>
      <c r="AF255" s="19">
        <v>290</v>
      </c>
      <c r="AG255" s="19">
        <v>173.92500000000001</v>
      </c>
      <c r="AH255" s="19">
        <v>425.42500000000001</v>
      </c>
      <c r="AI255" s="19">
        <v>290</v>
      </c>
      <c r="AJ255" s="19">
        <v>135.27500000000001</v>
      </c>
      <c r="AK255" s="19">
        <v>502.77499999999998</v>
      </c>
      <c r="AL255" s="19">
        <v>290</v>
      </c>
      <c r="AM255" s="19">
        <v>173.92500000000001</v>
      </c>
      <c r="AN255" s="19">
        <v>425.42500000000001</v>
      </c>
      <c r="AO255" s="19">
        <v>290</v>
      </c>
      <c r="AP255" s="19">
        <v>135.27500000000001</v>
      </c>
      <c r="AQ255" s="19">
        <v>502.77499999999998</v>
      </c>
      <c r="AR255" s="19">
        <v>290</v>
      </c>
      <c r="AS255" s="19">
        <v>173.92500000000001</v>
      </c>
      <c r="AT255" s="19">
        <v>425.42500000000001</v>
      </c>
      <c r="AU255" s="19">
        <v>290</v>
      </c>
      <c r="AV255" s="19">
        <v>135.27500000000001</v>
      </c>
      <c r="AW255" s="19">
        <v>502.77499999999998</v>
      </c>
      <c r="AX255" s="19">
        <v>290</v>
      </c>
      <c r="AY255" s="19">
        <v>173.92500000000001</v>
      </c>
      <c r="AZ255" s="19">
        <v>425.42500000000001</v>
      </c>
      <c r="BA255" s="19">
        <v>290</v>
      </c>
      <c r="BB255" s="19">
        <v>135.27500000000001</v>
      </c>
      <c r="BC255" s="19">
        <v>502.77499999999998</v>
      </c>
      <c r="BD255" s="19">
        <v>290</v>
      </c>
      <c r="BE255" s="19">
        <v>173.92500000000001</v>
      </c>
      <c r="BF255" s="19">
        <v>425.42500000000001</v>
      </c>
      <c r="BG255" s="19">
        <v>290</v>
      </c>
      <c r="BH255" s="19">
        <v>135.27500000000001</v>
      </c>
      <c r="BI255" s="19">
        <v>502.77499999999998</v>
      </c>
      <c r="BJ255" s="19">
        <v>290</v>
      </c>
      <c r="BK255" s="19">
        <v>173.92500000000001</v>
      </c>
      <c r="BL255" s="19">
        <v>425.42500000000001</v>
      </c>
      <c r="BM255" s="19">
        <v>290</v>
      </c>
      <c r="BN255" s="19">
        <v>135.27500000000001</v>
      </c>
      <c r="BO255" s="19">
        <v>502.77499999999998</v>
      </c>
      <c r="BP255" s="19"/>
      <c r="BQ25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5" s="11">
        <f>Tabelle5897112140[[#This Row],[Mindestauslastung min]]*Tabelle5897112140[[#This Row],[installierte Leistung MW min]]</f>
        <v>38.650000000000006</v>
      </c>
      <c r="BU255" s="11">
        <f>Tabelle5897112140[[#This Row],[Mindestauslastung durch]]*Tabelle5897112140[[#This Row],[installierte Leistung MW durch]]</f>
        <v>58</v>
      </c>
      <c r="BV255" s="11">
        <f>Tabelle5897112140[[#This Row],[Mindestauslastung max]]*Tabelle5897112140[[#This Row],[installierte Leistung MW max]]</f>
        <v>77.350000000000009</v>
      </c>
      <c r="BW255" s="9">
        <v>0.05</v>
      </c>
      <c r="BX255" s="9">
        <v>0.05</v>
      </c>
      <c r="BY255" s="9">
        <v>0.05</v>
      </c>
      <c r="BZ255" s="9"/>
      <c r="CA255" s="9">
        <v>0.25</v>
      </c>
      <c r="CB255" s="9">
        <v>0.22500000000000001</v>
      </c>
      <c r="CC255" s="9">
        <v>0.27500000000000002</v>
      </c>
      <c r="CD255" s="9">
        <v>0.25</v>
      </c>
      <c r="CE255" s="9">
        <v>0.22500000000000001</v>
      </c>
      <c r="CF255" s="9">
        <v>0.27500000000000002</v>
      </c>
      <c r="CG255" s="9">
        <v>0.25</v>
      </c>
      <c r="CH255" s="9">
        <v>0.22500000000000001</v>
      </c>
      <c r="CI255" s="9">
        <v>0.27500000000000002</v>
      </c>
      <c r="CJ255" s="9">
        <v>0.25</v>
      </c>
      <c r="CK255" s="9">
        <v>0.22500000000000001</v>
      </c>
      <c r="CL255" s="9">
        <v>0.27500000000000002</v>
      </c>
      <c r="CM255" s="9">
        <v>0.25</v>
      </c>
      <c r="CN255" s="9">
        <v>0.22500000000000001</v>
      </c>
      <c r="CO255" s="9">
        <v>0.27500000000000002</v>
      </c>
      <c r="CP255" s="9">
        <v>0.25</v>
      </c>
      <c r="CQ255" s="9">
        <v>0.22500000000000001</v>
      </c>
      <c r="CR255" s="9">
        <v>0.27500000000000002</v>
      </c>
      <c r="CS255" s="9">
        <v>0.25</v>
      </c>
      <c r="CT255" s="9">
        <v>0.22500000000000001</v>
      </c>
      <c r="CU255" s="9">
        <v>0.27500000000000002</v>
      </c>
      <c r="CV255" s="9">
        <v>0.25</v>
      </c>
      <c r="CW255" s="9">
        <v>0.22500000000000001</v>
      </c>
      <c r="CX255" s="9">
        <v>0.27500000000000002</v>
      </c>
      <c r="CY255" s="9">
        <v>0.25</v>
      </c>
      <c r="CZ255" s="9">
        <v>0.22500000000000001</v>
      </c>
      <c r="DA255" s="9">
        <v>0.27500000000000002</v>
      </c>
      <c r="DB255" s="9">
        <f>MIN(Tabelle5897112140[[#This Row],[Durchschnittsauslastung durch Sommer WTT]:[Durchschnittsauslastung max Winter SFN]])</f>
        <v>0.22500000000000001</v>
      </c>
      <c r="DC25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5" s="9">
        <f>MAX(Tabelle5897112140[[#This Row],[Durchschnittsauslastung durch Sommer WTT]:[Durchschnittsauslastung max Winter SFN]])</f>
        <v>0.27500000000000002</v>
      </c>
      <c r="DE255" s="40">
        <f>Tabelle5897112140[[#This Row],[Durchschnittsauslastung min]]*Tabelle5897112140[[#This Row],[installierte Leistung MW min]]</f>
        <v>173.92500000000001</v>
      </c>
      <c r="DF255" s="40">
        <f>Tabelle5897112140[[#This Row],[Durchschnittsauslastung durch]]*Tabelle5897112140[[#This Row],[installierte Leistung MW durch]]</f>
        <v>290</v>
      </c>
      <c r="DG255" s="40">
        <f>Tabelle5897112140[[#This Row],[Durchschnittsauslastung max]]*Tabelle5897112140[[#This Row],[installierte Leistung MW max]]</f>
        <v>425.42500000000001</v>
      </c>
      <c r="DH255" s="46">
        <f>Tabelle5897112140[[#This Row],[Maximalauslastung min]]*Tabelle5897112140[[#This Row],[installierte Leistung MW min]]</f>
        <v>347.85</v>
      </c>
      <c r="DI255" s="46">
        <f>Tabelle5897112140[[#This Row],[Maximalauslastung durch]]*Tabelle5897112140[[#This Row],[installierte Leistung MW durch]]</f>
        <v>580</v>
      </c>
      <c r="DJ255" s="19">
        <f>Tabelle5897112140[[#This Row],[Maximalauslastung max]]*Tabelle5897112140[[#This Row],[installierte Leistung MW durch]]</f>
        <v>638</v>
      </c>
      <c r="DK255" s="9">
        <v>0.45</v>
      </c>
      <c r="DL255" s="9">
        <v>0.5</v>
      </c>
      <c r="DM255" s="9">
        <v>0.55000000000000004</v>
      </c>
      <c r="DN255" s="1">
        <v>1160</v>
      </c>
      <c r="DO255" s="1">
        <v>773</v>
      </c>
      <c r="DP255" s="1">
        <v>1547</v>
      </c>
      <c r="DQ255" s="19"/>
      <c r="DR255" s="19"/>
      <c r="DW255" s="1">
        <v>5</v>
      </c>
      <c r="DX255" s="1">
        <v>4.5</v>
      </c>
      <c r="DY255" s="1">
        <v>5.5</v>
      </c>
      <c r="DZ255" s="1">
        <v>5</v>
      </c>
      <c r="EA255" s="1">
        <v>4.5</v>
      </c>
      <c r="EB255" s="1">
        <v>5.5</v>
      </c>
      <c r="EC255" s="1">
        <v>24</v>
      </c>
      <c r="EF255" s="1">
        <v>10</v>
      </c>
      <c r="EG255" s="1">
        <v>9</v>
      </c>
      <c r="EH255" s="1">
        <v>11</v>
      </c>
      <c r="EL255" s="1">
        <v>365</v>
      </c>
      <c r="EM255" s="1">
        <v>328</v>
      </c>
      <c r="EN255" s="1">
        <v>402</v>
      </c>
      <c r="EO255" s="11"/>
      <c r="EP255" s="11"/>
      <c r="EQ255" s="11"/>
      <c r="ER255" s="1">
        <v>365</v>
      </c>
      <c r="ES255" s="1">
        <v>328</v>
      </c>
      <c r="ET255" s="1">
        <v>402</v>
      </c>
      <c r="EV255" s="19"/>
      <c r="EW255" s="19"/>
      <c r="EX255" s="19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O255" s="1">
        <v>67</v>
      </c>
      <c r="FP255" s="1">
        <v>67</v>
      </c>
      <c r="FQ255" s="1">
        <v>67</v>
      </c>
      <c r="FR255" s="13" t="s">
        <v>806</v>
      </c>
      <c r="FS255" s="13" t="s">
        <v>806</v>
      </c>
      <c r="FT255" s="13" t="s">
        <v>806</v>
      </c>
      <c r="FU255" s="13"/>
      <c r="FV255" s="13" t="s">
        <v>806</v>
      </c>
      <c r="FW255" s="13" t="s">
        <v>806</v>
      </c>
      <c r="FX255" s="13" t="s">
        <v>806</v>
      </c>
      <c r="FY255" s="13" t="s">
        <v>806</v>
      </c>
      <c r="FZ255" s="13" t="s">
        <v>806</v>
      </c>
      <c r="GA255" s="13" t="s">
        <v>806</v>
      </c>
      <c r="GB255" s="13" t="s">
        <v>806</v>
      </c>
      <c r="GE255" s="13" t="s">
        <v>806</v>
      </c>
      <c r="GF255" s="13" t="s">
        <v>806</v>
      </c>
      <c r="GH255" s="13" t="s">
        <v>806</v>
      </c>
    </row>
    <row r="256" spans="1:190" x14ac:dyDescent="0.25">
      <c r="A256" s="1" t="s">
        <v>374</v>
      </c>
      <c r="B256" s="1" t="s">
        <v>742</v>
      </c>
      <c r="C256" s="1" t="s">
        <v>668</v>
      </c>
      <c r="D256" s="1" t="s">
        <v>710</v>
      </c>
      <c r="E256" s="1" t="s">
        <v>127</v>
      </c>
      <c r="F256" s="1">
        <v>0</v>
      </c>
      <c r="G256" s="1">
        <v>2045</v>
      </c>
      <c r="H256" s="1">
        <v>1</v>
      </c>
      <c r="I256" s="1">
        <v>0</v>
      </c>
      <c r="J256" s="1">
        <v>0</v>
      </c>
      <c r="K25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6" s="19">
        <v>290</v>
      </c>
      <c r="O256" s="19">
        <v>173.92500000000001</v>
      </c>
      <c r="P256" s="19">
        <v>425.42500000000001</v>
      </c>
      <c r="Q256" s="19">
        <v>290</v>
      </c>
      <c r="R256" s="19">
        <v>135.27500000000001</v>
      </c>
      <c r="S256" s="19">
        <v>502.77499999999998</v>
      </c>
      <c r="T256" s="19">
        <v>290</v>
      </c>
      <c r="U256" s="19">
        <v>173.92500000000001</v>
      </c>
      <c r="V256" s="19">
        <v>425.42500000000001</v>
      </c>
      <c r="W256" s="19">
        <v>290</v>
      </c>
      <c r="X256" s="19">
        <v>135.27500000000001</v>
      </c>
      <c r="Y256" s="19">
        <v>502.77499999999998</v>
      </c>
      <c r="Z256" s="19">
        <v>290</v>
      </c>
      <c r="AA256" s="19">
        <v>173.92500000000001</v>
      </c>
      <c r="AB256" s="19">
        <v>425.42500000000001</v>
      </c>
      <c r="AC256" s="19">
        <v>290</v>
      </c>
      <c r="AD256" s="19">
        <v>135.27500000000001</v>
      </c>
      <c r="AE256" s="19">
        <v>502.77499999999998</v>
      </c>
      <c r="AF256" s="19">
        <v>290</v>
      </c>
      <c r="AG256" s="19">
        <v>173.92500000000001</v>
      </c>
      <c r="AH256" s="19">
        <v>425.42500000000001</v>
      </c>
      <c r="AI256" s="19">
        <v>290</v>
      </c>
      <c r="AJ256" s="19">
        <v>135.27500000000001</v>
      </c>
      <c r="AK256" s="19">
        <v>502.77499999999998</v>
      </c>
      <c r="AL256" s="19">
        <v>290</v>
      </c>
      <c r="AM256" s="19">
        <v>173.92500000000001</v>
      </c>
      <c r="AN256" s="19">
        <v>425.42500000000001</v>
      </c>
      <c r="AO256" s="19">
        <v>290</v>
      </c>
      <c r="AP256" s="19">
        <v>135.27500000000001</v>
      </c>
      <c r="AQ256" s="19">
        <v>502.77499999999998</v>
      </c>
      <c r="AR256" s="19">
        <v>290</v>
      </c>
      <c r="AS256" s="19">
        <v>173.92500000000001</v>
      </c>
      <c r="AT256" s="19">
        <v>425.42500000000001</v>
      </c>
      <c r="AU256" s="19">
        <v>290</v>
      </c>
      <c r="AV256" s="19">
        <v>135.27500000000001</v>
      </c>
      <c r="AW256" s="19">
        <v>502.77499999999998</v>
      </c>
      <c r="AX256" s="19">
        <v>290</v>
      </c>
      <c r="AY256" s="19">
        <v>173.92500000000001</v>
      </c>
      <c r="AZ256" s="19">
        <v>425.42500000000001</v>
      </c>
      <c r="BA256" s="19">
        <v>290</v>
      </c>
      <c r="BB256" s="19">
        <v>135.27500000000001</v>
      </c>
      <c r="BC256" s="19">
        <v>502.77499999999998</v>
      </c>
      <c r="BD256" s="19">
        <v>290</v>
      </c>
      <c r="BE256" s="19">
        <v>173.92500000000001</v>
      </c>
      <c r="BF256" s="19">
        <v>425.42500000000001</v>
      </c>
      <c r="BG256" s="19">
        <v>290</v>
      </c>
      <c r="BH256" s="19">
        <v>135.27500000000001</v>
      </c>
      <c r="BI256" s="19">
        <v>502.77499999999998</v>
      </c>
      <c r="BJ256" s="19">
        <v>290</v>
      </c>
      <c r="BK256" s="19">
        <v>173.92500000000001</v>
      </c>
      <c r="BL256" s="19">
        <v>425.42500000000001</v>
      </c>
      <c r="BM256" s="19">
        <v>290</v>
      </c>
      <c r="BN256" s="19">
        <v>135.27500000000001</v>
      </c>
      <c r="BO256" s="19">
        <v>502.77499999999998</v>
      </c>
      <c r="BP256" s="19"/>
      <c r="BQ25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6" s="11">
        <f>Tabelle5897112140[[#This Row],[Mindestauslastung min]]*Tabelle5897112140[[#This Row],[installierte Leistung MW min]]</f>
        <v>38.650000000000006</v>
      </c>
      <c r="BU256" s="11">
        <f>Tabelle5897112140[[#This Row],[Mindestauslastung durch]]*Tabelle5897112140[[#This Row],[installierte Leistung MW durch]]</f>
        <v>58</v>
      </c>
      <c r="BV256" s="11">
        <f>Tabelle5897112140[[#This Row],[Mindestauslastung max]]*Tabelle5897112140[[#This Row],[installierte Leistung MW max]]</f>
        <v>77.350000000000009</v>
      </c>
      <c r="BW256" s="9">
        <v>0.05</v>
      </c>
      <c r="BX256" s="9">
        <v>0.05</v>
      </c>
      <c r="BY256" s="9">
        <v>0.05</v>
      </c>
      <c r="BZ256" s="9"/>
      <c r="CA256" s="9">
        <v>0.25</v>
      </c>
      <c r="CB256" s="9">
        <v>0.22500000000000001</v>
      </c>
      <c r="CC256" s="9">
        <v>0.27500000000000002</v>
      </c>
      <c r="CD256" s="9">
        <v>0.25</v>
      </c>
      <c r="CE256" s="9">
        <v>0.22500000000000001</v>
      </c>
      <c r="CF256" s="9">
        <v>0.27500000000000002</v>
      </c>
      <c r="CG256" s="9">
        <v>0.25</v>
      </c>
      <c r="CH256" s="9">
        <v>0.22500000000000001</v>
      </c>
      <c r="CI256" s="9">
        <v>0.27500000000000002</v>
      </c>
      <c r="CJ256" s="9">
        <v>0.25</v>
      </c>
      <c r="CK256" s="9">
        <v>0.22500000000000001</v>
      </c>
      <c r="CL256" s="9">
        <v>0.27500000000000002</v>
      </c>
      <c r="CM256" s="9">
        <v>0.25</v>
      </c>
      <c r="CN256" s="9">
        <v>0.22500000000000001</v>
      </c>
      <c r="CO256" s="9">
        <v>0.27500000000000002</v>
      </c>
      <c r="CP256" s="9">
        <v>0.25</v>
      </c>
      <c r="CQ256" s="9">
        <v>0.22500000000000001</v>
      </c>
      <c r="CR256" s="9">
        <v>0.27500000000000002</v>
      </c>
      <c r="CS256" s="9">
        <v>0.25</v>
      </c>
      <c r="CT256" s="9">
        <v>0.22500000000000001</v>
      </c>
      <c r="CU256" s="9">
        <v>0.27500000000000002</v>
      </c>
      <c r="CV256" s="9">
        <v>0.25</v>
      </c>
      <c r="CW256" s="9">
        <v>0.22500000000000001</v>
      </c>
      <c r="CX256" s="9">
        <v>0.27500000000000002</v>
      </c>
      <c r="CY256" s="9">
        <v>0.25</v>
      </c>
      <c r="CZ256" s="9">
        <v>0.22500000000000001</v>
      </c>
      <c r="DA256" s="9">
        <v>0.27500000000000002</v>
      </c>
      <c r="DB256" s="9">
        <f>MIN(Tabelle5897112140[[#This Row],[Durchschnittsauslastung durch Sommer WTT]:[Durchschnittsauslastung max Winter SFN]])</f>
        <v>0.22500000000000001</v>
      </c>
      <c r="DC25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6" s="9">
        <f>MAX(Tabelle5897112140[[#This Row],[Durchschnittsauslastung durch Sommer WTT]:[Durchschnittsauslastung max Winter SFN]])</f>
        <v>0.27500000000000002</v>
      </c>
      <c r="DE256" s="40">
        <f>Tabelle5897112140[[#This Row],[Durchschnittsauslastung min]]*Tabelle5897112140[[#This Row],[installierte Leistung MW min]]</f>
        <v>173.92500000000001</v>
      </c>
      <c r="DF256" s="40">
        <f>Tabelle5897112140[[#This Row],[Durchschnittsauslastung durch]]*Tabelle5897112140[[#This Row],[installierte Leistung MW durch]]</f>
        <v>290</v>
      </c>
      <c r="DG256" s="40">
        <f>Tabelle5897112140[[#This Row],[Durchschnittsauslastung max]]*Tabelle5897112140[[#This Row],[installierte Leistung MW max]]</f>
        <v>425.42500000000001</v>
      </c>
      <c r="DH256" s="46">
        <f>Tabelle5897112140[[#This Row],[Maximalauslastung min]]*Tabelle5897112140[[#This Row],[installierte Leistung MW min]]</f>
        <v>347.85</v>
      </c>
      <c r="DI256" s="46">
        <f>Tabelle5897112140[[#This Row],[Maximalauslastung durch]]*Tabelle5897112140[[#This Row],[installierte Leistung MW durch]]</f>
        <v>580</v>
      </c>
      <c r="DJ256" s="19">
        <f>Tabelle5897112140[[#This Row],[Maximalauslastung max]]*Tabelle5897112140[[#This Row],[installierte Leistung MW durch]]</f>
        <v>638</v>
      </c>
      <c r="DK256" s="9">
        <v>0.45</v>
      </c>
      <c r="DL256" s="9">
        <v>0.5</v>
      </c>
      <c r="DM256" s="9">
        <v>0.55000000000000004</v>
      </c>
      <c r="DN256" s="1">
        <v>1160</v>
      </c>
      <c r="DO256" s="1">
        <v>773</v>
      </c>
      <c r="DP256" s="1">
        <v>1547</v>
      </c>
      <c r="DQ256" s="19"/>
      <c r="DR256" s="19"/>
      <c r="DW256" s="1">
        <v>5</v>
      </c>
      <c r="DX256" s="1">
        <v>4.5</v>
      </c>
      <c r="DY256" s="1">
        <v>5.5</v>
      </c>
      <c r="DZ256" s="1">
        <v>5</v>
      </c>
      <c r="EA256" s="1">
        <v>4.5</v>
      </c>
      <c r="EB256" s="1">
        <v>5.5</v>
      </c>
      <c r="EC256" s="1">
        <v>24</v>
      </c>
      <c r="EF256" s="1">
        <v>10</v>
      </c>
      <c r="EG256" s="1">
        <v>9</v>
      </c>
      <c r="EH256" s="1">
        <v>11</v>
      </c>
      <c r="EL256" s="1">
        <v>365</v>
      </c>
      <c r="EM256" s="1">
        <v>328</v>
      </c>
      <c r="EN256" s="1">
        <v>402</v>
      </c>
      <c r="EO256" s="11"/>
      <c r="EP256" s="11"/>
      <c r="EQ256" s="11"/>
      <c r="ER256" s="1">
        <v>365</v>
      </c>
      <c r="ES256" s="1">
        <v>328</v>
      </c>
      <c r="ET256" s="1">
        <v>402</v>
      </c>
      <c r="EV256" s="19"/>
      <c r="EW256" s="19"/>
      <c r="EX256" s="19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O256" s="1">
        <v>67</v>
      </c>
      <c r="FP256" s="1">
        <v>67</v>
      </c>
      <c r="FQ256" s="1">
        <v>67</v>
      </c>
      <c r="FR256" s="13" t="s">
        <v>806</v>
      </c>
      <c r="FS256" s="13" t="s">
        <v>806</v>
      </c>
      <c r="FT256" s="13" t="s">
        <v>806</v>
      </c>
      <c r="FU256" s="13"/>
      <c r="FV256" s="13" t="s">
        <v>806</v>
      </c>
      <c r="FW256" s="13" t="s">
        <v>806</v>
      </c>
      <c r="FX256" s="13" t="s">
        <v>806</v>
      </c>
      <c r="FY256" s="13" t="s">
        <v>806</v>
      </c>
      <c r="FZ256" s="13" t="s">
        <v>806</v>
      </c>
      <c r="GA256" s="13" t="s">
        <v>806</v>
      </c>
      <c r="GB256" s="13" t="s">
        <v>806</v>
      </c>
      <c r="GE256" s="13" t="s">
        <v>806</v>
      </c>
      <c r="GF256" s="13" t="s">
        <v>806</v>
      </c>
      <c r="GH256" s="13" t="s">
        <v>806</v>
      </c>
    </row>
    <row r="257" spans="1:190" x14ac:dyDescent="0.25">
      <c r="A257" s="1" t="s">
        <v>374</v>
      </c>
      <c r="B257" s="1" t="s">
        <v>742</v>
      </c>
      <c r="C257" s="1" t="s">
        <v>668</v>
      </c>
      <c r="D257" s="1" t="s">
        <v>710</v>
      </c>
      <c r="E257" s="1" t="s">
        <v>127</v>
      </c>
      <c r="F257" s="1">
        <v>0</v>
      </c>
      <c r="G257" s="1">
        <v>2050</v>
      </c>
      <c r="H257" s="1">
        <v>1</v>
      </c>
      <c r="I257" s="1">
        <v>0</v>
      </c>
      <c r="J257" s="1">
        <v>0</v>
      </c>
      <c r="K25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7" s="19">
        <v>290</v>
      </c>
      <c r="O257" s="19">
        <v>173.92500000000001</v>
      </c>
      <c r="P257" s="19">
        <v>425.42500000000001</v>
      </c>
      <c r="Q257" s="19">
        <v>290</v>
      </c>
      <c r="R257" s="19">
        <v>135.27500000000001</v>
      </c>
      <c r="S257" s="19">
        <v>502.77499999999998</v>
      </c>
      <c r="T257" s="19">
        <v>290</v>
      </c>
      <c r="U257" s="19">
        <v>173.92500000000001</v>
      </c>
      <c r="V257" s="19">
        <v>425.42500000000001</v>
      </c>
      <c r="W257" s="19">
        <v>290</v>
      </c>
      <c r="X257" s="19">
        <v>135.27500000000001</v>
      </c>
      <c r="Y257" s="19">
        <v>502.77499999999998</v>
      </c>
      <c r="Z257" s="19">
        <v>290</v>
      </c>
      <c r="AA257" s="19">
        <v>173.92500000000001</v>
      </c>
      <c r="AB257" s="19">
        <v>425.42500000000001</v>
      </c>
      <c r="AC257" s="19">
        <v>290</v>
      </c>
      <c r="AD257" s="19">
        <v>135.27500000000001</v>
      </c>
      <c r="AE257" s="19">
        <v>502.77499999999998</v>
      </c>
      <c r="AF257" s="19">
        <v>290</v>
      </c>
      <c r="AG257" s="19">
        <v>173.92500000000001</v>
      </c>
      <c r="AH257" s="19">
        <v>425.42500000000001</v>
      </c>
      <c r="AI257" s="19">
        <v>290</v>
      </c>
      <c r="AJ257" s="19">
        <v>135.27500000000001</v>
      </c>
      <c r="AK257" s="19">
        <v>502.77499999999998</v>
      </c>
      <c r="AL257" s="19">
        <v>290</v>
      </c>
      <c r="AM257" s="19">
        <v>173.92500000000001</v>
      </c>
      <c r="AN257" s="19">
        <v>425.42500000000001</v>
      </c>
      <c r="AO257" s="19">
        <v>290</v>
      </c>
      <c r="AP257" s="19">
        <v>135.27500000000001</v>
      </c>
      <c r="AQ257" s="19">
        <v>502.77499999999998</v>
      </c>
      <c r="AR257" s="19">
        <v>290</v>
      </c>
      <c r="AS257" s="19">
        <v>173.92500000000001</v>
      </c>
      <c r="AT257" s="19">
        <v>425.42500000000001</v>
      </c>
      <c r="AU257" s="19">
        <v>290</v>
      </c>
      <c r="AV257" s="19">
        <v>135.27500000000001</v>
      </c>
      <c r="AW257" s="19">
        <v>502.77499999999998</v>
      </c>
      <c r="AX257" s="19">
        <v>290</v>
      </c>
      <c r="AY257" s="19">
        <v>173.92500000000001</v>
      </c>
      <c r="AZ257" s="19">
        <v>425.42500000000001</v>
      </c>
      <c r="BA257" s="19">
        <v>290</v>
      </c>
      <c r="BB257" s="19">
        <v>135.27500000000001</v>
      </c>
      <c r="BC257" s="19">
        <v>502.77499999999998</v>
      </c>
      <c r="BD257" s="19">
        <v>290</v>
      </c>
      <c r="BE257" s="19">
        <v>173.92500000000001</v>
      </c>
      <c r="BF257" s="19">
        <v>425.42500000000001</v>
      </c>
      <c r="BG257" s="19">
        <v>290</v>
      </c>
      <c r="BH257" s="19">
        <v>135.27500000000001</v>
      </c>
      <c r="BI257" s="19">
        <v>502.77499999999998</v>
      </c>
      <c r="BJ257" s="19">
        <v>290</v>
      </c>
      <c r="BK257" s="19">
        <v>173.92500000000001</v>
      </c>
      <c r="BL257" s="19">
        <v>425.42500000000001</v>
      </c>
      <c r="BM257" s="19">
        <v>290</v>
      </c>
      <c r="BN257" s="19">
        <v>135.27500000000001</v>
      </c>
      <c r="BO257" s="19">
        <v>502.77499999999998</v>
      </c>
      <c r="BP257" s="19"/>
      <c r="BQ25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7" s="11">
        <f>Tabelle5897112140[[#This Row],[Mindestauslastung min]]*Tabelle5897112140[[#This Row],[installierte Leistung MW min]]</f>
        <v>38.650000000000006</v>
      </c>
      <c r="BU257" s="11">
        <f>Tabelle5897112140[[#This Row],[Mindestauslastung durch]]*Tabelle5897112140[[#This Row],[installierte Leistung MW durch]]</f>
        <v>58</v>
      </c>
      <c r="BV257" s="11">
        <f>Tabelle5897112140[[#This Row],[Mindestauslastung max]]*Tabelle5897112140[[#This Row],[installierte Leistung MW max]]</f>
        <v>77.350000000000009</v>
      </c>
      <c r="BW257" s="9">
        <v>0.05</v>
      </c>
      <c r="BX257" s="9">
        <v>0.05</v>
      </c>
      <c r="BY257" s="9">
        <v>0.05</v>
      </c>
      <c r="BZ257" s="9"/>
      <c r="CA257" s="9">
        <v>0.25</v>
      </c>
      <c r="CB257" s="9">
        <v>0.22500000000000001</v>
      </c>
      <c r="CC257" s="9">
        <v>0.27500000000000002</v>
      </c>
      <c r="CD257" s="9">
        <v>0.25</v>
      </c>
      <c r="CE257" s="9">
        <v>0.22500000000000001</v>
      </c>
      <c r="CF257" s="9">
        <v>0.27500000000000002</v>
      </c>
      <c r="CG257" s="9">
        <v>0.25</v>
      </c>
      <c r="CH257" s="9">
        <v>0.22500000000000001</v>
      </c>
      <c r="CI257" s="9">
        <v>0.27500000000000002</v>
      </c>
      <c r="CJ257" s="9">
        <v>0.25</v>
      </c>
      <c r="CK257" s="9">
        <v>0.22500000000000001</v>
      </c>
      <c r="CL257" s="9">
        <v>0.27500000000000002</v>
      </c>
      <c r="CM257" s="9">
        <v>0.25</v>
      </c>
      <c r="CN257" s="9">
        <v>0.22500000000000001</v>
      </c>
      <c r="CO257" s="9">
        <v>0.27500000000000002</v>
      </c>
      <c r="CP257" s="9">
        <v>0.25</v>
      </c>
      <c r="CQ257" s="9">
        <v>0.22500000000000001</v>
      </c>
      <c r="CR257" s="9">
        <v>0.27500000000000002</v>
      </c>
      <c r="CS257" s="9">
        <v>0.25</v>
      </c>
      <c r="CT257" s="9">
        <v>0.22500000000000001</v>
      </c>
      <c r="CU257" s="9">
        <v>0.27500000000000002</v>
      </c>
      <c r="CV257" s="9">
        <v>0.25</v>
      </c>
      <c r="CW257" s="9">
        <v>0.22500000000000001</v>
      </c>
      <c r="CX257" s="9">
        <v>0.27500000000000002</v>
      </c>
      <c r="CY257" s="9">
        <v>0.25</v>
      </c>
      <c r="CZ257" s="9">
        <v>0.22500000000000001</v>
      </c>
      <c r="DA257" s="9">
        <v>0.27500000000000002</v>
      </c>
      <c r="DB257" s="9">
        <f>MIN(Tabelle5897112140[[#This Row],[Durchschnittsauslastung durch Sommer WTT]:[Durchschnittsauslastung max Winter SFN]])</f>
        <v>0.22500000000000001</v>
      </c>
      <c r="DC25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7" s="9">
        <f>MAX(Tabelle5897112140[[#This Row],[Durchschnittsauslastung durch Sommer WTT]:[Durchschnittsauslastung max Winter SFN]])</f>
        <v>0.27500000000000002</v>
      </c>
      <c r="DE257" s="40">
        <f>Tabelle5897112140[[#This Row],[Durchschnittsauslastung min]]*Tabelle5897112140[[#This Row],[installierte Leistung MW min]]</f>
        <v>173.92500000000001</v>
      </c>
      <c r="DF257" s="40">
        <f>Tabelle5897112140[[#This Row],[Durchschnittsauslastung durch]]*Tabelle5897112140[[#This Row],[installierte Leistung MW durch]]</f>
        <v>290</v>
      </c>
      <c r="DG257" s="40">
        <f>Tabelle5897112140[[#This Row],[Durchschnittsauslastung max]]*Tabelle5897112140[[#This Row],[installierte Leistung MW max]]</f>
        <v>425.42500000000001</v>
      </c>
      <c r="DH257" s="46">
        <f>Tabelle5897112140[[#This Row],[Maximalauslastung min]]*Tabelle5897112140[[#This Row],[installierte Leistung MW min]]</f>
        <v>347.85</v>
      </c>
      <c r="DI257" s="46">
        <f>Tabelle5897112140[[#This Row],[Maximalauslastung durch]]*Tabelle5897112140[[#This Row],[installierte Leistung MW durch]]</f>
        <v>580</v>
      </c>
      <c r="DJ257" s="19">
        <f>Tabelle5897112140[[#This Row],[Maximalauslastung max]]*Tabelle5897112140[[#This Row],[installierte Leistung MW durch]]</f>
        <v>638</v>
      </c>
      <c r="DK257" s="9">
        <v>0.45</v>
      </c>
      <c r="DL257" s="9">
        <v>0.5</v>
      </c>
      <c r="DM257" s="9">
        <v>0.55000000000000004</v>
      </c>
      <c r="DN257" s="1">
        <v>1160</v>
      </c>
      <c r="DO257" s="1">
        <v>773</v>
      </c>
      <c r="DP257" s="1">
        <v>1547</v>
      </c>
      <c r="DQ257" s="19"/>
      <c r="DR257" s="19"/>
      <c r="DW257" s="1">
        <v>5</v>
      </c>
      <c r="DX257" s="1">
        <v>4.5</v>
      </c>
      <c r="DY257" s="1">
        <v>5.5</v>
      </c>
      <c r="DZ257" s="1">
        <v>5</v>
      </c>
      <c r="EA257" s="1">
        <v>4.5</v>
      </c>
      <c r="EB257" s="1">
        <v>5.5</v>
      </c>
      <c r="EC257" s="1">
        <v>24</v>
      </c>
      <c r="EF257" s="1">
        <v>10</v>
      </c>
      <c r="EG257" s="1">
        <v>9</v>
      </c>
      <c r="EH257" s="1">
        <v>11</v>
      </c>
      <c r="EL257" s="1">
        <v>365</v>
      </c>
      <c r="EM257" s="1">
        <v>328</v>
      </c>
      <c r="EN257" s="1">
        <v>402</v>
      </c>
      <c r="EO257" s="11"/>
      <c r="EP257" s="11"/>
      <c r="EQ257" s="11"/>
      <c r="ER257" s="1">
        <v>365</v>
      </c>
      <c r="ES257" s="1">
        <v>328</v>
      </c>
      <c r="ET257" s="1">
        <v>402</v>
      </c>
      <c r="EV257" s="19"/>
      <c r="EW257" s="19"/>
      <c r="EX257" s="19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O257" s="1">
        <v>67</v>
      </c>
      <c r="FP257" s="1">
        <v>67</v>
      </c>
      <c r="FQ257" s="1">
        <v>67</v>
      </c>
      <c r="FR257" s="13" t="s">
        <v>806</v>
      </c>
      <c r="FS257" s="13" t="s">
        <v>806</v>
      </c>
      <c r="FT257" s="13" t="s">
        <v>806</v>
      </c>
      <c r="FU257" s="13"/>
      <c r="FV257" s="13" t="s">
        <v>806</v>
      </c>
      <c r="FW257" s="13" t="s">
        <v>806</v>
      </c>
      <c r="FX257" s="13" t="s">
        <v>806</v>
      </c>
      <c r="FY257" s="13" t="s">
        <v>806</v>
      </c>
      <c r="FZ257" s="13" t="s">
        <v>806</v>
      </c>
      <c r="GA257" s="13" t="s">
        <v>806</v>
      </c>
      <c r="GB257" s="13" t="s">
        <v>806</v>
      </c>
      <c r="GE257" s="13" t="s">
        <v>806</v>
      </c>
      <c r="GF257" s="13" t="s">
        <v>806</v>
      </c>
      <c r="GH257" s="13" t="s">
        <v>806</v>
      </c>
    </row>
    <row r="258" spans="1:190" ht="12.75" customHeight="1" x14ac:dyDescent="0.25">
      <c r="A258" s="1" t="s">
        <v>138</v>
      </c>
      <c r="B258" s="1" t="s">
        <v>743</v>
      </c>
      <c r="C258" s="1" t="s">
        <v>804</v>
      </c>
      <c r="D258" s="1" t="s">
        <v>678</v>
      </c>
      <c r="E258" s="1" t="s">
        <v>139</v>
      </c>
      <c r="F258" s="1">
        <v>0</v>
      </c>
      <c r="G258" s="1">
        <v>2015</v>
      </c>
      <c r="H258" s="1">
        <v>1</v>
      </c>
      <c r="I258" s="1">
        <v>0</v>
      </c>
      <c r="J258" s="1">
        <v>0</v>
      </c>
      <c r="K25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5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3531.5972222222213</v>
      </c>
      <c r="M25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14360</v>
      </c>
      <c r="N258" s="19">
        <v>1283.333333333333</v>
      </c>
      <c r="O258" s="19">
        <v>0</v>
      </c>
      <c r="P258" s="19">
        <v>4308</v>
      </c>
      <c r="Q258" s="19">
        <v>0</v>
      </c>
      <c r="R258" s="19">
        <v>0</v>
      </c>
      <c r="S258" s="19">
        <v>0</v>
      </c>
      <c r="T258" s="19">
        <v>1283.333333333333</v>
      </c>
      <c r="U258" s="19">
        <v>0</v>
      </c>
      <c r="V258" s="19">
        <v>4308</v>
      </c>
      <c r="W258" s="19">
        <v>0</v>
      </c>
      <c r="X258" s="19">
        <v>0</v>
      </c>
      <c r="Y258" s="19">
        <v>0</v>
      </c>
      <c r="Z258" s="19">
        <v>1283.333333333333</v>
      </c>
      <c r="AA258" s="19">
        <v>0</v>
      </c>
      <c r="AB258" s="19">
        <v>4308</v>
      </c>
      <c r="AC258" s="19">
        <v>0</v>
      </c>
      <c r="AD258" s="19">
        <v>0</v>
      </c>
      <c r="AE258" s="19">
        <v>0</v>
      </c>
      <c r="AF258" s="19">
        <v>3704.166666666667</v>
      </c>
      <c r="AG258" s="19">
        <v>170.5</v>
      </c>
      <c r="AH258" s="19">
        <v>9513.5</v>
      </c>
      <c r="AI258" s="19">
        <v>0</v>
      </c>
      <c r="AJ258" s="19">
        <v>0</v>
      </c>
      <c r="AK258" s="19">
        <v>0</v>
      </c>
      <c r="AL258" s="19">
        <v>3704.166666666667</v>
      </c>
      <c r="AM258" s="19">
        <v>170.5</v>
      </c>
      <c r="AN258" s="19">
        <v>9513.5</v>
      </c>
      <c r="AO258" s="19">
        <v>0</v>
      </c>
      <c r="AP258" s="19">
        <v>0</v>
      </c>
      <c r="AQ258" s="19">
        <v>0</v>
      </c>
      <c r="AR258" s="19">
        <v>3704.166666666667</v>
      </c>
      <c r="AS258" s="19">
        <v>170.5</v>
      </c>
      <c r="AT258" s="19">
        <v>9513.5</v>
      </c>
      <c r="AU258" s="19">
        <v>0</v>
      </c>
      <c r="AV258" s="19">
        <v>0</v>
      </c>
      <c r="AW258" s="19">
        <v>0</v>
      </c>
      <c r="AX258" s="19">
        <v>5607.2916666666661</v>
      </c>
      <c r="AY258" s="19">
        <v>170.5</v>
      </c>
      <c r="AZ258" s="19">
        <v>14360</v>
      </c>
      <c r="BA258" s="19">
        <v>0</v>
      </c>
      <c r="BB258" s="19">
        <v>0</v>
      </c>
      <c r="BC258" s="19">
        <v>0</v>
      </c>
      <c r="BD258" s="19">
        <v>5607.2916666666661</v>
      </c>
      <c r="BE258" s="19">
        <v>170.5</v>
      </c>
      <c r="BF258" s="19">
        <v>14360</v>
      </c>
      <c r="BG258" s="19">
        <v>0</v>
      </c>
      <c r="BH258" s="19">
        <v>0</v>
      </c>
      <c r="BI258" s="19">
        <v>0</v>
      </c>
      <c r="BJ258" s="19">
        <v>5607.2916666666661</v>
      </c>
      <c r="BK258" s="19">
        <v>170.5</v>
      </c>
      <c r="BL258" s="19">
        <v>14360</v>
      </c>
      <c r="BM258" s="19">
        <v>0</v>
      </c>
      <c r="BN258" s="19">
        <v>0</v>
      </c>
      <c r="BO258" s="19">
        <v>0</v>
      </c>
      <c r="BP258" s="19"/>
      <c r="BQ25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5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5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58" s="11">
        <f>Tabelle5897112140[[#This Row],[Mindestauslastung min]]*Tabelle5897112140[[#This Row],[installierte Leistung MW min]]</f>
        <v>852.5</v>
      </c>
      <c r="BU258" s="11">
        <f>Tabelle5897112140[[#This Row],[Mindestauslastung durch]]*Tabelle5897112140[[#This Row],[installierte Leistung MW durch]]</f>
        <v>875</v>
      </c>
      <c r="BV258" s="11">
        <f>Tabelle5897112140[[#This Row],[Mindestauslastung max]]*Tabelle5897112140[[#This Row],[installierte Leistung MW max]]</f>
        <v>897.5</v>
      </c>
      <c r="BW258" s="9">
        <v>0.05</v>
      </c>
      <c r="BX258" s="9">
        <v>0.05</v>
      </c>
      <c r="BY258" s="9">
        <v>0.05</v>
      </c>
      <c r="BZ258" s="9"/>
      <c r="CA258" s="9">
        <v>7.3333333333333334E-2</v>
      </c>
      <c r="CB258" s="9">
        <v>0</v>
      </c>
      <c r="CC258" s="9">
        <v>0.24</v>
      </c>
      <c r="CD258" s="9">
        <v>7.3333333333333334E-2</v>
      </c>
      <c r="CE258" s="9">
        <v>0</v>
      </c>
      <c r="CF258" s="9">
        <v>0.24</v>
      </c>
      <c r="CG258" s="9">
        <v>7.3333333333333334E-2</v>
      </c>
      <c r="CH258" s="9">
        <v>0</v>
      </c>
      <c r="CI258" s="9">
        <v>0.24</v>
      </c>
      <c r="CJ258" s="9">
        <v>0.2116666666666667</v>
      </c>
      <c r="CK258" s="9">
        <v>0.01</v>
      </c>
      <c r="CL258" s="9">
        <v>0.53</v>
      </c>
      <c r="CM258" s="9">
        <v>0.2116666666666667</v>
      </c>
      <c r="CN258" s="9">
        <v>0.01</v>
      </c>
      <c r="CO258" s="9">
        <v>0.53</v>
      </c>
      <c r="CP258" s="9">
        <v>0.2116666666666667</v>
      </c>
      <c r="CQ258" s="9">
        <v>0.01</v>
      </c>
      <c r="CR258" s="9">
        <v>0.53</v>
      </c>
      <c r="CS258" s="9">
        <v>0.32041666666666663</v>
      </c>
      <c r="CT258" s="9">
        <v>0.01</v>
      </c>
      <c r="CU258" s="9">
        <v>0.8</v>
      </c>
      <c r="CV258" s="9">
        <v>0.32041666666666663</v>
      </c>
      <c r="CW258" s="9">
        <v>0.01</v>
      </c>
      <c r="CX258" s="9">
        <v>0.8</v>
      </c>
      <c r="CY258" s="9">
        <v>0.32041666666666663</v>
      </c>
      <c r="CZ258" s="9">
        <v>0.01</v>
      </c>
      <c r="DA258" s="9">
        <v>0.8</v>
      </c>
      <c r="DB258" s="9">
        <f>MIN(Tabelle5897112140[[#This Row],[Durchschnittsauslastung durch Sommer WTT]:[Durchschnittsauslastung max Winter SFN]])</f>
        <v>0</v>
      </c>
      <c r="DC25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58" s="9">
        <f>MAX(Tabelle5897112140[[#This Row],[Durchschnittsauslastung durch Sommer WTT]:[Durchschnittsauslastung max Winter SFN]])</f>
        <v>0.8</v>
      </c>
      <c r="DE258" s="40">
        <f>Tabelle5897112140[[#This Row],[Durchschnittsauslastung min]]*Tabelle5897112140[[#This Row],[installierte Leistung MW min]]</f>
        <v>0</v>
      </c>
      <c r="DF258" s="40">
        <f>Tabelle5897112140[[#This Row],[Durchschnittsauslastung durch]]*Tabelle5897112140[[#This Row],[installierte Leistung MW durch]]</f>
        <v>3531.5972222222222</v>
      </c>
      <c r="DG258" s="40">
        <f>Tabelle5897112140[[#This Row],[Durchschnittsauslastung max]]*Tabelle5897112140[[#This Row],[installierte Leistung MW max]]</f>
        <v>14360</v>
      </c>
      <c r="DH258" s="46">
        <f>Tabelle5897112140[[#This Row],[Maximalauslastung min]]*Tabelle5897112140[[#This Row],[installierte Leistung MW min]]</f>
        <v>7843</v>
      </c>
      <c r="DI258" s="46">
        <f>Tabelle5897112140[[#This Row],[Maximalauslastung durch]]*Tabelle5897112140[[#This Row],[installierte Leistung MW durch]]</f>
        <v>8925</v>
      </c>
      <c r="DJ258" s="19">
        <f>Tabelle5897112140[[#This Row],[Maximalauslastung max]]*Tabelle5897112140[[#This Row],[installierte Leistung MW durch]]</f>
        <v>9800.0000000000018</v>
      </c>
      <c r="DK258" s="9">
        <v>0.46</v>
      </c>
      <c r="DL258" s="9">
        <v>0.51</v>
      </c>
      <c r="DM258" s="9">
        <v>0.56000000000000005</v>
      </c>
      <c r="DN258" s="1">
        <v>17500</v>
      </c>
      <c r="DO258" s="1">
        <v>17050</v>
      </c>
      <c r="DP258" s="1">
        <v>17950</v>
      </c>
      <c r="DQ258" s="19"/>
      <c r="DR258" s="19"/>
      <c r="DW258" s="1">
        <v>4</v>
      </c>
      <c r="DX258" s="1">
        <v>3.1</v>
      </c>
      <c r="DY258" s="1">
        <v>4.9000000000000004</v>
      </c>
      <c r="DZ258" s="1">
        <v>9</v>
      </c>
      <c r="EA258" s="1">
        <v>7.2</v>
      </c>
      <c r="EB258" s="1">
        <v>10.8</v>
      </c>
      <c r="EC258" s="1">
        <v>24</v>
      </c>
      <c r="ED258" s="1">
        <v>24</v>
      </c>
      <c r="EE258" s="1">
        <v>24</v>
      </c>
      <c r="EF258" s="1">
        <v>7.4</v>
      </c>
      <c r="EG258" s="1">
        <v>4.6000000000000014</v>
      </c>
      <c r="EH258" s="1">
        <v>10.199999999999999</v>
      </c>
      <c r="EL258" s="1">
        <v>160</v>
      </c>
      <c r="EM258" s="1">
        <v>144</v>
      </c>
      <c r="EN258" s="1">
        <v>176</v>
      </c>
      <c r="EO258" s="11"/>
      <c r="EP258" s="11"/>
      <c r="EQ258" s="11"/>
      <c r="ER258" s="1">
        <v>160</v>
      </c>
      <c r="ES258" s="1">
        <v>144</v>
      </c>
      <c r="ET258" s="1">
        <v>176</v>
      </c>
      <c r="EU258" s="1">
        <v>25.656565656565654</v>
      </c>
      <c r="EV258" s="19">
        <v>23.131313131313131</v>
      </c>
      <c r="EW258" s="19">
        <v>28.18181818181818</v>
      </c>
      <c r="EX258" s="19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>
        <v>38.383838383838388</v>
      </c>
      <c r="FK258" s="8">
        <v>34.545454545454547</v>
      </c>
      <c r="FL258" s="1">
        <v>42.222222222222221</v>
      </c>
      <c r="FO258" s="1">
        <v>67</v>
      </c>
      <c r="FP258" s="1">
        <v>67</v>
      </c>
      <c r="FQ258" s="1">
        <v>67</v>
      </c>
      <c r="FR258" s="13" t="s">
        <v>806</v>
      </c>
      <c r="FS258" s="13" t="s">
        <v>806</v>
      </c>
      <c r="FT258" s="13" t="s">
        <v>806</v>
      </c>
      <c r="FU258" s="13"/>
      <c r="FV258" s="13" t="s">
        <v>806</v>
      </c>
      <c r="FW258" s="13" t="s">
        <v>806</v>
      </c>
      <c r="FX258" s="13" t="s">
        <v>806</v>
      </c>
      <c r="FY258" s="13" t="s">
        <v>806</v>
      </c>
      <c r="FZ258" s="13" t="s">
        <v>806</v>
      </c>
      <c r="GA258" s="13" t="s">
        <v>806</v>
      </c>
      <c r="GB258" s="13" t="s">
        <v>806</v>
      </c>
      <c r="GE258" s="13" t="s">
        <v>806</v>
      </c>
      <c r="GF258" s="13" t="s">
        <v>806</v>
      </c>
      <c r="GH258" s="13" t="s">
        <v>806</v>
      </c>
    </row>
    <row r="259" spans="1:190" ht="12.75" customHeight="1" x14ac:dyDescent="0.25">
      <c r="A259" s="1" t="s">
        <v>138</v>
      </c>
      <c r="B259" s="1" t="s">
        <v>743</v>
      </c>
      <c r="C259" s="1" t="s">
        <v>804</v>
      </c>
      <c r="D259" s="1" t="s">
        <v>678</v>
      </c>
      <c r="E259" s="1" t="s">
        <v>139</v>
      </c>
      <c r="F259" s="1">
        <v>0</v>
      </c>
      <c r="G259" s="1">
        <v>2020</v>
      </c>
      <c r="H259" s="1">
        <v>1</v>
      </c>
      <c r="I259" s="1">
        <v>0</v>
      </c>
      <c r="J259" s="1">
        <v>0</v>
      </c>
      <c r="K25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5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2860.59375</v>
      </c>
      <c r="M25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11631.6</v>
      </c>
      <c r="N259" s="19">
        <v>1039.4999999999998</v>
      </c>
      <c r="O259" s="19">
        <v>0</v>
      </c>
      <c r="P259" s="19">
        <v>3489.48</v>
      </c>
      <c r="Q259" s="19">
        <v>0</v>
      </c>
      <c r="R259" s="19">
        <v>0</v>
      </c>
      <c r="S259" s="19">
        <v>0</v>
      </c>
      <c r="T259" s="19">
        <v>1039.4999999999998</v>
      </c>
      <c r="U259" s="19">
        <v>0</v>
      </c>
      <c r="V259" s="19">
        <v>3489.48</v>
      </c>
      <c r="W259" s="19">
        <v>0</v>
      </c>
      <c r="X259" s="19">
        <v>0</v>
      </c>
      <c r="Y259" s="19">
        <v>0</v>
      </c>
      <c r="Z259" s="19">
        <v>1039.4999999999998</v>
      </c>
      <c r="AA259" s="19">
        <v>0</v>
      </c>
      <c r="AB259" s="19">
        <v>3489.48</v>
      </c>
      <c r="AC259" s="19">
        <v>0</v>
      </c>
      <c r="AD259" s="19">
        <v>0</v>
      </c>
      <c r="AE259" s="19">
        <v>0</v>
      </c>
      <c r="AF259" s="19">
        <v>3000.3750000000005</v>
      </c>
      <c r="AG259" s="19">
        <v>138.10500000000002</v>
      </c>
      <c r="AH259" s="19">
        <v>7705.9350000000004</v>
      </c>
      <c r="AI259" s="19">
        <v>0</v>
      </c>
      <c r="AJ259" s="19">
        <v>0</v>
      </c>
      <c r="AK259" s="19">
        <v>0</v>
      </c>
      <c r="AL259" s="19">
        <v>3000.3750000000005</v>
      </c>
      <c r="AM259" s="19">
        <v>138.10500000000002</v>
      </c>
      <c r="AN259" s="19">
        <v>7705.9350000000004</v>
      </c>
      <c r="AO259" s="19">
        <v>0</v>
      </c>
      <c r="AP259" s="19">
        <v>0</v>
      </c>
      <c r="AQ259" s="19">
        <v>0</v>
      </c>
      <c r="AR259" s="19">
        <v>3000.3750000000005</v>
      </c>
      <c r="AS259" s="19">
        <v>138.10500000000002</v>
      </c>
      <c r="AT259" s="19">
        <v>7705.9350000000004</v>
      </c>
      <c r="AU259" s="19">
        <v>0</v>
      </c>
      <c r="AV259" s="19">
        <v>0</v>
      </c>
      <c r="AW259" s="19">
        <v>0</v>
      </c>
      <c r="AX259" s="19">
        <v>4541.90625</v>
      </c>
      <c r="AY259" s="19">
        <v>138.10500000000002</v>
      </c>
      <c r="AZ259" s="19">
        <v>11631.6</v>
      </c>
      <c r="BA259" s="19">
        <v>0</v>
      </c>
      <c r="BB259" s="19">
        <v>0</v>
      </c>
      <c r="BC259" s="19">
        <v>0</v>
      </c>
      <c r="BD259" s="19">
        <v>4541.90625</v>
      </c>
      <c r="BE259" s="19">
        <v>138.10500000000002</v>
      </c>
      <c r="BF259" s="19">
        <v>11631.6</v>
      </c>
      <c r="BG259" s="19">
        <v>0</v>
      </c>
      <c r="BH259" s="19">
        <v>0</v>
      </c>
      <c r="BI259" s="19">
        <v>0</v>
      </c>
      <c r="BJ259" s="19">
        <v>4541.90625</v>
      </c>
      <c r="BK259" s="19">
        <v>138.10500000000002</v>
      </c>
      <c r="BL259" s="19">
        <v>11631.6</v>
      </c>
      <c r="BM259" s="19">
        <v>0</v>
      </c>
      <c r="BN259" s="19">
        <v>0</v>
      </c>
      <c r="BO259" s="19">
        <v>0</v>
      </c>
      <c r="BP259" s="19"/>
      <c r="BQ25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5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5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59" s="11">
        <f>Tabelle5897112140[[#This Row],[Mindestauslastung min]]*Tabelle5897112140[[#This Row],[installierte Leistung MW min]]</f>
        <v>690.52500000000009</v>
      </c>
      <c r="BU259" s="11">
        <f>Tabelle5897112140[[#This Row],[Mindestauslastung durch]]*Tabelle5897112140[[#This Row],[installierte Leistung MW durch]]</f>
        <v>708.75</v>
      </c>
      <c r="BV259" s="11">
        <f>Tabelle5897112140[[#This Row],[Mindestauslastung max]]*Tabelle5897112140[[#This Row],[installierte Leistung MW max]]</f>
        <v>726.97500000000002</v>
      </c>
      <c r="BW259" s="9">
        <v>0.05</v>
      </c>
      <c r="BX259" s="9">
        <v>0.05</v>
      </c>
      <c r="BY259" s="9">
        <v>0.05</v>
      </c>
      <c r="BZ259" s="9"/>
      <c r="CA259" s="9">
        <v>7.3333333333333334E-2</v>
      </c>
      <c r="CB259" s="9">
        <v>0</v>
      </c>
      <c r="CC259" s="9">
        <v>0.24</v>
      </c>
      <c r="CD259" s="9">
        <v>7.3333333333333334E-2</v>
      </c>
      <c r="CE259" s="9">
        <v>0</v>
      </c>
      <c r="CF259" s="9">
        <v>0.24</v>
      </c>
      <c r="CG259" s="9">
        <v>7.3333333333333334E-2</v>
      </c>
      <c r="CH259" s="9">
        <v>0</v>
      </c>
      <c r="CI259" s="9">
        <v>0.24</v>
      </c>
      <c r="CJ259" s="9">
        <v>0.2116666666666667</v>
      </c>
      <c r="CK259" s="9">
        <v>0.01</v>
      </c>
      <c r="CL259" s="9">
        <v>0.53</v>
      </c>
      <c r="CM259" s="9">
        <v>0.2116666666666667</v>
      </c>
      <c r="CN259" s="9">
        <v>0.01</v>
      </c>
      <c r="CO259" s="9">
        <v>0.53</v>
      </c>
      <c r="CP259" s="9">
        <v>0.2116666666666667</v>
      </c>
      <c r="CQ259" s="9">
        <v>0.01</v>
      </c>
      <c r="CR259" s="9">
        <v>0.53</v>
      </c>
      <c r="CS259" s="9">
        <v>0.32041666666666663</v>
      </c>
      <c r="CT259" s="9">
        <v>0.01</v>
      </c>
      <c r="CU259" s="9">
        <v>0.8</v>
      </c>
      <c r="CV259" s="9">
        <v>0.32041666666666663</v>
      </c>
      <c r="CW259" s="9">
        <v>0.01</v>
      </c>
      <c r="CX259" s="9">
        <v>0.8</v>
      </c>
      <c r="CY259" s="9">
        <v>0.32041666666666663</v>
      </c>
      <c r="CZ259" s="9">
        <v>0.01</v>
      </c>
      <c r="DA259" s="9">
        <v>0.8</v>
      </c>
      <c r="DB259" s="9">
        <f>MIN(Tabelle5897112140[[#This Row],[Durchschnittsauslastung durch Sommer WTT]:[Durchschnittsauslastung max Winter SFN]])</f>
        <v>0</v>
      </c>
      <c r="DC25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59" s="9">
        <f>MAX(Tabelle5897112140[[#This Row],[Durchschnittsauslastung durch Sommer WTT]:[Durchschnittsauslastung max Winter SFN]])</f>
        <v>0.8</v>
      </c>
      <c r="DE259" s="40">
        <f>Tabelle5897112140[[#This Row],[Durchschnittsauslastung min]]*Tabelle5897112140[[#This Row],[installierte Leistung MW min]]</f>
        <v>0</v>
      </c>
      <c r="DF259" s="40">
        <f>Tabelle5897112140[[#This Row],[Durchschnittsauslastung durch]]*Tabelle5897112140[[#This Row],[installierte Leistung MW durch]]</f>
        <v>2860.59375</v>
      </c>
      <c r="DG259" s="40">
        <f>Tabelle5897112140[[#This Row],[Durchschnittsauslastung max]]*Tabelle5897112140[[#This Row],[installierte Leistung MW max]]</f>
        <v>11631.6</v>
      </c>
      <c r="DH259" s="46">
        <f>Tabelle5897112140[[#This Row],[Maximalauslastung min]]*Tabelle5897112140[[#This Row],[installierte Leistung MW min]]</f>
        <v>6352.83</v>
      </c>
      <c r="DI259" s="46">
        <f>Tabelle5897112140[[#This Row],[Maximalauslastung durch]]*Tabelle5897112140[[#This Row],[installierte Leistung MW durch]]</f>
        <v>7229.25</v>
      </c>
      <c r="DJ259" s="19">
        <f>Tabelle5897112140[[#This Row],[Maximalauslastung max]]*Tabelle5897112140[[#This Row],[installierte Leistung MW durch]]</f>
        <v>7938.0000000000009</v>
      </c>
      <c r="DK259" s="9">
        <v>0.46</v>
      </c>
      <c r="DL259" s="9">
        <v>0.51</v>
      </c>
      <c r="DM259" s="9">
        <v>0.56000000000000005</v>
      </c>
      <c r="DN259" s="1">
        <v>14175</v>
      </c>
      <c r="DO259" s="1">
        <v>13810.5</v>
      </c>
      <c r="DP259" s="1">
        <v>14539.5</v>
      </c>
      <c r="DQ259" s="19"/>
      <c r="DR259" s="19"/>
      <c r="DW259" s="1">
        <v>4</v>
      </c>
      <c r="DX259" s="1">
        <v>3.1</v>
      </c>
      <c r="DY259" s="1">
        <v>4.9000000000000004</v>
      </c>
      <c r="DZ259" s="1">
        <v>9</v>
      </c>
      <c r="EA259" s="1">
        <v>7.2</v>
      </c>
      <c r="EB259" s="1">
        <v>10.8</v>
      </c>
      <c r="EC259" s="1">
        <v>24</v>
      </c>
      <c r="ED259" s="1">
        <v>24</v>
      </c>
      <c r="EE259" s="1">
        <v>24</v>
      </c>
      <c r="EF259" s="1">
        <v>7.4</v>
      </c>
      <c r="EG259" s="1">
        <v>4.6000000000000014</v>
      </c>
      <c r="EH259" s="1">
        <v>10.199999999999999</v>
      </c>
      <c r="EL259" s="1">
        <v>160</v>
      </c>
      <c r="EM259" s="1">
        <v>144</v>
      </c>
      <c r="EN259" s="1">
        <v>176</v>
      </c>
      <c r="EO259" s="11"/>
      <c r="EP259" s="11"/>
      <c r="EQ259" s="11"/>
      <c r="ER259" s="1">
        <v>160</v>
      </c>
      <c r="ES259" s="1">
        <v>144</v>
      </c>
      <c r="ET259" s="1">
        <v>176</v>
      </c>
      <c r="EU259" s="1">
        <v>25.656565656565654</v>
      </c>
      <c r="EV259" s="19">
        <v>23.131313131313131</v>
      </c>
      <c r="EW259" s="19">
        <v>28.18181818181818</v>
      </c>
      <c r="EX259" s="19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>
        <v>38.383838383838388</v>
      </c>
      <c r="FK259" s="8">
        <v>34.545454545454547</v>
      </c>
      <c r="FL259" s="1">
        <v>42.222222222222221</v>
      </c>
      <c r="FO259" s="1">
        <v>67</v>
      </c>
      <c r="FP259" s="1">
        <v>67</v>
      </c>
      <c r="FQ259" s="1">
        <v>67</v>
      </c>
      <c r="FR259" s="13" t="s">
        <v>806</v>
      </c>
      <c r="FS259" s="13" t="s">
        <v>806</v>
      </c>
      <c r="FT259" s="13" t="s">
        <v>806</v>
      </c>
      <c r="FU259" s="13"/>
      <c r="FV259" s="13" t="s">
        <v>806</v>
      </c>
      <c r="FW259" s="13" t="s">
        <v>806</v>
      </c>
      <c r="FX259" s="13" t="s">
        <v>806</v>
      </c>
      <c r="FY259" s="13" t="s">
        <v>806</v>
      </c>
      <c r="FZ259" s="13" t="s">
        <v>806</v>
      </c>
      <c r="GA259" s="13" t="s">
        <v>806</v>
      </c>
      <c r="GB259" s="13" t="s">
        <v>806</v>
      </c>
      <c r="GE259" s="13" t="s">
        <v>806</v>
      </c>
      <c r="GF259" s="13" t="s">
        <v>806</v>
      </c>
      <c r="GH259" s="13" t="s">
        <v>806</v>
      </c>
    </row>
    <row r="260" spans="1:190" ht="12.75" customHeight="1" x14ac:dyDescent="0.25">
      <c r="A260" s="1" t="s">
        <v>138</v>
      </c>
      <c r="B260" s="1" t="s">
        <v>743</v>
      </c>
      <c r="C260" s="1" t="s">
        <v>804</v>
      </c>
      <c r="D260" s="1" t="s">
        <v>678</v>
      </c>
      <c r="E260" s="1" t="s">
        <v>139</v>
      </c>
      <c r="F260" s="1">
        <v>0</v>
      </c>
      <c r="G260" s="1">
        <v>2025</v>
      </c>
      <c r="H260" s="1">
        <v>1</v>
      </c>
      <c r="I260" s="1">
        <v>0</v>
      </c>
      <c r="J260" s="1">
        <v>0</v>
      </c>
      <c r="K26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2366.1701388888887</v>
      </c>
      <c r="M26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9621.2000000000007</v>
      </c>
      <c r="N260" s="19">
        <v>859.83333333333314</v>
      </c>
      <c r="O260" s="19">
        <v>0</v>
      </c>
      <c r="P260" s="19">
        <v>2886.36</v>
      </c>
      <c r="Q260" s="19">
        <v>0</v>
      </c>
      <c r="R260" s="19">
        <v>0</v>
      </c>
      <c r="S260" s="19">
        <v>0</v>
      </c>
      <c r="T260" s="19">
        <v>859.83333333333314</v>
      </c>
      <c r="U260" s="19">
        <v>0</v>
      </c>
      <c r="V260" s="19">
        <v>2886.36</v>
      </c>
      <c r="W260" s="19">
        <v>0</v>
      </c>
      <c r="X260" s="19">
        <v>0</v>
      </c>
      <c r="Y260" s="19">
        <v>0</v>
      </c>
      <c r="Z260" s="19">
        <v>859.83333333333314</v>
      </c>
      <c r="AA260" s="19">
        <v>0</v>
      </c>
      <c r="AB260" s="19">
        <v>2886.36</v>
      </c>
      <c r="AC260" s="19">
        <v>0</v>
      </c>
      <c r="AD260" s="19">
        <v>0</v>
      </c>
      <c r="AE260" s="19">
        <v>0</v>
      </c>
      <c r="AF260" s="19">
        <v>2481.791666666667</v>
      </c>
      <c r="AG260" s="19">
        <v>114.23500000000001</v>
      </c>
      <c r="AH260" s="19">
        <v>6374.0450000000001</v>
      </c>
      <c r="AI260" s="19">
        <v>0</v>
      </c>
      <c r="AJ260" s="19">
        <v>0</v>
      </c>
      <c r="AK260" s="19">
        <v>0</v>
      </c>
      <c r="AL260" s="19">
        <v>2481.791666666667</v>
      </c>
      <c r="AM260" s="19">
        <v>114.23500000000001</v>
      </c>
      <c r="AN260" s="19">
        <v>6374.0450000000001</v>
      </c>
      <c r="AO260" s="19">
        <v>0</v>
      </c>
      <c r="AP260" s="19">
        <v>0</v>
      </c>
      <c r="AQ260" s="19">
        <v>0</v>
      </c>
      <c r="AR260" s="19">
        <v>2481.791666666667</v>
      </c>
      <c r="AS260" s="19">
        <v>114.23500000000001</v>
      </c>
      <c r="AT260" s="19">
        <v>6374.0450000000001</v>
      </c>
      <c r="AU260" s="19">
        <v>0</v>
      </c>
      <c r="AV260" s="19">
        <v>0</v>
      </c>
      <c r="AW260" s="19">
        <v>0</v>
      </c>
      <c r="AX260" s="19">
        <v>3756.8854166666665</v>
      </c>
      <c r="AY260" s="19">
        <v>114.23500000000001</v>
      </c>
      <c r="AZ260" s="19">
        <v>9621.2000000000007</v>
      </c>
      <c r="BA260" s="19">
        <v>0</v>
      </c>
      <c r="BB260" s="19">
        <v>0</v>
      </c>
      <c r="BC260" s="19">
        <v>0</v>
      </c>
      <c r="BD260" s="19">
        <v>3756.8854166666665</v>
      </c>
      <c r="BE260" s="19">
        <v>114.23500000000001</v>
      </c>
      <c r="BF260" s="19">
        <v>9621.2000000000007</v>
      </c>
      <c r="BG260" s="19">
        <v>0</v>
      </c>
      <c r="BH260" s="19">
        <v>0</v>
      </c>
      <c r="BI260" s="19">
        <v>0</v>
      </c>
      <c r="BJ260" s="19">
        <v>3756.8854166666665</v>
      </c>
      <c r="BK260" s="19">
        <v>114.23500000000001</v>
      </c>
      <c r="BL260" s="19">
        <v>9621.2000000000007</v>
      </c>
      <c r="BM260" s="19">
        <v>0</v>
      </c>
      <c r="BN260" s="19">
        <v>0</v>
      </c>
      <c r="BO260" s="19">
        <v>0</v>
      </c>
      <c r="BP260" s="19"/>
      <c r="BQ26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0" s="11">
        <f>Tabelle5897112140[[#This Row],[Mindestauslastung min]]*Tabelle5897112140[[#This Row],[installierte Leistung MW min]]</f>
        <v>571.17500000000007</v>
      </c>
      <c r="BU260" s="11">
        <f>Tabelle5897112140[[#This Row],[Mindestauslastung durch]]*Tabelle5897112140[[#This Row],[installierte Leistung MW durch]]</f>
        <v>586.25</v>
      </c>
      <c r="BV260" s="11">
        <f>Tabelle5897112140[[#This Row],[Mindestauslastung max]]*Tabelle5897112140[[#This Row],[installierte Leistung MW max]]</f>
        <v>601.32500000000005</v>
      </c>
      <c r="BW260" s="9">
        <v>0.05</v>
      </c>
      <c r="BX260" s="9">
        <v>0.05</v>
      </c>
      <c r="BY260" s="9">
        <v>0.05</v>
      </c>
      <c r="BZ260" s="9"/>
      <c r="CA260" s="9">
        <v>7.3333333333333334E-2</v>
      </c>
      <c r="CB260" s="9">
        <v>0</v>
      </c>
      <c r="CC260" s="9">
        <v>0.24</v>
      </c>
      <c r="CD260" s="9">
        <v>7.3333333333333334E-2</v>
      </c>
      <c r="CE260" s="9">
        <v>0</v>
      </c>
      <c r="CF260" s="9">
        <v>0.24</v>
      </c>
      <c r="CG260" s="9">
        <v>7.3333333333333334E-2</v>
      </c>
      <c r="CH260" s="9">
        <v>0</v>
      </c>
      <c r="CI260" s="9">
        <v>0.24</v>
      </c>
      <c r="CJ260" s="9">
        <v>0.2116666666666667</v>
      </c>
      <c r="CK260" s="9">
        <v>0.01</v>
      </c>
      <c r="CL260" s="9">
        <v>0.53</v>
      </c>
      <c r="CM260" s="9">
        <v>0.2116666666666667</v>
      </c>
      <c r="CN260" s="9">
        <v>0.01</v>
      </c>
      <c r="CO260" s="9">
        <v>0.53</v>
      </c>
      <c r="CP260" s="9">
        <v>0.2116666666666667</v>
      </c>
      <c r="CQ260" s="9">
        <v>0.01</v>
      </c>
      <c r="CR260" s="9">
        <v>0.53</v>
      </c>
      <c r="CS260" s="9">
        <v>0.32041666666666663</v>
      </c>
      <c r="CT260" s="9">
        <v>0.01</v>
      </c>
      <c r="CU260" s="9">
        <v>0.8</v>
      </c>
      <c r="CV260" s="9">
        <v>0.32041666666666663</v>
      </c>
      <c r="CW260" s="9">
        <v>0.01</v>
      </c>
      <c r="CX260" s="9">
        <v>0.8</v>
      </c>
      <c r="CY260" s="9">
        <v>0.32041666666666663</v>
      </c>
      <c r="CZ260" s="9">
        <v>0.01</v>
      </c>
      <c r="DA260" s="9">
        <v>0.8</v>
      </c>
      <c r="DB260" s="9">
        <f>MIN(Tabelle5897112140[[#This Row],[Durchschnittsauslastung durch Sommer WTT]:[Durchschnittsauslastung max Winter SFN]])</f>
        <v>0</v>
      </c>
      <c r="DC26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0" s="9">
        <f>MAX(Tabelle5897112140[[#This Row],[Durchschnittsauslastung durch Sommer WTT]:[Durchschnittsauslastung max Winter SFN]])</f>
        <v>0.8</v>
      </c>
      <c r="DE260" s="40">
        <f>Tabelle5897112140[[#This Row],[Durchschnittsauslastung min]]*Tabelle5897112140[[#This Row],[installierte Leistung MW min]]</f>
        <v>0</v>
      </c>
      <c r="DF260" s="40">
        <f>Tabelle5897112140[[#This Row],[Durchschnittsauslastung durch]]*Tabelle5897112140[[#This Row],[installierte Leistung MW durch]]</f>
        <v>2366.1701388888887</v>
      </c>
      <c r="DG260" s="40">
        <f>Tabelle5897112140[[#This Row],[Durchschnittsauslastung max]]*Tabelle5897112140[[#This Row],[installierte Leistung MW max]]</f>
        <v>9621.2000000000007</v>
      </c>
      <c r="DH260" s="46">
        <f>Tabelle5897112140[[#This Row],[Maximalauslastung min]]*Tabelle5897112140[[#This Row],[installierte Leistung MW min]]</f>
        <v>5254.81</v>
      </c>
      <c r="DI260" s="46">
        <f>Tabelle5897112140[[#This Row],[Maximalauslastung durch]]*Tabelle5897112140[[#This Row],[installierte Leistung MW durch]]</f>
        <v>5979.75</v>
      </c>
      <c r="DJ260" s="19">
        <f>Tabelle5897112140[[#This Row],[Maximalauslastung max]]*Tabelle5897112140[[#This Row],[installierte Leistung MW durch]]</f>
        <v>6566.0000000000009</v>
      </c>
      <c r="DK260" s="9">
        <v>0.46</v>
      </c>
      <c r="DL260" s="9">
        <v>0.51</v>
      </c>
      <c r="DM260" s="9">
        <v>0.56000000000000005</v>
      </c>
      <c r="DN260" s="1">
        <v>11725</v>
      </c>
      <c r="DO260" s="1">
        <v>11423.5</v>
      </c>
      <c r="DP260" s="1">
        <v>12026.5</v>
      </c>
      <c r="DQ260" s="19"/>
      <c r="DR260" s="19"/>
      <c r="DW260" s="1">
        <v>4</v>
      </c>
      <c r="DX260" s="1">
        <v>3.1</v>
      </c>
      <c r="DY260" s="1">
        <v>4.9000000000000004</v>
      </c>
      <c r="DZ260" s="1">
        <v>9</v>
      </c>
      <c r="EA260" s="1">
        <v>7.2</v>
      </c>
      <c r="EB260" s="1">
        <v>10.8</v>
      </c>
      <c r="EC260" s="1">
        <v>24</v>
      </c>
      <c r="ED260" s="1">
        <v>24</v>
      </c>
      <c r="EE260" s="1">
        <v>24</v>
      </c>
      <c r="EF260" s="1">
        <v>7.4</v>
      </c>
      <c r="EG260" s="1">
        <v>4.6000000000000014</v>
      </c>
      <c r="EH260" s="1">
        <v>10.199999999999999</v>
      </c>
      <c r="EL260" s="1">
        <v>160</v>
      </c>
      <c r="EM260" s="1">
        <v>144</v>
      </c>
      <c r="EN260" s="1">
        <v>176</v>
      </c>
      <c r="EO260" s="11"/>
      <c r="EP260" s="11"/>
      <c r="EQ260" s="11"/>
      <c r="ER260" s="1">
        <v>160</v>
      </c>
      <c r="ES260" s="1">
        <v>144</v>
      </c>
      <c r="ET260" s="1">
        <v>176</v>
      </c>
      <c r="EU260" s="1">
        <v>25.656565656565654</v>
      </c>
      <c r="EV260" s="19">
        <v>23.131313131313131</v>
      </c>
      <c r="EW260" s="19">
        <v>28.18181818181818</v>
      </c>
      <c r="EX260" s="19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>
        <v>38.383838383838388</v>
      </c>
      <c r="FK260" s="8">
        <v>34.545454545454547</v>
      </c>
      <c r="FL260" s="1">
        <v>42.222222222222221</v>
      </c>
      <c r="FO260" s="1">
        <v>67</v>
      </c>
      <c r="FP260" s="1">
        <v>67</v>
      </c>
      <c r="FQ260" s="1">
        <v>67</v>
      </c>
      <c r="FR260" s="13" t="s">
        <v>806</v>
      </c>
      <c r="FS260" s="13" t="s">
        <v>806</v>
      </c>
      <c r="FT260" s="13" t="s">
        <v>806</v>
      </c>
      <c r="FU260" s="13"/>
      <c r="FV260" s="13" t="s">
        <v>806</v>
      </c>
      <c r="FW260" s="13" t="s">
        <v>806</v>
      </c>
      <c r="FX260" s="13" t="s">
        <v>806</v>
      </c>
      <c r="FY260" s="13" t="s">
        <v>806</v>
      </c>
      <c r="FZ260" s="13" t="s">
        <v>806</v>
      </c>
      <c r="GA260" s="13" t="s">
        <v>806</v>
      </c>
      <c r="GB260" s="13" t="s">
        <v>806</v>
      </c>
      <c r="GE260" s="13" t="s">
        <v>806</v>
      </c>
      <c r="GF260" s="13" t="s">
        <v>806</v>
      </c>
      <c r="GH260" s="13" t="s">
        <v>806</v>
      </c>
    </row>
    <row r="261" spans="1:190" ht="12.75" customHeight="1" x14ac:dyDescent="0.25">
      <c r="A261" s="1" t="s">
        <v>138</v>
      </c>
      <c r="B261" s="1" t="s">
        <v>743</v>
      </c>
      <c r="C261" s="1" t="s">
        <v>804</v>
      </c>
      <c r="D261" s="1" t="s">
        <v>678</v>
      </c>
      <c r="E261" s="1" t="s">
        <v>139</v>
      </c>
      <c r="F261" s="1">
        <v>0</v>
      </c>
      <c r="G261" s="1">
        <v>2030</v>
      </c>
      <c r="H261" s="1">
        <v>1</v>
      </c>
      <c r="I261" s="1">
        <v>0</v>
      </c>
      <c r="J261" s="1">
        <v>0</v>
      </c>
      <c r="K26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1907.0625</v>
      </c>
      <c r="M26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7754.4000000000005</v>
      </c>
      <c r="N261" s="19">
        <v>692.99999999999989</v>
      </c>
      <c r="O261" s="19">
        <v>0</v>
      </c>
      <c r="P261" s="19">
        <v>2326.3200000000002</v>
      </c>
      <c r="Q261" s="19">
        <v>0</v>
      </c>
      <c r="R261" s="19">
        <v>0</v>
      </c>
      <c r="S261" s="19">
        <v>0</v>
      </c>
      <c r="T261" s="19">
        <v>692.99999999999989</v>
      </c>
      <c r="U261" s="19">
        <v>0</v>
      </c>
      <c r="V261" s="19">
        <v>2326.3200000000002</v>
      </c>
      <c r="W261" s="19">
        <v>0</v>
      </c>
      <c r="X261" s="19">
        <v>0</v>
      </c>
      <c r="Y261" s="19">
        <v>0</v>
      </c>
      <c r="Z261" s="19">
        <v>692.99999999999989</v>
      </c>
      <c r="AA261" s="19">
        <v>0</v>
      </c>
      <c r="AB261" s="19">
        <v>2326.3200000000002</v>
      </c>
      <c r="AC261" s="19">
        <v>0</v>
      </c>
      <c r="AD261" s="19">
        <v>0</v>
      </c>
      <c r="AE261" s="19">
        <v>0</v>
      </c>
      <c r="AF261" s="19">
        <v>2000.2500000000002</v>
      </c>
      <c r="AG261" s="19">
        <v>92.070000000000007</v>
      </c>
      <c r="AH261" s="19">
        <v>5137.29</v>
      </c>
      <c r="AI261" s="19">
        <v>0</v>
      </c>
      <c r="AJ261" s="19">
        <v>0</v>
      </c>
      <c r="AK261" s="19">
        <v>0</v>
      </c>
      <c r="AL261" s="19">
        <v>2000.2500000000002</v>
      </c>
      <c r="AM261" s="19">
        <v>92.070000000000007</v>
      </c>
      <c r="AN261" s="19">
        <v>5137.29</v>
      </c>
      <c r="AO261" s="19">
        <v>0</v>
      </c>
      <c r="AP261" s="19">
        <v>0</v>
      </c>
      <c r="AQ261" s="19">
        <v>0</v>
      </c>
      <c r="AR261" s="19">
        <v>2000.2500000000002</v>
      </c>
      <c r="AS261" s="19">
        <v>92.070000000000007</v>
      </c>
      <c r="AT261" s="19">
        <v>5137.29</v>
      </c>
      <c r="AU261" s="19">
        <v>0</v>
      </c>
      <c r="AV261" s="19">
        <v>0</v>
      </c>
      <c r="AW261" s="19">
        <v>0</v>
      </c>
      <c r="AX261" s="19">
        <v>3027.9375</v>
      </c>
      <c r="AY261" s="19">
        <v>92.070000000000007</v>
      </c>
      <c r="AZ261" s="19">
        <v>7754.4000000000005</v>
      </c>
      <c r="BA261" s="19">
        <v>0</v>
      </c>
      <c r="BB261" s="19">
        <v>0</v>
      </c>
      <c r="BC261" s="19">
        <v>0</v>
      </c>
      <c r="BD261" s="19">
        <v>3027.9375</v>
      </c>
      <c r="BE261" s="19">
        <v>92.070000000000007</v>
      </c>
      <c r="BF261" s="19">
        <v>7754.4000000000005</v>
      </c>
      <c r="BG261" s="19">
        <v>0</v>
      </c>
      <c r="BH261" s="19">
        <v>0</v>
      </c>
      <c r="BI261" s="19">
        <v>0</v>
      </c>
      <c r="BJ261" s="19">
        <v>3027.9375</v>
      </c>
      <c r="BK261" s="19">
        <v>92.070000000000007</v>
      </c>
      <c r="BL261" s="19">
        <v>7754.4000000000005</v>
      </c>
      <c r="BM261" s="19">
        <v>0</v>
      </c>
      <c r="BN261" s="19">
        <v>0</v>
      </c>
      <c r="BO261" s="19">
        <v>0</v>
      </c>
      <c r="BP261" s="19"/>
      <c r="BQ26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1" s="11">
        <f>Tabelle5897112140[[#This Row],[Mindestauslastung min]]*Tabelle5897112140[[#This Row],[installierte Leistung MW min]]</f>
        <v>460.35</v>
      </c>
      <c r="BU261" s="11">
        <f>Tabelle5897112140[[#This Row],[Mindestauslastung durch]]*Tabelle5897112140[[#This Row],[installierte Leistung MW durch]]</f>
        <v>472.5</v>
      </c>
      <c r="BV261" s="11">
        <f>Tabelle5897112140[[#This Row],[Mindestauslastung max]]*Tabelle5897112140[[#This Row],[installierte Leistung MW max]]</f>
        <v>484.65000000000003</v>
      </c>
      <c r="BW261" s="9">
        <v>0.05</v>
      </c>
      <c r="BX261" s="9">
        <v>0.05</v>
      </c>
      <c r="BY261" s="9">
        <v>0.05</v>
      </c>
      <c r="BZ261" s="9"/>
      <c r="CA261" s="9">
        <v>7.3333333333333334E-2</v>
      </c>
      <c r="CB261" s="9">
        <v>0</v>
      </c>
      <c r="CC261" s="9">
        <v>0.24</v>
      </c>
      <c r="CD261" s="9">
        <v>7.3333333333333334E-2</v>
      </c>
      <c r="CE261" s="9">
        <v>0</v>
      </c>
      <c r="CF261" s="9">
        <v>0.24</v>
      </c>
      <c r="CG261" s="9">
        <v>7.3333333333333334E-2</v>
      </c>
      <c r="CH261" s="9">
        <v>0</v>
      </c>
      <c r="CI261" s="9">
        <v>0.24</v>
      </c>
      <c r="CJ261" s="9">
        <v>0.2116666666666667</v>
      </c>
      <c r="CK261" s="9">
        <v>0.01</v>
      </c>
      <c r="CL261" s="9">
        <v>0.53</v>
      </c>
      <c r="CM261" s="9">
        <v>0.2116666666666667</v>
      </c>
      <c r="CN261" s="9">
        <v>0.01</v>
      </c>
      <c r="CO261" s="9">
        <v>0.53</v>
      </c>
      <c r="CP261" s="9">
        <v>0.2116666666666667</v>
      </c>
      <c r="CQ261" s="9">
        <v>0.01</v>
      </c>
      <c r="CR261" s="9">
        <v>0.53</v>
      </c>
      <c r="CS261" s="9">
        <v>0.32041666666666663</v>
      </c>
      <c r="CT261" s="9">
        <v>0.01</v>
      </c>
      <c r="CU261" s="9">
        <v>0.8</v>
      </c>
      <c r="CV261" s="9">
        <v>0.32041666666666663</v>
      </c>
      <c r="CW261" s="9">
        <v>0.01</v>
      </c>
      <c r="CX261" s="9">
        <v>0.8</v>
      </c>
      <c r="CY261" s="9">
        <v>0.32041666666666663</v>
      </c>
      <c r="CZ261" s="9">
        <v>0.01</v>
      </c>
      <c r="DA261" s="9">
        <v>0.8</v>
      </c>
      <c r="DB261" s="9">
        <f>MIN(Tabelle5897112140[[#This Row],[Durchschnittsauslastung durch Sommer WTT]:[Durchschnittsauslastung max Winter SFN]])</f>
        <v>0</v>
      </c>
      <c r="DC26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1" s="9">
        <f>MAX(Tabelle5897112140[[#This Row],[Durchschnittsauslastung durch Sommer WTT]:[Durchschnittsauslastung max Winter SFN]])</f>
        <v>0.8</v>
      </c>
      <c r="DE261" s="40">
        <f>Tabelle5897112140[[#This Row],[Durchschnittsauslastung min]]*Tabelle5897112140[[#This Row],[installierte Leistung MW min]]</f>
        <v>0</v>
      </c>
      <c r="DF261" s="40">
        <f>Tabelle5897112140[[#This Row],[Durchschnittsauslastung durch]]*Tabelle5897112140[[#This Row],[installierte Leistung MW durch]]</f>
        <v>1907.0625</v>
      </c>
      <c r="DG261" s="40">
        <f>Tabelle5897112140[[#This Row],[Durchschnittsauslastung max]]*Tabelle5897112140[[#This Row],[installierte Leistung MW max]]</f>
        <v>7754.4000000000005</v>
      </c>
      <c r="DH261" s="46">
        <f>Tabelle5897112140[[#This Row],[Maximalauslastung min]]*Tabelle5897112140[[#This Row],[installierte Leistung MW min]]</f>
        <v>4235.22</v>
      </c>
      <c r="DI261" s="46">
        <f>Tabelle5897112140[[#This Row],[Maximalauslastung durch]]*Tabelle5897112140[[#This Row],[installierte Leistung MW durch]]</f>
        <v>4819.5</v>
      </c>
      <c r="DJ261" s="19">
        <f>Tabelle5897112140[[#This Row],[Maximalauslastung max]]*Tabelle5897112140[[#This Row],[installierte Leistung MW durch]]</f>
        <v>5292.0000000000009</v>
      </c>
      <c r="DK261" s="9">
        <v>0.46</v>
      </c>
      <c r="DL261" s="9">
        <v>0.51</v>
      </c>
      <c r="DM261" s="9">
        <v>0.56000000000000005</v>
      </c>
      <c r="DN261" s="1">
        <v>9450</v>
      </c>
      <c r="DO261" s="1">
        <v>9207</v>
      </c>
      <c r="DP261" s="1">
        <v>9693</v>
      </c>
      <c r="DQ261" s="19"/>
      <c r="DR261" s="19"/>
      <c r="DW261" s="1">
        <v>4</v>
      </c>
      <c r="DX261" s="1">
        <v>3.1</v>
      </c>
      <c r="DY261" s="1">
        <v>4.9000000000000004</v>
      </c>
      <c r="DZ261" s="1">
        <v>9</v>
      </c>
      <c r="EA261" s="1">
        <v>7.2</v>
      </c>
      <c r="EB261" s="1">
        <v>10.8</v>
      </c>
      <c r="EC261" s="1">
        <v>24</v>
      </c>
      <c r="ED261" s="1">
        <v>24</v>
      </c>
      <c r="EE261" s="1">
        <v>24</v>
      </c>
      <c r="EF261" s="1">
        <v>7.4</v>
      </c>
      <c r="EG261" s="1">
        <v>4.6000000000000014</v>
      </c>
      <c r="EH261" s="1">
        <v>10.199999999999999</v>
      </c>
      <c r="EL261" s="1">
        <v>160</v>
      </c>
      <c r="EM261" s="1">
        <v>144</v>
      </c>
      <c r="EN261" s="1">
        <v>176</v>
      </c>
      <c r="EO261" s="11"/>
      <c r="EP261" s="11"/>
      <c r="EQ261" s="11"/>
      <c r="ER261" s="1">
        <v>160</v>
      </c>
      <c r="ES261" s="1">
        <v>144</v>
      </c>
      <c r="ET261" s="1">
        <v>176</v>
      </c>
      <c r="EU261" s="1">
        <v>25.656565656565654</v>
      </c>
      <c r="EV261" s="19">
        <v>23.131313131313131</v>
      </c>
      <c r="EW261" s="19">
        <v>28.18181818181818</v>
      </c>
      <c r="EX261" s="19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>
        <v>38.383838383838388</v>
      </c>
      <c r="FK261" s="8">
        <v>34.545454545454547</v>
      </c>
      <c r="FL261" s="1">
        <v>42.222222222222221</v>
      </c>
      <c r="FO261" s="1">
        <v>67</v>
      </c>
      <c r="FP261" s="1">
        <v>67</v>
      </c>
      <c r="FQ261" s="1">
        <v>67</v>
      </c>
      <c r="FR261" s="13" t="s">
        <v>806</v>
      </c>
      <c r="FS261" s="13" t="s">
        <v>806</v>
      </c>
      <c r="FT261" s="13" t="s">
        <v>806</v>
      </c>
      <c r="FU261" s="13"/>
      <c r="FV261" s="13" t="s">
        <v>806</v>
      </c>
      <c r="FW261" s="13" t="s">
        <v>806</v>
      </c>
      <c r="FX261" s="13" t="s">
        <v>806</v>
      </c>
      <c r="FY261" s="13" t="s">
        <v>806</v>
      </c>
      <c r="FZ261" s="13" t="s">
        <v>806</v>
      </c>
      <c r="GA261" s="13" t="s">
        <v>806</v>
      </c>
      <c r="GB261" s="13" t="s">
        <v>806</v>
      </c>
      <c r="GE261" s="13" t="s">
        <v>806</v>
      </c>
      <c r="GF261" s="13" t="s">
        <v>806</v>
      </c>
      <c r="GH261" s="13" t="s">
        <v>806</v>
      </c>
    </row>
    <row r="262" spans="1:190" ht="12.75" customHeight="1" x14ac:dyDescent="0.25">
      <c r="A262" s="1" t="s">
        <v>138</v>
      </c>
      <c r="B262" s="1" t="s">
        <v>743</v>
      </c>
      <c r="C262" s="1" t="s">
        <v>804</v>
      </c>
      <c r="D262" s="1" t="s">
        <v>678</v>
      </c>
      <c r="E262" s="1" t="s">
        <v>139</v>
      </c>
      <c r="F262" s="1">
        <v>0</v>
      </c>
      <c r="G262" s="1">
        <v>2035</v>
      </c>
      <c r="H262" s="1">
        <v>1</v>
      </c>
      <c r="I262" s="1">
        <v>0</v>
      </c>
      <c r="J262" s="1">
        <v>0</v>
      </c>
      <c r="K26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1130.1111111111111</v>
      </c>
      <c r="M26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4595.2</v>
      </c>
      <c r="N262" s="19">
        <v>410.66666666666657</v>
      </c>
      <c r="O262" s="19">
        <v>0</v>
      </c>
      <c r="P262" s="19">
        <v>1378.56</v>
      </c>
      <c r="Q262" s="19">
        <v>0</v>
      </c>
      <c r="R262" s="19">
        <v>0</v>
      </c>
      <c r="S262" s="19">
        <v>0</v>
      </c>
      <c r="T262" s="19">
        <v>410.66666666666657</v>
      </c>
      <c r="U262" s="19">
        <v>0</v>
      </c>
      <c r="V262" s="19">
        <v>1378.56</v>
      </c>
      <c r="W262" s="19">
        <v>0</v>
      </c>
      <c r="X262" s="19">
        <v>0</v>
      </c>
      <c r="Y262" s="19">
        <v>0</v>
      </c>
      <c r="Z262" s="19">
        <v>410.66666666666657</v>
      </c>
      <c r="AA262" s="19">
        <v>0</v>
      </c>
      <c r="AB262" s="19">
        <v>1378.56</v>
      </c>
      <c r="AC262" s="19">
        <v>0</v>
      </c>
      <c r="AD262" s="19">
        <v>0</v>
      </c>
      <c r="AE262" s="19">
        <v>0</v>
      </c>
      <c r="AF262" s="19">
        <v>1185.3333333333335</v>
      </c>
      <c r="AG262" s="19">
        <v>54.56</v>
      </c>
      <c r="AH262" s="19">
        <v>3044.32</v>
      </c>
      <c r="AI262" s="19">
        <v>0</v>
      </c>
      <c r="AJ262" s="19">
        <v>0</v>
      </c>
      <c r="AK262" s="19">
        <v>0</v>
      </c>
      <c r="AL262" s="19">
        <v>1185.3333333333335</v>
      </c>
      <c r="AM262" s="19">
        <v>54.56</v>
      </c>
      <c r="AN262" s="19">
        <v>3044.32</v>
      </c>
      <c r="AO262" s="19">
        <v>0</v>
      </c>
      <c r="AP262" s="19">
        <v>0</v>
      </c>
      <c r="AQ262" s="19">
        <v>0</v>
      </c>
      <c r="AR262" s="19">
        <v>1185.3333333333335</v>
      </c>
      <c r="AS262" s="19">
        <v>54.56</v>
      </c>
      <c r="AT262" s="19">
        <v>3044.32</v>
      </c>
      <c r="AU262" s="19">
        <v>0</v>
      </c>
      <c r="AV262" s="19">
        <v>0</v>
      </c>
      <c r="AW262" s="19">
        <v>0</v>
      </c>
      <c r="AX262" s="19">
        <v>1794.3333333333333</v>
      </c>
      <c r="AY262" s="19">
        <v>54.56</v>
      </c>
      <c r="AZ262" s="19">
        <v>4595.2</v>
      </c>
      <c r="BA262" s="19">
        <v>0</v>
      </c>
      <c r="BB262" s="19">
        <v>0</v>
      </c>
      <c r="BC262" s="19">
        <v>0</v>
      </c>
      <c r="BD262" s="19">
        <v>1794.3333333333333</v>
      </c>
      <c r="BE262" s="19">
        <v>54.56</v>
      </c>
      <c r="BF262" s="19">
        <v>4595.2</v>
      </c>
      <c r="BG262" s="19">
        <v>0</v>
      </c>
      <c r="BH262" s="19">
        <v>0</v>
      </c>
      <c r="BI262" s="19">
        <v>0</v>
      </c>
      <c r="BJ262" s="19">
        <v>1794.3333333333333</v>
      </c>
      <c r="BK262" s="19">
        <v>54.56</v>
      </c>
      <c r="BL262" s="19">
        <v>4595.2</v>
      </c>
      <c r="BM262" s="19">
        <v>0</v>
      </c>
      <c r="BN262" s="19">
        <v>0</v>
      </c>
      <c r="BO262" s="19">
        <v>0</v>
      </c>
      <c r="BP262" s="19"/>
      <c r="BQ26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2" s="11">
        <f>Tabelle5897112140[[#This Row],[Mindestauslastung min]]*Tabelle5897112140[[#This Row],[installierte Leistung MW min]]</f>
        <v>272.8</v>
      </c>
      <c r="BU262" s="11">
        <f>Tabelle5897112140[[#This Row],[Mindestauslastung durch]]*Tabelle5897112140[[#This Row],[installierte Leistung MW durch]]</f>
        <v>280</v>
      </c>
      <c r="BV262" s="11">
        <f>Tabelle5897112140[[#This Row],[Mindestauslastung max]]*Tabelle5897112140[[#This Row],[installierte Leistung MW max]]</f>
        <v>287.2</v>
      </c>
      <c r="BW262" s="9">
        <v>0.05</v>
      </c>
      <c r="BX262" s="9">
        <v>0.05</v>
      </c>
      <c r="BY262" s="9">
        <v>0.05</v>
      </c>
      <c r="BZ262" s="9"/>
      <c r="CA262" s="9">
        <v>7.3333333333333334E-2</v>
      </c>
      <c r="CB262" s="9">
        <v>0</v>
      </c>
      <c r="CC262" s="9">
        <v>0.24</v>
      </c>
      <c r="CD262" s="9">
        <v>7.3333333333333334E-2</v>
      </c>
      <c r="CE262" s="9">
        <v>0</v>
      </c>
      <c r="CF262" s="9">
        <v>0.24</v>
      </c>
      <c r="CG262" s="9">
        <v>7.3333333333333334E-2</v>
      </c>
      <c r="CH262" s="9">
        <v>0</v>
      </c>
      <c r="CI262" s="9">
        <v>0.24</v>
      </c>
      <c r="CJ262" s="9">
        <v>0.2116666666666667</v>
      </c>
      <c r="CK262" s="9">
        <v>0.01</v>
      </c>
      <c r="CL262" s="9">
        <v>0.53</v>
      </c>
      <c r="CM262" s="9">
        <v>0.2116666666666667</v>
      </c>
      <c r="CN262" s="9">
        <v>0.01</v>
      </c>
      <c r="CO262" s="9">
        <v>0.53</v>
      </c>
      <c r="CP262" s="9">
        <v>0.2116666666666667</v>
      </c>
      <c r="CQ262" s="9">
        <v>0.01</v>
      </c>
      <c r="CR262" s="9">
        <v>0.53</v>
      </c>
      <c r="CS262" s="9">
        <v>0.32041666666666663</v>
      </c>
      <c r="CT262" s="9">
        <v>0.01</v>
      </c>
      <c r="CU262" s="9">
        <v>0.8</v>
      </c>
      <c r="CV262" s="9">
        <v>0.32041666666666663</v>
      </c>
      <c r="CW262" s="9">
        <v>0.01</v>
      </c>
      <c r="CX262" s="9">
        <v>0.8</v>
      </c>
      <c r="CY262" s="9">
        <v>0.32041666666666663</v>
      </c>
      <c r="CZ262" s="9">
        <v>0.01</v>
      </c>
      <c r="DA262" s="9">
        <v>0.8</v>
      </c>
      <c r="DB262" s="9">
        <f>MIN(Tabelle5897112140[[#This Row],[Durchschnittsauslastung durch Sommer WTT]:[Durchschnittsauslastung max Winter SFN]])</f>
        <v>0</v>
      </c>
      <c r="DC26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2" s="9">
        <f>MAX(Tabelle5897112140[[#This Row],[Durchschnittsauslastung durch Sommer WTT]:[Durchschnittsauslastung max Winter SFN]])</f>
        <v>0.8</v>
      </c>
      <c r="DE262" s="40">
        <f>Tabelle5897112140[[#This Row],[Durchschnittsauslastung min]]*Tabelle5897112140[[#This Row],[installierte Leistung MW min]]</f>
        <v>0</v>
      </c>
      <c r="DF262" s="40">
        <f>Tabelle5897112140[[#This Row],[Durchschnittsauslastung durch]]*Tabelle5897112140[[#This Row],[installierte Leistung MW durch]]</f>
        <v>1130.1111111111111</v>
      </c>
      <c r="DG262" s="40">
        <f>Tabelle5897112140[[#This Row],[Durchschnittsauslastung max]]*Tabelle5897112140[[#This Row],[installierte Leistung MW max]]</f>
        <v>4595.2</v>
      </c>
      <c r="DH262" s="46">
        <f>Tabelle5897112140[[#This Row],[Maximalauslastung min]]*Tabelle5897112140[[#This Row],[installierte Leistung MW min]]</f>
        <v>2509.7600000000002</v>
      </c>
      <c r="DI262" s="46">
        <f>Tabelle5897112140[[#This Row],[Maximalauslastung durch]]*Tabelle5897112140[[#This Row],[installierte Leistung MW durch]]</f>
        <v>2856</v>
      </c>
      <c r="DJ262" s="19">
        <f>Tabelle5897112140[[#This Row],[Maximalauslastung max]]*Tabelle5897112140[[#This Row],[installierte Leistung MW durch]]</f>
        <v>3136.0000000000005</v>
      </c>
      <c r="DK262" s="9">
        <v>0.46</v>
      </c>
      <c r="DL262" s="9">
        <v>0.51</v>
      </c>
      <c r="DM262" s="9">
        <v>0.56000000000000005</v>
      </c>
      <c r="DN262" s="1">
        <v>5600</v>
      </c>
      <c r="DO262" s="1">
        <v>5456</v>
      </c>
      <c r="DP262" s="1">
        <v>5744</v>
      </c>
      <c r="DQ262" s="19"/>
      <c r="DR262" s="19"/>
      <c r="DW262" s="1">
        <v>4</v>
      </c>
      <c r="DX262" s="1">
        <v>3.1</v>
      </c>
      <c r="DY262" s="1">
        <v>4.9000000000000004</v>
      </c>
      <c r="DZ262" s="1">
        <v>9</v>
      </c>
      <c r="EA262" s="1">
        <v>7.2</v>
      </c>
      <c r="EB262" s="1">
        <v>10.8</v>
      </c>
      <c r="EC262" s="1">
        <v>24</v>
      </c>
      <c r="ED262" s="1">
        <v>24</v>
      </c>
      <c r="EE262" s="1">
        <v>24</v>
      </c>
      <c r="EF262" s="1">
        <v>7.4</v>
      </c>
      <c r="EG262" s="1">
        <v>4.6000000000000014</v>
      </c>
      <c r="EH262" s="1">
        <v>10.199999999999999</v>
      </c>
      <c r="EL262" s="1">
        <v>160</v>
      </c>
      <c r="EM262" s="1">
        <v>144</v>
      </c>
      <c r="EN262" s="1">
        <v>176</v>
      </c>
      <c r="EO262" s="11"/>
      <c r="EP262" s="11"/>
      <c r="EQ262" s="11"/>
      <c r="ER262" s="1">
        <v>160</v>
      </c>
      <c r="ES262" s="1">
        <v>144</v>
      </c>
      <c r="ET262" s="1">
        <v>176</v>
      </c>
      <c r="EU262" s="1">
        <v>25.656565656565654</v>
      </c>
      <c r="EV262" s="19">
        <v>23.131313131313131</v>
      </c>
      <c r="EW262" s="19">
        <v>28.18181818181818</v>
      </c>
      <c r="EX262" s="19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>
        <v>38.383838383838388</v>
      </c>
      <c r="FK262" s="8">
        <v>34.545454545454547</v>
      </c>
      <c r="FL262" s="1">
        <v>42.222222222222221</v>
      </c>
      <c r="FO262" s="1">
        <v>67</v>
      </c>
      <c r="FP262" s="1">
        <v>67</v>
      </c>
      <c r="FQ262" s="1">
        <v>67</v>
      </c>
      <c r="FR262" s="13" t="s">
        <v>806</v>
      </c>
      <c r="FS262" s="13" t="s">
        <v>806</v>
      </c>
      <c r="FT262" s="13" t="s">
        <v>806</v>
      </c>
      <c r="FU262" s="13"/>
      <c r="FV262" s="13" t="s">
        <v>806</v>
      </c>
      <c r="FW262" s="13" t="s">
        <v>806</v>
      </c>
      <c r="FX262" s="13" t="s">
        <v>806</v>
      </c>
      <c r="FY262" s="13" t="s">
        <v>806</v>
      </c>
      <c r="FZ262" s="13" t="s">
        <v>806</v>
      </c>
      <c r="GA262" s="13" t="s">
        <v>806</v>
      </c>
      <c r="GB262" s="13" t="s">
        <v>806</v>
      </c>
      <c r="GE262" s="13" t="s">
        <v>806</v>
      </c>
      <c r="GF262" s="13" t="s">
        <v>806</v>
      </c>
      <c r="GH262" s="13" t="s">
        <v>806</v>
      </c>
    </row>
    <row r="263" spans="1:190" ht="12.75" customHeight="1" x14ac:dyDescent="0.25">
      <c r="A263" s="1" t="s">
        <v>138</v>
      </c>
      <c r="B263" s="1" t="s">
        <v>743</v>
      </c>
      <c r="C263" s="1" t="s">
        <v>804</v>
      </c>
      <c r="D263" s="1" t="s">
        <v>678</v>
      </c>
      <c r="E263" s="1" t="s">
        <v>139</v>
      </c>
      <c r="F263" s="1">
        <v>0</v>
      </c>
      <c r="G263" s="1">
        <v>2040</v>
      </c>
      <c r="H263" s="1">
        <v>1</v>
      </c>
      <c r="I263" s="1">
        <v>0</v>
      </c>
      <c r="J263" s="1">
        <v>0</v>
      </c>
      <c r="K26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671.00347222222217</v>
      </c>
      <c r="M26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2728.4</v>
      </c>
      <c r="N263" s="19">
        <v>243.83333333333329</v>
      </c>
      <c r="O263" s="19">
        <v>0</v>
      </c>
      <c r="P263" s="19">
        <v>818.52</v>
      </c>
      <c r="Q263" s="19">
        <v>0</v>
      </c>
      <c r="R263" s="19">
        <v>0</v>
      </c>
      <c r="S263" s="19">
        <v>0</v>
      </c>
      <c r="T263" s="19">
        <v>243.83333333333329</v>
      </c>
      <c r="U263" s="19">
        <v>0</v>
      </c>
      <c r="V263" s="19">
        <v>818.52</v>
      </c>
      <c r="W263" s="19">
        <v>0</v>
      </c>
      <c r="X263" s="19">
        <v>0</v>
      </c>
      <c r="Y263" s="19">
        <v>0</v>
      </c>
      <c r="Z263" s="19">
        <v>243.83333333333329</v>
      </c>
      <c r="AA263" s="19">
        <v>0</v>
      </c>
      <c r="AB263" s="19">
        <v>818.52</v>
      </c>
      <c r="AC263" s="19">
        <v>0</v>
      </c>
      <c r="AD263" s="19">
        <v>0</v>
      </c>
      <c r="AE263" s="19">
        <v>0</v>
      </c>
      <c r="AF263" s="19">
        <v>703.79166666666674</v>
      </c>
      <c r="AG263" s="19">
        <v>32.395000000000003</v>
      </c>
      <c r="AH263" s="19">
        <v>1807.5650000000001</v>
      </c>
      <c r="AI263" s="19">
        <v>0</v>
      </c>
      <c r="AJ263" s="19">
        <v>0</v>
      </c>
      <c r="AK263" s="19">
        <v>0</v>
      </c>
      <c r="AL263" s="19">
        <v>703.79166666666674</v>
      </c>
      <c r="AM263" s="19">
        <v>32.395000000000003</v>
      </c>
      <c r="AN263" s="19">
        <v>1807.5650000000001</v>
      </c>
      <c r="AO263" s="19">
        <v>0</v>
      </c>
      <c r="AP263" s="19">
        <v>0</v>
      </c>
      <c r="AQ263" s="19">
        <v>0</v>
      </c>
      <c r="AR263" s="19">
        <v>703.79166666666674</v>
      </c>
      <c r="AS263" s="19">
        <v>32.395000000000003</v>
      </c>
      <c r="AT263" s="19">
        <v>1807.5650000000001</v>
      </c>
      <c r="AU263" s="19">
        <v>0</v>
      </c>
      <c r="AV263" s="19">
        <v>0</v>
      </c>
      <c r="AW263" s="19">
        <v>0</v>
      </c>
      <c r="AX263" s="19">
        <v>1065.3854166666665</v>
      </c>
      <c r="AY263" s="19">
        <v>32.395000000000003</v>
      </c>
      <c r="AZ263" s="19">
        <v>2728.4</v>
      </c>
      <c r="BA263" s="19">
        <v>0</v>
      </c>
      <c r="BB263" s="19">
        <v>0</v>
      </c>
      <c r="BC263" s="19">
        <v>0</v>
      </c>
      <c r="BD263" s="19">
        <v>1065.3854166666665</v>
      </c>
      <c r="BE263" s="19">
        <v>32.395000000000003</v>
      </c>
      <c r="BF263" s="19">
        <v>2728.4</v>
      </c>
      <c r="BG263" s="19">
        <v>0</v>
      </c>
      <c r="BH263" s="19">
        <v>0</v>
      </c>
      <c r="BI263" s="19">
        <v>0</v>
      </c>
      <c r="BJ263" s="19">
        <v>1065.3854166666665</v>
      </c>
      <c r="BK263" s="19">
        <v>32.395000000000003</v>
      </c>
      <c r="BL263" s="19">
        <v>2728.4</v>
      </c>
      <c r="BM263" s="19">
        <v>0</v>
      </c>
      <c r="BN263" s="19">
        <v>0</v>
      </c>
      <c r="BO263" s="19">
        <v>0</v>
      </c>
      <c r="BP263" s="19"/>
      <c r="BQ26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3" s="11">
        <f>Tabelle5897112140[[#This Row],[Mindestauslastung min]]*Tabelle5897112140[[#This Row],[installierte Leistung MW min]]</f>
        <v>161.97500000000002</v>
      </c>
      <c r="BU263" s="11">
        <f>Tabelle5897112140[[#This Row],[Mindestauslastung durch]]*Tabelle5897112140[[#This Row],[installierte Leistung MW durch]]</f>
        <v>166.25</v>
      </c>
      <c r="BV263" s="11">
        <f>Tabelle5897112140[[#This Row],[Mindestauslastung max]]*Tabelle5897112140[[#This Row],[installierte Leistung MW max]]</f>
        <v>170.52500000000001</v>
      </c>
      <c r="BW263" s="9">
        <v>0.05</v>
      </c>
      <c r="BX263" s="9">
        <v>0.05</v>
      </c>
      <c r="BY263" s="9">
        <v>0.05</v>
      </c>
      <c r="BZ263" s="9"/>
      <c r="CA263" s="9">
        <v>7.3333333333333334E-2</v>
      </c>
      <c r="CB263" s="9">
        <v>0</v>
      </c>
      <c r="CC263" s="9">
        <v>0.24</v>
      </c>
      <c r="CD263" s="9">
        <v>7.3333333333333334E-2</v>
      </c>
      <c r="CE263" s="9">
        <v>0</v>
      </c>
      <c r="CF263" s="9">
        <v>0.24</v>
      </c>
      <c r="CG263" s="9">
        <v>7.3333333333333334E-2</v>
      </c>
      <c r="CH263" s="9">
        <v>0</v>
      </c>
      <c r="CI263" s="9">
        <v>0.24</v>
      </c>
      <c r="CJ263" s="9">
        <v>0.2116666666666667</v>
      </c>
      <c r="CK263" s="9">
        <v>0.01</v>
      </c>
      <c r="CL263" s="9">
        <v>0.53</v>
      </c>
      <c r="CM263" s="9">
        <v>0.2116666666666667</v>
      </c>
      <c r="CN263" s="9">
        <v>0.01</v>
      </c>
      <c r="CO263" s="9">
        <v>0.53</v>
      </c>
      <c r="CP263" s="9">
        <v>0.2116666666666667</v>
      </c>
      <c r="CQ263" s="9">
        <v>0.01</v>
      </c>
      <c r="CR263" s="9">
        <v>0.53</v>
      </c>
      <c r="CS263" s="9">
        <v>0.32041666666666663</v>
      </c>
      <c r="CT263" s="9">
        <v>0.01</v>
      </c>
      <c r="CU263" s="9">
        <v>0.8</v>
      </c>
      <c r="CV263" s="9">
        <v>0.32041666666666663</v>
      </c>
      <c r="CW263" s="9">
        <v>0.01</v>
      </c>
      <c r="CX263" s="9">
        <v>0.8</v>
      </c>
      <c r="CY263" s="9">
        <v>0.32041666666666663</v>
      </c>
      <c r="CZ263" s="9">
        <v>0.01</v>
      </c>
      <c r="DA263" s="9">
        <v>0.8</v>
      </c>
      <c r="DB263" s="9">
        <f>MIN(Tabelle5897112140[[#This Row],[Durchschnittsauslastung durch Sommer WTT]:[Durchschnittsauslastung max Winter SFN]])</f>
        <v>0</v>
      </c>
      <c r="DC26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3" s="9">
        <f>MAX(Tabelle5897112140[[#This Row],[Durchschnittsauslastung durch Sommer WTT]:[Durchschnittsauslastung max Winter SFN]])</f>
        <v>0.8</v>
      </c>
      <c r="DE263" s="40">
        <f>Tabelle5897112140[[#This Row],[Durchschnittsauslastung min]]*Tabelle5897112140[[#This Row],[installierte Leistung MW min]]</f>
        <v>0</v>
      </c>
      <c r="DF263" s="40">
        <f>Tabelle5897112140[[#This Row],[Durchschnittsauslastung durch]]*Tabelle5897112140[[#This Row],[installierte Leistung MW durch]]</f>
        <v>671.00347222222217</v>
      </c>
      <c r="DG263" s="40">
        <f>Tabelle5897112140[[#This Row],[Durchschnittsauslastung max]]*Tabelle5897112140[[#This Row],[installierte Leistung MW max]]</f>
        <v>2728.4</v>
      </c>
      <c r="DH263" s="46">
        <f>Tabelle5897112140[[#This Row],[Maximalauslastung min]]*Tabelle5897112140[[#This Row],[installierte Leistung MW min]]</f>
        <v>1490.17</v>
      </c>
      <c r="DI263" s="46">
        <f>Tabelle5897112140[[#This Row],[Maximalauslastung durch]]*Tabelle5897112140[[#This Row],[installierte Leistung MW durch]]</f>
        <v>1695.75</v>
      </c>
      <c r="DJ263" s="19">
        <f>Tabelle5897112140[[#This Row],[Maximalauslastung max]]*Tabelle5897112140[[#This Row],[installierte Leistung MW durch]]</f>
        <v>1862.0000000000002</v>
      </c>
      <c r="DK263" s="9">
        <v>0.46</v>
      </c>
      <c r="DL263" s="9">
        <v>0.51</v>
      </c>
      <c r="DM263" s="9">
        <v>0.56000000000000005</v>
      </c>
      <c r="DN263" s="1">
        <v>3325</v>
      </c>
      <c r="DO263" s="1">
        <v>3239.5</v>
      </c>
      <c r="DP263" s="1">
        <v>3410.5</v>
      </c>
      <c r="DQ263" s="19"/>
      <c r="DR263" s="19"/>
      <c r="DW263" s="1">
        <v>4</v>
      </c>
      <c r="DX263" s="1">
        <v>3.1</v>
      </c>
      <c r="DY263" s="1">
        <v>4.9000000000000004</v>
      </c>
      <c r="DZ263" s="1">
        <v>9</v>
      </c>
      <c r="EA263" s="1">
        <v>7.2</v>
      </c>
      <c r="EB263" s="1">
        <v>10.8</v>
      </c>
      <c r="EC263" s="1">
        <v>24</v>
      </c>
      <c r="ED263" s="1">
        <v>24</v>
      </c>
      <c r="EE263" s="1">
        <v>24</v>
      </c>
      <c r="EF263" s="1">
        <v>7.4</v>
      </c>
      <c r="EG263" s="1">
        <v>4.6000000000000014</v>
      </c>
      <c r="EH263" s="1">
        <v>10.199999999999999</v>
      </c>
      <c r="EL263" s="1">
        <v>160</v>
      </c>
      <c r="EM263" s="1">
        <v>144</v>
      </c>
      <c r="EN263" s="1">
        <v>176</v>
      </c>
      <c r="EO263" s="11"/>
      <c r="EP263" s="11"/>
      <c r="EQ263" s="11"/>
      <c r="ER263" s="1">
        <v>160</v>
      </c>
      <c r="ES263" s="1">
        <v>144</v>
      </c>
      <c r="ET263" s="1">
        <v>176</v>
      </c>
      <c r="EU263" s="1">
        <v>25.656565656565654</v>
      </c>
      <c r="EV263" s="19">
        <v>23.131313131313131</v>
      </c>
      <c r="EW263" s="19">
        <v>28.18181818181818</v>
      </c>
      <c r="EX263" s="19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>
        <v>38.383838383838388</v>
      </c>
      <c r="FK263" s="8">
        <v>34.545454545454547</v>
      </c>
      <c r="FL263" s="1">
        <v>42.222222222222221</v>
      </c>
      <c r="FO263" s="1">
        <v>67</v>
      </c>
      <c r="FP263" s="1">
        <v>67</v>
      </c>
      <c r="FQ263" s="1">
        <v>67</v>
      </c>
      <c r="FR263" s="13" t="s">
        <v>806</v>
      </c>
      <c r="FS263" s="13" t="s">
        <v>806</v>
      </c>
      <c r="FT263" s="13" t="s">
        <v>806</v>
      </c>
      <c r="FU263" s="13"/>
      <c r="FV263" s="13" t="s">
        <v>806</v>
      </c>
      <c r="FW263" s="13" t="s">
        <v>806</v>
      </c>
      <c r="FX263" s="13" t="s">
        <v>806</v>
      </c>
      <c r="FY263" s="13" t="s">
        <v>806</v>
      </c>
      <c r="FZ263" s="13" t="s">
        <v>806</v>
      </c>
      <c r="GA263" s="13" t="s">
        <v>806</v>
      </c>
      <c r="GB263" s="13" t="s">
        <v>806</v>
      </c>
      <c r="GE263" s="13" t="s">
        <v>806</v>
      </c>
      <c r="GF263" s="13" t="s">
        <v>806</v>
      </c>
      <c r="GH263" s="13" t="s">
        <v>806</v>
      </c>
    </row>
    <row r="264" spans="1:190" ht="12.75" customHeight="1" x14ac:dyDescent="0.25">
      <c r="A264" s="1" t="s">
        <v>138</v>
      </c>
      <c r="B264" s="1" t="s">
        <v>743</v>
      </c>
      <c r="C264" s="1" t="s">
        <v>804</v>
      </c>
      <c r="D264" s="1" t="s">
        <v>678</v>
      </c>
      <c r="E264" s="1" t="s">
        <v>139</v>
      </c>
      <c r="F264" s="1">
        <v>0</v>
      </c>
      <c r="G264" s="1">
        <v>2045</v>
      </c>
      <c r="H264" s="1">
        <v>1</v>
      </c>
      <c r="I264" s="1">
        <v>0</v>
      </c>
      <c r="J264" s="1">
        <v>0</v>
      </c>
      <c r="K26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388.47569444444434</v>
      </c>
      <c r="M26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1579.6</v>
      </c>
      <c r="N264" s="19">
        <v>141.16666666666663</v>
      </c>
      <c r="O264" s="19">
        <v>0</v>
      </c>
      <c r="P264" s="19">
        <v>473.88</v>
      </c>
      <c r="Q264" s="19">
        <v>0</v>
      </c>
      <c r="R264" s="19">
        <v>0</v>
      </c>
      <c r="S264" s="19">
        <v>0</v>
      </c>
      <c r="T264" s="19">
        <v>141.16666666666663</v>
      </c>
      <c r="U264" s="19">
        <v>0</v>
      </c>
      <c r="V264" s="19">
        <v>473.88</v>
      </c>
      <c r="W264" s="19">
        <v>0</v>
      </c>
      <c r="X264" s="19">
        <v>0</v>
      </c>
      <c r="Y264" s="19">
        <v>0</v>
      </c>
      <c r="Z264" s="19">
        <v>141.16666666666663</v>
      </c>
      <c r="AA264" s="19">
        <v>0</v>
      </c>
      <c r="AB264" s="19">
        <v>473.88</v>
      </c>
      <c r="AC264" s="19">
        <v>0</v>
      </c>
      <c r="AD264" s="19">
        <v>0</v>
      </c>
      <c r="AE264" s="19">
        <v>0</v>
      </c>
      <c r="AF264" s="19">
        <v>407.45833333333337</v>
      </c>
      <c r="AG264" s="19">
        <v>18.754999999999999</v>
      </c>
      <c r="AH264" s="19">
        <v>1046.4849999999999</v>
      </c>
      <c r="AI264" s="19">
        <v>0</v>
      </c>
      <c r="AJ264" s="19">
        <v>0</v>
      </c>
      <c r="AK264" s="19">
        <v>0</v>
      </c>
      <c r="AL264" s="19">
        <v>407.45833333333337</v>
      </c>
      <c r="AM264" s="19">
        <v>18.754999999999999</v>
      </c>
      <c r="AN264" s="19">
        <v>1046.4849999999999</v>
      </c>
      <c r="AO264" s="19">
        <v>0</v>
      </c>
      <c r="AP264" s="19">
        <v>0</v>
      </c>
      <c r="AQ264" s="19">
        <v>0</v>
      </c>
      <c r="AR264" s="19">
        <v>407.45833333333337</v>
      </c>
      <c r="AS264" s="19">
        <v>18.754999999999999</v>
      </c>
      <c r="AT264" s="19">
        <v>1046.4849999999999</v>
      </c>
      <c r="AU264" s="19">
        <v>0</v>
      </c>
      <c r="AV264" s="19">
        <v>0</v>
      </c>
      <c r="AW264" s="19">
        <v>0</v>
      </c>
      <c r="AX264" s="19">
        <v>616.80208333333326</v>
      </c>
      <c r="AY264" s="19">
        <v>18.754999999999999</v>
      </c>
      <c r="AZ264" s="19">
        <v>1579.6</v>
      </c>
      <c r="BA264" s="19">
        <v>0</v>
      </c>
      <c r="BB264" s="19">
        <v>0</v>
      </c>
      <c r="BC264" s="19">
        <v>0</v>
      </c>
      <c r="BD264" s="19">
        <v>616.80208333333326</v>
      </c>
      <c r="BE264" s="19">
        <v>18.754999999999999</v>
      </c>
      <c r="BF264" s="19">
        <v>1579.6</v>
      </c>
      <c r="BG264" s="19">
        <v>0</v>
      </c>
      <c r="BH264" s="19">
        <v>0</v>
      </c>
      <c r="BI264" s="19">
        <v>0</v>
      </c>
      <c r="BJ264" s="19">
        <v>616.80208333333326</v>
      </c>
      <c r="BK264" s="19">
        <v>18.754999999999999</v>
      </c>
      <c r="BL264" s="19">
        <v>1579.6</v>
      </c>
      <c r="BM264" s="19">
        <v>0</v>
      </c>
      <c r="BN264" s="19">
        <v>0</v>
      </c>
      <c r="BO264" s="19">
        <v>0</v>
      </c>
      <c r="BP264" s="19"/>
      <c r="BQ26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4" s="11">
        <f>Tabelle5897112140[[#This Row],[Mindestauslastung min]]*Tabelle5897112140[[#This Row],[installierte Leistung MW min]]</f>
        <v>93.775000000000006</v>
      </c>
      <c r="BU264" s="11">
        <f>Tabelle5897112140[[#This Row],[Mindestauslastung durch]]*Tabelle5897112140[[#This Row],[installierte Leistung MW durch]]</f>
        <v>96.25</v>
      </c>
      <c r="BV264" s="11">
        <f>Tabelle5897112140[[#This Row],[Mindestauslastung max]]*Tabelle5897112140[[#This Row],[installierte Leistung MW max]]</f>
        <v>98.725000000000009</v>
      </c>
      <c r="BW264" s="9">
        <v>0.05</v>
      </c>
      <c r="BX264" s="9">
        <v>0.05</v>
      </c>
      <c r="BY264" s="9">
        <v>0.05</v>
      </c>
      <c r="BZ264" s="9"/>
      <c r="CA264" s="9">
        <v>7.3333333333333334E-2</v>
      </c>
      <c r="CB264" s="9">
        <v>0</v>
      </c>
      <c r="CC264" s="9">
        <v>0.24</v>
      </c>
      <c r="CD264" s="9">
        <v>7.3333333333333334E-2</v>
      </c>
      <c r="CE264" s="9">
        <v>0</v>
      </c>
      <c r="CF264" s="9">
        <v>0.24</v>
      </c>
      <c r="CG264" s="9">
        <v>7.3333333333333334E-2</v>
      </c>
      <c r="CH264" s="9">
        <v>0</v>
      </c>
      <c r="CI264" s="9">
        <v>0.24</v>
      </c>
      <c r="CJ264" s="9">
        <v>0.2116666666666667</v>
      </c>
      <c r="CK264" s="9">
        <v>0.01</v>
      </c>
      <c r="CL264" s="9">
        <v>0.53</v>
      </c>
      <c r="CM264" s="9">
        <v>0.2116666666666667</v>
      </c>
      <c r="CN264" s="9">
        <v>0.01</v>
      </c>
      <c r="CO264" s="9">
        <v>0.53</v>
      </c>
      <c r="CP264" s="9">
        <v>0.2116666666666667</v>
      </c>
      <c r="CQ264" s="9">
        <v>0.01</v>
      </c>
      <c r="CR264" s="9">
        <v>0.53</v>
      </c>
      <c r="CS264" s="9">
        <v>0.32041666666666663</v>
      </c>
      <c r="CT264" s="9">
        <v>0.01</v>
      </c>
      <c r="CU264" s="9">
        <v>0.8</v>
      </c>
      <c r="CV264" s="9">
        <v>0.32041666666666663</v>
      </c>
      <c r="CW264" s="9">
        <v>0.01</v>
      </c>
      <c r="CX264" s="9">
        <v>0.8</v>
      </c>
      <c r="CY264" s="9">
        <v>0.32041666666666663</v>
      </c>
      <c r="CZ264" s="9">
        <v>0.01</v>
      </c>
      <c r="DA264" s="9">
        <v>0.8</v>
      </c>
      <c r="DB264" s="9">
        <f>MIN(Tabelle5897112140[[#This Row],[Durchschnittsauslastung durch Sommer WTT]:[Durchschnittsauslastung max Winter SFN]])</f>
        <v>0</v>
      </c>
      <c r="DC26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4" s="9">
        <f>MAX(Tabelle5897112140[[#This Row],[Durchschnittsauslastung durch Sommer WTT]:[Durchschnittsauslastung max Winter SFN]])</f>
        <v>0.8</v>
      </c>
      <c r="DE264" s="40">
        <f>Tabelle5897112140[[#This Row],[Durchschnittsauslastung min]]*Tabelle5897112140[[#This Row],[installierte Leistung MW min]]</f>
        <v>0</v>
      </c>
      <c r="DF264" s="40">
        <f>Tabelle5897112140[[#This Row],[Durchschnittsauslastung durch]]*Tabelle5897112140[[#This Row],[installierte Leistung MW durch]]</f>
        <v>388.4756944444444</v>
      </c>
      <c r="DG264" s="40">
        <f>Tabelle5897112140[[#This Row],[Durchschnittsauslastung max]]*Tabelle5897112140[[#This Row],[installierte Leistung MW max]]</f>
        <v>1579.6000000000001</v>
      </c>
      <c r="DH264" s="46">
        <f>Tabelle5897112140[[#This Row],[Maximalauslastung min]]*Tabelle5897112140[[#This Row],[installierte Leistung MW min]]</f>
        <v>862.73</v>
      </c>
      <c r="DI264" s="46">
        <f>Tabelle5897112140[[#This Row],[Maximalauslastung durch]]*Tabelle5897112140[[#This Row],[installierte Leistung MW durch]]</f>
        <v>981.75</v>
      </c>
      <c r="DJ264" s="19">
        <f>Tabelle5897112140[[#This Row],[Maximalauslastung max]]*Tabelle5897112140[[#This Row],[installierte Leistung MW durch]]</f>
        <v>1078</v>
      </c>
      <c r="DK264" s="9">
        <v>0.46</v>
      </c>
      <c r="DL264" s="9">
        <v>0.51</v>
      </c>
      <c r="DM264" s="9">
        <v>0.56000000000000005</v>
      </c>
      <c r="DN264" s="1">
        <v>1925</v>
      </c>
      <c r="DO264" s="1">
        <v>1875.5</v>
      </c>
      <c r="DP264" s="1">
        <v>1974.5</v>
      </c>
      <c r="DQ264" s="19"/>
      <c r="DR264" s="19"/>
      <c r="DW264" s="1">
        <v>4</v>
      </c>
      <c r="DX264" s="1">
        <v>3.1</v>
      </c>
      <c r="DY264" s="1">
        <v>4.9000000000000004</v>
      </c>
      <c r="DZ264" s="1">
        <v>9</v>
      </c>
      <c r="EA264" s="1">
        <v>7.2</v>
      </c>
      <c r="EB264" s="1">
        <v>10.8</v>
      </c>
      <c r="EC264" s="1">
        <v>24</v>
      </c>
      <c r="ED264" s="1">
        <v>24</v>
      </c>
      <c r="EE264" s="1">
        <v>24</v>
      </c>
      <c r="EF264" s="1">
        <v>7.4</v>
      </c>
      <c r="EG264" s="1">
        <v>4.6000000000000014</v>
      </c>
      <c r="EH264" s="1">
        <v>10.199999999999999</v>
      </c>
      <c r="EL264" s="1">
        <v>160</v>
      </c>
      <c r="EM264" s="1">
        <v>144</v>
      </c>
      <c r="EN264" s="1">
        <v>176</v>
      </c>
      <c r="EO264" s="11"/>
      <c r="EP264" s="11"/>
      <c r="EQ264" s="11"/>
      <c r="ER264" s="1">
        <v>160</v>
      </c>
      <c r="ES264" s="1">
        <v>144</v>
      </c>
      <c r="ET264" s="1">
        <v>176</v>
      </c>
      <c r="EU264" s="1">
        <v>25.656565656565654</v>
      </c>
      <c r="EV264" s="19">
        <v>23.131313131313131</v>
      </c>
      <c r="EW264" s="19">
        <v>28.18181818181818</v>
      </c>
      <c r="EX264" s="19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>
        <v>38.383838383838388</v>
      </c>
      <c r="FK264" s="8">
        <v>34.545454545454547</v>
      </c>
      <c r="FL264" s="1">
        <v>42.222222222222221</v>
      </c>
      <c r="FO264" s="1">
        <v>67</v>
      </c>
      <c r="FP264" s="1">
        <v>67</v>
      </c>
      <c r="FQ264" s="1">
        <v>67</v>
      </c>
      <c r="FR264" s="13" t="s">
        <v>806</v>
      </c>
      <c r="FS264" s="13" t="s">
        <v>806</v>
      </c>
      <c r="FT264" s="13" t="s">
        <v>806</v>
      </c>
      <c r="FU264" s="13"/>
      <c r="FV264" s="13" t="s">
        <v>806</v>
      </c>
      <c r="FW264" s="13" t="s">
        <v>806</v>
      </c>
      <c r="FX264" s="13" t="s">
        <v>806</v>
      </c>
      <c r="FY264" s="13" t="s">
        <v>806</v>
      </c>
      <c r="FZ264" s="13" t="s">
        <v>806</v>
      </c>
      <c r="GA264" s="13" t="s">
        <v>806</v>
      </c>
      <c r="GB264" s="13" t="s">
        <v>806</v>
      </c>
      <c r="GE264" s="13" t="s">
        <v>806</v>
      </c>
      <c r="GF264" s="13" t="s">
        <v>806</v>
      </c>
      <c r="GH264" s="13" t="s">
        <v>806</v>
      </c>
    </row>
    <row r="265" spans="1:190" ht="12.75" customHeight="1" x14ac:dyDescent="0.25">
      <c r="A265" s="1" t="s">
        <v>138</v>
      </c>
      <c r="B265" s="1" t="s">
        <v>743</v>
      </c>
      <c r="C265" s="1" t="s">
        <v>804</v>
      </c>
      <c r="D265" s="1" t="s">
        <v>678</v>
      </c>
      <c r="E265" s="1" t="s">
        <v>139</v>
      </c>
      <c r="F265" s="1">
        <v>0</v>
      </c>
      <c r="G265" s="1">
        <v>2050</v>
      </c>
      <c r="H265" s="1">
        <v>1</v>
      </c>
      <c r="I265" s="1">
        <v>0</v>
      </c>
      <c r="J265" s="1">
        <v>0</v>
      </c>
      <c r="K26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211.89583333333334</v>
      </c>
      <c r="M26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861.6</v>
      </c>
      <c r="N265" s="19">
        <v>76.999999999999986</v>
      </c>
      <c r="O265" s="19">
        <v>0</v>
      </c>
      <c r="P265" s="19">
        <v>258.48</v>
      </c>
      <c r="Q265" s="19">
        <v>0</v>
      </c>
      <c r="R265" s="19">
        <v>0</v>
      </c>
      <c r="S265" s="19">
        <v>0</v>
      </c>
      <c r="T265" s="19">
        <v>76.999999999999986</v>
      </c>
      <c r="U265" s="19">
        <v>0</v>
      </c>
      <c r="V265" s="19">
        <v>258.48</v>
      </c>
      <c r="W265" s="19">
        <v>0</v>
      </c>
      <c r="X265" s="19">
        <v>0</v>
      </c>
      <c r="Y265" s="19">
        <v>0</v>
      </c>
      <c r="Z265" s="19">
        <v>76.999999999999986</v>
      </c>
      <c r="AA265" s="19">
        <v>0</v>
      </c>
      <c r="AB265" s="19">
        <v>258.48</v>
      </c>
      <c r="AC265" s="19">
        <v>0</v>
      </c>
      <c r="AD265" s="19">
        <v>0</v>
      </c>
      <c r="AE265" s="19">
        <v>0</v>
      </c>
      <c r="AF265" s="19">
        <v>222.25</v>
      </c>
      <c r="AG265" s="19">
        <v>10.23</v>
      </c>
      <c r="AH265" s="19">
        <v>570.80999999999995</v>
      </c>
      <c r="AI265" s="19">
        <v>0</v>
      </c>
      <c r="AJ265" s="19">
        <v>0</v>
      </c>
      <c r="AK265" s="19">
        <v>0</v>
      </c>
      <c r="AL265" s="19">
        <v>222.25</v>
      </c>
      <c r="AM265" s="19">
        <v>10.23</v>
      </c>
      <c r="AN265" s="19">
        <v>570.80999999999995</v>
      </c>
      <c r="AO265" s="19">
        <v>0</v>
      </c>
      <c r="AP265" s="19">
        <v>0</v>
      </c>
      <c r="AQ265" s="19">
        <v>0</v>
      </c>
      <c r="AR265" s="19">
        <v>222.25</v>
      </c>
      <c r="AS265" s="19">
        <v>10.23</v>
      </c>
      <c r="AT265" s="19">
        <v>570.80999999999995</v>
      </c>
      <c r="AU265" s="19">
        <v>0</v>
      </c>
      <c r="AV265" s="19">
        <v>0</v>
      </c>
      <c r="AW265" s="19">
        <v>0</v>
      </c>
      <c r="AX265" s="19">
        <v>336.43749999999994</v>
      </c>
      <c r="AY265" s="19">
        <v>10.23</v>
      </c>
      <c r="AZ265" s="19">
        <v>861.6</v>
      </c>
      <c r="BA265" s="19">
        <v>0</v>
      </c>
      <c r="BB265" s="19">
        <v>0</v>
      </c>
      <c r="BC265" s="19">
        <v>0</v>
      </c>
      <c r="BD265" s="19">
        <v>336.43749999999994</v>
      </c>
      <c r="BE265" s="19">
        <v>10.23</v>
      </c>
      <c r="BF265" s="19">
        <v>861.6</v>
      </c>
      <c r="BG265" s="19">
        <v>0</v>
      </c>
      <c r="BH265" s="19">
        <v>0</v>
      </c>
      <c r="BI265" s="19">
        <v>0</v>
      </c>
      <c r="BJ265" s="19">
        <v>336.43749999999994</v>
      </c>
      <c r="BK265" s="19">
        <v>10.23</v>
      </c>
      <c r="BL265" s="19">
        <v>861.6</v>
      </c>
      <c r="BM265" s="19">
        <v>0</v>
      </c>
      <c r="BN265" s="19">
        <v>0</v>
      </c>
      <c r="BO265" s="19">
        <v>0</v>
      </c>
      <c r="BP265" s="19"/>
      <c r="BQ26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5" s="11">
        <f>Tabelle5897112140[[#This Row],[Mindestauslastung min]]*Tabelle5897112140[[#This Row],[installierte Leistung MW min]]</f>
        <v>51.150000000000006</v>
      </c>
      <c r="BU265" s="11">
        <f>Tabelle5897112140[[#This Row],[Mindestauslastung durch]]*Tabelle5897112140[[#This Row],[installierte Leistung MW durch]]</f>
        <v>52.5</v>
      </c>
      <c r="BV265" s="11">
        <f>Tabelle5897112140[[#This Row],[Mindestauslastung max]]*Tabelle5897112140[[#This Row],[installierte Leistung MW max]]</f>
        <v>53.85</v>
      </c>
      <c r="BW265" s="9">
        <v>0.05</v>
      </c>
      <c r="BX265" s="9">
        <v>0.05</v>
      </c>
      <c r="BY265" s="9">
        <v>0.05</v>
      </c>
      <c r="BZ265" s="9"/>
      <c r="CA265" s="9">
        <v>7.3333333333333334E-2</v>
      </c>
      <c r="CB265" s="9">
        <v>0</v>
      </c>
      <c r="CC265" s="9">
        <v>0.24</v>
      </c>
      <c r="CD265" s="9">
        <v>7.3333333333333334E-2</v>
      </c>
      <c r="CE265" s="9">
        <v>0</v>
      </c>
      <c r="CF265" s="9">
        <v>0.24</v>
      </c>
      <c r="CG265" s="9">
        <v>7.3333333333333334E-2</v>
      </c>
      <c r="CH265" s="9">
        <v>0</v>
      </c>
      <c r="CI265" s="9">
        <v>0.24</v>
      </c>
      <c r="CJ265" s="9">
        <v>0.2116666666666667</v>
      </c>
      <c r="CK265" s="9">
        <v>0.01</v>
      </c>
      <c r="CL265" s="9">
        <v>0.53</v>
      </c>
      <c r="CM265" s="9">
        <v>0.2116666666666667</v>
      </c>
      <c r="CN265" s="9">
        <v>0.01</v>
      </c>
      <c r="CO265" s="9">
        <v>0.53</v>
      </c>
      <c r="CP265" s="9">
        <v>0.2116666666666667</v>
      </c>
      <c r="CQ265" s="9">
        <v>0.01</v>
      </c>
      <c r="CR265" s="9">
        <v>0.53</v>
      </c>
      <c r="CS265" s="9">
        <v>0.32041666666666663</v>
      </c>
      <c r="CT265" s="9">
        <v>0.01</v>
      </c>
      <c r="CU265" s="9">
        <v>0.8</v>
      </c>
      <c r="CV265" s="9">
        <v>0.32041666666666663</v>
      </c>
      <c r="CW265" s="9">
        <v>0.01</v>
      </c>
      <c r="CX265" s="9">
        <v>0.8</v>
      </c>
      <c r="CY265" s="9">
        <v>0.32041666666666663</v>
      </c>
      <c r="CZ265" s="9">
        <v>0.01</v>
      </c>
      <c r="DA265" s="9">
        <v>0.8</v>
      </c>
      <c r="DB265" s="9">
        <f>MIN(Tabelle5897112140[[#This Row],[Durchschnittsauslastung durch Sommer WTT]:[Durchschnittsauslastung max Winter SFN]])</f>
        <v>0</v>
      </c>
      <c r="DC26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5" s="9">
        <f>MAX(Tabelle5897112140[[#This Row],[Durchschnittsauslastung durch Sommer WTT]:[Durchschnittsauslastung max Winter SFN]])</f>
        <v>0.8</v>
      </c>
      <c r="DE265" s="40">
        <f>Tabelle5897112140[[#This Row],[Durchschnittsauslastung min]]*Tabelle5897112140[[#This Row],[installierte Leistung MW min]]</f>
        <v>0</v>
      </c>
      <c r="DF265" s="40">
        <f>Tabelle5897112140[[#This Row],[Durchschnittsauslastung durch]]*Tabelle5897112140[[#This Row],[installierte Leistung MW durch]]</f>
        <v>211.89583333333331</v>
      </c>
      <c r="DG265" s="40">
        <f>Tabelle5897112140[[#This Row],[Durchschnittsauslastung max]]*Tabelle5897112140[[#This Row],[installierte Leistung MW max]]</f>
        <v>861.6</v>
      </c>
      <c r="DH265" s="46">
        <f>Tabelle5897112140[[#This Row],[Maximalauslastung min]]*Tabelle5897112140[[#This Row],[installierte Leistung MW min]]</f>
        <v>0</v>
      </c>
      <c r="DI265" s="46">
        <f>Tabelle5897112140[[#This Row],[Maximalauslastung durch]]*Tabelle5897112140[[#This Row],[installierte Leistung MW durch]]</f>
        <v>0</v>
      </c>
      <c r="DJ265" s="19">
        <f>Tabelle5897112140[[#This Row],[Maximalauslastung max]]*Tabelle5897112140[[#This Row],[installierte Leistung MW durch]]</f>
        <v>0</v>
      </c>
      <c r="DK265" s="19"/>
      <c r="DL265" s="19"/>
      <c r="DM265" s="9"/>
      <c r="DN265" s="1">
        <v>1050</v>
      </c>
      <c r="DO265" s="1">
        <v>1023</v>
      </c>
      <c r="DP265" s="1">
        <v>1077</v>
      </c>
      <c r="DQ265" s="19"/>
      <c r="DR265" s="19"/>
      <c r="DW265" s="1">
        <v>4</v>
      </c>
      <c r="DX265" s="1">
        <v>3.1</v>
      </c>
      <c r="DY265" s="1">
        <v>4.9000000000000004</v>
      </c>
      <c r="DZ265" s="1">
        <v>9</v>
      </c>
      <c r="EA265" s="1">
        <v>7.2</v>
      </c>
      <c r="EB265" s="1">
        <v>10.8</v>
      </c>
      <c r="EC265" s="1">
        <v>24</v>
      </c>
      <c r="ED265" s="1">
        <v>24</v>
      </c>
      <c r="EE265" s="1">
        <v>24</v>
      </c>
      <c r="EF265" s="1">
        <v>7.4</v>
      </c>
      <c r="EG265" s="1">
        <v>4.6000000000000014</v>
      </c>
      <c r="EH265" s="1">
        <v>10.199999999999999</v>
      </c>
      <c r="EL265" s="1">
        <v>160</v>
      </c>
      <c r="EM265" s="1">
        <v>144</v>
      </c>
      <c r="EN265" s="1">
        <v>176</v>
      </c>
      <c r="EO265" s="11"/>
      <c r="EP265" s="11"/>
      <c r="EQ265" s="11"/>
      <c r="ER265" s="1">
        <v>160</v>
      </c>
      <c r="ES265" s="1">
        <v>144</v>
      </c>
      <c r="ET265" s="1">
        <v>176</v>
      </c>
      <c r="EU265" s="1">
        <v>25.656565656565654</v>
      </c>
      <c r="EV265" s="19">
        <v>23.131313131313131</v>
      </c>
      <c r="EW265" s="19">
        <v>28.18181818181818</v>
      </c>
      <c r="EX265" s="19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>
        <v>38.383838383838388</v>
      </c>
      <c r="FK265" s="8">
        <v>34.545454545454547</v>
      </c>
      <c r="FL265" s="1">
        <v>42.222222222222221</v>
      </c>
      <c r="FO265" s="1">
        <v>67</v>
      </c>
      <c r="FP265" s="1">
        <v>67</v>
      </c>
      <c r="FQ265" s="1">
        <v>67</v>
      </c>
      <c r="FR265" s="13" t="s">
        <v>806</v>
      </c>
      <c r="FS265" s="13" t="s">
        <v>806</v>
      </c>
      <c r="FT265" s="13" t="s">
        <v>806</v>
      </c>
      <c r="FU265" s="13"/>
      <c r="FV265" s="13" t="s">
        <v>806</v>
      </c>
      <c r="FW265" s="13" t="s">
        <v>806</v>
      </c>
      <c r="FX265" s="13" t="s">
        <v>806</v>
      </c>
      <c r="FY265" s="13" t="s">
        <v>806</v>
      </c>
      <c r="FZ265" s="13" t="s">
        <v>806</v>
      </c>
      <c r="GA265" s="13" t="s">
        <v>806</v>
      </c>
      <c r="GB265" s="13" t="s">
        <v>806</v>
      </c>
      <c r="GE265" s="13" t="s">
        <v>806</v>
      </c>
      <c r="GF265" s="13" t="s">
        <v>806</v>
      </c>
      <c r="GH265" s="13" t="s">
        <v>806</v>
      </c>
    </row>
    <row r="266" spans="1:190" ht="12.75" customHeight="1" x14ac:dyDescent="0.25">
      <c r="A266" s="1" t="s">
        <v>133</v>
      </c>
      <c r="B266" s="1" t="s">
        <v>652</v>
      </c>
      <c r="C266" s="1" t="s">
        <v>804</v>
      </c>
      <c r="D266" s="1" t="s">
        <v>681</v>
      </c>
      <c r="E266" s="1" t="s">
        <v>139</v>
      </c>
      <c r="F266" s="1">
        <v>0</v>
      </c>
      <c r="G266" s="1">
        <v>2015</v>
      </c>
      <c r="H266" s="1">
        <v>1</v>
      </c>
      <c r="I266" s="1">
        <v>0</v>
      </c>
      <c r="J266" s="1">
        <v>0</v>
      </c>
      <c r="K26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548.13199999999995</v>
      </c>
      <c r="L26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780.48750000000007</v>
      </c>
      <c r="M26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1071.8499999999999</v>
      </c>
      <c r="N266" s="19">
        <v>780.48749999999995</v>
      </c>
      <c r="O266" s="19">
        <v>548.13199999999995</v>
      </c>
      <c r="P266" s="19">
        <v>1071.8499999999999</v>
      </c>
      <c r="Q266" s="19">
        <v>0</v>
      </c>
      <c r="R266" s="19">
        <v>0</v>
      </c>
      <c r="S266" s="19">
        <v>0</v>
      </c>
      <c r="T266" s="19">
        <v>780.48749999999995</v>
      </c>
      <c r="U266" s="19">
        <v>548.13199999999995</v>
      </c>
      <c r="V266" s="19">
        <v>1071.8499999999999</v>
      </c>
      <c r="W266" s="19">
        <v>0</v>
      </c>
      <c r="X266" s="19">
        <v>0</v>
      </c>
      <c r="Y266" s="19">
        <v>0</v>
      </c>
      <c r="Z266" s="19">
        <v>780.48749999999995</v>
      </c>
      <c r="AA266" s="19">
        <v>548.13199999999995</v>
      </c>
      <c r="AB266" s="19">
        <v>1071.8499999999999</v>
      </c>
      <c r="AC266" s="19">
        <v>0</v>
      </c>
      <c r="AD266" s="19">
        <v>0</v>
      </c>
      <c r="AE266" s="19">
        <v>0</v>
      </c>
      <c r="AF266" s="19">
        <v>780.48749999999995</v>
      </c>
      <c r="AG266" s="19">
        <v>548.13199999999995</v>
      </c>
      <c r="AH266" s="19">
        <v>1071.8499999999999</v>
      </c>
      <c r="AI266" s="19">
        <v>0</v>
      </c>
      <c r="AJ266" s="19">
        <v>0</v>
      </c>
      <c r="AK266" s="19">
        <v>0</v>
      </c>
      <c r="AL266" s="19">
        <v>780.48749999999995</v>
      </c>
      <c r="AM266" s="19">
        <v>548.13199999999995</v>
      </c>
      <c r="AN266" s="19">
        <v>1071.8499999999999</v>
      </c>
      <c r="AO266" s="19">
        <v>0</v>
      </c>
      <c r="AP266" s="19">
        <v>0</v>
      </c>
      <c r="AQ266" s="19">
        <v>0</v>
      </c>
      <c r="AR266" s="19">
        <v>780.48749999999995</v>
      </c>
      <c r="AS266" s="19">
        <v>548.13199999999995</v>
      </c>
      <c r="AT266" s="19">
        <v>1071.8499999999999</v>
      </c>
      <c r="AU266" s="19">
        <v>0</v>
      </c>
      <c r="AV266" s="19">
        <v>0</v>
      </c>
      <c r="AW266" s="19">
        <v>0</v>
      </c>
      <c r="AX266" s="19">
        <v>780.48749999999995</v>
      </c>
      <c r="AY266" s="19">
        <v>548.13199999999995</v>
      </c>
      <c r="AZ266" s="19">
        <v>1071.8499999999999</v>
      </c>
      <c r="BA266" s="19">
        <v>0</v>
      </c>
      <c r="BB266" s="19">
        <v>0</v>
      </c>
      <c r="BC266" s="19">
        <v>0</v>
      </c>
      <c r="BD266" s="19">
        <v>780.48749999999995</v>
      </c>
      <c r="BE266" s="19">
        <v>548.13199999999995</v>
      </c>
      <c r="BF266" s="19">
        <v>1071.8499999999999</v>
      </c>
      <c r="BG266" s="19">
        <v>0</v>
      </c>
      <c r="BH266" s="19">
        <v>0</v>
      </c>
      <c r="BI266" s="19">
        <v>0</v>
      </c>
      <c r="BJ266" s="19">
        <v>780.48749999999995</v>
      </c>
      <c r="BK266" s="19">
        <v>548.13199999999995</v>
      </c>
      <c r="BL266" s="19">
        <v>1071.8499999999999</v>
      </c>
      <c r="BM266" s="19">
        <v>0</v>
      </c>
      <c r="BN266" s="19">
        <v>0</v>
      </c>
      <c r="BO266" s="19">
        <v>0</v>
      </c>
      <c r="BP266" s="19"/>
      <c r="BQ26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6" s="11">
        <f>Tabelle5897112140[[#This Row],[Mindestauslastung min]]*Tabelle5897112140[[#This Row],[installierte Leistung MW min]]</f>
        <v>107.9</v>
      </c>
      <c r="BU266" s="11">
        <f>Tabelle5897112140[[#This Row],[Mindestauslastung durch]]*Tabelle5897112140[[#This Row],[installierte Leistung MW durch]]</f>
        <v>117</v>
      </c>
      <c r="BV266" s="11">
        <f>Tabelle5897112140[[#This Row],[Mindestauslastung max]]*Tabelle5897112140[[#This Row],[installierte Leistung MW max]]</f>
        <v>126.10000000000001</v>
      </c>
      <c r="BW266" s="9">
        <v>0.05</v>
      </c>
      <c r="BX266" s="9">
        <v>0.05</v>
      </c>
      <c r="BY266" s="9">
        <v>0.05</v>
      </c>
      <c r="BZ266" s="9"/>
      <c r="CA266" s="9">
        <v>0.33354166666666663</v>
      </c>
      <c r="CB266" s="9">
        <v>0.254</v>
      </c>
      <c r="CC266" s="9">
        <v>0.42499999999999999</v>
      </c>
      <c r="CD266" s="9">
        <v>0.33354166666666663</v>
      </c>
      <c r="CE266" s="9">
        <v>0.254</v>
      </c>
      <c r="CF266" s="9">
        <v>0.42499999999999999</v>
      </c>
      <c r="CG266" s="9">
        <v>0.33354166666666663</v>
      </c>
      <c r="CH266" s="9">
        <v>0.254</v>
      </c>
      <c r="CI266" s="9">
        <v>0.42499999999999999</v>
      </c>
      <c r="CJ266" s="9">
        <v>0.33354166666666663</v>
      </c>
      <c r="CK266" s="9">
        <v>0.254</v>
      </c>
      <c r="CL266" s="9">
        <v>0.42499999999999999</v>
      </c>
      <c r="CM266" s="9">
        <v>0.33354166666666663</v>
      </c>
      <c r="CN266" s="9">
        <v>0.254</v>
      </c>
      <c r="CO266" s="9">
        <v>0.42499999999999999</v>
      </c>
      <c r="CP266" s="9">
        <v>0.33354166666666663</v>
      </c>
      <c r="CQ266" s="9">
        <v>0.254</v>
      </c>
      <c r="CR266" s="9">
        <v>0.42499999999999999</v>
      </c>
      <c r="CS266" s="9">
        <v>0.33354166666666663</v>
      </c>
      <c r="CT266" s="9">
        <v>0.254</v>
      </c>
      <c r="CU266" s="9">
        <v>0.42499999999999999</v>
      </c>
      <c r="CV266" s="9">
        <v>0.33354166666666663</v>
      </c>
      <c r="CW266" s="9">
        <v>0.254</v>
      </c>
      <c r="CX266" s="9">
        <v>0.42499999999999999</v>
      </c>
      <c r="CY266" s="9">
        <v>0.33354166666666663</v>
      </c>
      <c r="CZ266" s="9">
        <v>0.254</v>
      </c>
      <c r="DA266" s="9">
        <v>0.42499999999999999</v>
      </c>
      <c r="DB266" s="9">
        <f>MIN(Tabelle5897112140[[#This Row],[Durchschnittsauslastung durch Sommer WTT]:[Durchschnittsauslastung max Winter SFN]])</f>
        <v>0.254</v>
      </c>
      <c r="DC26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6" s="9">
        <f>MAX(Tabelle5897112140[[#This Row],[Durchschnittsauslastung durch Sommer WTT]:[Durchschnittsauslastung max Winter SFN]])</f>
        <v>0.42499999999999999</v>
      </c>
      <c r="DE266" s="40">
        <f>Tabelle5897112140[[#This Row],[Durchschnittsauslastung min]]*Tabelle5897112140[[#This Row],[installierte Leistung MW min]]</f>
        <v>548.13200000000006</v>
      </c>
      <c r="DF266" s="40">
        <f>Tabelle5897112140[[#This Row],[Durchschnittsauslastung durch]]*Tabelle5897112140[[#This Row],[installierte Leistung MW durch]]</f>
        <v>780.48749999999995</v>
      </c>
      <c r="DG266" s="40">
        <f>Tabelle5897112140[[#This Row],[Durchschnittsauslastung max]]*Tabelle5897112140[[#This Row],[installierte Leistung MW max]]</f>
        <v>1071.8499999999999</v>
      </c>
      <c r="DH266" s="46">
        <f>Tabelle5897112140[[#This Row],[Maximalauslastung min]]*Tabelle5897112140[[#This Row],[installierte Leistung MW min]]</f>
        <v>647.4</v>
      </c>
      <c r="DI266" s="46">
        <f>Tabelle5897112140[[#This Row],[Maximalauslastung durch]]*Tabelle5897112140[[#This Row],[installierte Leistung MW durch]]</f>
        <v>772.2</v>
      </c>
      <c r="DJ266" s="19">
        <f>Tabelle5897112140[[#This Row],[Maximalauslastung max]]*Tabelle5897112140[[#This Row],[installierte Leistung MW durch]]</f>
        <v>842.4</v>
      </c>
      <c r="DK266" s="9">
        <v>0.3</v>
      </c>
      <c r="DL266" s="9">
        <v>0.33</v>
      </c>
      <c r="DM266" s="9">
        <v>0.36</v>
      </c>
      <c r="DN266" s="1">
        <v>2340</v>
      </c>
      <c r="DO266" s="1">
        <v>2158</v>
      </c>
      <c r="DP266" s="1">
        <v>2522</v>
      </c>
      <c r="DQ266" s="19"/>
      <c r="DR266" s="19"/>
      <c r="DW266" s="1">
        <v>0.25</v>
      </c>
      <c r="DX266" s="1">
        <v>0.2</v>
      </c>
      <c r="DY266" s="1">
        <v>0.3</v>
      </c>
      <c r="DZ266" s="1">
        <v>0.25</v>
      </c>
      <c r="EA266" s="1">
        <v>0.2</v>
      </c>
      <c r="EB266" s="1">
        <v>0.3</v>
      </c>
      <c r="EC266" s="1">
        <v>4.5</v>
      </c>
      <c r="ED266" s="1">
        <v>3</v>
      </c>
      <c r="EE266" s="1">
        <v>6</v>
      </c>
      <c r="EF266" s="1">
        <v>0.4</v>
      </c>
      <c r="EG266" s="1">
        <v>0.3</v>
      </c>
      <c r="EH266" s="1">
        <v>0.5</v>
      </c>
      <c r="EL266" s="1">
        <v>6570</v>
      </c>
      <c r="EM266" s="1">
        <v>4380</v>
      </c>
      <c r="EN266" s="1">
        <v>8760</v>
      </c>
      <c r="EO266" s="11"/>
      <c r="EP266" s="11"/>
      <c r="EQ266" s="11"/>
      <c r="ER266" s="1">
        <v>6570</v>
      </c>
      <c r="ES266" s="1">
        <v>4380</v>
      </c>
      <c r="ET266" s="1">
        <v>8760</v>
      </c>
      <c r="EU266" s="1">
        <v>25.656565656565654</v>
      </c>
      <c r="EV266" s="19">
        <v>23.131313131313131</v>
      </c>
      <c r="EW266" s="19">
        <v>28.18181818181818</v>
      </c>
      <c r="EX266" s="19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>
        <v>38.383838383838388</v>
      </c>
      <c r="FK266" s="8">
        <v>34.545454545454547</v>
      </c>
      <c r="FL266" s="1">
        <v>42.222222222222221</v>
      </c>
      <c r="FO266" s="1">
        <v>67</v>
      </c>
      <c r="FP266" s="1">
        <v>67</v>
      </c>
      <c r="FQ266" s="1">
        <v>67</v>
      </c>
      <c r="FR266" s="13" t="s">
        <v>806</v>
      </c>
      <c r="FS266" s="13" t="s">
        <v>806</v>
      </c>
      <c r="FT266" s="13" t="s">
        <v>806</v>
      </c>
      <c r="FU266" s="13"/>
      <c r="FV266" s="13" t="s">
        <v>806</v>
      </c>
      <c r="FW266" s="13" t="s">
        <v>806</v>
      </c>
      <c r="FX266" s="13" t="s">
        <v>806</v>
      </c>
      <c r="FY266" s="13" t="s">
        <v>806</v>
      </c>
      <c r="FZ266" s="13" t="s">
        <v>806</v>
      </c>
      <c r="GA266" s="13" t="s">
        <v>806</v>
      </c>
      <c r="GB266" s="13" t="s">
        <v>806</v>
      </c>
      <c r="GE266" s="13" t="s">
        <v>806</v>
      </c>
      <c r="GF266" s="13" t="s">
        <v>806</v>
      </c>
      <c r="GH266" s="13" t="s">
        <v>806</v>
      </c>
    </row>
    <row r="267" spans="1:190" ht="12.75" customHeight="1" x14ac:dyDescent="0.25">
      <c r="A267" s="1" t="s">
        <v>133</v>
      </c>
      <c r="B267" s="1" t="s">
        <v>652</v>
      </c>
      <c r="C267" s="1" t="s">
        <v>804</v>
      </c>
      <c r="D267" s="1" t="s">
        <v>681</v>
      </c>
      <c r="E267" s="1" t="s">
        <v>139</v>
      </c>
      <c r="F267" s="1">
        <v>0</v>
      </c>
      <c r="G267" s="1">
        <v>2020</v>
      </c>
      <c r="H267" s="1">
        <v>1</v>
      </c>
      <c r="I267" s="1">
        <v>0</v>
      </c>
      <c r="J267" s="1">
        <v>0</v>
      </c>
      <c r="K26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487.83747999999997</v>
      </c>
      <c r="L26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694.63387499999999</v>
      </c>
      <c r="M26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953.9464999999999</v>
      </c>
      <c r="N267" s="19">
        <v>694.63387499999999</v>
      </c>
      <c r="O267" s="19">
        <v>487.83747999999997</v>
      </c>
      <c r="P267" s="19">
        <v>953.9464999999999</v>
      </c>
      <c r="Q267" s="19">
        <v>0</v>
      </c>
      <c r="R267" s="19">
        <v>0</v>
      </c>
      <c r="S267" s="19">
        <v>0</v>
      </c>
      <c r="T267" s="19">
        <v>694.63387499999999</v>
      </c>
      <c r="U267" s="19">
        <v>487.83747999999997</v>
      </c>
      <c r="V267" s="19">
        <v>953.9464999999999</v>
      </c>
      <c r="W267" s="19">
        <v>0</v>
      </c>
      <c r="X267" s="19">
        <v>0</v>
      </c>
      <c r="Y267" s="19">
        <v>0</v>
      </c>
      <c r="Z267" s="19">
        <v>694.63387499999999</v>
      </c>
      <c r="AA267" s="19">
        <v>487.83747999999997</v>
      </c>
      <c r="AB267" s="19">
        <v>953.9464999999999</v>
      </c>
      <c r="AC267" s="19">
        <v>0</v>
      </c>
      <c r="AD267" s="19">
        <v>0</v>
      </c>
      <c r="AE267" s="19">
        <v>0</v>
      </c>
      <c r="AF267" s="19">
        <v>694.63387499999999</v>
      </c>
      <c r="AG267" s="19">
        <v>487.83747999999997</v>
      </c>
      <c r="AH267" s="19">
        <v>953.9464999999999</v>
      </c>
      <c r="AI267" s="19">
        <v>0</v>
      </c>
      <c r="AJ267" s="19">
        <v>0</v>
      </c>
      <c r="AK267" s="19">
        <v>0</v>
      </c>
      <c r="AL267" s="19">
        <v>694.63387499999999</v>
      </c>
      <c r="AM267" s="19">
        <v>487.83747999999997</v>
      </c>
      <c r="AN267" s="19">
        <v>953.9464999999999</v>
      </c>
      <c r="AO267" s="19">
        <v>0</v>
      </c>
      <c r="AP267" s="19">
        <v>0</v>
      </c>
      <c r="AQ267" s="19">
        <v>0</v>
      </c>
      <c r="AR267" s="19">
        <v>694.63387499999999</v>
      </c>
      <c r="AS267" s="19">
        <v>487.83747999999997</v>
      </c>
      <c r="AT267" s="19">
        <v>953.9464999999999</v>
      </c>
      <c r="AU267" s="19">
        <v>0</v>
      </c>
      <c r="AV267" s="19">
        <v>0</v>
      </c>
      <c r="AW267" s="19">
        <v>0</v>
      </c>
      <c r="AX267" s="19">
        <v>694.63387499999999</v>
      </c>
      <c r="AY267" s="19">
        <v>487.83747999999997</v>
      </c>
      <c r="AZ267" s="19">
        <v>953.9464999999999</v>
      </c>
      <c r="BA267" s="19">
        <v>0</v>
      </c>
      <c r="BB267" s="19">
        <v>0</v>
      </c>
      <c r="BC267" s="19">
        <v>0</v>
      </c>
      <c r="BD267" s="19">
        <v>694.63387499999999</v>
      </c>
      <c r="BE267" s="19">
        <v>487.83747999999997</v>
      </c>
      <c r="BF267" s="19">
        <v>953.9464999999999</v>
      </c>
      <c r="BG267" s="19">
        <v>0</v>
      </c>
      <c r="BH267" s="19">
        <v>0</v>
      </c>
      <c r="BI267" s="19">
        <v>0</v>
      </c>
      <c r="BJ267" s="19">
        <v>694.63387499999999</v>
      </c>
      <c r="BK267" s="19">
        <v>487.83747999999997</v>
      </c>
      <c r="BL267" s="19">
        <v>953.9464999999999</v>
      </c>
      <c r="BM267" s="19">
        <v>0</v>
      </c>
      <c r="BN267" s="19">
        <v>0</v>
      </c>
      <c r="BO267" s="19">
        <v>0</v>
      </c>
      <c r="BP267" s="19"/>
      <c r="BQ26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7" s="11">
        <f>Tabelle5897112140[[#This Row],[Mindestauslastung min]]*Tabelle5897112140[[#This Row],[installierte Leistung MW min]]</f>
        <v>96.031000000000006</v>
      </c>
      <c r="BU267" s="11">
        <f>Tabelle5897112140[[#This Row],[Mindestauslastung durch]]*Tabelle5897112140[[#This Row],[installierte Leistung MW durch]]</f>
        <v>104.13</v>
      </c>
      <c r="BV267" s="11">
        <f>Tabelle5897112140[[#This Row],[Mindestauslastung max]]*Tabelle5897112140[[#This Row],[installierte Leistung MW max]]</f>
        <v>112.229</v>
      </c>
      <c r="BW267" s="9">
        <v>0.05</v>
      </c>
      <c r="BX267" s="9">
        <v>0.05</v>
      </c>
      <c r="BY267" s="9">
        <v>0.05</v>
      </c>
      <c r="BZ267" s="9"/>
      <c r="CA267" s="9">
        <v>0.33354166666666663</v>
      </c>
      <c r="CB267" s="9">
        <v>0.254</v>
      </c>
      <c r="CC267" s="9">
        <v>0.42499999999999999</v>
      </c>
      <c r="CD267" s="9">
        <v>0.33354166666666663</v>
      </c>
      <c r="CE267" s="9">
        <v>0.254</v>
      </c>
      <c r="CF267" s="9">
        <v>0.42499999999999999</v>
      </c>
      <c r="CG267" s="9">
        <v>0.33354166666666663</v>
      </c>
      <c r="CH267" s="9">
        <v>0.254</v>
      </c>
      <c r="CI267" s="9">
        <v>0.42499999999999999</v>
      </c>
      <c r="CJ267" s="9">
        <v>0.33354166666666663</v>
      </c>
      <c r="CK267" s="9">
        <v>0.254</v>
      </c>
      <c r="CL267" s="9">
        <v>0.42499999999999999</v>
      </c>
      <c r="CM267" s="9">
        <v>0.33354166666666663</v>
      </c>
      <c r="CN267" s="9">
        <v>0.254</v>
      </c>
      <c r="CO267" s="9">
        <v>0.42499999999999999</v>
      </c>
      <c r="CP267" s="9">
        <v>0.33354166666666663</v>
      </c>
      <c r="CQ267" s="9">
        <v>0.254</v>
      </c>
      <c r="CR267" s="9">
        <v>0.42499999999999999</v>
      </c>
      <c r="CS267" s="9">
        <v>0.33354166666666663</v>
      </c>
      <c r="CT267" s="9">
        <v>0.254</v>
      </c>
      <c r="CU267" s="9">
        <v>0.42499999999999999</v>
      </c>
      <c r="CV267" s="9">
        <v>0.33354166666666663</v>
      </c>
      <c r="CW267" s="9">
        <v>0.254</v>
      </c>
      <c r="CX267" s="9">
        <v>0.42499999999999999</v>
      </c>
      <c r="CY267" s="9">
        <v>0.33354166666666663</v>
      </c>
      <c r="CZ267" s="9">
        <v>0.254</v>
      </c>
      <c r="DA267" s="9">
        <v>0.42499999999999999</v>
      </c>
      <c r="DB267" s="9">
        <f>MIN(Tabelle5897112140[[#This Row],[Durchschnittsauslastung durch Sommer WTT]:[Durchschnittsauslastung max Winter SFN]])</f>
        <v>0.254</v>
      </c>
      <c r="DC26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7" s="9">
        <f>MAX(Tabelle5897112140[[#This Row],[Durchschnittsauslastung durch Sommer WTT]:[Durchschnittsauslastung max Winter SFN]])</f>
        <v>0.42499999999999999</v>
      </c>
      <c r="DE267" s="40">
        <f>Tabelle5897112140[[#This Row],[Durchschnittsauslastung min]]*Tabelle5897112140[[#This Row],[installierte Leistung MW min]]</f>
        <v>487.83747999999997</v>
      </c>
      <c r="DF267" s="40">
        <f>Tabelle5897112140[[#This Row],[Durchschnittsauslastung durch]]*Tabelle5897112140[[#This Row],[installierte Leistung MW durch]]</f>
        <v>694.63387499999988</v>
      </c>
      <c r="DG267" s="40">
        <f>Tabelle5897112140[[#This Row],[Durchschnittsauslastung max]]*Tabelle5897112140[[#This Row],[installierte Leistung MW max]]</f>
        <v>953.9464999999999</v>
      </c>
      <c r="DH267" s="46">
        <f>Tabelle5897112140[[#This Row],[Maximalauslastung min]]*Tabelle5897112140[[#This Row],[installierte Leistung MW min]]</f>
        <v>1920.62</v>
      </c>
      <c r="DI267" s="46">
        <f>Tabelle5897112140[[#This Row],[Maximalauslastung durch]]*Tabelle5897112140[[#This Row],[installierte Leistung MW durch]]</f>
        <v>2082.6</v>
      </c>
      <c r="DJ267" s="19">
        <f>Tabelle5897112140[[#This Row],[Maximalauslastung max]]*Tabelle5897112140[[#This Row],[installierte Leistung MW durch]]</f>
        <v>2082.6</v>
      </c>
      <c r="DK267" s="9">
        <v>1</v>
      </c>
      <c r="DL267" s="9">
        <v>1</v>
      </c>
      <c r="DM267" s="9">
        <v>1</v>
      </c>
      <c r="DN267" s="1">
        <v>2082.6</v>
      </c>
      <c r="DO267" s="1">
        <v>1920.62</v>
      </c>
      <c r="DP267" s="1">
        <v>2244.58</v>
      </c>
      <c r="DQ267" s="19"/>
      <c r="DR267" s="19"/>
      <c r="DW267" s="1">
        <v>0.25</v>
      </c>
      <c r="DX267" s="1">
        <v>0.2</v>
      </c>
      <c r="DY267" s="1">
        <v>0.3</v>
      </c>
      <c r="DZ267" s="1">
        <v>0.25</v>
      </c>
      <c r="EA267" s="1">
        <v>0.2</v>
      </c>
      <c r="EB267" s="1">
        <v>0.3</v>
      </c>
      <c r="EC267" s="1">
        <v>4.5</v>
      </c>
      <c r="ED267" s="1">
        <v>3</v>
      </c>
      <c r="EE267" s="1">
        <v>6</v>
      </c>
      <c r="EF267" s="1">
        <v>0.4</v>
      </c>
      <c r="EG267" s="1">
        <v>0.3</v>
      </c>
      <c r="EH267" s="1">
        <v>0.5</v>
      </c>
      <c r="EL267" s="1">
        <v>6570</v>
      </c>
      <c r="EM267" s="1">
        <v>4380</v>
      </c>
      <c r="EN267" s="1">
        <v>8760</v>
      </c>
      <c r="EO267" s="11"/>
      <c r="EP267" s="11"/>
      <c r="EQ267" s="11"/>
      <c r="ER267" s="1">
        <v>6570</v>
      </c>
      <c r="ES267" s="1">
        <v>4380</v>
      </c>
      <c r="ET267" s="1">
        <v>8760</v>
      </c>
      <c r="EU267" s="1">
        <v>25.656565656565654</v>
      </c>
      <c r="EV267" s="19">
        <v>23.131313131313131</v>
      </c>
      <c r="EW267" s="19">
        <v>28.18181818181818</v>
      </c>
      <c r="EX267" s="19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>
        <v>38.383838383838388</v>
      </c>
      <c r="FK267" s="8">
        <v>34.545454545454547</v>
      </c>
      <c r="FL267" s="1">
        <v>42.222222222222221</v>
      </c>
      <c r="FO267" s="1">
        <v>67</v>
      </c>
      <c r="FP267" s="1">
        <v>67</v>
      </c>
      <c r="FQ267" s="1">
        <v>67</v>
      </c>
      <c r="FR267" s="13" t="s">
        <v>806</v>
      </c>
      <c r="FS267" s="13" t="s">
        <v>806</v>
      </c>
      <c r="FT267" s="13" t="s">
        <v>806</v>
      </c>
      <c r="FU267" s="13"/>
      <c r="FV267" s="13" t="s">
        <v>806</v>
      </c>
      <c r="FW267" s="13" t="s">
        <v>806</v>
      </c>
      <c r="FX267" s="13" t="s">
        <v>806</v>
      </c>
      <c r="FY267" s="13" t="s">
        <v>806</v>
      </c>
      <c r="FZ267" s="13" t="s">
        <v>806</v>
      </c>
      <c r="GA267" s="13" t="s">
        <v>806</v>
      </c>
      <c r="GB267" s="13" t="s">
        <v>806</v>
      </c>
      <c r="GE267" s="13" t="s">
        <v>806</v>
      </c>
      <c r="GF267" s="13" t="s">
        <v>806</v>
      </c>
      <c r="GH267" s="13" t="s">
        <v>806</v>
      </c>
    </row>
    <row r="268" spans="1:190" ht="12.75" customHeight="1" x14ac:dyDescent="0.25">
      <c r="A268" s="1" t="s">
        <v>133</v>
      </c>
      <c r="B268" s="1" t="s">
        <v>652</v>
      </c>
      <c r="C268" s="1" t="s">
        <v>804</v>
      </c>
      <c r="D268" s="1" t="s">
        <v>681</v>
      </c>
      <c r="E268" s="1" t="s">
        <v>139</v>
      </c>
      <c r="F268" s="1">
        <v>0</v>
      </c>
      <c r="G268" s="1">
        <v>2025</v>
      </c>
      <c r="H268" s="1">
        <v>1</v>
      </c>
      <c r="I268" s="1">
        <v>0</v>
      </c>
      <c r="J268" s="1">
        <v>0</v>
      </c>
      <c r="K26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476.87483999999995</v>
      </c>
      <c r="L26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679.02412499999991</v>
      </c>
      <c r="M26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932.50949999999989</v>
      </c>
      <c r="N268" s="19">
        <v>679.02412499999991</v>
      </c>
      <c r="O268" s="19">
        <v>476.87483999999995</v>
      </c>
      <c r="P268" s="19">
        <v>932.50949999999989</v>
      </c>
      <c r="Q268" s="19">
        <v>0</v>
      </c>
      <c r="R268" s="19">
        <v>0</v>
      </c>
      <c r="S268" s="19">
        <v>0</v>
      </c>
      <c r="T268" s="19">
        <v>679.02412499999991</v>
      </c>
      <c r="U268" s="19">
        <v>476.87483999999995</v>
      </c>
      <c r="V268" s="19">
        <v>932.50949999999989</v>
      </c>
      <c r="W268" s="19">
        <v>0</v>
      </c>
      <c r="X268" s="19">
        <v>0</v>
      </c>
      <c r="Y268" s="19">
        <v>0</v>
      </c>
      <c r="Z268" s="19">
        <v>679.02412499999991</v>
      </c>
      <c r="AA268" s="19">
        <v>476.87483999999995</v>
      </c>
      <c r="AB268" s="19">
        <v>932.50949999999989</v>
      </c>
      <c r="AC268" s="19">
        <v>0</v>
      </c>
      <c r="AD268" s="19">
        <v>0</v>
      </c>
      <c r="AE268" s="19">
        <v>0</v>
      </c>
      <c r="AF268" s="19">
        <v>679.02412499999991</v>
      </c>
      <c r="AG268" s="19">
        <v>476.87483999999995</v>
      </c>
      <c r="AH268" s="19">
        <v>932.50949999999989</v>
      </c>
      <c r="AI268" s="19">
        <v>0</v>
      </c>
      <c r="AJ268" s="19">
        <v>0</v>
      </c>
      <c r="AK268" s="19">
        <v>0</v>
      </c>
      <c r="AL268" s="19">
        <v>679.02412499999991</v>
      </c>
      <c r="AM268" s="19">
        <v>476.87483999999995</v>
      </c>
      <c r="AN268" s="19">
        <v>932.50949999999989</v>
      </c>
      <c r="AO268" s="19">
        <v>0</v>
      </c>
      <c r="AP268" s="19">
        <v>0</v>
      </c>
      <c r="AQ268" s="19">
        <v>0</v>
      </c>
      <c r="AR268" s="19">
        <v>679.02412499999991</v>
      </c>
      <c r="AS268" s="19">
        <v>476.87483999999995</v>
      </c>
      <c r="AT268" s="19">
        <v>932.50949999999989</v>
      </c>
      <c r="AU268" s="19">
        <v>0</v>
      </c>
      <c r="AV268" s="19">
        <v>0</v>
      </c>
      <c r="AW268" s="19">
        <v>0</v>
      </c>
      <c r="AX268" s="19">
        <v>679.02412499999991</v>
      </c>
      <c r="AY268" s="19">
        <v>476.87483999999995</v>
      </c>
      <c r="AZ268" s="19">
        <v>932.50949999999989</v>
      </c>
      <c r="BA268" s="19">
        <v>0</v>
      </c>
      <c r="BB268" s="19">
        <v>0</v>
      </c>
      <c r="BC268" s="19">
        <v>0</v>
      </c>
      <c r="BD268" s="19">
        <v>679.02412499999991</v>
      </c>
      <c r="BE268" s="19">
        <v>476.87483999999995</v>
      </c>
      <c r="BF268" s="19">
        <v>932.50949999999989</v>
      </c>
      <c r="BG268" s="19">
        <v>0</v>
      </c>
      <c r="BH268" s="19">
        <v>0</v>
      </c>
      <c r="BI268" s="19">
        <v>0</v>
      </c>
      <c r="BJ268" s="19">
        <v>679.02412499999991</v>
      </c>
      <c r="BK268" s="19">
        <v>476.87483999999995</v>
      </c>
      <c r="BL268" s="19">
        <v>932.50949999999989</v>
      </c>
      <c r="BM268" s="19">
        <v>0</v>
      </c>
      <c r="BN268" s="19">
        <v>0</v>
      </c>
      <c r="BO268" s="19">
        <v>0</v>
      </c>
      <c r="BP268" s="19"/>
      <c r="BQ26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8" s="11">
        <f>Tabelle5897112140[[#This Row],[Mindestauslastung min]]*Tabelle5897112140[[#This Row],[installierte Leistung MW min]]</f>
        <v>93.873000000000005</v>
      </c>
      <c r="BU268" s="11">
        <f>Tabelle5897112140[[#This Row],[Mindestauslastung durch]]*Tabelle5897112140[[#This Row],[installierte Leistung MW durch]]</f>
        <v>101.79</v>
      </c>
      <c r="BV268" s="11">
        <f>Tabelle5897112140[[#This Row],[Mindestauslastung max]]*Tabelle5897112140[[#This Row],[installierte Leistung MW max]]</f>
        <v>109.70699999999999</v>
      </c>
      <c r="BW268" s="9">
        <v>0.05</v>
      </c>
      <c r="BX268" s="9">
        <v>0.05</v>
      </c>
      <c r="BY268" s="9">
        <v>0.05</v>
      </c>
      <c r="BZ268" s="9"/>
      <c r="CA268" s="9">
        <v>0.33354166666666663</v>
      </c>
      <c r="CB268" s="9">
        <v>0.254</v>
      </c>
      <c r="CC268" s="9">
        <v>0.42499999999999999</v>
      </c>
      <c r="CD268" s="9">
        <v>0.33354166666666663</v>
      </c>
      <c r="CE268" s="9">
        <v>0.254</v>
      </c>
      <c r="CF268" s="9">
        <v>0.42499999999999999</v>
      </c>
      <c r="CG268" s="9">
        <v>0.33354166666666663</v>
      </c>
      <c r="CH268" s="9">
        <v>0.254</v>
      </c>
      <c r="CI268" s="9">
        <v>0.42499999999999999</v>
      </c>
      <c r="CJ268" s="9">
        <v>0.33354166666666663</v>
      </c>
      <c r="CK268" s="9">
        <v>0.254</v>
      </c>
      <c r="CL268" s="9">
        <v>0.42499999999999999</v>
      </c>
      <c r="CM268" s="9">
        <v>0.33354166666666663</v>
      </c>
      <c r="CN268" s="9">
        <v>0.254</v>
      </c>
      <c r="CO268" s="9">
        <v>0.42499999999999999</v>
      </c>
      <c r="CP268" s="9">
        <v>0.33354166666666663</v>
      </c>
      <c r="CQ268" s="9">
        <v>0.254</v>
      </c>
      <c r="CR268" s="9">
        <v>0.42499999999999999</v>
      </c>
      <c r="CS268" s="9">
        <v>0.33354166666666663</v>
      </c>
      <c r="CT268" s="9">
        <v>0.254</v>
      </c>
      <c r="CU268" s="9">
        <v>0.42499999999999999</v>
      </c>
      <c r="CV268" s="9">
        <v>0.33354166666666663</v>
      </c>
      <c r="CW268" s="9">
        <v>0.254</v>
      </c>
      <c r="CX268" s="9">
        <v>0.42499999999999999</v>
      </c>
      <c r="CY268" s="9">
        <v>0.33354166666666663</v>
      </c>
      <c r="CZ268" s="9">
        <v>0.254</v>
      </c>
      <c r="DA268" s="9">
        <v>0.42499999999999999</v>
      </c>
      <c r="DB268" s="9">
        <f>MIN(Tabelle5897112140[[#This Row],[Durchschnittsauslastung durch Sommer WTT]:[Durchschnittsauslastung max Winter SFN]])</f>
        <v>0.254</v>
      </c>
      <c r="DC26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8" s="9">
        <f>MAX(Tabelle5897112140[[#This Row],[Durchschnittsauslastung durch Sommer WTT]:[Durchschnittsauslastung max Winter SFN]])</f>
        <v>0.42499999999999999</v>
      </c>
      <c r="DE268" s="40">
        <f>Tabelle5897112140[[#This Row],[Durchschnittsauslastung min]]*Tabelle5897112140[[#This Row],[installierte Leistung MW min]]</f>
        <v>476.87484000000001</v>
      </c>
      <c r="DF268" s="40">
        <f>Tabelle5897112140[[#This Row],[Durchschnittsauslastung durch]]*Tabelle5897112140[[#This Row],[installierte Leistung MW durch]]</f>
        <v>679.02412499999991</v>
      </c>
      <c r="DG268" s="40">
        <f>Tabelle5897112140[[#This Row],[Durchschnittsauslastung max]]*Tabelle5897112140[[#This Row],[installierte Leistung MW max]]</f>
        <v>932.50949999999989</v>
      </c>
      <c r="DH268" s="46">
        <f>Tabelle5897112140[[#This Row],[Maximalauslastung min]]*Tabelle5897112140[[#This Row],[installierte Leistung MW min]]</f>
        <v>1877.46</v>
      </c>
      <c r="DI268" s="46">
        <f>Tabelle5897112140[[#This Row],[Maximalauslastung durch]]*Tabelle5897112140[[#This Row],[installierte Leistung MW durch]]</f>
        <v>2035.8</v>
      </c>
      <c r="DJ268" s="19">
        <f>Tabelle5897112140[[#This Row],[Maximalauslastung max]]*Tabelle5897112140[[#This Row],[installierte Leistung MW durch]]</f>
        <v>2035.8</v>
      </c>
      <c r="DK268" s="9">
        <v>1</v>
      </c>
      <c r="DL268" s="9">
        <v>1</v>
      </c>
      <c r="DM268" s="9">
        <v>1</v>
      </c>
      <c r="DN268" s="1">
        <v>2035.8</v>
      </c>
      <c r="DO268" s="1">
        <v>1877.46</v>
      </c>
      <c r="DP268" s="1">
        <v>2194.14</v>
      </c>
      <c r="DQ268" s="19"/>
      <c r="DR268" s="19"/>
      <c r="DW268" s="1">
        <v>0.25</v>
      </c>
      <c r="DX268" s="1">
        <v>0.2</v>
      </c>
      <c r="DY268" s="1">
        <v>0.3</v>
      </c>
      <c r="DZ268" s="1">
        <v>0.25</v>
      </c>
      <c r="EA268" s="1">
        <v>0.2</v>
      </c>
      <c r="EB268" s="1">
        <v>0.3</v>
      </c>
      <c r="EC268" s="1">
        <v>4.5</v>
      </c>
      <c r="ED268" s="1">
        <v>3</v>
      </c>
      <c r="EE268" s="1">
        <v>6</v>
      </c>
      <c r="EF268" s="1">
        <v>0.4</v>
      </c>
      <c r="EG268" s="1">
        <v>0.3</v>
      </c>
      <c r="EH268" s="1">
        <v>0.5</v>
      </c>
      <c r="EL268" s="1">
        <v>6570</v>
      </c>
      <c r="EM268" s="1">
        <v>4380</v>
      </c>
      <c r="EN268" s="1">
        <v>8760</v>
      </c>
      <c r="EO268" s="11"/>
      <c r="EP268" s="11"/>
      <c r="EQ268" s="11"/>
      <c r="ER268" s="1">
        <v>6570</v>
      </c>
      <c r="ES268" s="1">
        <v>4380</v>
      </c>
      <c r="ET268" s="1">
        <v>8760</v>
      </c>
      <c r="EU268" s="1">
        <v>25.656565656565654</v>
      </c>
      <c r="EV268" s="19">
        <v>23.131313131313131</v>
      </c>
      <c r="EW268" s="19">
        <v>28.18181818181818</v>
      </c>
      <c r="EX268" s="19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>
        <v>38.383838383838388</v>
      </c>
      <c r="FK268" s="8">
        <v>34.545454545454547</v>
      </c>
      <c r="FL268" s="1">
        <v>42.222222222222221</v>
      </c>
      <c r="FO268" s="1">
        <v>67</v>
      </c>
      <c r="FP268" s="1">
        <v>67</v>
      </c>
      <c r="FQ268" s="1">
        <v>67</v>
      </c>
      <c r="FR268" s="13" t="s">
        <v>806</v>
      </c>
      <c r="FS268" s="13" t="s">
        <v>806</v>
      </c>
      <c r="FT268" s="13" t="s">
        <v>806</v>
      </c>
      <c r="FU268" s="13"/>
      <c r="FV268" s="13" t="s">
        <v>806</v>
      </c>
      <c r="FW268" s="13" t="s">
        <v>806</v>
      </c>
      <c r="FX268" s="13" t="s">
        <v>806</v>
      </c>
      <c r="FY268" s="13" t="s">
        <v>806</v>
      </c>
      <c r="FZ268" s="13" t="s">
        <v>806</v>
      </c>
      <c r="GA268" s="13" t="s">
        <v>806</v>
      </c>
      <c r="GB268" s="13" t="s">
        <v>806</v>
      </c>
      <c r="GE268" s="13" t="s">
        <v>806</v>
      </c>
      <c r="GF268" s="13" t="s">
        <v>806</v>
      </c>
      <c r="GH268" s="13" t="s">
        <v>806</v>
      </c>
    </row>
    <row r="269" spans="1:190" ht="12.75" customHeight="1" x14ac:dyDescent="0.25">
      <c r="A269" s="1" t="s">
        <v>133</v>
      </c>
      <c r="B269" s="1" t="s">
        <v>652</v>
      </c>
      <c r="C269" s="1" t="s">
        <v>804</v>
      </c>
      <c r="D269" s="1" t="s">
        <v>681</v>
      </c>
      <c r="E269" s="1" t="s">
        <v>139</v>
      </c>
      <c r="F269" s="1">
        <v>0</v>
      </c>
      <c r="G269" s="1">
        <v>2030</v>
      </c>
      <c r="H269" s="1">
        <v>1</v>
      </c>
      <c r="I269" s="1">
        <v>0</v>
      </c>
      <c r="J269" s="1">
        <v>0</v>
      </c>
      <c r="K26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454.94955999999996</v>
      </c>
      <c r="L26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647.80462499999987</v>
      </c>
      <c r="M26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889.63549999999987</v>
      </c>
      <c r="N269" s="19">
        <v>647.80462499999999</v>
      </c>
      <c r="O269" s="19">
        <v>454.94955999999996</v>
      </c>
      <c r="P269" s="19">
        <v>889.63549999999987</v>
      </c>
      <c r="Q269" s="19">
        <v>0</v>
      </c>
      <c r="R269" s="19">
        <v>0</v>
      </c>
      <c r="S269" s="19">
        <v>0</v>
      </c>
      <c r="T269" s="19">
        <v>647.80462499999999</v>
      </c>
      <c r="U269" s="19">
        <v>454.94955999999996</v>
      </c>
      <c r="V269" s="19">
        <v>889.63549999999987</v>
      </c>
      <c r="W269" s="19">
        <v>0</v>
      </c>
      <c r="X269" s="19">
        <v>0</v>
      </c>
      <c r="Y269" s="19">
        <v>0</v>
      </c>
      <c r="Z269" s="19">
        <v>647.80462499999999</v>
      </c>
      <c r="AA269" s="19">
        <v>454.94955999999996</v>
      </c>
      <c r="AB269" s="19">
        <v>889.63549999999987</v>
      </c>
      <c r="AC269" s="19">
        <v>0</v>
      </c>
      <c r="AD269" s="19">
        <v>0</v>
      </c>
      <c r="AE269" s="19">
        <v>0</v>
      </c>
      <c r="AF269" s="19">
        <v>647.80462499999999</v>
      </c>
      <c r="AG269" s="19">
        <v>454.94955999999996</v>
      </c>
      <c r="AH269" s="19">
        <v>889.63549999999987</v>
      </c>
      <c r="AI269" s="19">
        <v>0</v>
      </c>
      <c r="AJ269" s="19">
        <v>0</v>
      </c>
      <c r="AK269" s="19">
        <v>0</v>
      </c>
      <c r="AL269" s="19">
        <v>647.80462499999999</v>
      </c>
      <c r="AM269" s="19">
        <v>454.94955999999996</v>
      </c>
      <c r="AN269" s="19">
        <v>889.63549999999987</v>
      </c>
      <c r="AO269" s="19">
        <v>0</v>
      </c>
      <c r="AP269" s="19">
        <v>0</v>
      </c>
      <c r="AQ269" s="19">
        <v>0</v>
      </c>
      <c r="AR269" s="19">
        <v>647.80462499999999</v>
      </c>
      <c r="AS269" s="19">
        <v>454.94955999999996</v>
      </c>
      <c r="AT269" s="19">
        <v>889.63549999999987</v>
      </c>
      <c r="AU269" s="19">
        <v>0</v>
      </c>
      <c r="AV269" s="19">
        <v>0</v>
      </c>
      <c r="AW269" s="19">
        <v>0</v>
      </c>
      <c r="AX269" s="19">
        <v>647.80462499999999</v>
      </c>
      <c r="AY269" s="19">
        <v>454.94955999999996</v>
      </c>
      <c r="AZ269" s="19">
        <v>889.63549999999987</v>
      </c>
      <c r="BA269" s="19">
        <v>0</v>
      </c>
      <c r="BB269" s="19">
        <v>0</v>
      </c>
      <c r="BC269" s="19">
        <v>0</v>
      </c>
      <c r="BD269" s="19">
        <v>647.80462499999999</v>
      </c>
      <c r="BE269" s="19">
        <v>454.94955999999996</v>
      </c>
      <c r="BF269" s="19">
        <v>889.63549999999987</v>
      </c>
      <c r="BG269" s="19">
        <v>0</v>
      </c>
      <c r="BH269" s="19">
        <v>0</v>
      </c>
      <c r="BI269" s="19">
        <v>0</v>
      </c>
      <c r="BJ269" s="19">
        <v>647.80462499999999</v>
      </c>
      <c r="BK269" s="19">
        <v>454.94955999999996</v>
      </c>
      <c r="BL269" s="19">
        <v>889.63549999999987</v>
      </c>
      <c r="BM269" s="19">
        <v>0</v>
      </c>
      <c r="BN269" s="19">
        <v>0</v>
      </c>
      <c r="BO269" s="19">
        <v>0</v>
      </c>
      <c r="BP269" s="19"/>
      <c r="BQ26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9" s="11">
        <f>Tabelle5897112140[[#This Row],[Mindestauslastung min]]*Tabelle5897112140[[#This Row],[installierte Leistung MW min]]</f>
        <v>89.557000000000016</v>
      </c>
      <c r="BU269" s="11">
        <f>Tabelle5897112140[[#This Row],[Mindestauslastung durch]]*Tabelle5897112140[[#This Row],[installierte Leistung MW durch]]</f>
        <v>97.110000000000014</v>
      </c>
      <c r="BV269" s="11">
        <f>Tabelle5897112140[[#This Row],[Mindestauslastung max]]*Tabelle5897112140[[#This Row],[installierte Leistung MW max]]</f>
        <v>104.66300000000001</v>
      </c>
      <c r="BW269" s="9">
        <v>0.05</v>
      </c>
      <c r="BX269" s="9">
        <v>0.05</v>
      </c>
      <c r="BY269" s="9">
        <v>0.05</v>
      </c>
      <c r="BZ269" s="9"/>
      <c r="CA269" s="9">
        <v>0.33354166666666663</v>
      </c>
      <c r="CB269" s="9">
        <v>0.254</v>
      </c>
      <c r="CC269" s="9">
        <v>0.42499999999999999</v>
      </c>
      <c r="CD269" s="9">
        <v>0.33354166666666663</v>
      </c>
      <c r="CE269" s="9">
        <v>0.254</v>
      </c>
      <c r="CF269" s="9">
        <v>0.42499999999999999</v>
      </c>
      <c r="CG269" s="9">
        <v>0.33354166666666663</v>
      </c>
      <c r="CH269" s="9">
        <v>0.254</v>
      </c>
      <c r="CI269" s="9">
        <v>0.42499999999999999</v>
      </c>
      <c r="CJ269" s="9">
        <v>0.33354166666666663</v>
      </c>
      <c r="CK269" s="9">
        <v>0.254</v>
      </c>
      <c r="CL269" s="9">
        <v>0.42499999999999999</v>
      </c>
      <c r="CM269" s="9">
        <v>0.33354166666666663</v>
      </c>
      <c r="CN269" s="9">
        <v>0.254</v>
      </c>
      <c r="CO269" s="9">
        <v>0.42499999999999999</v>
      </c>
      <c r="CP269" s="9">
        <v>0.33354166666666663</v>
      </c>
      <c r="CQ269" s="9">
        <v>0.254</v>
      </c>
      <c r="CR269" s="9">
        <v>0.42499999999999999</v>
      </c>
      <c r="CS269" s="9">
        <v>0.33354166666666663</v>
      </c>
      <c r="CT269" s="9">
        <v>0.254</v>
      </c>
      <c r="CU269" s="9">
        <v>0.42499999999999999</v>
      </c>
      <c r="CV269" s="9">
        <v>0.33354166666666663</v>
      </c>
      <c r="CW269" s="9">
        <v>0.254</v>
      </c>
      <c r="CX269" s="9">
        <v>0.42499999999999999</v>
      </c>
      <c r="CY269" s="9">
        <v>0.33354166666666663</v>
      </c>
      <c r="CZ269" s="9">
        <v>0.254</v>
      </c>
      <c r="DA269" s="9">
        <v>0.42499999999999999</v>
      </c>
      <c r="DB269" s="9">
        <f>MIN(Tabelle5897112140[[#This Row],[Durchschnittsauslastung durch Sommer WTT]:[Durchschnittsauslastung max Winter SFN]])</f>
        <v>0.254</v>
      </c>
      <c r="DC26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9" s="9">
        <f>MAX(Tabelle5897112140[[#This Row],[Durchschnittsauslastung durch Sommer WTT]:[Durchschnittsauslastung max Winter SFN]])</f>
        <v>0.42499999999999999</v>
      </c>
      <c r="DE269" s="40">
        <f>Tabelle5897112140[[#This Row],[Durchschnittsauslastung min]]*Tabelle5897112140[[#This Row],[installierte Leistung MW min]]</f>
        <v>454.94956000000002</v>
      </c>
      <c r="DF269" s="40">
        <f>Tabelle5897112140[[#This Row],[Durchschnittsauslastung durch]]*Tabelle5897112140[[#This Row],[installierte Leistung MW durch]]</f>
        <v>647.80462499999999</v>
      </c>
      <c r="DG269" s="40">
        <f>Tabelle5897112140[[#This Row],[Durchschnittsauslastung max]]*Tabelle5897112140[[#This Row],[installierte Leistung MW max]]</f>
        <v>889.63550000000009</v>
      </c>
      <c r="DH269" s="46">
        <f>Tabelle5897112140[[#This Row],[Maximalauslastung min]]*Tabelle5897112140[[#This Row],[installierte Leistung MW min]]</f>
        <v>1791.14</v>
      </c>
      <c r="DI269" s="46">
        <f>Tabelle5897112140[[#This Row],[Maximalauslastung durch]]*Tabelle5897112140[[#This Row],[installierte Leistung MW durch]]</f>
        <v>1942.2</v>
      </c>
      <c r="DJ269" s="19">
        <f>Tabelle5897112140[[#This Row],[Maximalauslastung max]]*Tabelle5897112140[[#This Row],[installierte Leistung MW durch]]</f>
        <v>1942.2</v>
      </c>
      <c r="DK269" s="9">
        <v>1</v>
      </c>
      <c r="DL269" s="9">
        <v>1</v>
      </c>
      <c r="DM269" s="9">
        <v>1</v>
      </c>
      <c r="DN269" s="1">
        <v>1942.2</v>
      </c>
      <c r="DO269" s="1">
        <v>1791.14</v>
      </c>
      <c r="DP269" s="1">
        <v>2093.2600000000002</v>
      </c>
      <c r="DQ269" s="19"/>
      <c r="DR269" s="19"/>
      <c r="DW269" s="1">
        <v>0.25</v>
      </c>
      <c r="DX269" s="1">
        <v>0.2</v>
      </c>
      <c r="DY269" s="1">
        <v>0.3</v>
      </c>
      <c r="DZ269" s="1">
        <v>0.25</v>
      </c>
      <c r="EA269" s="1">
        <v>0.2</v>
      </c>
      <c r="EB269" s="1">
        <v>0.3</v>
      </c>
      <c r="EC269" s="1">
        <v>4.5</v>
      </c>
      <c r="ED269" s="1">
        <v>3</v>
      </c>
      <c r="EE269" s="1">
        <v>6</v>
      </c>
      <c r="EF269" s="1">
        <v>0.4</v>
      </c>
      <c r="EG269" s="1">
        <v>0.3</v>
      </c>
      <c r="EH269" s="1">
        <v>0.5</v>
      </c>
      <c r="EL269" s="1">
        <v>6570</v>
      </c>
      <c r="EM269" s="1">
        <v>4380</v>
      </c>
      <c r="EN269" s="1">
        <v>8760</v>
      </c>
      <c r="EO269" s="11"/>
      <c r="EP269" s="11"/>
      <c r="EQ269" s="11"/>
      <c r="ER269" s="1">
        <v>6570</v>
      </c>
      <c r="ES269" s="1">
        <v>4380</v>
      </c>
      <c r="ET269" s="1">
        <v>8760</v>
      </c>
      <c r="EU269" s="1">
        <v>25.656565656565654</v>
      </c>
      <c r="EV269" s="19">
        <v>23.131313131313131</v>
      </c>
      <c r="EW269" s="19">
        <v>28.18181818181818</v>
      </c>
      <c r="EX269" s="19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>
        <v>38.383838383838388</v>
      </c>
      <c r="FK269" s="8">
        <v>34.545454545454547</v>
      </c>
      <c r="FL269" s="1">
        <v>42.222222222222221</v>
      </c>
      <c r="FO269" s="1">
        <v>67</v>
      </c>
      <c r="FP269" s="1">
        <v>67</v>
      </c>
      <c r="FQ269" s="1">
        <v>67</v>
      </c>
      <c r="FR269" s="13" t="s">
        <v>806</v>
      </c>
      <c r="FS269" s="13" t="s">
        <v>806</v>
      </c>
      <c r="FT269" s="13" t="s">
        <v>806</v>
      </c>
      <c r="FU269" s="13"/>
      <c r="FV269" s="13" t="s">
        <v>806</v>
      </c>
      <c r="FW269" s="13" t="s">
        <v>806</v>
      </c>
      <c r="FX269" s="13" t="s">
        <v>806</v>
      </c>
      <c r="FY269" s="13" t="s">
        <v>806</v>
      </c>
      <c r="FZ269" s="13" t="s">
        <v>806</v>
      </c>
      <c r="GA269" s="13" t="s">
        <v>806</v>
      </c>
      <c r="GB269" s="13" t="s">
        <v>806</v>
      </c>
      <c r="GE269" s="13" t="s">
        <v>806</v>
      </c>
      <c r="GF269" s="13" t="s">
        <v>806</v>
      </c>
      <c r="GH269" s="13" t="s">
        <v>806</v>
      </c>
    </row>
    <row r="270" spans="1:190" ht="12.75" customHeight="1" x14ac:dyDescent="0.25">
      <c r="A270" s="1" t="s">
        <v>133</v>
      </c>
      <c r="B270" s="1" t="s">
        <v>652</v>
      </c>
      <c r="C270" s="1" t="s">
        <v>804</v>
      </c>
      <c r="D270" s="1" t="s">
        <v>681</v>
      </c>
      <c r="E270" s="1" t="s">
        <v>139</v>
      </c>
      <c r="F270" s="1">
        <v>0</v>
      </c>
      <c r="G270" s="1">
        <v>2035</v>
      </c>
      <c r="H270" s="1">
        <v>1</v>
      </c>
      <c r="I270" s="1">
        <v>0</v>
      </c>
      <c r="J270" s="1">
        <v>0</v>
      </c>
      <c r="K27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422.06163999999995</v>
      </c>
      <c r="L27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600.97537499999999</v>
      </c>
      <c r="M27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825.32449999999994</v>
      </c>
      <c r="N270" s="19">
        <v>600.97537499999999</v>
      </c>
      <c r="O270" s="19">
        <v>422.06163999999995</v>
      </c>
      <c r="P270" s="19">
        <v>825.32449999999994</v>
      </c>
      <c r="Q270" s="19">
        <v>0</v>
      </c>
      <c r="R270" s="19">
        <v>0</v>
      </c>
      <c r="S270" s="19">
        <v>0</v>
      </c>
      <c r="T270" s="19">
        <v>600.97537499999999</v>
      </c>
      <c r="U270" s="19">
        <v>422.06163999999995</v>
      </c>
      <c r="V270" s="19">
        <v>825.32449999999994</v>
      </c>
      <c r="W270" s="19">
        <v>0</v>
      </c>
      <c r="X270" s="19">
        <v>0</v>
      </c>
      <c r="Y270" s="19">
        <v>0</v>
      </c>
      <c r="Z270" s="19">
        <v>600.97537499999999</v>
      </c>
      <c r="AA270" s="19">
        <v>422.06163999999995</v>
      </c>
      <c r="AB270" s="19">
        <v>825.32449999999994</v>
      </c>
      <c r="AC270" s="19">
        <v>0</v>
      </c>
      <c r="AD270" s="19">
        <v>0</v>
      </c>
      <c r="AE270" s="19">
        <v>0</v>
      </c>
      <c r="AF270" s="19">
        <v>600.97537499999999</v>
      </c>
      <c r="AG270" s="19">
        <v>422.06163999999995</v>
      </c>
      <c r="AH270" s="19">
        <v>825.32449999999994</v>
      </c>
      <c r="AI270" s="19">
        <v>0</v>
      </c>
      <c r="AJ270" s="19">
        <v>0</v>
      </c>
      <c r="AK270" s="19">
        <v>0</v>
      </c>
      <c r="AL270" s="19">
        <v>600.97537499999999</v>
      </c>
      <c r="AM270" s="19">
        <v>422.06163999999995</v>
      </c>
      <c r="AN270" s="19">
        <v>825.32449999999994</v>
      </c>
      <c r="AO270" s="19">
        <v>0</v>
      </c>
      <c r="AP270" s="19">
        <v>0</v>
      </c>
      <c r="AQ270" s="19">
        <v>0</v>
      </c>
      <c r="AR270" s="19">
        <v>600.97537499999999</v>
      </c>
      <c r="AS270" s="19">
        <v>422.06163999999995</v>
      </c>
      <c r="AT270" s="19">
        <v>825.32449999999994</v>
      </c>
      <c r="AU270" s="19">
        <v>0</v>
      </c>
      <c r="AV270" s="19">
        <v>0</v>
      </c>
      <c r="AW270" s="19">
        <v>0</v>
      </c>
      <c r="AX270" s="19">
        <v>600.97537499999999</v>
      </c>
      <c r="AY270" s="19">
        <v>422.06163999999995</v>
      </c>
      <c r="AZ270" s="19">
        <v>825.32449999999994</v>
      </c>
      <c r="BA270" s="19">
        <v>0</v>
      </c>
      <c r="BB270" s="19">
        <v>0</v>
      </c>
      <c r="BC270" s="19">
        <v>0</v>
      </c>
      <c r="BD270" s="19">
        <v>600.97537499999999</v>
      </c>
      <c r="BE270" s="19">
        <v>422.06163999999995</v>
      </c>
      <c r="BF270" s="19">
        <v>825.32449999999994</v>
      </c>
      <c r="BG270" s="19">
        <v>0</v>
      </c>
      <c r="BH270" s="19">
        <v>0</v>
      </c>
      <c r="BI270" s="19">
        <v>0</v>
      </c>
      <c r="BJ270" s="19">
        <v>600.97537499999999</v>
      </c>
      <c r="BK270" s="19">
        <v>422.06163999999995</v>
      </c>
      <c r="BL270" s="19">
        <v>825.32449999999994</v>
      </c>
      <c r="BM270" s="19">
        <v>0</v>
      </c>
      <c r="BN270" s="19">
        <v>0</v>
      </c>
      <c r="BO270" s="19">
        <v>0</v>
      </c>
      <c r="BP270" s="19"/>
      <c r="BQ27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0" s="11">
        <f>Tabelle5897112140[[#This Row],[Mindestauslastung min]]*Tabelle5897112140[[#This Row],[installierte Leistung MW min]]</f>
        <v>83.083000000000013</v>
      </c>
      <c r="BU270" s="11">
        <f>Tabelle5897112140[[#This Row],[Mindestauslastung durch]]*Tabelle5897112140[[#This Row],[installierte Leistung MW durch]]</f>
        <v>90.09</v>
      </c>
      <c r="BV270" s="11">
        <f>Tabelle5897112140[[#This Row],[Mindestauslastung max]]*Tabelle5897112140[[#This Row],[installierte Leistung MW max]]</f>
        <v>97.097000000000008</v>
      </c>
      <c r="BW270" s="9">
        <v>0.05</v>
      </c>
      <c r="BX270" s="9">
        <v>0.05</v>
      </c>
      <c r="BY270" s="9">
        <v>0.05</v>
      </c>
      <c r="BZ270" s="9"/>
      <c r="CA270" s="9">
        <v>0.33354166666666663</v>
      </c>
      <c r="CB270" s="9">
        <v>0.254</v>
      </c>
      <c r="CC270" s="9">
        <v>0.42499999999999999</v>
      </c>
      <c r="CD270" s="9">
        <v>0.33354166666666663</v>
      </c>
      <c r="CE270" s="9">
        <v>0.254</v>
      </c>
      <c r="CF270" s="9">
        <v>0.42499999999999999</v>
      </c>
      <c r="CG270" s="9">
        <v>0.33354166666666663</v>
      </c>
      <c r="CH270" s="9">
        <v>0.254</v>
      </c>
      <c r="CI270" s="9">
        <v>0.42499999999999999</v>
      </c>
      <c r="CJ270" s="9">
        <v>0.33354166666666663</v>
      </c>
      <c r="CK270" s="9">
        <v>0.254</v>
      </c>
      <c r="CL270" s="9">
        <v>0.42499999999999999</v>
      </c>
      <c r="CM270" s="9">
        <v>0.33354166666666663</v>
      </c>
      <c r="CN270" s="9">
        <v>0.254</v>
      </c>
      <c r="CO270" s="9">
        <v>0.42499999999999999</v>
      </c>
      <c r="CP270" s="9">
        <v>0.33354166666666663</v>
      </c>
      <c r="CQ270" s="9">
        <v>0.254</v>
      </c>
      <c r="CR270" s="9">
        <v>0.42499999999999999</v>
      </c>
      <c r="CS270" s="9">
        <v>0.33354166666666663</v>
      </c>
      <c r="CT270" s="9">
        <v>0.254</v>
      </c>
      <c r="CU270" s="9">
        <v>0.42499999999999999</v>
      </c>
      <c r="CV270" s="9">
        <v>0.33354166666666663</v>
      </c>
      <c r="CW270" s="9">
        <v>0.254</v>
      </c>
      <c r="CX270" s="9">
        <v>0.42499999999999999</v>
      </c>
      <c r="CY270" s="9">
        <v>0.33354166666666663</v>
      </c>
      <c r="CZ270" s="9">
        <v>0.254</v>
      </c>
      <c r="DA270" s="9">
        <v>0.42499999999999999</v>
      </c>
      <c r="DB270" s="9">
        <f>MIN(Tabelle5897112140[[#This Row],[Durchschnittsauslastung durch Sommer WTT]:[Durchschnittsauslastung max Winter SFN]])</f>
        <v>0.254</v>
      </c>
      <c r="DC27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0" s="9">
        <f>MAX(Tabelle5897112140[[#This Row],[Durchschnittsauslastung durch Sommer WTT]:[Durchschnittsauslastung max Winter SFN]])</f>
        <v>0.42499999999999999</v>
      </c>
      <c r="DE270" s="40">
        <f>Tabelle5897112140[[#This Row],[Durchschnittsauslastung min]]*Tabelle5897112140[[#This Row],[installierte Leistung MW min]]</f>
        <v>422.06164000000001</v>
      </c>
      <c r="DF270" s="40">
        <f>Tabelle5897112140[[#This Row],[Durchschnittsauslastung durch]]*Tabelle5897112140[[#This Row],[installierte Leistung MW durch]]</f>
        <v>600.97537499999987</v>
      </c>
      <c r="DG270" s="40">
        <f>Tabelle5897112140[[#This Row],[Durchschnittsauslastung max]]*Tabelle5897112140[[#This Row],[installierte Leistung MW max]]</f>
        <v>825.32450000000006</v>
      </c>
      <c r="DH270" s="46">
        <f>Tabelle5897112140[[#This Row],[Maximalauslastung min]]*Tabelle5897112140[[#This Row],[installierte Leistung MW min]]</f>
        <v>1661.66</v>
      </c>
      <c r="DI270" s="46">
        <f>Tabelle5897112140[[#This Row],[Maximalauslastung durch]]*Tabelle5897112140[[#This Row],[installierte Leistung MW durch]]</f>
        <v>1801.8</v>
      </c>
      <c r="DJ270" s="19">
        <f>Tabelle5897112140[[#This Row],[Maximalauslastung max]]*Tabelle5897112140[[#This Row],[installierte Leistung MW durch]]</f>
        <v>1801.8</v>
      </c>
      <c r="DK270" s="9">
        <v>1</v>
      </c>
      <c r="DL270" s="9">
        <v>1</v>
      </c>
      <c r="DM270" s="9">
        <v>1</v>
      </c>
      <c r="DN270" s="1">
        <v>1801.8</v>
      </c>
      <c r="DO270" s="1">
        <v>1661.66</v>
      </c>
      <c r="DP270" s="1">
        <v>1941.94</v>
      </c>
      <c r="DQ270" s="19"/>
      <c r="DR270" s="19"/>
      <c r="DW270" s="1">
        <v>0.25</v>
      </c>
      <c r="DX270" s="1">
        <v>0.2</v>
      </c>
      <c r="DY270" s="1">
        <v>0.3</v>
      </c>
      <c r="DZ270" s="1">
        <v>0.25</v>
      </c>
      <c r="EA270" s="1">
        <v>0.2</v>
      </c>
      <c r="EB270" s="1">
        <v>0.3</v>
      </c>
      <c r="EC270" s="1">
        <v>4.5</v>
      </c>
      <c r="ED270" s="1">
        <v>3</v>
      </c>
      <c r="EE270" s="1">
        <v>6</v>
      </c>
      <c r="EF270" s="1">
        <v>0.4</v>
      </c>
      <c r="EG270" s="1">
        <v>0.3</v>
      </c>
      <c r="EH270" s="1">
        <v>0.5</v>
      </c>
      <c r="EL270" s="1">
        <v>6570</v>
      </c>
      <c r="EM270" s="1">
        <v>4380</v>
      </c>
      <c r="EN270" s="1">
        <v>8760</v>
      </c>
      <c r="EO270" s="11"/>
      <c r="EP270" s="11"/>
      <c r="EQ270" s="11"/>
      <c r="ER270" s="1">
        <v>6570</v>
      </c>
      <c r="ES270" s="1">
        <v>4380</v>
      </c>
      <c r="ET270" s="1">
        <v>8760</v>
      </c>
      <c r="EU270" s="1">
        <v>25.656565656565654</v>
      </c>
      <c r="EV270" s="19">
        <v>23.131313131313131</v>
      </c>
      <c r="EW270" s="19">
        <v>28.18181818181818</v>
      </c>
      <c r="EX270" s="19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>
        <v>38.383838383838388</v>
      </c>
      <c r="FK270" s="8">
        <v>34.545454545454547</v>
      </c>
      <c r="FL270" s="1">
        <v>42.222222222222221</v>
      </c>
      <c r="FO270" s="1">
        <v>67</v>
      </c>
      <c r="FP270" s="1">
        <v>67</v>
      </c>
      <c r="FQ270" s="1">
        <v>67</v>
      </c>
      <c r="FR270" s="13" t="s">
        <v>806</v>
      </c>
      <c r="FS270" s="13" t="s">
        <v>806</v>
      </c>
      <c r="FT270" s="13" t="s">
        <v>806</v>
      </c>
      <c r="FU270" s="13"/>
      <c r="FV270" s="13" t="s">
        <v>806</v>
      </c>
      <c r="FW270" s="13" t="s">
        <v>806</v>
      </c>
      <c r="FX270" s="13" t="s">
        <v>806</v>
      </c>
      <c r="FY270" s="13" t="s">
        <v>806</v>
      </c>
      <c r="FZ270" s="13" t="s">
        <v>806</v>
      </c>
      <c r="GA270" s="13" t="s">
        <v>806</v>
      </c>
      <c r="GB270" s="13" t="s">
        <v>806</v>
      </c>
      <c r="GE270" s="13" t="s">
        <v>806</v>
      </c>
      <c r="GF270" s="13" t="s">
        <v>806</v>
      </c>
      <c r="GH270" s="13" t="s">
        <v>806</v>
      </c>
    </row>
    <row r="271" spans="1:190" ht="12.75" customHeight="1" x14ac:dyDescent="0.25">
      <c r="A271" s="1" t="s">
        <v>133</v>
      </c>
      <c r="B271" s="1" t="s">
        <v>652</v>
      </c>
      <c r="C271" s="1" t="s">
        <v>804</v>
      </c>
      <c r="D271" s="1" t="s">
        <v>681</v>
      </c>
      <c r="E271" s="1" t="s">
        <v>139</v>
      </c>
      <c r="F271" s="1">
        <v>0</v>
      </c>
      <c r="G271" s="1">
        <v>2040</v>
      </c>
      <c r="H271" s="1">
        <v>1</v>
      </c>
      <c r="I271" s="1">
        <v>0</v>
      </c>
      <c r="J271" s="1">
        <v>0</v>
      </c>
      <c r="K27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383.69239999999996</v>
      </c>
      <c r="L27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546.34124999999995</v>
      </c>
      <c r="M27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750.29499999999985</v>
      </c>
      <c r="N271" s="19">
        <v>546.34124999999995</v>
      </c>
      <c r="O271" s="19">
        <v>383.69239999999996</v>
      </c>
      <c r="P271" s="19">
        <v>750.29499999999985</v>
      </c>
      <c r="Q271" s="19">
        <v>0</v>
      </c>
      <c r="R271" s="19">
        <v>0</v>
      </c>
      <c r="S271" s="19">
        <v>0</v>
      </c>
      <c r="T271" s="19">
        <v>546.34124999999995</v>
      </c>
      <c r="U271" s="19">
        <v>383.69239999999996</v>
      </c>
      <c r="V271" s="19">
        <v>750.29499999999985</v>
      </c>
      <c r="W271" s="19">
        <v>0</v>
      </c>
      <c r="X271" s="19">
        <v>0</v>
      </c>
      <c r="Y271" s="19">
        <v>0</v>
      </c>
      <c r="Z271" s="19">
        <v>546.34124999999995</v>
      </c>
      <c r="AA271" s="19">
        <v>383.69239999999996</v>
      </c>
      <c r="AB271" s="19">
        <v>750.29499999999985</v>
      </c>
      <c r="AC271" s="19">
        <v>0</v>
      </c>
      <c r="AD271" s="19">
        <v>0</v>
      </c>
      <c r="AE271" s="19">
        <v>0</v>
      </c>
      <c r="AF271" s="19">
        <v>546.34124999999995</v>
      </c>
      <c r="AG271" s="19">
        <v>383.69239999999996</v>
      </c>
      <c r="AH271" s="19">
        <v>750.29499999999985</v>
      </c>
      <c r="AI271" s="19">
        <v>0</v>
      </c>
      <c r="AJ271" s="19">
        <v>0</v>
      </c>
      <c r="AK271" s="19">
        <v>0</v>
      </c>
      <c r="AL271" s="19">
        <v>546.34124999999995</v>
      </c>
      <c r="AM271" s="19">
        <v>383.69239999999996</v>
      </c>
      <c r="AN271" s="19">
        <v>750.29499999999985</v>
      </c>
      <c r="AO271" s="19">
        <v>0</v>
      </c>
      <c r="AP271" s="19">
        <v>0</v>
      </c>
      <c r="AQ271" s="19">
        <v>0</v>
      </c>
      <c r="AR271" s="19">
        <v>546.34124999999995</v>
      </c>
      <c r="AS271" s="19">
        <v>383.69239999999996</v>
      </c>
      <c r="AT271" s="19">
        <v>750.29499999999985</v>
      </c>
      <c r="AU271" s="19">
        <v>0</v>
      </c>
      <c r="AV271" s="19">
        <v>0</v>
      </c>
      <c r="AW271" s="19">
        <v>0</v>
      </c>
      <c r="AX271" s="19">
        <v>546.34124999999995</v>
      </c>
      <c r="AY271" s="19">
        <v>383.69239999999996</v>
      </c>
      <c r="AZ271" s="19">
        <v>750.29499999999985</v>
      </c>
      <c r="BA271" s="19">
        <v>0</v>
      </c>
      <c r="BB271" s="19">
        <v>0</v>
      </c>
      <c r="BC271" s="19">
        <v>0</v>
      </c>
      <c r="BD271" s="19">
        <v>546.34124999999995</v>
      </c>
      <c r="BE271" s="19">
        <v>383.69239999999996</v>
      </c>
      <c r="BF271" s="19">
        <v>750.29499999999985</v>
      </c>
      <c r="BG271" s="19">
        <v>0</v>
      </c>
      <c r="BH271" s="19">
        <v>0</v>
      </c>
      <c r="BI271" s="19">
        <v>0</v>
      </c>
      <c r="BJ271" s="19">
        <v>546.34124999999995</v>
      </c>
      <c r="BK271" s="19">
        <v>383.69239999999996</v>
      </c>
      <c r="BL271" s="19">
        <v>750.29499999999985</v>
      </c>
      <c r="BM271" s="19">
        <v>0</v>
      </c>
      <c r="BN271" s="19">
        <v>0</v>
      </c>
      <c r="BO271" s="19">
        <v>0</v>
      </c>
      <c r="BP271" s="19"/>
      <c r="BQ27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1" s="11">
        <f>Tabelle5897112140[[#This Row],[Mindestauslastung min]]*Tabelle5897112140[[#This Row],[installierte Leistung MW min]]</f>
        <v>75.53</v>
      </c>
      <c r="BU271" s="11">
        <f>Tabelle5897112140[[#This Row],[Mindestauslastung durch]]*Tabelle5897112140[[#This Row],[installierte Leistung MW durch]]</f>
        <v>81.900000000000006</v>
      </c>
      <c r="BV271" s="11">
        <f>Tabelle5897112140[[#This Row],[Mindestauslastung max]]*Tabelle5897112140[[#This Row],[installierte Leistung MW max]]</f>
        <v>88.27000000000001</v>
      </c>
      <c r="BW271" s="9">
        <v>0.05</v>
      </c>
      <c r="BX271" s="9">
        <v>0.05</v>
      </c>
      <c r="BY271" s="9">
        <v>0.05</v>
      </c>
      <c r="BZ271" s="9"/>
      <c r="CA271" s="9">
        <v>0.33354166666666663</v>
      </c>
      <c r="CB271" s="9">
        <v>0.254</v>
      </c>
      <c r="CC271" s="9">
        <v>0.42499999999999999</v>
      </c>
      <c r="CD271" s="9">
        <v>0.33354166666666663</v>
      </c>
      <c r="CE271" s="9">
        <v>0.254</v>
      </c>
      <c r="CF271" s="9">
        <v>0.42499999999999999</v>
      </c>
      <c r="CG271" s="9">
        <v>0.33354166666666663</v>
      </c>
      <c r="CH271" s="9">
        <v>0.254</v>
      </c>
      <c r="CI271" s="9">
        <v>0.42499999999999999</v>
      </c>
      <c r="CJ271" s="9">
        <v>0.33354166666666663</v>
      </c>
      <c r="CK271" s="9">
        <v>0.254</v>
      </c>
      <c r="CL271" s="9">
        <v>0.42499999999999999</v>
      </c>
      <c r="CM271" s="9">
        <v>0.33354166666666663</v>
      </c>
      <c r="CN271" s="9">
        <v>0.254</v>
      </c>
      <c r="CO271" s="9">
        <v>0.42499999999999999</v>
      </c>
      <c r="CP271" s="9">
        <v>0.33354166666666663</v>
      </c>
      <c r="CQ271" s="9">
        <v>0.254</v>
      </c>
      <c r="CR271" s="9">
        <v>0.42499999999999999</v>
      </c>
      <c r="CS271" s="9">
        <v>0.33354166666666663</v>
      </c>
      <c r="CT271" s="9">
        <v>0.254</v>
      </c>
      <c r="CU271" s="9">
        <v>0.42499999999999999</v>
      </c>
      <c r="CV271" s="9">
        <v>0.33354166666666663</v>
      </c>
      <c r="CW271" s="9">
        <v>0.254</v>
      </c>
      <c r="CX271" s="9">
        <v>0.42499999999999999</v>
      </c>
      <c r="CY271" s="9">
        <v>0.33354166666666663</v>
      </c>
      <c r="CZ271" s="9">
        <v>0.254</v>
      </c>
      <c r="DA271" s="9">
        <v>0.42499999999999999</v>
      </c>
      <c r="DB271" s="9">
        <f>MIN(Tabelle5897112140[[#This Row],[Durchschnittsauslastung durch Sommer WTT]:[Durchschnittsauslastung max Winter SFN]])</f>
        <v>0.254</v>
      </c>
      <c r="DC27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1" s="9">
        <f>MAX(Tabelle5897112140[[#This Row],[Durchschnittsauslastung durch Sommer WTT]:[Durchschnittsauslastung max Winter SFN]])</f>
        <v>0.42499999999999999</v>
      </c>
      <c r="DE271" s="40">
        <f>Tabelle5897112140[[#This Row],[Durchschnittsauslastung min]]*Tabelle5897112140[[#This Row],[installierte Leistung MW min]]</f>
        <v>383.69239999999996</v>
      </c>
      <c r="DF271" s="40">
        <f>Tabelle5897112140[[#This Row],[Durchschnittsauslastung durch]]*Tabelle5897112140[[#This Row],[installierte Leistung MW durch]]</f>
        <v>546.34124999999995</v>
      </c>
      <c r="DG271" s="40">
        <f>Tabelle5897112140[[#This Row],[Durchschnittsauslastung max]]*Tabelle5897112140[[#This Row],[installierte Leistung MW max]]</f>
        <v>750.29500000000007</v>
      </c>
      <c r="DH271" s="46">
        <f>Tabelle5897112140[[#This Row],[Maximalauslastung min]]*Tabelle5897112140[[#This Row],[installierte Leistung MW min]]</f>
        <v>1510.6</v>
      </c>
      <c r="DI271" s="46">
        <f>Tabelle5897112140[[#This Row],[Maximalauslastung durch]]*Tabelle5897112140[[#This Row],[installierte Leistung MW durch]]</f>
        <v>1638</v>
      </c>
      <c r="DJ271" s="19">
        <f>Tabelle5897112140[[#This Row],[Maximalauslastung max]]*Tabelle5897112140[[#This Row],[installierte Leistung MW durch]]</f>
        <v>1638</v>
      </c>
      <c r="DK271" s="9">
        <v>1</v>
      </c>
      <c r="DL271" s="9">
        <v>1</v>
      </c>
      <c r="DM271" s="9">
        <v>1</v>
      </c>
      <c r="DN271" s="1">
        <v>1638</v>
      </c>
      <c r="DO271" s="1">
        <v>1510.6</v>
      </c>
      <c r="DP271" s="1">
        <v>1765.4</v>
      </c>
      <c r="DQ271" s="19"/>
      <c r="DR271" s="19"/>
      <c r="DW271" s="1">
        <v>0.25</v>
      </c>
      <c r="DX271" s="1">
        <v>0.2</v>
      </c>
      <c r="DY271" s="1">
        <v>0.3</v>
      </c>
      <c r="DZ271" s="1">
        <v>0.25</v>
      </c>
      <c r="EA271" s="1">
        <v>0.2</v>
      </c>
      <c r="EB271" s="1">
        <v>0.3</v>
      </c>
      <c r="EC271" s="1">
        <v>4.5</v>
      </c>
      <c r="ED271" s="1">
        <v>3</v>
      </c>
      <c r="EE271" s="1">
        <v>6</v>
      </c>
      <c r="EF271" s="1">
        <v>0.4</v>
      </c>
      <c r="EG271" s="1">
        <v>0.3</v>
      </c>
      <c r="EH271" s="1">
        <v>0.5</v>
      </c>
      <c r="EL271" s="1">
        <v>6570</v>
      </c>
      <c r="EM271" s="1">
        <v>4380</v>
      </c>
      <c r="EN271" s="1">
        <v>8760</v>
      </c>
      <c r="EO271" s="11"/>
      <c r="EP271" s="11"/>
      <c r="EQ271" s="11"/>
      <c r="ER271" s="1">
        <v>6570</v>
      </c>
      <c r="ES271" s="1">
        <v>4380</v>
      </c>
      <c r="ET271" s="1">
        <v>8760</v>
      </c>
      <c r="EU271" s="1">
        <v>25.656565656565654</v>
      </c>
      <c r="EV271" s="19">
        <v>23.131313131313131</v>
      </c>
      <c r="EW271" s="19">
        <v>28.18181818181818</v>
      </c>
      <c r="EX271" s="19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>
        <v>38.383838383838388</v>
      </c>
      <c r="FK271" s="8">
        <v>34.545454545454547</v>
      </c>
      <c r="FL271" s="1">
        <v>42.222222222222221</v>
      </c>
      <c r="FO271" s="1">
        <v>67</v>
      </c>
      <c r="FP271" s="1">
        <v>67</v>
      </c>
      <c r="FQ271" s="1">
        <v>67</v>
      </c>
      <c r="FR271" s="13" t="s">
        <v>806</v>
      </c>
      <c r="FS271" s="13" t="s">
        <v>806</v>
      </c>
      <c r="FT271" s="13" t="s">
        <v>806</v>
      </c>
      <c r="FU271" s="13"/>
      <c r="FV271" s="13" t="s">
        <v>806</v>
      </c>
      <c r="FW271" s="13" t="s">
        <v>806</v>
      </c>
      <c r="FX271" s="13" t="s">
        <v>806</v>
      </c>
      <c r="FY271" s="13" t="s">
        <v>806</v>
      </c>
      <c r="FZ271" s="13" t="s">
        <v>806</v>
      </c>
      <c r="GA271" s="13" t="s">
        <v>806</v>
      </c>
      <c r="GB271" s="13" t="s">
        <v>806</v>
      </c>
      <c r="GE271" s="13" t="s">
        <v>806</v>
      </c>
      <c r="GF271" s="13" t="s">
        <v>806</v>
      </c>
      <c r="GH271" s="13" t="s">
        <v>806</v>
      </c>
    </row>
    <row r="272" spans="1:190" ht="12.75" customHeight="1" x14ac:dyDescent="0.25">
      <c r="A272" s="1" t="s">
        <v>133</v>
      </c>
      <c r="B272" s="1" t="s">
        <v>652</v>
      </c>
      <c r="C272" s="1" t="s">
        <v>804</v>
      </c>
      <c r="D272" s="1" t="s">
        <v>681</v>
      </c>
      <c r="E272" s="1" t="s">
        <v>139</v>
      </c>
      <c r="F272" s="1">
        <v>0</v>
      </c>
      <c r="G272" s="1">
        <v>2045</v>
      </c>
      <c r="H272" s="1">
        <v>1</v>
      </c>
      <c r="I272" s="1">
        <v>0</v>
      </c>
      <c r="J272" s="1">
        <v>0</v>
      </c>
      <c r="K27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356.28579999999999</v>
      </c>
      <c r="L27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507.31687500000004</v>
      </c>
      <c r="M27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696.70249999999999</v>
      </c>
      <c r="N272" s="19">
        <v>507.31687499999998</v>
      </c>
      <c r="O272" s="19">
        <v>356.28579999999999</v>
      </c>
      <c r="P272" s="19">
        <v>696.70249999999999</v>
      </c>
      <c r="Q272" s="19">
        <v>0</v>
      </c>
      <c r="R272" s="19">
        <v>0</v>
      </c>
      <c r="S272" s="19">
        <v>0</v>
      </c>
      <c r="T272" s="19">
        <v>507.31687499999998</v>
      </c>
      <c r="U272" s="19">
        <v>356.28579999999999</v>
      </c>
      <c r="V272" s="19">
        <v>696.70249999999999</v>
      </c>
      <c r="W272" s="19">
        <v>0</v>
      </c>
      <c r="X272" s="19">
        <v>0</v>
      </c>
      <c r="Y272" s="19">
        <v>0</v>
      </c>
      <c r="Z272" s="19">
        <v>507.31687499999998</v>
      </c>
      <c r="AA272" s="19">
        <v>356.28579999999999</v>
      </c>
      <c r="AB272" s="19">
        <v>696.70249999999999</v>
      </c>
      <c r="AC272" s="19">
        <v>0</v>
      </c>
      <c r="AD272" s="19">
        <v>0</v>
      </c>
      <c r="AE272" s="19">
        <v>0</v>
      </c>
      <c r="AF272" s="19">
        <v>507.31687499999998</v>
      </c>
      <c r="AG272" s="19">
        <v>356.28579999999999</v>
      </c>
      <c r="AH272" s="19">
        <v>696.70249999999999</v>
      </c>
      <c r="AI272" s="19">
        <v>0</v>
      </c>
      <c r="AJ272" s="19">
        <v>0</v>
      </c>
      <c r="AK272" s="19">
        <v>0</v>
      </c>
      <c r="AL272" s="19">
        <v>507.31687499999998</v>
      </c>
      <c r="AM272" s="19">
        <v>356.28579999999999</v>
      </c>
      <c r="AN272" s="19">
        <v>696.70249999999999</v>
      </c>
      <c r="AO272" s="19">
        <v>0</v>
      </c>
      <c r="AP272" s="19">
        <v>0</v>
      </c>
      <c r="AQ272" s="19">
        <v>0</v>
      </c>
      <c r="AR272" s="19">
        <v>507.31687499999998</v>
      </c>
      <c r="AS272" s="19">
        <v>356.28579999999999</v>
      </c>
      <c r="AT272" s="19">
        <v>696.70249999999999</v>
      </c>
      <c r="AU272" s="19">
        <v>0</v>
      </c>
      <c r="AV272" s="19">
        <v>0</v>
      </c>
      <c r="AW272" s="19">
        <v>0</v>
      </c>
      <c r="AX272" s="19">
        <v>507.31687499999998</v>
      </c>
      <c r="AY272" s="19">
        <v>356.28579999999999</v>
      </c>
      <c r="AZ272" s="19">
        <v>696.70249999999999</v>
      </c>
      <c r="BA272" s="19">
        <v>0</v>
      </c>
      <c r="BB272" s="19">
        <v>0</v>
      </c>
      <c r="BC272" s="19">
        <v>0</v>
      </c>
      <c r="BD272" s="19">
        <v>507.31687499999998</v>
      </c>
      <c r="BE272" s="19">
        <v>356.28579999999999</v>
      </c>
      <c r="BF272" s="19">
        <v>696.70249999999999</v>
      </c>
      <c r="BG272" s="19">
        <v>0</v>
      </c>
      <c r="BH272" s="19">
        <v>0</v>
      </c>
      <c r="BI272" s="19">
        <v>0</v>
      </c>
      <c r="BJ272" s="19">
        <v>507.31687499999998</v>
      </c>
      <c r="BK272" s="19">
        <v>356.28579999999999</v>
      </c>
      <c r="BL272" s="19">
        <v>696.70249999999999</v>
      </c>
      <c r="BM272" s="19">
        <v>0</v>
      </c>
      <c r="BN272" s="19">
        <v>0</v>
      </c>
      <c r="BO272" s="19">
        <v>0</v>
      </c>
      <c r="BP272" s="19"/>
      <c r="BQ27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2" s="11">
        <f>Tabelle5897112140[[#This Row],[Mindestauslastung min]]*Tabelle5897112140[[#This Row],[installierte Leistung MW min]]</f>
        <v>70.135000000000005</v>
      </c>
      <c r="BU272" s="11">
        <f>Tabelle5897112140[[#This Row],[Mindestauslastung durch]]*Tabelle5897112140[[#This Row],[installierte Leistung MW durch]]</f>
        <v>76.05</v>
      </c>
      <c r="BV272" s="11">
        <f>Tabelle5897112140[[#This Row],[Mindestauslastung max]]*Tabelle5897112140[[#This Row],[installierte Leistung MW max]]</f>
        <v>81.965000000000003</v>
      </c>
      <c r="BW272" s="9">
        <v>0.05</v>
      </c>
      <c r="BX272" s="9">
        <v>0.05</v>
      </c>
      <c r="BY272" s="9">
        <v>0.05</v>
      </c>
      <c r="BZ272" s="9"/>
      <c r="CA272" s="9">
        <v>0.33354166666666663</v>
      </c>
      <c r="CB272" s="9">
        <v>0.254</v>
      </c>
      <c r="CC272" s="9">
        <v>0.42499999999999999</v>
      </c>
      <c r="CD272" s="9">
        <v>0.33354166666666663</v>
      </c>
      <c r="CE272" s="9">
        <v>0.254</v>
      </c>
      <c r="CF272" s="9">
        <v>0.42499999999999999</v>
      </c>
      <c r="CG272" s="9">
        <v>0.33354166666666663</v>
      </c>
      <c r="CH272" s="9">
        <v>0.254</v>
      </c>
      <c r="CI272" s="9">
        <v>0.42499999999999999</v>
      </c>
      <c r="CJ272" s="9">
        <v>0.33354166666666663</v>
      </c>
      <c r="CK272" s="9">
        <v>0.254</v>
      </c>
      <c r="CL272" s="9">
        <v>0.42499999999999999</v>
      </c>
      <c r="CM272" s="9">
        <v>0.33354166666666663</v>
      </c>
      <c r="CN272" s="9">
        <v>0.254</v>
      </c>
      <c r="CO272" s="9">
        <v>0.42499999999999999</v>
      </c>
      <c r="CP272" s="9">
        <v>0.33354166666666663</v>
      </c>
      <c r="CQ272" s="9">
        <v>0.254</v>
      </c>
      <c r="CR272" s="9">
        <v>0.42499999999999999</v>
      </c>
      <c r="CS272" s="9">
        <v>0.33354166666666663</v>
      </c>
      <c r="CT272" s="9">
        <v>0.254</v>
      </c>
      <c r="CU272" s="9">
        <v>0.42499999999999999</v>
      </c>
      <c r="CV272" s="9">
        <v>0.33354166666666663</v>
      </c>
      <c r="CW272" s="9">
        <v>0.254</v>
      </c>
      <c r="CX272" s="9">
        <v>0.42499999999999999</v>
      </c>
      <c r="CY272" s="9">
        <v>0.33354166666666663</v>
      </c>
      <c r="CZ272" s="9">
        <v>0.254</v>
      </c>
      <c r="DA272" s="9">
        <v>0.42499999999999999</v>
      </c>
      <c r="DB272" s="9">
        <f>MIN(Tabelle5897112140[[#This Row],[Durchschnittsauslastung durch Sommer WTT]:[Durchschnittsauslastung max Winter SFN]])</f>
        <v>0.254</v>
      </c>
      <c r="DC27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2" s="9">
        <f>MAX(Tabelle5897112140[[#This Row],[Durchschnittsauslastung durch Sommer WTT]:[Durchschnittsauslastung max Winter SFN]])</f>
        <v>0.42499999999999999</v>
      </c>
      <c r="DE272" s="40">
        <f>Tabelle5897112140[[#This Row],[Durchschnittsauslastung min]]*Tabelle5897112140[[#This Row],[installierte Leistung MW min]]</f>
        <v>356.28579999999999</v>
      </c>
      <c r="DF272" s="40">
        <f>Tabelle5897112140[[#This Row],[Durchschnittsauslastung durch]]*Tabelle5897112140[[#This Row],[installierte Leistung MW durch]]</f>
        <v>507.31687499999992</v>
      </c>
      <c r="DG272" s="40">
        <f>Tabelle5897112140[[#This Row],[Durchschnittsauslastung max]]*Tabelle5897112140[[#This Row],[installierte Leistung MW max]]</f>
        <v>696.70249999999999</v>
      </c>
      <c r="DH272" s="46">
        <f>Tabelle5897112140[[#This Row],[Maximalauslastung min]]*Tabelle5897112140[[#This Row],[installierte Leistung MW min]]</f>
        <v>1402.7</v>
      </c>
      <c r="DI272" s="46">
        <f>Tabelle5897112140[[#This Row],[Maximalauslastung durch]]*Tabelle5897112140[[#This Row],[installierte Leistung MW durch]]</f>
        <v>1521</v>
      </c>
      <c r="DJ272" s="19">
        <f>Tabelle5897112140[[#This Row],[Maximalauslastung max]]*Tabelle5897112140[[#This Row],[installierte Leistung MW durch]]</f>
        <v>1521</v>
      </c>
      <c r="DK272" s="9">
        <v>1</v>
      </c>
      <c r="DL272" s="9">
        <v>1</v>
      </c>
      <c r="DM272" s="9">
        <v>1</v>
      </c>
      <c r="DN272" s="1">
        <v>1521</v>
      </c>
      <c r="DO272" s="1">
        <v>1402.7</v>
      </c>
      <c r="DP272" s="1">
        <v>1639.3</v>
      </c>
      <c r="DQ272" s="19"/>
      <c r="DR272" s="19"/>
      <c r="DW272" s="1">
        <v>0.25</v>
      </c>
      <c r="DX272" s="1">
        <v>0.2</v>
      </c>
      <c r="DY272" s="1">
        <v>0.3</v>
      </c>
      <c r="DZ272" s="1">
        <v>0.25</v>
      </c>
      <c r="EA272" s="1">
        <v>0.2</v>
      </c>
      <c r="EB272" s="1">
        <v>0.3</v>
      </c>
      <c r="EC272" s="1">
        <v>4.5</v>
      </c>
      <c r="ED272" s="1">
        <v>3</v>
      </c>
      <c r="EE272" s="1">
        <v>6</v>
      </c>
      <c r="EF272" s="1">
        <v>0.4</v>
      </c>
      <c r="EG272" s="1">
        <v>0.3</v>
      </c>
      <c r="EH272" s="1">
        <v>0.5</v>
      </c>
      <c r="EL272" s="1">
        <v>6570</v>
      </c>
      <c r="EM272" s="1">
        <v>4380</v>
      </c>
      <c r="EN272" s="1">
        <v>8760</v>
      </c>
      <c r="EO272" s="11"/>
      <c r="EP272" s="11"/>
      <c r="EQ272" s="11"/>
      <c r="ER272" s="1">
        <v>6570</v>
      </c>
      <c r="ES272" s="1">
        <v>4380</v>
      </c>
      <c r="ET272" s="1">
        <v>8760</v>
      </c>
      <c r="EU272" s="1">
        <v>25.656565656565654</v>
      </c>
      <c r="EV272" s="19">
        <v>23.131313131313131</v>
      </c>
      <c r="EW272" s="19">
        <v>28.18181818181818</v>
      </c>
      <c r="EX272" s="19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>
        <v>38.383838383838388</v>
      </c>
      <c r="FK272" s="8">
        <v>34.545454545454547</v>
      </c>
      <c r="FL272" s="1">
        <v>42.222222222222221</v>
      </c>
      <c r="FO272" s="1">
        <v>67</v>
      </c>
      <c r="FP272" s="1">
        <v>67</v>
      </c>
      <c r="FQ272" s="1">
        <v>67</v>
      </c>
      <c r="FR272" s="13" t="s">
        <v>806</v>
      </c>
      <c r="FS272" s="13" t="s">
        <v>806</v>
      </c>
      <c r="FT272" s="13" t="s">
        <v>806</v>
      </c>
      <c r="FU272" s="13"/>
      <c r="FV272" s="13" t="s">
        <v>806</v>
      </c>
      <c r="FW272" s="13" t="s">
        <v>806</v>
      </c>
      <c r="FX272" s="13" t="s">
        <v>806</v>
      </c>
      <c r="FY272" s="13" t="s">
        <v>806</v>
      </c>
      <c r="FZ272" s="13" t="s">
        <v>806</v>
      </c>
      <c r="GA272" s="13" t="s">
        <v>806</v>
      </c>
      <c r="GB272" s="13" t="s">
        <v>806</v>
      </c>
      <c r="GE272" s="13" t="s">
        <v>806</v>
      </c>
      <c r="GF272" s="13" t="s">
        <v>806</v>
      </c>
      <c r="GH272" s="13" t="s">
        <v>806</v>
      </c>
    </row>
    <row r="273" spans="1:190" ht="12.75" customHeight="1" x14ac:dyDescent="0.25">
      <c r="A273" s="1" t="s">
        <v>133</v>
      </c>
      <c r="B273" s="1" t="s">
        <v>652</v>
      </c>
      <c r="C273" s="1" t="s">
        <v>804</v>
      </c>
      <c r="D273" s="1" t="s">
        <v>681</v>
      </c>
      <c r="E273" s="1" t="s">
        <v>139</v>
      </c>
      <c r="F273" s="1">
        <v>0</v>
      </c>
      <c r="G273" s="1">
        <v>2050</v>
      </c>
      <c r="H273" s="1">
        <v>1</v>
      </c>
      <c r="I273" s="1">
        <v>0</v>
      </c>
      <c r="J273" s="1">
        <v>0</v>
      </c>
      <c r="K27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323.39787999999993</v>
      </c>
      <c r="L27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460.48762499999987</v>
      </c>
      <c r="M27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632.39149999999995</v>
      </c>
      <c r="N273" s="19">
        <v>460.48762499999992</v>
      </c>
      <c r="O273" s="19">
        <v>323.39787999999993</v>
      </c>
      <c r="P273" s="19">
        <v>632.39149999999995</v>
      </c>
      <c r="Q273" s="19">
        <v>0</v>
      </c>
      <c r="R273" s="19">
        <v>0</v>
      </c>
      <c r="S273" s="19">
        <v>0</v>
      </c>
      <c r="T273" s="19">
        <v>460.48762499999992</v>
      </c>
      <c r="U273" s="19">
        <v>323.39787999999993</v>
      </c>
      <c r="V273" s="19">
        <v>632.39149999999995</v>
      </c>
      <c r="W273" s="19">
        <v>0</v>
      </c>
      <c r="X273" s="19">
        <v>0</v>
      </c>
      <c r="Y273" s="19">
        <v>0</v>
      </c>
      <c r="Z273" s="19">
        <v>460.48762499999992</v>
      </c>
      <c r="AA273" s="19">
        <v>323.39787999999993</v>
      </c>
      <c r="AB273" s="19">
        <v>632.39149999999995</v>
      </c>
      <c r="AC273" s="19">
        <v>0</v>
      </c>
      <c r="AD273" s="19">
        <v>0</v>
      </c>
      <c r="AE273" s="19">
        <v>0</v>
      </c>
      <c r="AF273" s="19">
        <v>460.48762499999992</v>
      </c>
      <c r="AG273" s="19">
        <v>323.39787999999993</v>
      </c>
      <c r="AH273" s="19">
        <v>632.39149999999995</v>
      </c>
      <c r="AI273" s="19">
        <v>0</v>
      </c>
      <c r="AJ273" s="19">
        <v>0</v>
      </c>
      <c r="AK273" s="19">
        <v>0</v>
      </c>
      <c r="AL273" s="19">
        <v>460.48762499999992</v>
      </c>
      <c r="AM273" s="19">
        <v>323.39787999999993</v>
      </c>
      <c r="AN273" s="19">
        <v>632.39149999999995</v>
      </c>
      <c r="AO273" s="19">
        <v>0</v>
      </c>
      <c r="AP273" s="19">
        <v>0</v>
      </c>
      <c r="AQ273" s="19">
        <v>0</v>
      </c>
      <c r="AR273" s="19">
        <v>460.48762499999992</v>
      </c>
      <c r="AS273" s="19">
        <v>323.39787999999993</v>
      </c>
      <c r="AT273" s="19">
        <v>632.39149999999995</v>
      </c>
      <c r="AU273" s="19">
        <v>0</v>
      </c>
      <c r="AV273" s="19">
        <v>0</v>
      </c>
      <c r="AW273" s="19">
        <v>0</v>
      </c>
      <c r="AX273" s="19">
        <v>460.48762499999992</v>
      </c>
      <c r="AY273" s="19">
        <v>323.39787999999993</v>
      </c>
      <c r="AZ273" s="19">
        <v>632.39149999999995</v>
      </c>
      <c r="BA273" s="19">
        <v>0</v>
      </c>
      <c r="BB273" s="19">
        <v>0</v>
      </c>
      <c r="BC273" s="19">
        <v>0</v>
      </c>
      <c r="BD273" s="19">
        <v>460.48762499999992</v>
      </c>
      <c r="BE273" s="19">
        <v>323.39787999999993</v>
      </c>
      <c r="BF273" s="19">
        <v>632.39149999999995</v>
      </c>
      <c r="BG273" s="19">
        <v>0</v>
      </c>
      <c r="BH273" s="19">
        <v>0</v>
      </c>
      <c r="BI273" s="19">
        <v>0</v>
      </c>
      <c r="BJ273" s="19">
        <v>460.48762499999992</v>
      </c>
      <c r="BK273" s="19">
        <v>323.39787999999993</v>
      </c>
      <c r="BL273" s="19">
        <v>632.39149999999995</v>
      </c>
      <c r="BM273" s="19">
        <v>0</v>
      </c>
      <c r="BN273" s="19">
        <v>0</v>
      </c>
      <c r="BO273" s="19">
        <v>0</v>
      </c>
      <c r="BP273" s="19"/>
      <c r="BQ27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3" s="11">
        <f>Tabelle5897112140[[#This Row],[Mindestauslastung min]]*Tabelle5897112140[[#This Row],[installierte Leistung MW min]]</f>
        <v>63.661000000000001</v>
      </c>
      <c r="BU273" s="11">
        <f>Tabelle5897112140[[#This Row],[Mindestauslastung durch]]*Tabelle5897112140[[#This Row],[installierte Leistung MW durch]]</f>
        <v>69.03</v>
      </c>
      <c r="BV273" s="11">
        <f>Tabelle5897112140[[#This Row],[Mindestauslastung max]]*Tabelle5897112140[[#This Row],[installierte Leistung MW max]]</f>
        <v>74.399000000000001</v>
      </c>
      <c r="BW273" s="9">
        <v>0.05</v>
      </c>
      <c r="BX273" s="9">
        <v>0.05</v>
      </c>
      <c r="BY273" s="9">
        <v>0.05</v>
      </c>
      <c r="BZ273" s="9"/>
      <c r="CA273" s="9">
        <v>0.33354166666666663</v>
      </c>
      <c r="CB273" s="9">
        <v>0.254</v>
      </c>
      <c r="CC273" s="9">
        <v>0.42499999999999999</v>
      </c>
      <c r="CD273" s="9">
        <v>0.33354166666666663</v>
      </c>
      <c r="CE273" s="9">
        <v>0.254</v>
      </c>
      <c r="CF273" s="9">
        <v>0.42499999999999999</v>
      </c>
      <c r="CG273" s="9">
        <v>0.33354166666666663</v>
      </c>
      <c r="CH273" s="9">
        <v>0.254</v>
      </c>
      <c r="CI273" s="9">
        <v>0.42499999999999999</v>
      </c>
      <c r="CJ273" s="9">
        <v>0.33354166666666663</v>
      </c>
      <c r="CK273" s="9">
        <v>0.254</v>
      </c>
      <c r="CL273" s="9">
        <v>0.42499999999999999</v>
      </c>
      <c r="CM273" s="9">
        <v>0.33354166666666663</v>
      </c>
      <c r="CN273" s="9">
        <v>0.254</v>
      </c>
      <c r="CO273" s="9">
        <v>0.42499999999999999</v>
      </c>
      <c r="CP273" s="9">
        <v>0.33354166666666663</v>
      </c>
      <c r="CQ273" s="9">
        <v>0.254</v>
      </c>
      <c r="CR273" s="9">
        <v>0.42499999999999999</v>
      </c>
      <c r="CS273" s="9">
        <v>0.33354166666666663</v>
      </c>
      <c r="CT273" s="9">
        <v>0.254</v>
      </c>
      <c r="CU273" s="9">
        <v>0.42499999999999999</v>
      </c>
      <c r="CV273" s="9">
        <v>0.33354166666666663</v>
      </c>
      <c r="CW273" s="9">
        <v>0.254</v>
      </c>
      <c r="CX273" s="9">
        <v>0.42499999999999999</v>
      </c>
      <c r="CY273" s="9">
        <v>0.33354166666666663</v>
      </c>
      <c r="CZ273" s="9">
        <v>0.254</v>
      </c>
      <c r="DA273" s="9">
        <v>0.42499999999999999</v>
      </c>
      <c r="DB273" s="9">
        <f>MIN(Tabelle5897112140[[#This Row],[Durchschnittsauslastung durch Sommer WTT]:[Durchschnittsauslastung max Winter SFN]])</f>
        <v>0.254</v>
      </c>
      <c r="DC27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3" s="9">
        <f>MAX(Tabelle5897112140[[#This Row],[Durchschnittsauslastung durch Sommer WTT]:[Durchschnittsauslastung max Winter SFN]])</f>
        <v>0.42499999999999999</v>
      </c>
      <c r="DE273" s="40">
        <f>Tabelle5897112140[[#This Row],[Durchschnittsauslastung min]]*Tabelle5897112140[[#This Row],[installierte Leistung MW min]]</f>
        <v>323.39787999999999</v>
      </c>
      <c r="DF273" s="40">
        <f>Tabelle5897112140[[#This Row],[Durchschnittsauslastung durch]]*Tabelle5897112140[[#This Row],[installierte Leistung MW durch]]</f>
        <v>460.48762499999992</v>
      </c>
      <c r="DG273" s="40">
        <f>Tabelle5897112140[[#This Row],[Durchschnittsauslastung max]]*Tabelle5897112140[[#This Row],[installierte Leistung MW max]]</f>
        <v>632.39149999999995</v>
      </c>
      <c r="DH273" s="46">
        <f>Tabelle5897112140[[#This Row],[Maximalauslastung min]]*Tabelle5897112140[[#This Row],[installierte Leistung MW min]]</f>
        <v>1273.22</v>
      </c>
      <c r="DI273" s="46">
        <f>Tabelle5897112140[[#This Row],[Maximalauslastung durch]]*Tabelle5897112140[[#This Row],[installierte Leistung MW durch]]</f>
        <v>1380.6</v>
      </c>
      <c r="DJ273" s="19">
        <f>Tabelle5897112140[[#This Row],[Maximalauslastung max]]*Tabelle5897112140[[#This Row],[installierte Leistung MW durch]]</f>
        <v>1380.6</v>
      </c>
      <c r="DK273" s="9">
        <v>1</v>
      </c>
      <c r="DL273" s="9">
        <v>1</v>
      </c>
      <c r="DM273" s="9">
        <v>1</v>
      </c>
      <c r="DN273" s="1">
        <v>1380.6</v>
      </c>
      <c r="DO273" s="1">
        <v>1273.22</v>
      </c>
      <c r="DP273" s="1">
        <v>1487.98</v>
      </c>
      <c r="DQ273" s="19"/>
      <c r="DR273" s="19"/>
      <c r="DW273" s="1">
        <v>0.25</v>
      </c>
      <c r="DX273" s="1">
        <v>0.2</v>
      </c>
      <c r="DY273" s="1">
        <v>0.3</v>
      </c>
      <c r="DZ273" s="1">
        <v>0.25</v>
      </c>
      <c r="EA273" s="1">
        <v>0.2</v>
      </c>
      <c r="EB273" s="1">
        <v>0.3</v>
      </c>
      <c r="EC273" s="1">
        <v>4.5</v>
      </c>
      <c r="ED273" s="1">
        <v>3</v>
      </c>
      <c r="EE273" s="1">
        <v>6</v>
      </c>
      <c r="EF273" s="1">
        <v>0.4</v>
      </c>
      <c r="EG273" s="1">
        <v>0.3</v>
      </c>
      <c r="EH273" s="1">
        <v>0.5</v>
      </c>
      <c r="EL273" s="1">
        <v>6570</v>
      </c>
      <c r="EM273" s="1">
        <v>4380</v>
      </c>
      <c r="EN273" s="1">
        <v>8760</v>
      </c>
      <c r="EO273" s="11"/>
      <c r="EP273" s="11"/>
      <c r="EQ273" s="11"/>
      <c r="ER273" s="1">
        <v>6570</v>
      </c>
      <c r="ES273" s="1">
        <v>4380</v>
      </c>
      <c r="ET273" s="1">
        <v>8760</v>
      </c>
      <c r="EU273" s="1">
        <v>25.656565656565654</v>
      </c>
      <c r="EV273" s="19">
        <v>23.131313131313131</v>
      </c>
      <c r="EW273" s="19">
        <v>28.18181818181818</v>
      </c>
      <c r="EX273" s="19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>
        <v>38.383838383838388</v>
      </c>
      <c r="FK273" s="8">
        <v>34.545454545454547</v>
      </c>
      <c r="FL273" s="1">
        <v>42.222222222222221</v>
      </c>
      <c r="FO273" s="1">
        <v>67</v>
      </c>
      <c r="FP273" s="1">
        <v>67</v>
      </c>
      <c r="FQ273" s="1">
        <v>67</v>
      </c>
      <c r="FR273" s="13" t="s">
        <v>806</v>
      </c>
      <c r="FS273" s="13" t="s">
        <v>806</v>
      </c>
      <c r="FT273" s="13" t="s">
        <v>806</v>
      </c>
      <c r="FU273" s="13"/>
      <c r="FV273" s="13" t="s">
        <v>806</v>
      </c>
      <c r="FW273" s="13" t="s">
        <v>806</v>
      </c>
      <c r="FX273" s="13" t="s">
        <v>806</v>
      </c>
      <c r="FY273" s="13" t="s">
        <v>806</v>
      </c>
      <c r="FZ273" s="13" t="s">
        <v>806</v>
      </c>
      <c r="GA273" s="13" t="s">
        <v>806</v>
      </c>
      <c r="GB273" s="13" t="s">
        <v>806</v>
      </c>
      <c r="GE273" s="13" t="s">
        <v>806</v>
      </c>
      <c r="GF273" s="13" t="s">
        <v>806</v>
      </c>
      <c r="GH273" s="13" t="s">
        <v>806</v>
      </c>
    </row>
    <row r="274" spans="1:190" ht="12.75" customHeight="1" x14ac:dyDescent="0.25">
      <c r="A274" s="1" t="s">
        <v>283</v>
      </c>
      <c r="B274" s="1" t="s">
        <v>283</v>
      </c>
      <c r="C274" s="1" t="s">
        <v>804</v>
      </c>
      <c r="D274" s="1" t="s">
        <v>682</v>
      </c>
      <c r="E274" s="1" t="s">
        <v>139</v>
      </c>
      <c r="F274" s="1">
        <v>0</v>
      </c>
      <c r="G274" s="1">
        <v>2015</v>
      </c>
      <c r="H274" s="1">
        <v>0</v>
      </c>
      <c r="I274" s="1">
        <v>0</v>
      </c>
      <c r="J274" s="1">
        <v>1</v>
      </c>
      <c r="K27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470.57400000000013</v>
      </c>
      <c r="N274" s="19">
        <v>0</v>
      </c>
      <c r="O274" s="19">
        <v>0</v>
      </c>
      <c r="P274" s="19">
        <v>470.57400000000013</v>
      </c>
      <c r="Q274" s="19">
        <v>484.8205833333335</v>
      </c>
      <c r="R274" s="19">
        <v>0</v>
      </c>
      <c r="S274" s="19">
        <v>1986.8679999999999</v>
      </c>
      <c r="T274" s="19">
        <v>0</v>
      </c>
      <c r="U274" s="19">
        <v>0</v>
      </c>
      <c r="V274" s="19">
        <v>470.57400000000013</v>
      </c>
      <c r="W274" s="19">
        <v>484.8205833333335</v>
      </c>
      <c r="X274" s="19">
        <v>0</v>
      </c>
      <c r="Y274" s="19">
        <v>1986.8679999999999</v>
      </c>
      <c r="Z274" s="19">
        <v>0</v>
      </c>
      <c r="AA274" s="19">
        <v>0</v>
      </c>
      <c r="AB274" s="19">
        <v>470.57400000000013</v>
      </c>
      <c r="AC274" s="19">
        <v>484.8205833333335</v>
      </c>
      <c r="AD274" s="19">
        <v>0</v>
      </c>
      <c r="AE274" s="19">
        <v>1986.8679999999999</v>
      </c>
      <c r="AF274" s="19">
        <v>0</v>
      </c>
      <c r="AG274" s="19">
        <v>0</v>
      </c>
      <c r="AH274" s="19">
        <v>470.57400000000013</v>
      </c>
      <c r="AI274" s="19">
        <v>484.8205833333335</v>
      </c>
      <c r="AJ274" s="19">
        <v>0</v>
      </c>
      <c r="AK274" s="19">
        <v>1986.8679999999999</v>
      </c>
      <c r="AL274" s="19">
        <v>0</v>
      </c>
      <c r="AM274" s="19">
        <v>0</v>
      </c>
      <c r="AN274" s="19">
        <v>470.57400000000013</v>
      </c>
      <c r="AO274" s="19">
        <v>484.8205833333335</v>
      </c>
      <c r="AP274" s="19">
        <v>0</v>
      </c>
      <c r="AQ274" s="19">
        <v>1986.8679999999999</v>
      </c>
      <c r="AR274" s="19">
        <v>0</v>
      </c>
      <c r="AS274" s="19">
        <v>0</v>
      </c>
      <c r="AT274" s="19">
        <v>470.57400000000013</v>
      </c>
      <c r="AU274" s="19">
        <v>484.8205833333335</v>
      </c>
      <c r="AV274" s="19">
        <v>0</v>
      </c>
      <c r="AW274" s="19">
        <v>1986.8679999999999</v>
      </c>
      <c r="AX274" s="19">
        <v>0</v>
      </c>
      <c r="AY274" s="19">
        <v>0</v>
      </c>
      <c r="AZ274" s="19">
        <v>470.57400000000013</v>
      </c>
      <c r="BA274" s="19">
        <v>484.8205833333335</v>
      </c>
      <c r="BB274" s="19">
        <v>0</v>
      </c>
      <c r="BC274" s="19">
        <v>1986.8679999999999</v>
      </c>
      <c r="BD274" s="19">
        <v>0</v>
      </c>
      <c r="BE274" s="19">
        <v>0</v>
      </c>
      <c r="BF274" s="19">
        <v>470.57400000000013</v>
      </c>
      <c r="BG274" s="19">
        <v>484.8205833333335</v>
      </c>
      <c r="BH274" s="19">
        <v>0</v>
      </c>
      <c r="BI274" s="19">
        <v>1986.8679999999999</v>
      </c>
      <c r="BJ274" s="19">
        <v>0</v>
      </c>
      <c r="BK274" s="19">
        <v>0</v>
      </c>
      <c r="BL274" s="19">
        <v>470.57400000000013</v>
      </c>
      <c r="BM274" s="19">
        <v>484.8205833333335</v>
      </c>
      <c r="BN274" s="19">
        <v>0</v>
      </c>
      <c r="BO274" s="19">
        <v>1986.8679999999999</v>
      </c>
      <c r="BP274" s="19"/>
      <c r="BQ27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484.82058333333356</v>
      </c>
      <c r="BS27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1986.8679999999999</v>
      </c>
      <c r="BT274" s="11">
        <f>Tabelle5897112140[[#This Row],[Mindestauslastung min]]*Tabelle5897112140[[#This Row],[installierte Leistung MW min]]</f>
        <v>0</v>
      </c>
      <c r="BU274" s="11">
        <f>Tabelle5897112140[[#This Row],[Mindestauslastung durch]]*Tabelle5897112140[[#This Row],[installierte Leistung MW durch]]</f>
        <v>0</v>
      </c>
      <c r="BV274" s="11">
        <f>Tabelle5897112140[[#This Row],[Mindestauslastung max]]*Tabelle5897112140[[#This Row],[installierte Leistung MW max]]</f>
        <v>0</v>
      </c>
      <c r="BW274" s="9">
        <v>0</v>
      </c>
      <c r="BX274" s="9">
        <v>0</v>
      </c>
      <c r="BY274" s="9">
        <v>0</v>
      </c>
      <c r="BZ274" s="9"/>
      <c r="CA274" s="9">
        <v>1.270833333333333E-2</v>
      </c>
      <c r="CB274" s="9">
        <v>4.0000000000000001E-3</v>
      </c>
      <c r="CC274" s="9">
        <v>2.1999999999999999E-2</v>
      </c>
      <c r="CD274" s="9">
        <v>1.270833333333333E-2</v>
      </c>
      <c r="CE274" s="9">
        <v>4.0000000000000001E-3</v>
      </c>
      <c r="CF274" s="9">
        <v>2.1999999999999999E-2</v>
      </c>
      <c r="CG274" s="9">
        <v>1.270833333333333E-2</v>
      </c>
      <c r="CH274" s="9">
        <v>4.0000000000000001E-3</v>
      </c>
      <c r="CI274" s="9">
        <v>2.1999999999999999E-2</v>
      </c>
      <c r="CJ274" s="9">
        <v>1.270833333333333E-2</v>
      </c>
      <c r="CK274" s="9">
        <v>4.0000000000000001E-3</v>
      </c>
      <c r="CL274" s="9">
        <v>2.1999999999999999E-2</v>
      </c>
      <c r="CM274" s="9">
        <v>1.270833333333333E-2</v>
      </c>
      <c r="CN274" s="9">
        <v>4.0000000000000001E-3</v>
      </c>
      <c r="CO274" s="9">
        <v>2.1999999999999999E-2</v>
      </c>
      <c r="CP274" s="9">
        <v>1.270833333333333E-2</v>
      </c>
      <c r="CQ274" s="9">
        <v>4.0000000000000001E-3</v>
      </c>
      <c r="CR274" s="9">
        <v>2.1999999999999999E-2</v>
      </c>
      <c r="CS274" s="9">
        <v>1.270833333333333E-2</v>
      </c>
      <c r="CT274" s="9">
        <v>4.0000000000000001E-3</v>
      </c>
      <c r="CU274" s="9">
        <v>2.1999999999999999E-2</v>
      </c>
      <c r="CV274" s="9">
        <v>1.270833333333333E-2</v>
      </c>
      <c r="CW274" s="9">
        <v>4.0000000000000001E-3</v>
      </c>
      <c r="CX274" s="9">
        <v>2.1999999999999999E-2</v>
      </c>
      <c r="CY274" s="9">
        <v>1.270833333333333E-2</v>
      </c>
      <c r="CZ274" s="9">
        <v>4.0000000000000001E-3</v>
      </c>
      <c r="DA274" s="9">
        <v>2.1999999999999999E-2</v>
      </c>
      <c r="DB274" s="9">
        <f>MIN(Tabelle5897112140[[#This Row],[Durchschnittsauslastung durch Sommer WTT]:[Durchschnittsauslastung max Winter SFN]])</f>
        <v>4.0000000000000001E-3</v>
      </c>
      <c r="DC27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4" s="9">
        <f>MAX(Tabelle5897112140[[#This Row],[Durchschnittsauslastung durch Sommer WTT]:[Durchschnittsauslastung max Winter SFN]])</f>
        <v>2.1999999999999999E-2</v>
      </c>
      <c r="DE274" s="40">
        <f>Tabelle5897112140[[#This Row],[Durchschnittsauslastung min]]*Tabelle5897112140[[#This Row],[installierte Leistung MW min]]</f>
        <v>208.28</v>
      </c>
      <c r="DF274" s="40">
        <f>Tabelle5897112140[[#This Row],[Durchschnittsauslastung durch]]*Tabelle5897112140[[#This Row],[installierte Leistung MW durch]]</f>
        <v>663.09541666666655</v>
      </c>
      <c r="DG274" s="40">
        <f>Tabelle5897112140[[#This Row],[Durchschnittsauslastung max]]*Tabelle5897112140[[#This Row],[installierte Leistung MW max]]</f>
        <v>1150.2919999999999</v>
      </c>
      <c r="DH274" s="46">
        <f>Tabelle5897112140[[#This Row],[Maximalauslastung min]]*Tabelle5897112140[[#This Row],[installierte Leistung MW min]]</f>
        <v>52070</v>
      </c>
      <c r="DI274" s="46">
        <f>Tabelle5897112140[[#This Row],[Maximalauslastung durch]]*Tabelle5897112140[[#This Row],[installierte Leistung MW durch]]</f>
        <v>52178</v>
      </c>
      <c r="DJ274" s="19">
        <f>Tabelle5897112140[[#This Row],[Maximalauslastung max]]*Tabelle5897112140[[#This Row],[installierte Leistung MW durch]]</f>
        <v>52178</v>
      </c>
      <c r="DK274" s="9">
        <v>1</v>
      </c>
      <c r="DL274" s="9">
        <v>1</v>
      </c>
      <c r="DM274" s="9">
        <v>1</v>
      </c>
      <c r="DN274" s="1">
        <v>52178</v>
      </c>
      <c r="DO274" s="1">
        <v>52070</v>
      </c>
      <c r="DP274" s="1">
        <v>52286</v>
      </c>
      <c r="DQ274" s="19"/>
      <c r="DR274" s="19"/>
      <c r="DW274" s="1">
        <v>2.25</v>
      </c>
      <c r="DX274" s="1">
        <v>1.5</v>
      </c>
      <c r="DY274" s="1">
        <v>3</v>
      </c>
      <c r="DZ274" s="1">
        <v>2.25</v>
      </c>
      <c r="EA274" s="1">
        <v>1.5</v>
      </c>
      <c r="EB274" s="1">
        <v>3</v>
      </c>
      <c r="EC274" s="1">
        <v>18</v>
      </c>
      <c r="ED274" s="1">
        <v>12</v>
      </c>
      <c r="EE274" s="1">
        <v>24</v>
      </c>
      <c r="EF274" s="1">
        <v>18</v>
      </c>
      <c r="EG274" s="1">
        <v>18</v>
      </c>
      <c r="EH274" s="1">
        <v>18</v>
      </c>
      <c r="EL274" s="1">
        <v>280</v>
      </c>
      <c r="EM274" s="1">
        <v>252</v>
      </c>
      <c r="EN274" s="1">
        <v>308</v>
      </c>
      <c r="EO274" s="11"/>
      <c r="EP274" s="11"/>
      <c r="EQ274" s="11"/>
      <c r="ER274" s="1">
        <v>280</v>
      </c>
      <c r="ES274" s="1">
        <v>252</v>
      </c>
      <c r="ET274" s="1">
        <v>308</v>
      </c>
      <c r="EU274" s="1">
        <v>91.818181818181827</v>
      </c>
      <c r="EV274" s="19">
        <v>82.626262626262644</v>
      </c>
      <c r="EW274" s="19">
        <v>101.01010101010101</v>
      </c>
      <c r="EX274" s="19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>
        <v>747.47474747474746</v>
      </c>
      <c r="FK274" s="8">
        <v>740</v>
      </c>
      <c r="FL274" s="1">
        <v>754.94949494949492</v>
      </c>
      <c r="FO274" s="1">
        <v>67</v>
      </c>
      <c r="FP274" s="1">
        <v>67</v>
      </c>
      <c r="FQ274" s="1">
        <v>67</v>
      </c>
      <c r="FR274" s="13" t="s">
        <v>806</v>
      </c>
      <c r="FS274" s="13" t="s">
        <v>806</v>
      </c>
      <c r="FT274" s="13" t="s">
        <v>806</v>
      </c>
      <c r="FU274" s="13"/>
      <c r="FV274" s="13" t="s">
        <v>806</v>
      </c>
      <c r="FW274" s="13" t="s">
        <v>806</v>
      </c>
      <c r="FX274" s="13" t="s">
        <v>806</v>
      </c>
      <c r="FY274" s="13" t="s">
        <v>806</v>
      </c>
      <c r="FZ274" s="13" t="s">
        <v>806</v>
      </c>
      <c r="GA274" s="13" t="s">
        <v>806</v>
      </c>
      <c r="GB274" s="13" t="s">
        <v>806</v>
      </c>
      <c r="GE274" s="13" t="s">
        <v>806</v>
      </c>
      <c r="GF274" s="13" t="s">
        <v>806</v>
      </c>
      <c r="GH274" s="13" t="s">
        <v>806</v>
      </c>
    </row>
    <row r="275" spans="1:190" ht="12.75" customHeight="1" x14ac:dyDescent="0.25">
      <c r="A275" s="1" t="s">
        <v>283</v>
      </c>
      <c r="B275" s="1" t="s">
        <v>283</v>
      </c>
      <c r="C275" s="1" t="s">
        <v>804</v>
      </c>
      <c r="D275" s="1" t="s">
        <v>682</v>
      </c>
      <c r="E275" s="1" t="s">
        <v>139</v>
      </c>
      <c r="F275" s="1">
        <v>0</v>
      </c>
      <c r="G275" s="1">
        <v>2020</v>
      </c>
      <c r="H275" s="1">
        <v>0</v>
      </c>
      <c r="I275" s="1">
        <v>0</v>
      </c>
      <c r="J275" s="1">
        <v>1</v>
      </c>
      <c r="K27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418.8108600000001</v>
      </c>
      <c r="N275" s="19">
        <v>0</v>
      </c>
      <c r="O275" s="19">
        <v>0</v>
      </c>
      <c r="P275" s="19">
        <v>418.8108600000001</v>
      </c>
      <c r="Q275" s="19">
        <v>431.49031916666684</v>
      </c>
      <c r="R275" s="19">
        <v>0</v>
      </c>
      <c r="S275" s="19">
        <v>1768.3125199999999</v>
      </c>
      <c r="T275" s="19">
        <v>0</v>
      </c>
      <c r="U275" s="19">
        <v>0</v>
      </c>
      <c r="V275" s="19">
        <v>418.8108600000001</v>
      </c>
      <c r="W275" s="19">
        <v>431.49031916666684</v>
      </c>
      <c r="X275" s="19">
        <v>0</v>
      </c>
      <c r="Y275" s="19">
        <v>1768.3125199999999</v>
      </c>
      <c r="Z275" s="19">
        <v>0</v>
      </c>
      <c r="AA275" s="19">
        <v>0</v>
      </c>
      <c r="AB275" s="19">
        <v>418.8108600000001</v>
      </c>
      <c r="AC275" s="19">
        <v>431.49031916666684</v>
      </c>
      <c r="AD275" s="19">
        <v>0</v>
      </c>
      <c r="AE275" s="19">
        <v>1768.3125199999999</v>
      </c>
      <c r="AF275" s="19">
        <v>0</v>
      </c>
      <c r="AG275" s="19">
        <v>0</v>
      </c>
      <c r="AH275" s="19">
        <v>418.8108600000001</v>
      </c>
      <c r="AI275" s="19">
        <v>431.49031916666684</v>
      </c>
      <c r="AJ275" s="19">
        <v>0</v>
      </c>
      <c r="AK275" s="19">
        <v>1768.3125199999999</v>
      </c>
      <c r="AL275" s="19">
        <v>0</v>
      </c>
      <c r="AM275" s="19">
        <v>0</v>
      </c>
      <c r="AN275" s="19">
        <v>418.8108600000001</v>
      </c>
      <c r="AO275" s="19">
        <v>431.49031916666684</v>
      </c>
      <c r="AP275" s="19">
        <v>0</v>
      </c>
      <c r="AQ275" s="19">
        <v>1768.3125199999999</v>
      </c>
      <c r="AR275" s="19">
        <v>0</v>
      </c>
      <c r="AS275" s="19">
        <v>0</v>
      </c>
      <c r="AT275" s="19">
        <v>418.8108600000001</v>
      </c>
      <c r="AU275" s="19">
        <v>431.49031916666684</v>
      </c>
      <c r="AV275" s="19">
        <v>0</v>
      </c>
      <c r="AW275" s="19">
        <v>1768.3125199999999</v>
      </c>
      <c r="AX275" s="19">
        <v>0</v>
      </c>
      <c r="AY275" s="19">
        <v>0</v>
      </c>
      <c r="AZ275" s="19">
        <v>418.8108600000001</v>
      </c>
      <c r="BA275" s="19">
        <v>431.49031916666684</v>
      </c>
      <c r="BB275" s="19">
        <v>0</v>
      </c>
      <c r="BC275" s="19">
        <v>1768.3125199999999</v>
      </c>
      <c r="BD275" s="19">
        <v>0</v>
      </c>
      <c r="BE275" s="19">
        <v>0</v>
      </c>
      <c r="BF275" s="19">
        <v>418.8108600000001</v>
      </c>
      <c r="BG275" s="19">
        <v>431.49031916666684</v>
      </c>
      <c r="BH275" s="19">
        <v>0</v>
      </c>
      <c r="BI275" s="19">
        <v>1768.3125199999999</v>
      </c>
      <c r="BJ275" s="19">
        <v>0</v>
      </c>
      <c r="BK275" s="19">
        <v>0</v>
      </c>
      <c r="BL275" s="19">
        <v>418.8108600000001</v>
      </c>
      <c r="BM275" s="19">
        <v>431.49031916666684</v>
      </c>
      <c r="BN275" s="19">
        <v>0</v>
      </c>
      <c r="BO275" s="19">
        <v>1768.3125199999999</v>
      </c>
      <c r="BP275" s="19"/>
      <c r="BQ27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431.49031916666678</v>
      </c>
      <c r="BS27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1768.3125199999999</v>
      </c>
      <c r="BT275" s="11">
        <f>Tabelle5897112140[[#This Row],[Mindestauslastung min]]*Tabelle5897112140[[#This Row],[installierte Leistung MW min]]</f>
        <v>0</v>
      </c>
      <c r="BU275" s="11">
        <f>Tabelle5897112140[[#This Row],[Mindestauslastung durch]]*Tabelle5897112140[[#This Row],[installierte Leistung MW durch]]</f>
        <v>0</v>
      </c>
      <c r="BV275" s="11">
        <f>Tabelle5897112140[[#This Row],[Mindestauslastung max]]*Tabelle5897112140[[#This Row],[installierte Leistung MW max]]</f>
        <v>0</v>
      </c>
      <c r="BW275" s="9">
        <v>0</v>
      </c>
      <c r="BX275" s="9">
        <v>0</v>
      </c>
      <c r="BY275" s="9">
        <v>0</v>
      </c>
      <c r="BZ275" s="9"/>
      <c r="CA275" s="9">
        <v>1.270833333333333E-2</v>
      </c>
      <c r="CB275" s="9">
        <v>4.0000000000000001E-3</v>
      </c>
      <c r="CC275" s="9">
        <v>2.1999999999999999E-2</v>
      </c>
      <c r="CD275" s="9">
        <v>1.270833333333333E-2</v>
      </c>
      <c r="CE275" s="9">
        <v>4.0000000000000001E-3</v>
      </c>
      <c r="CF275" s="9">
        <v>2.1999999999999999E-2</v>
      </c>
      <c r="CG275" s="9">
        <v>1.270833333333333E-2</v>
      </c>
      <c r="CH275" s="9">
        <v>4.0000000000000001E-3</v>
      </c>
      <c r="CI275" s="9">
        <v>2.1999999999999999E-2</v>
      </c>
      <c r="CJ275" s="9">
        <v>1.270833333333333E-2</v>
      </c>
      <c r="CK275" s="9">
        <v>4.0000000000000001E-3</v>
      </c>
      <c r="CL275" s="9">
        <v>2.1999999999999999E-2</v>
      </c>
      <c r="CM275" s="9">
        <v>1.270833333333333E-2</v>
      </c>
      <c r="CN275" s="9">
        <v>4.0000000000000001E-3</v>
      </c>
      <c r="CO275" s="9">
        <v>2.1999999999999999E-2</v>
      </c>
      <c r="CP275" s="9">
        <v>1.270833333333333E-2</v>
      </c>
      <c r="CQ275" s="9">
        <v>4.0000000000000001E-3</v>
      </c>
      <c r="CR275" s="9">
        <v>2.1999999999999999E-2</v>
      </c>
      <c r="CS275" s="9">
        <v>1.270833333333333E-2</v>
      </c>
      <c r="CT275" s="9">
        <v>4.0000000000000001E-3</v>
      </c>
      <c r="CU275" s="9">
        <v>2.1999999999999999E-2</v>
      </c>
      <c r="CV275" s="9">
        <v>1.270833333333333E-2</v>
      </c>
      <c r="CW275" s="9">
        <v>4.0000000000000001E-3</v>
      </c>
      <c r="CX275" s="9">
        <v>2.1999999999999999E-2</v>
      </c>
      <c r="CY275" s="9">
        <v>1.270833333333333E-2</v>
      </c>
      <c r="CZ275" s="9">
        <v>4.0000000000000001E-3</v>
      </c>
      <c r="DA275" s="9">
        <v>2.1999999999999999E-2</v>
      </c>
      <c r="DB275" s="9">
        <f>MIN(Tabelle5897112140[[#This Row],[Durchschnittsauslastung durch Sommer WTT]:[Durchschnittsauslastung max Winter SFN]])</f>
        <v>4.0000000000000001E-3</v>
      </c>
      <c r="DC27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5" s="9">
        <f>MAX(Tabelle5897112140[[#This Row],[Durchschnittsauslastung durch Sommer WTT]:[Durchschnittsauslastung max Winter SFN]])</f>
        <v>2.1999999999999999E-2</v>
      </c>
      <c r="DE275" s="40">
        <f>Tabelle5897112140[[#This Row],[Durchschnittsauslastung min]]*Tabelle5897112140[[#This Row],[installierte Leistung MW min]]</f>
        <v>185.36920000000001</v>
      </c>
      <c r="DF275" s="40">
        <f>Tabelle5897112140[[#This Row],[Durchschnittsauslastung durch]]*Tabelle5897112140[[#This Row],[installierte Leistung MW durch]]</f>
        <v>590.15492083333322</v>
      </c>
      <c r="DG275" s="40">
        <f>Tabelle5897112140[[#This Row],[Durchschnittsauslastung max]]*Tabelle5897112140[[#This Row],[installierte Leistung MW max]]</f>
        <v>1023.75988</v>
      </c>
      <c r="DH275" s="46">
        <f>Tabelle5897112140[[#This Row],[Maximalauslastung min]]*Tabelle5897112140[[#This Row],[installierte Leistung MW min]]</f>
        <v>0</v>
      </c>
      <c r="DI275" s="46">
        <f>Tabelle5897112140[[#This Row],[Maximalauslastung durch]]*Tabelle5897112140[[#This Row],[installierte Leistung MW durch]]</f>
        <v>0</v>
      </c>
      <c r="DJ275" s="19">
        <f>Tabelle5897112140[[#This Row],[Maximalauslastung max]]*Tabelle5897112140[[#This Row],[installierte Leistung MW durch]]</f>
        <v>0</v>
      </c>
      <c r="DK275" s="9">
        <v>0</v>
      </c>
      <c r="DL275" s="9">
        <v>0</v>
      </c>
      <c r="DM275" s="9">
        <v>0</v>
      </c>
      <c r="DN275" s="1">
        <v>46438.42</v>
      </c>
      <c r="DO275" s="1">
        <v>46342.3</v>
      </c>
      <c r="DP275" s="1">
        <v>46534.54</v>
      </c>
      <c r="DQ275" s="19"/>
      <c r="DR275" s="19"/>
      <c r="DW275" s="1">
        <v>2.25</v>
      </c>
      <c r="DX275" s="1">
        <v>1.5</v>
      </c>
      <c r="DY275" s="1">
        <v>3</v>
      </c>
      <c r="DZ275" s="1">
        <v>2.25</v>
      </c>
      <c r="EA275" s="1">
        <v>1.5</v>
      </c>
      <c r="EB275" s="1">
        <v>3</v>
      </c>
      <c r="EC275" s="1">
        <v>18</v>
      </c>
      <c r="ED275" s="1">
        <v>12</v>
      </c>
      <c r="EE275" s="1">
        <v>24</v>
      </c>
      <c r="EF275" s="1">
        <v>18</v>
      </c>
      <c r="EG275" s="1">
        <v>18</v>
      </c>
      <c r="EH275" s="1">
        <v>18</v>
      </c>
      <c r="EL275" s="1">
        <v>280</v>
      </c>
      <c r="EM275" s="1">
        <v>252</v>
      </c>
      <c r="EN275" s="1">
        <v>308</v>
      </c>
      <c r="EO275" s="11"/>
      <c r="EP275" s="11"/>
      <c r="EQ275" s="11"/>
      <c r="ER275" s="1">
        <v>280</v>
      </c>
      <c r="ES275" s="1">
        <v>252</v>
      </c>
      <c r="ET275" s="1">
        <v>308</v>
      </c>
      <c r="EU275" s="1">
        <v>91.818181818181827</v>
      </c>
      <c r="EV275" s="19">
        <v>82.626262626262644</v>
      </c>
      <c r="EW275" s="19">
        <v>101.01010101010101</v>
      </c>
      <c r="EX275" s="19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>
        <v>747.47474747474746</v>
      </c>
      <c r="FK275" s="8">
        <v>740</v>
      </c>
      <c r="FL275" s="1">
        <v>754.94949494949492</v>
      </c>
      <c r="FO275" s="1">
        <v>67</v>
      </c>
      <c r="FP275" s="1">
        <v>67</v>
      </c>
      <c r="FQ275" s="1">
        <v>67</v>
      </c>
      <c r="FR275" s="13" t="s">
        <v>806</v>
      </c>
      <c r="FS275" s="13" t="s">
        <v>806</v>
      </c>
      <c r="FT275" s="13" t="s">
        <v>806</v>
      </c>
      <c r="FU275" s="13"/>
      <c r="FV275" s="13" t="s">
        <v>806</v>
      </c>
      <c r="FW275" s="13" t="s">
        <v>806</v>
      </c>
      <c r="FX275" s="13" t="s">
        <v>806</v>
      </c>
      <c r="FY275" s="13" t="s">
        <v>806</v>
      </c>
      <c r="FZ275" s="13" t="s">
        <v>806</v>
      </c>
      <c r="GA275" s="13" t="s">
        <v>806</v>
      </c>
      <c r="GB275" s="13" t="s">
        <v>806</v>
      </c>
      <c r="GE275" s="13" t="s">
        <v>806</v>
      </c>
      <c r="GF275" s="13" t="s">
        <v>806</v>
      </c>
      <c r="GH275" s="13" t="s">
        <v>806</v>
      </c>
    </row>
    <row r="276" spans="1:190" ht="12.75" customHeight="1" x14ac:dyDescent="0.25">
      <c r="A276" s="1" t="s">
        <v>283</v>
      </c>
      <c r="B276" s="1" t="s">
        <v>283</v>
      </c>
      <c r="C276" s="1" t="s">
        <v>804</v>
      </c>
      <c r="D276" s="1" t="s">
        <v>682</v>
      </c>
      <c r="E276" s="1" t="s">
        <v>139</v>
      </c>
      <c r="F276" s="1">
        <v>0</v>
      </c>
      <c r="G276" s="1">
        <v>2025</v>
      </c>
      <c r="H276" s="1">
        <v>0</v>
      </c>
      <c r="I276" s="1">
        <v>0</v>
      </c>
      <c r="J276" s="1">
        <v>1</v>
      </c>
      <c r="K27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385.87068000000011</v>
      </c>
      <c r="N276" s="19">
        <v>0</v>
      </c>
      <c r="O276" s="19">
        <v>0</v>
      </c>
      <c r="P276" s="19">
        <v>385.87068000000011</v>
      </c>
      <c r="Q276" s="19">
        <v>397.55287833333347</v>
      </c>
      <c r="R276" s="19">
        <v>0</v>
      </c>
      <c r="S276" s="19">
        <v>1629.2317599999999</v>
      </c>
      <c r="T276" s="19">
        <v>0</v>
      </c>
      <c r="U276" s="19">
        <v>0</v>
      </c>
      <c r="V276" s="19">
        <v>385.87068000000011</v>
      </c>
      <c r="W276" s="19">
        <v>397.55287833333347</v>
      </c>
      <c r="X276" s="19">
        <v>0</v>
      </c>
      <c r="Y276" s="19">
        <v>1629.2317599999999</v>
      </c>
      <c r="Z276" s="19">
        <v>0</v>
      </c>
      <c r="AA276" s="19">
        <v>0</v>
      </c>
      <c r="AB276" s="19">
        <v>385.87068000000011</v>
      </c>
      <c r="AC276" s="19">
        <v>397.55287833333347</v>
      </c>
      <c r="AD276" s="19">
        <v>0</v>
      </c>
      <c r="AE276" s="19">
        <v>1629.2317599999999</v>
      </c>
      <c r="AF276" s="19">
        <v>0</v>
      </c>
      <c r="AG276" s="19">
        <v>0</v>
      </c>
      <c r="AH276" s="19">
        <v>385.87068000000011</v>
      </c>
      <c r="AI276" s="19">
        <v>397.55287833333347</v>
      </c>
      <c r="AJ276" s="19">
        <v>0</v>
      </c>
      <c r="AK276" s="19">
        <v>1629.2317599999999</v>
      </c>
      <c r="AL276" s="19">
        <v>0</v>
      </c>
      <c r="AM276" s="19">
        <v>0</v>
      </c>
      <c r="AN276" s="19">
        <v>385.87068000000011</v>
      </c>
      <c r="AO276" s="19">
        <v>397.55287833333347</v>
      </c>
      <c r="AP276" s="19">
        <v>0</v>
      </c>
      <c r="AQ276" s="19">
        <v>1629.2317599999999</v>
      </c>
      <c r="AR276" s="19">
        <v>0</v>
      </c>
      <c r="AS276" s="19">
        <v>0</v>
      </c>
      <c r="AT276" s="19">
        <v>385.87068000000011</v>
      </c>
      <c r="AU276" s="19">
        <v>397.55287833333347</v>
      </c>
      <c r="AV276" s="19">
        <v>0</v>
      </c>
      <c r="AW276" s="19">
        <v>1629.2317599999999</v>
      </c>
      <c r="AX276" s="19">
        <v>0</v>
      </c>
      <c r="AY276" s="19">
        <v>0</v>
      </c>
      <c r="AZ276" s="19">
        <v>385.87068000000011</v>
      </c>
      <c r="BA276" s="19">
        <v>397.55287833333347</v>
      </c>
      <c r="BB276" s="19">
        <v>0</v>
      </c>
      <c r="BC276" s="19">
        <v>1629.2317599999999</v>
      </c>
      <c r="BD276" s="19">
        <v>0</v>
      </c>
      <c r="BE276" s="19">
        <v>0</v>
      </c>
      <c r="BF276" s="19">
        <v>385.87068000000011</v>
      </c>
      <c r="BG276" s="19">
        <v>397.55287833333347</v>
      </c>
      <c r="BH276" s="19">
        <v>0</v>
      </c>
      <c r="BI276" s="19">
        <v>1629.2317599999999</v>
      </c>
      <c r="BJ276" s="19">
        <v>0</v>
      </c>
      <c r="BK276" s="19">
        <v>0</v>
      </c>
      <c r="BL276" s="19">
        <v>385.87068000000011</v>
      </c>
      <c r="BM276" s="19">
        <v>397.55287833333347</v>
      </c>
      <c r="BN276" s="19">
        <v>0</v>
      </c>
      <c r="BO276" s="19">
        <v>1629.2317599999999</v>
      </c>
      <c r="BP276" s="19"/>
      <c r="BQ27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397.55287833333347</v>
      </c>
      <c r="BS27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1629.2317599999999</v>
      </c>
      <c r="BT276" s="11">
        <f>Tabelle5897112140[[#This Row],[Mindestauslastung min]]*Tabelle5897112140[[#This Row],[installierte Leistung MW min]]</f>
        <v>0</v>
      </c>
      <c r="BU276" s="11">
        <f>Tabelle5897112140[[#This Row],[Mindestauslastung durch]]*Tabelle5897112140[[#This Row],[installierte Leistung MW durch]]</f>
        <v>0</v>
      </c>
      <c r="BV276" s="11">
        <f>Tabelle5897112140[[#This Row],[Mindestauslastung max]]*Tabelle5897112140[[#This Row],[installierte Leistung MW max]]</f>
        <v>0</v>
      </c>
      <c r="BW276" s="9">
        <v>0</v>
      </c>
      <c r="BX276" s="9">
        <v>0</v>
      </c>
      <c r="BY276" s="9">
        <v>0</v>
      </c>
      <c r="BZ276" s="9"/>
      <c r="CA276" s="9">
        <v>1.270833333333333E-2</v>
      </c>
      <c r="CB276" s="9">
        <v>4.0000000000000001E-3</v>
      </c>
      <c r="CC276" s="9">
        <v>2.1999999999999999E-2</v>
      </c>
      <c r="CD276" s="9">
        <v>1.270833333333333E-2</v>
      </c>
      <c r="CE276" s="9">
        <v>4.0000000000000001E-3</v>
      </c>
      <c r="CF276" s="9">
        <v>2.1999999999999999E-2</v>
      </c>
      <c r="CG276" s="9">
        <v>1.270833333333333E-2</v>
      </c>
      <c r="CH276" s="9">
        <v>4.0000000000000001E-3</v>
      </c>
      <c r="CI276" s="9">
        <v>2.1999999999999999E-2</v>
      </c>
      <c r="CJ276" s="9">
        <v>1.270833333333333E-2</v>
      </c>
      <c r="CK276" s="9">
        <v>4.0000000000000001E-3</v>
      </c>
      <c r="CL276" s="9">
        <v>2.1999999999999999E-2</v>
      </c>
      <c r="CM276" s="9">
        <v>1.270833333333333E-2</v>
      </c>
      <c r="CN276" s="9">
        <v>4.0000000000000001E-3</v>
      </c>
      <c r="CO276" s="9">
        <v>2.1999999999999999E-2</v>
      </c>
      <c r="CP276" s="9">
        <v>1.270833333333333E-2</v>
      </c>
      <c r="CQ276" s="9">
        <v>4.0000000000000001E-3</v>
      </c>
      <c r="CR276" s="9">
        <v>2.1999999999999999E-2</v>
      </c>
      <c r="CS276" s="9">
        <v>1.270833333333333E-2</v>
      </c>
      <c r="CT276" s="9">
        <v>4.0000000000000001E-3</v>
      </c>
      <c r="CU276" s="9">
        <v>2.1999999999999999E-2</v>
      </c>
      <c r="CV276" s="9">
        <v>1.270833333333333E-2</v>
      </c>
      <c r="CW276" s="9">
        <v>4.0000000000000001E-3</v>
      </c>
      <c r="CX276" s="9">
        <v>2.1999999999999999E-2</v>
      </c>
      <c r="CY276" s="9">
        <v>1.270833333333333E-2</v>
      </c>
      <c r="CZ276" s="9">
        <v>4.0000000000000001E-3</v>
      </c>
      <c r="DA276" s="9">
        <v>2.1999999999999999E-2</v>
      </c>
      <c r="DB276" s="9">
        <f>MIN(Tabelle5897112140[[#This Row],[Durchschnittsauslastung durch Sommer WTT]:[Durchschnittsauslastung max Winter SFN]])</f>
        <v>4.0000000000000001E-3</v>
      </c>
      <c r="DC27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6" s="9">
        <f>MAX(Tabelle5897112140[[#This Row],[Durchschnittsauslastung durch Sommer WTT]:[Durchschnittsauslastung max Winter SFN]])</f>
        <v>2.1999999999999999E-2</v>
      </c>
      <c r="DE276" s="40">
        <f>Tabelle5897112140[[#This Row],[Durchschnittsauslastung min]]*Tabelle5897112140[[#This Row],[installierte Leistung MW min]]</f>
        <v>170.78960000000001</v>
      </c>
      <c r="DF276" s="40">
        <f>Tabelle5897112140[[#This Row],[Durchschnittsauslastung durch]]*Tabelle5897112140[[#This Row],[installierte Leistung MW durch]]</f>
        <v>543.73824166666657</v>
      </c>
      <c r="DG276" s="40">
        <f>Tabelle5897112140[[#This Row],[Durchschnittsauslastung max]]*Tabelle5897112140[[#This Row],[installierte Leistung MW max]]</f>
        <v>943.23943999999983</v>
      </c>
      <c r="DH276" s="46">
        <f>Tabelle5897112140[[#This Row],[Maximalauslastung min]]*Tabelle5897112140[[#This Row],[installierte Leistung MW min]]</f>
        <v>0</v>
      </c>
      <c r="DI276" s="46">
        <f>Tabelle5897112140[[#This Row],[Maximalauslastung durch]]*Tabelle5897112140[[#This Row],[installierte Leistung MW durch]]</f>
        <v>0</v>
      </c>
      <c r="DJ276" s="19">
        <f>Tabelle5897112140[[#This Row],[Maximalauslastung max]]*Tabelle5897112140[[#This Row],[installierte Leistung MW durch]]</f>
        <v>0</v>
      </c>
      <c r="DK276" s="9">
        <v>0</v>
      </c>
      <c r="DL276" s="9">
        <v>0</v>
      </c>
      <c r="DM276" s="9">
        <v>0</v>
      </c>
      <c r="DN276" s="1">
        <v>42785.96</v>
      </c>
      <c r="DO276" s="1">
        <v>42697.4</v>
      </c>
      <c r="DP276" s="1">
        <v>42874.52</v>
      </c>
      <c r="DQ276" s="19"/>
      <c r="DR276" s="19"/>
      <c r="DW276" s="1">
        <v>2.25</v>
      </c>
      <c r="DX276" s="1">
        <v>1.5</v>
      </c>
      <c r="DY276" s="1">
        <v>3</v>
      </c>
      <c r="DZ276" s="1">
        <v>2.25</v>
      </c>
      <c r="EA276" s="1">
        <v>1.5</v>
      </c>
      <c r="EB276" s="1">
        <v>3</v>
      </c>
      <c r="EC276" s="1">
        <v>18</v>
      </c>
      <c r="ED276" s="1">
        <v>12</v>
      </c>
      <c r="EE276" s="1">
        <v>24</v>
      </c>
      <c r="EF276" s="1">
        <v>18</v>
      </c>
      <c r="EG276" s="1">
        <v>18</v>
      </c>
      <c r="EH276" s="1">
        <v>18</v>
      </c>
      <c r="EL276" s="1">
        <v>280</v>
      </c>
      <c r="EM276" s="1">
        <v>252</v>
      </c>
      <c r="EN276" s="1">
        <v>308</v>
      </c>
      <c r="EO276" s="11"/>
      <c r="EP276" s="11"/>
      <c r="EQ276" s="11"/>
      <c r="ER276" s="1">
        <v>280</v>
      </c>
      <c r="ES276" s="1">
        <v>252</v>
      </c>
      <c r="ET276" s="1">
        <v>308</v>
      </c>
      <c r="EU276" s="1">
        <v>91.818181818181827</v>
      </c>
      <c r="EV276" s="19">
        <v>82.626262626262644</v>
      </c>
      <c r="EW276" s="19">
        <v>101.01010101010101</v>
      </c>
      <c r="EX276" s="19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>
        <v>747.47474747474746</v>
      </c>
      <c r="FK276" s="8">
        <v>740</v>
      </c>
      <c r="FL276" s="1">
        <v>754.94949494949492</v>
      </c>
      <c r="FO276" s="1">
        <v>67</v>
      </c>
      <c r="FP276" s="1">
        <v>67</v>
      </c>
      <c r="FQ276" s="1">
        <v>67</v>
      </c>
      <c r="FR276" s="13" t="s">
        <v>806</v>
      </c>
      <c r="FS276" s="13" t="s">
        <v>806</v>
      </c>
      <c r="FT276" s="13" t="s">
        <v>806</v>
      </c>
      <c r="FU276" s="13"/>
      <c r="FV276" s="13" t="s">
        <v>806</v>
      </c>
      <c r="FW276" s="13" t="s">
        <v>806</v>
      </c>
      <c r="FX276" s="13" t="s">
        <v>806</v>
      </c>
      <c r="FY276" s="13" t="s">
        <v>806</v>
      </c>
      <c r="FZ276" s="13" t="s">
        <v>806</v>
      </c>
      <c r="GA276" s="13" t="s">
        <v>806</v>
      </c>
      <c r="GB276" s="13" t="s">
        <v>806</v>
      </c>
      <c r="GE276" s="13" t="s">
        <v>806</v>
      </c>
      <c r="GF276" s="13" t="s">
        <v>806</v>
      </c>
      <c r="GH276" s="13" t="s">
        <v>806</v>
      </c>
    </row>
    <row r="277" spans="1:190" ht="12.75" customHeight="1" x14ac:dyDescent="0.25">
      <c r="A277" s="1" t="s">
        <v>283</v>
      </c>
      <c r="B277" s="1" t="s">
        <v>283</v>
      </c>
      <c r="C277" s="1" t="s">
        <v>804</v>
      </c>
      <c r="D277" s="1" t="s">
        <v>682</v>
      </c>
      <c r="E277" s="1" t="s">
        <v>139</v>
      </c>
      <c r="F277" s="1">
        <v>0</v>
      </c>
      <c r="G277" s="1">
        <v>2030</v>
      </c>
      <c r="H277" s="1">
        <v>0</v>
      </c>
      <c r="I277" s="1">
        <v>0</v>
      </c>
      <c r="J277" s="1">
        <v>1</v>
      </c>
      <c r="K27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348.22476000000012</v>
      </c>
      <c r="N277" s="19">
        <v>0</v>
      </c>
      <c r="O277" s="19">
        <v>0</v>
      </c>
      <c r="P277" s="19">
        <v>348.22476000000012</v>
      </c>
      <c r="Q277" s="19">
        <v>358.76723166666676</v>
      </c>
      <c r="R277" s="19">
        <v>0</v>
      </c>
      <c r="S277" s="19">
        <v>1470.28232</v>
      </c>
      <c r="T277" s="19">
        <v>0</v>
      </c>
      <c r="U277" s="19">
        <v>0</v>
      </c>
      <c r="V277" s="19">
        <v>348.22476000000012</v>
      </c>
      <c r="W277" s="19">
        <v>358.76723166666676</v>
      </c>
      <c r="X277" s="19">
        <v>0</v>
      </c>
      <c r="Y277" s="19">
        <v>1470.28232</v>
      </c>
      <c r="Z277" s="19">
        <v>0</v>
      </c>
      <c r="AA277" s="19">
        <v>0</v>
      </c>
      <c r="AB277" s="19">
        <v>348.22476000000012</v>
      </c>
      <c r="AC277" s="19">
        <v>358.76723166666676</v>
      </c>
      <c r="AD277" s="19">
        <v>0</v>
      </c>
      <c r="AE277" s="19">
        <v>1470.28232</v>
      </c>
      <c r="AF277" s="19">
        <v>0</v>
      </c>
      <c r="AG277" s="19">
        <v>0</v>
      </c>
      <c r="AH277" s="19">
        <v>348.22476000000012</v>
      </c>
      <c r="AI277" s="19">
        <v>358.76723166666676</v>
      </c>
      <c r="AJ277" s="19">
        <v>0</v>
      </c>
      <c r="AK277" s="19">
        <v>1470.28232</v>
      </c>
      <c r="AL277" s="19">
        <v>0</v>
      </c>
      <c r="AM277" s="19">
        <v>0</v>
      </c>
      <c r="AN277" s="19">
        <v>348.22476000000012</v>
      </c>
      <c r="AO277" s="19">
        <v>358.76723166666676</v>
      </c>
      <c r="AP277" s="19">
        <v>0</v>
      </c>
      <c r="AQ277" s="19">
        <v>1470.28232</v>
      </c>
      <c r="AR277" s="19">
        <v>0</v>
      </c>
      <c r="AS277" s="19">
        <v>0</v>
      </c>
      <c r="AT277" s="19">
        <v>348.22476000000012</v>
      </c>
      <c r="AU277" s="19">
        <v>358.76723166666676</v>
      </c>
      <c r="AV277" s="19">
        <v>0</v>
      </c>
      <c r="AW277" s="19">
        <v>1470.28232</v>
      </c>
      <c r="AX277" s="19">
        <v>0</v>
      </c>
      <c r="AY277" s="19">
        <v>0</v>
      </c>
      <c r="AZ277" s="19">
        <v>348.22476000000012</v>
      </c>
      <c r="BA277" s="19">
        <v>358.76723166666676</v>
      </c>
      <c r="BB277" s="19">
        <v>0</v>
      </c>
      <c r="BC277" s="19">
        <v>1470.28232</v>
      </c>
      <c r="BD277" s="19">
        <v>0</v>
      </c>
      <c r="BE277" s="19">
        <v>0</v>
      </c>
      <c r="BF277" s="19">
        <v>348.22476000000012</v>
      </c>
      <c r="BG277" s="19">
        <v>358.76723166666676</v>
      </c>
      <c r="BH277" s="19">
        <v>0</v>
      </c>
      <c r="BI277" s="19">
        <v>1470.28232</v>
      </c>
      <c r="BJ277" s="19">
        <v>0</v>
      </c>
      <c r="BK277" s="19">
        <v>0</v>
      </c>
      <c r="BL277" s="19">
        <v>348.22476000000012</v>
      </c>
      <c r="BM277" s="19">
        <v>358.76723166666676</v>
      </c>
      <c r="BN277" s="19">
        <v>0</v>
      </c>
      <c r="BO277" s="19">
        <v>1470.28232</v>
      </c>
      <c r="BP277" s="19"/>
      <c r="BQ27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358.76723166666676</v>
      </c>
      <c r="BS27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1470.28232</v>
      </c>
      <c r="BT277" s="11">
        <f>Tabelle5897112140[[#This Row],[Mindestauslastung min]]*Tabelle5897112140[[#This Row],[installierte Leistung MW min]]</f>
        <v>0</v>
      </c>
      <c r="BU277" s="11">
        <f>Tabelle5897112140[[#This Row],[Mindestauslastung durch]]*Tabelle5897112140[[#This Row],[installierte Leistung MW durch]]</f>
        <v>0</v>
      </c>
      <c r="BV277" s="11">
        <f>Tabelle5897112140[[#This Row],[Mindestauslastung max]]*Tabelle5897112140[[#This Row],[installierte Leistung MW max]]</f>
        <v>0</v>
      </c>
      <c r="BW277" s="9">
        <v>0</v>
      </c>
      <c r="BX277" s="9">
        <v>0</v>
      </c>
      <c r="BY277" s="9">
        <v>0</v>
      </c>
      <c r="BZ277" s="9"/>
      <c r="CA277" s="9">
        <v>1.270833333333333E-2</v>
      </c>
      <c r="CB277" s="9">
        <v>4.0000000000000001E-3</v>
      </c>
      <c r="CC277" s="9">
        <v>2.1999999999999999E-2</v>
      </c>
      <c r="CD277" s="9">
        <v>1.270833333333333E-2</v>
      </c>
      <c r="CE277" s="9">
        <v>4.0000000000000001E-3</v>
      </c>
      <c r="CF277" s="9">
        <v>2.1999999999999999E-2</v>
      </c>
      <c r="CG277" s="9">
        <v>1.270833333333333E-2</v>
      </c>
      <c r="CH277" s="9">
        <v>4.0000000000000001E-3</v>
      </c>
      <c r="CI277" s="9">
        <v>2.1999999999999999E-2</v>
      </c>
      <c r="CJ277" s="9">
        <v>1.270833333333333E-2</v>
      </c>
      <c r="CK277" s="9">
        <v>4.0000000000000001E-3</v>
      </c>
      <c r="CL277" s="9">
        <v>2.1999999999999999E-2</v>
      </c>
      <c r="CM277" s="9">
        <v>1.270833333333333E-2</v>
      </c>
      <c r="CN277" s="9">
        <v>4.0000000000000001E-3</v>
      </c>
      <c r="CO277" s="9">
        <v>2.1999999999999999E-2</v>
      </c>
      <c r="CP277" s="9">
        <v>1.270833333333333E-2</v>
      </c>
      <c r="CQ277" s="9">
        <v>4.0000000000000001E-3</v>
      </c>
      <c r="CR277" s="9">
        <v>2.1999999999999999E-2</v>
      </c>
      <c r="CS277" s="9">
        <v>1.270833333333333E-2</v>
      </c>
      <c r="CT277" s="9">
        <v>4.0000000000000001E-3</v>
      </c>
      <c r="CU277" s="9">
        <v>2.1999999999999999E-2</v>
      </c>
      <c r="CV277" s="9">
        <v>1.270833333333333E-2</v>
      </c>
      <c r="CW277" s="9">
        <v>4.0000000000000001E-3</v>
      </c>
      <c r="CX277" s="9">
        <v>2.1999999999999999E-2</v>
      </c>
      <c r="CY277" s="9">
        <v>1.270833333333333E-2</v>
      </c>
      <c r="CZ277" s="9">
        <v>4.0000000000000001E-3</v>
      </c>
      <c r="DA277" s="9">
        <v>2.1999999999999999E-2</v>
      </c>
      <c r="DB277" s="9">
        <f>MIN(Tabelle5897112140[[#This Row],[Durchschnittsauslastung durch Sommer WTT]:[Durchschnittsauslastung max Winter SFN]])</f>
        <v>4.0000000000000001E-3</v>
      </c>
      <c r="DC27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7" s="9">
        <f>MAX(Tabelle5897112140[[#This Row],[Durchschnittsauslastung durch Sommer WTT]:[Durchschnittsauslastung max Winter SFN]])</f>
        <v>2.1999999999999999E-2</v>
      </c>
      <c r="DE277" s="40">
        <f>Tabelle5897112140[[#This Row],[Durchschnittsauslastung min]]*Tabelle5897112140[[#This Row],[installierte Leistung MW min]]</f>
        <v>154.12720000000002</v>
      </c>
      <c r="DF277" s="40">
        <f>Tabelle5897112140[[#This Row],[Durchschnittsauslastung durch]]*Tabelle5897112140[[#This Row],[installierte Leistung MW durch]]</f>
        <v>490.69060833333327</v>
      </c>
      <c r="DG277" s="40">
        <f>Tabelle5897112140[[#This Row],[Durchschnittsauslastung max]]*Tabelle5897112140[[#This Row],[installierte Leistung MW max]]</f>
        <v>851.21607999999992</v>
      </c>
      <c r="DH277" s="46">
        <f>Tabelle5897112140[[#This Row],[Maximalauslastung min]]*Tabelle5897112140[[#This Row],[installierte Leistung MW min]]</f>
        <v>0</v>
      </c>
      <c r="DI277" s="46">
        <f>Tabelle5897112140[[#This Row],[Maximalauslastung durch]]*Tabelle5897112140[[#This Row],[installierte Leistung MW durch]]</f>
        <v>0</v>
      </c>
      <c r="DJ277" s="19">
        <f>Tabelle5897112140[[#This Row],[Maximalauslastung max]]*Tabelle5897112140[[#This Row],[installierte Leistung MW durch]]</f>
        <v>0</v>
      </c>
      <c r="DK277" s="9">
        <v>0</v>
      </c>
      <c r="DL277" s="9">
        <v>0</v>
      </c>
      <c r="DM277" s="9">
        <v>0</v>
      </c>
      <c r="DN277" s="1">
        <v>38611.72</v>
      </c>
      <c r="DO277" s="1">
        <v>38531.800000000003</v>
      </c>
      <c r="DP277" s="1">
        <v>38691.64</v>
      </c>
      <c r="DQ277" s="19"/>
      <c r="DR277" s="19"/>
      <c r="DW277" s="1">
        <v>2.25</v>
      </c>
      <c r="DX277" s="1">
        <v>1.5</v>
      </c>
      <c r="DY277" s="1">
        <v>3</v>
      </c>
      <c r="DZ277" s="1">
        <v>2.25</v>
      </c>
      <c r="EA277" s="1">
        <v>1.5</v>
      </c>
      <c r="EB277" s="1">
        <v>3</v>
      </c>
      <c r="EC277" s="1">
        <v>18</v>
      </c>
      <c r="ED277" s="1">
        <v>12</v>
      </c>
      <c r="EE277" s="1">
        <v>24</v>
      </c>
      <c r="EF277" s="1">
        <v>18</v>
      </c>
      <c r="EG277" s="1">
        <v>18</v>
      </c>
      <c r="EH277" s="1">
        <v>18</v>
      </c>
      <c r="EL277" s="1">
        <v>280</v>
      </c>
      <c r="EM277" s="1">
        <v>252</v>
      </c>
      <c r="EN277" s="1">
        <v>308</v>
      </c>
      <c r="EO277" s="11"/>
      <c r="EP277" s="11"/>
      <c r="EQ277" s="11"/>
      <c r="ER277" s="1">
        <v>280</v>
      </c>
      <c r="ES277" s="1">
        <v>252</v>
      </c>
      <c r="ET277" s="1">
        <v>308</v>
      </c>
      <c r="EU277" s="1">
        <v>91.818181818181827</v>
      </c>
      <c r="EV277" s="19">
        <v>82.626262626262644</v>
      </c>
      <c r="EW277" s="19">
        <v>101.01010101010101</v>
      </c>
      <c r="EX277" s="19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>
        <v>747.47474747474746</v>
      </c>
      <c r="FK277" s="8">
        <v>740</v>
      </c>
      <c r="FL277" s="1">
        <v>754.94949494949492</v>
      </c>
      <c r="FO277" s="1">
        <v>67</v>
      </c>
      <c r="FP277" s="1">
        <v>67</v>
      </c>
      <c r="FQ277" s="1">
        <v>67</v>
      </c>
      <c r="FR277" s="13" t="s">
        <v>806</v>
      </c>
      <c r="FS277" s="13" t="s">
        <v>806</v>
      </c>
      <c r="FT277" s="13" t="s">
        <v>806</v>
      </c>
      <c r="FU277" s="13"/>
      <c r="FV277" s="13" t="s">
        <v>806</v>
      </c>
      <c r="FW277" s="13" t="s">
        <v>806</v>
      </c>
      <c r="FX277" s="13" t="s">
        <v>806</v>
      </c>
      <c r="FY277" s="13" t="s">
        <v>806</v>
      </c>
      <c r="FZ277" s="13" t="s">
        <v>806</v>
      </c>
      <c r="GA277" s="13" t="s">
        <v>806</v>
      </c>
      <c r="GB277" s="13" t="s">
        <v>806</v>
      </c>
      <c r="GE277" s="13" t="s">
        <v>806</v>
      </c>
      <c r="GF277" s="13" t="s">
        <v>806</v>
      </c>
      <c r="GH277" s="13" t="s">
        <v>806</v>
      </c>
    </row>
    <row r="278" spans="1:190" ht="12.75" customHeight="1" x14ac:dyDescent="0.25">
      <c r="A278" s="1" t="s">
        <v>283</v>
      </c>
      <c r="B278" s="1" t="s">
        <v>283</v>
      </c>
      <c r="C278" s="1" t="s">
        <v>804</v>
      </c>
      <c r="D278" s="1" t="s">
        <v>682</v>
      </c>
      <c r="E278" s="1" t="s">
        <v>139</v>
      </c>
      <c r="F278" s="1">
        <v>0</v>
      </c>
      <c r="G278" s="1">
        <v>2035</v>
      </c>
      <c r="H278" s="1">
        <v>0</v>
      </c>
      <c r="I278" s="1">
        <v>0</v>
      </c>
      <c r="J278" s="1">
        <v>1</v>
      </c>
      <c r="K27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334.10754000000009</v>
      </c>
      <c r="N278" s="19">
        <v>0</v>
      </c>
      <c r="O278" s="19">
        <v>0</v>
      </c>
      <c r="P278" s="19">
        <v>334.10754000000009</v>
      </c>
      <c r="Q278" s="19">
        <v>344.22261416666674</v>
      </c>
      <c r="R278" s="19">
        <v>0</v>
      </c>
      <c r="S278" s="19">
        <v>1410.6762799999999</v>
      </c>
      <c r="T278" s="19">
        <v>0</v>
      </c>
      <c r="U278" s="19">
        <v>0</v>
      </c>
      <c r="V278" s="19">
        <v>334.10754000000009</v>
      </c>
      <c r="W278" s="19">
        <v>344.22261416666674</v>
      </c>
      <c r="X278" s="19">
        <v>0</v>
      </c>
      <c r="Y278" s="19">
        <v>1410.6762799999999</v>
      </c>
      <c r="Z278" s="19">
        <v>0</v>
      </c>
      <c r="AA278" s="19">
        <v>0</v>
      </c>
      <c r="AB278" s="19">
        <v>334.10754000000009</v>
      </c>
      <c r="AC278" s="19">
        <v>344.22261416666674</v>
      </c>
      <c r="AD278" s="19">
        <v>0</v>
      </c>
      <c r="AE278" s="19">
        <v>1410.6762799999999</v>
      </c>
      <c r="AF278" s="19">
        <v>0</v>
      </c>
      <c r="AG278" s="19">
        <v>0</v>
      </c>
      <c r="AH278" s="19">
        <v>334.10754000000009</v>
      </c>
      <c r="AI278" s="19">
        <v>344.22261416666674</v>
      </c>
      <c r="AJ278" s="19">
        <v>0</v>
      </c>
      <c r="AK278" s="19">
        <v>1410.6762799999999</v>
      </c>
      <c r="AL278" s="19">
        <v>0</v>
      </c>
      <c r="AM278" s="19">
        <v>0</v>
      </c>
      <c r="AN278" s="19">
        <v>334.10754000000009</v>
      </c>
      <c r="AO278" s="19">
        <v>344.22261416666674</v>
      </c>
      <c r="AP278" s="19">
        <v>0</v>
      </c>
      <c r="AQ278" s="19">
        <v>1410.6762799999999</v>
      </c>
      <c r="AR278" s="19">
        <v>0</v>
      </c>
      <c r="AS278" s="19">
        <v>0</v>
      </c>
      <c r="AT278" s="19">
        <v>334.10754000000009</v>
      </c>
      <c r="AU278" s="19">
        <v>344.22261416666674</v>
      </c>
      <c r="AV278" s="19">
        <v>0</v>
      </c>
      <c r="AW278" s="19">
        <v>1410.6762799999999</v>
      </c>
      <c r="AX278" s="19">
        <v>0</v>
      </c>
      <c r="AY278" s="19">
        <v>0</v>
      </c>
      <c r="AZ278" s="19">
        <v>334.10754000000009</v>
      </c>
      <c r="BA278" s="19">
        <v>344.22261416666674</v>
      </c>
      <c r="BB278" s="19">
        <v>0</v>
      </c>
      <c r="BC278" s="19">
        <v>1410.6762799999999</v>
      </c>
      <c r="BD278" s="19">
        <v>0</v>
      </c>
      <c r="BE278" s="19">
        <v>0</v>
      </c>
      <c r="BF278" s="19">
        <v>334.10754000000009</v>
      </c>
      <c r="BG278" s="19">
        <v>344.22261416666674</v>
      </c>
      <c r="BH278" s="19">
        <v>0</v>
      </c>
      <c r="BI278" s="19">
        <v>1410.6762799999999</v>
      </c>
      <c r="BJ278" s="19">
        <v>0</v>
      </c>
      <c r="BK278" s="19">
        <v>0</v>
      </c>
      <c r="BL278" s="19">
        <v>334.10754000000009</v>
      </c>
      <c r="BM278" s="19">
        <v>344.22261416666674</v>
      </c>
      <c r="BN278" s="19">
        <v>0</v>
      </c>
      <c r="BO278" s="19">
        <v>1410.6762799999999</v>
      </c>
      <c r="BP278" s="19"/>
      <c r="BQ27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344.22261416666674</v>
      </c>
      <c r="BS27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1410.6762799999999</v>
      </c>
      <c r="BT278" s="11">
        <f>Tabelle5897112140[[#This Row],[Mindestauslastung min]]*Tabelle5897112140[[#This Row],[installierte Leistung MW min]]</f>
        <v>0</v>
      </c>
      <c r="BU278" s="11">
        <f>Tabelle5897112140[[#This Row],[Mindestauslastung durch]]*Tabelle5897112140[[#This Row],[installierte Leistung MW durch]]</f>
        <v>0</v>
      </c>
      <c r="BV278" s="11">
        <f>Tabelle5897112140[[#This Row],[Mindestauslastung max]]*Tabelle5897112140[[#This Row],[installierte Leistung MW max]]</f>
        <v>0</v>
      </c>
      <c r="BW278" s="9">
        <v>0</v>
      </c>
      <c r="BX278" s="9">
        <v>0</v>
      </c>
      <c r="BY278" s="9">
        <v>0</v>
      </c>
      <c r="BZ278" s="9"/>
      <c r="CA278" s="9">
        <v>1.270833333333333E-2</v>
      </c>
      <c r="CB278" s="9">
        <v>4.0000000000000001E-3</v>
      </c>
      <c r="CC278" s="9">
        <v>2.1999999999999999E-2</v>
      </c>
      <c r="CD278" s="9">
        <v>1.270833333333333E-2</v>
      </c>
      <c r="CE278" s="9">
        <v>4.0000000000000001E-3</v>
      </c>
      <c r="CF278" s="9">
        <v>2.1999999999999999E-2</v>
      </c>
      <c r="CG278" s="9">
        <v>1.270833333333333E-2</v>
      </c>
      <c r="CH278" s="9">
        <v>4.0000000000000001E-3</v>
      </c>
      <c r="CI278" s="9">
        <v>2.1999999999999999E-2</v>
      </c>
      <c r="CJ278" s="9">
        <v>1.270833333333333E-2</v>
      </c>
      <c r="CK278" s="9">
        <v>4.0000000000000001E-3</v>
      </c>
      <c r="CL278" s="9">
        <v>2.1999999999999999E-2</v>
      </c>
      <c r="CM278" s="9">
        <v>1.270833333333333E-2</v>
      </c>
      <c r="CN278" s="9">
        <v>4.0000000000000001E-3</v>
      </c>
      <c r="CO278" s="9">
        <v>2.1999999999999999E-2</v>
      </c>
      <c r="CP278" s="9">
        <v>1.270833333333333E-2</v>
      </c>
      <c r="CQ278" s="9">
        <v>4.0000000000000001E-3</v>
      </c>
      <c r="CR278" s="9">
        <v>2.1999999999999999E-2</v>
      </c>
      <c r="CS278" s="9">
        <v>1.270833333333333E-2</v>
      </c>
      <c r="CT278" s="9">
        <v>4.0000000000000001E-3</v>
      </c>
      <c r="CU278" s="9">
        <v>2.1999999999999999E-2</v>
      </c>
      <c r="CV278" s="9">
        <v>1.270833333333333E-2</v>
      </c>
      <c r="CW278" s="9">
        <v>4.0000000000000001E-3</v>
      </c>
      <c r="CX278" s="9">
        <v>2.1999999999999999E-2</v>
      </c>
      <c r="CY278" s="9">
        <v>1.270833333333333E-2</v>
      </c>
      <c r="CZ278" s="9">
        <v>4.0000000000000001E-3</v>
      </c>
      <c r="DA278" s="9">
        <v>2.1999999999999999E-2</v>
      </c>
      <c r="DB278" s="9">
        <f>MIN(Tabelle5897112140[[#This Row],[Durchschnittsauslastung durch Sommer WTT]:[Durchschnittsauslastung max Winter SFN]])</f>
        <v>4.0000000000000001E-3</v>
      </c>
      <c r="DC27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8" s="9">
        <f>MAX(Tabelle5897112140[[#This Row],[Durchschnittsauslastung durch Sommer WTT]:[Durchschnittsauslastung max Winter SFN]])</f>
        <v>2.1999999999999999E-2</v>
      </c>
      <c r="DE278" s="40">
        <f>Tabelle5897112140[[#This Row],[Durchschnittsauslastung min]]*Tabelle5897112140[[#This Row],[installierte Leistung MW min]]</f>
        <v>147.87879999999998</v>
      </c>
      <c r="DF278" s="40">
        <f>Tabelle5897112140[[#This Row],[Durchschnittsauslastung durch]]*Tabelle5897112140[[#This Row],[installierte Leistung MW durch]]</f>
        <v>470.79774583333324</v>
      </c>
      <c r="DG278" s="40">
        <f>Tabelle5897112140[[#This Row],[Durchschnittsauslastung max]]*Tabelle5897112140[[#This Row],[installierte Leistung MW max]]</f>
        <v>816.70731999999987</v>
      </c>
      <c r="DH278" s="46">
        <f>Tabelle5897112140[[#This Row],[Maximalauslastung min]]*Tabelle5897112140[[#This Row],[installierte Leistung MW min]]</f>
        <v>0</v>
      </c>
      <c r="DI278" s="46">
        <f>Tabelle5897112140[[#This Row],[Maximalauslastung durch]]*Tabelle5897112140[[#This Row],[installierte Leistung MW durch]]</f>
        <v>0</v>
      </c>
      <c r="DJ278" s="19">
        <f>Tabelle5897112140[[#This Row],[Maximalauslastung max]]*Tabelle5897112140[[#This Row],[installierte Leistung MW durch]]</f>
        <v>0</v>
      </c>
      <c r="DK278" s="9">
        <v>0</v>
      </c>
      <c r="DL278" s="9">
        <v>0</v>
      </c>
      <c r="DM278" s="9">
        <v>0</v>
      </c>
      <c r="DN278" s="1">
        <v>37046.379999999997</v>
      </c>
      <c r="DO278" s="1">
        <v>36969.699999999997</v>
      </c>
      <c r="DP278" s="1">
        <v>37123.06</v>
      </c>
      <c r="DQ278" s="19"/>
      <c r="DR278" s="19"/>
      <c r="DW278" s="1">
        <v>2.25</v>
      </c>
      <c r="DX278" s="1">
        <v>1.5</v>
      </c>
      <c r="DY278" s="1">
        <v>3</v>
      </c>
      <c r="DZ278" s="1">
        <v>2.25</v>
      </c>
      <c r="EA278" s="1">
        <v>1.5</v>
      </c>
      <c r="EB278" s="1">
        <v>3</v>
      </c>
      <c r="EC278" s="1">
        <v>18</v>
      </c>
      <c r="ED278" s="1">
        <v>12</v>
      </c>
      <c r="EE278" s="1">
        <v>24</v>
      </c>
      <c r="EF278" s="1">
        <v>18</v>
      </c>
      <c r="EG278" s="1">
        <v>18</v>
      </c>
      <c r="EH278" s="1">
        <v>18</v>
      </c>
      <c r="EL278" s="1">
        <v>280</v>
      </c>
      <c r="EM278" s="1">
        <v>252</v>
      </c>
      <c r="EN278" s="1">
        <v>308</v>
      </c>
      <c r="EO278" s="11"/>
      <c r="EP278" s="11"/>
      <c r="EQ278" s="11"/>
      <c r="ER278" s="1">
        <v>280</v>
      </c>
      <c r="ES278" s="1">
        <v>252</v>
      </c>
      <c r="ET278" s="1">
        <v>308</v>
      </c>
      <c r="EU278" s="1">
        <v>91.818181818181827</v>
      </c>
      <c r="EV278" s="19">
        <v>82.626262626262644</v>
      </c>
      <c r="EW278" s="19">
        <v>101.01010101010101</v>
      </c>
      <c r="EX278" s="19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>
        <v>747.47474747474746</v>
      </c>
      <c r="FK278" s="8">
        <v>740</v>
      </c>
      <c r="FL278" s="1">
        <v>754.94949494949492</v>
      </c>
      <c r="FO278" s="1">
        <v>67</v>
      </c>
      <c r="FP278" s="1">
        <v>67</v>
      </c>
      <c r="FQ278" s="1">
        <v>67</v>
      </c>
      <c r="FR278" s="13" t="s">
        <v>806</v>
      </c>
      <c r="FS278" s="13" t="s">
        <v>806</v>
      </c>
      <c r="FT278" s="13" t="s">
        <v>806</v>
      </c>
      <c r="FU278" s="13"/>
      <c r="FV278" s="13" t="s">
        <v>806</v>
      </c>
      <c r="FW278" s="13" t="s">
        <v>806</v>
      </c>
      <c r="FX278" s="13" t="s">
        <v>806</v>
      </c>
      <c r="FY278" s="13" t="s">
        <v>806</v>
      </c>
      <c r="FZ278" s="13" t="s">
        <v>806</v>
      </c>
      <c r="GA278" s="13" t="s">
        <v>806</v>
      </c>
      <c r="GB278" s="13" t="s">
        <v>806</v>
      </c>
      <c r="GE278" s="13" t="s">
        <v>806</v>
      </c>
      <c r="GF278" s="13" t="s">
        <v>806</v>
      </c>
      <c r="GH278" s="13" t="s">
        <v>806</v>
      </c>
    </row>
    <row r="279" spans="1:190" ht="12.75" customHeight="1" x14ac:dyDescent="0.25">
      <c r="A279" s="1" t="s">
        <v>283</v>
      </c>
      <c r="B279" s="1" t="s">
        <v>283</v>
      </c>
      <c r="C279" s="1" t="s">
        <v>804</v>
      </c>
      <c r="D279" s="1" t="s">
        <v>682</v>
      </c>
      <c r="E279" s="1" t="s">
        <v>139</v>
      </c>
      <c r="F279" s="1">
        <v>0</v>
      </c>
      <c r="G279" s="1">
        <v>2040</v>
      </c>
      <c r="H279" s="1">
        <v>0</v>
      </c>
      <c r="I279" s="1">
        <v>0</v>
      </c>
      <c r="J279" s="1">
        <v>1</v>
      </c>
      <c r="K27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315.28458000000012</v>
      </c>
      <c r="N279" s="19">
        <v>0</v>
      </c>
      <c r="O279" s="19">
        <v>0</v>
      </c>
      <c r="P279" s="19">
        <v>315.28458000000012</v>
      </c>
      <c r="Q279" s="19">
        <v>324.82979083333345</v>
      </c>
      <c r="R279" s="19">
        <v>0</v>
      </c>
      <c r="S279" s="19">
        <v>1331.20156</v>
      </c>
      <c r="T279" s="19">
        <v>0</v>
      </c>
      <c r="U279" s="19">
        <v>0</v>
      </c>
      <c r="V279" s="19">
        <v>315.28458000000012</v>
      </c>
      <c r="W279" s="19">
        <v>324.82979083333345</v>
      </c>
      <c r="X279" s="19">
        <v>0</v>
      </c>
      <c r="Y279" s="19">
        <v>1331.20156</v>
      </c>
      <c r="Z279" s="19">
        <v>0</v>
      </c>
      <c r="AA279" s="19">
        <v>0</v>
      </c>
      <c r="AB279" s="19">
        <v>315.28458000000012</v>
      </c>
      <c r="AC279" s="19">
        <v>324.82979083333345</v>
      </c>
      <c r="AD279" s="19">
        <v>0</v>
      </c>
      <c r="AE279" s="19">
        <v>1331.20156</v>
      </c>
      <c r="AF279" s="19">
        <v>0</v>
      </c>
      <c r="AG279" s="19">
        <v>0</v>
      </c>
      <c r="AH279" s="19">
        <v>315.28458000000012</v>
      </c>
      <c r="AI279" s="19">
        <v>324.82979083333345</v>
      </c>
      <c r="AJ279" s="19">
        <v>0</v>
      </c>
      <c r="AK279" s="19">
        <v>1331.20156</v>
      </c>
      <c r="AL279" s="19">
        <v>0</v>
      </c>
      <c r="AM279" s="19">
        <v>0</v>
      </c>
      <c r="AN279" s="19">
        <v>315.28458000000012</v>
      </c>
      <c r="AO279" s="19">
        <v>324.82979083333345</v>
      </c>
      <c r="AP279" s="19">
        <v>0</v>
      </c>
      <c r="AQ279" s="19">
        <v>1331.20156</v>
      </c>
      <c r="AR279" s="19">
        <v>0</v>
      </c>
      <c r="AS279" s="19">
        <v>0</v>
      </c>
      <c r="AT279" s="19">
        <v>315.28458000000012</v>
      </c>
      <c r="AU279" s="19">
        <v>324.82979083333345</v>
      </c>
      <c r="AV279" s="19">
        <v>0</v>
      </c>
      <c r="AW279" s="19">
        <v>1331.20156</v>
      </c>
      <c r="AX279" s="19">
        <v>0</v>
      </c>
      <c r="AY279" s="19">
        <v>0</v>
      </c>
      <c r="AZ279" s="19">
        <v>315.28458000000012</v>
      </c>
      <c r="BA279" s="19">
        <v>324.82979083333345</v>
      </c>
      <c r="BB279" s="19">
        <v>0</v>
      </c>
      <c r="BC279" s="19">
        <v>1331.20156</v>
      </c>
      <c r="BD279" s="19">
        <v>0</v>
      </c>
      <c r="BE279" s="19">
        <v>0</v>
      </c>
      <c r="BF279" s="19">
        <v>315.28458000000012</v>
      </c>
      <c r="BG279" s="19">
        <v>324.82979083333345</v>
      </c>
      <c r="BH279" s="19">
        <v>0</v>
      </c>
      <c r="BI279" s="19">
        <v>1331.20156</v>
      </c>
      <c r="BJ279" s="19">
        <v>0</v>
      </c>
      <c r="BK279" s="19">
        <v>0</v>
      </c>
      <c r="BL279" s="19">
        <v>315.28458000000012</v>
      </c>
      <c r="BM279" s="19">
        <v>324.82979083333345</v>
      </c>
      <c r="BN279" s="19">
        <v>0</v>
      </c>
      <c r="BO279" s="19">
        <v>1331.20156</v>
      </c>
      <c r="BP279" s="19"/>
      <c r="BQ27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324.82979083333345</v>
      </c>
      <c r="BS27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1331.20156</v>
      </c>
      <c r="BT279" s="11">
        <f>Tabelle5897112140[[#This Row],[Mindestauslastung min]]*Tabelle5897112140[[#This Row],[installierte Leistung MW min]]</f>
        <v>0</v>
      </c>
      <c r="BU279" s="11">
        <f>Tabelle5897112140[[#This Row],[Mindestauslastung durch]]*Tabelle5897112140[[#This Row],[installierte Leistung MW durch]]</f>
        <v>0</v>
      </c>
      <c r="BV279" s="11">
        <f>Tabelle5897112140[[#This Row],[Mindestauslastung max]]*Tabelle5897112140[[#This Row],[installierte Leistung MW max]]</f>
        <v>0</v>
      </c>
      <c r="BW279" s="9">
        <v>0</v>
      </c>
      <c r="BX279" s="9">
        <v>0</v>
      </c>
      <c r="BY279" s="9">
        <v>0</v>
      </c>
      <c r="BZ279" s="9"/>
      <c r="CA279" s="9">
        <v>1.270833333333333E-2</v>
      </c>
      <c r="CB279" s="9">
        <v>4.0000000000000001E-3</v>
      </c>
      <c r="CC279" s="9">
        <v>2.1999999999999999E-2</v>
      </c>
      <c r="CD279" s="9">
        <v>1.270833333333333E-2</v>
      </c>
      <c r="CE279" s="9">
        <v>4.0000000000000001E-3</v>
      </c>
      <c r="CF279" s="9">
        <v>2.1999999999999999E-2</v>
      </c>
      <c r="CG279" s="9">
        <v>1.270833333333333E-2</v>
      </c>
      <c r="CH279" s="9">
        <v>4.0000000000000001E-3</v>
      </c>
      <c r="CI279" s="9">
        <v>2.1999999999999999E-2</v>
      </c>
      <c r="CJ279" s="9">
        <v>1.270833333333333E-2</v>
      </c>
      <c r="CK279" s="9">
        <v>4.0000000000000001E-3</v>
      </c>
      <c r="CL279" s="9">
        <v>2.1999999999999999E-2</v>
      </c>
      <c r="CM279" s="9">
        <v>1.270833333333333E-2</v>
      </c>
      <c r="CN279" s="9">
        <v>4.0000000000000001E-3</v>
      </c>
      <c r="CO279" s="9">
        <v>2.1999999999999999E-2</v>
      </c>
      <c r="CP279" s="9">
        <v>1.270833333333333E-2</v>
      </c>
      <c r="CQ279" s="9">
        <v>4.0000000000000001E-3</v>
      </c>
      <c r="CR279" s="9">
        <v>2.1999999999999999E-2</v>
      </c>
      <c r="CS279" s="9">
        <v>1.270833333333333E-2</v>
      </c>
      <c r="CT279" s="9">
        <v>4.0000000000000001E-3</v>
      </c>
      <c r="CU279" s="9">
        <v>2.1999999999999999E-2</v>
      </c>
      <c r="CV279" s="9">
        <v>1.270833333333333E-2</v>
      </c>
      <c r="CW279" s="9">
        <v>4.0000000000000001E-3</v>
      </c>
      <c r="CX279" s="9">
        <v>2.1999999999999999E-2</v>
      </c>
      <c r="CY279" s="9">
        <v>1.270833333333333E-2</v>
      </c>
      <c r="CZ279" s="9">
        <v>4.0000000000000001E-3</v>
      </c>
      <c r="DA279" s="9">
        <v>2.1999999999999999E-2</v>
      </c>
      <c r="DB279" s="9">
        <f>MIN(Tabelle5897112140[[#This Row],[Durchschnittsauslastung durch Sommer WTT]:[Durchschnittsauslastung max Winter SFN]])</f>
        <v>4.0000000000000001E-3</v>
      </c>
      <c r="DC27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9" s="9">
        <f>MAX(Tabelle5897112140[[#This Row],[Durchschnittsauslastung durch Sommer WTT]:[Durchschnittsauslastung max Winter SFN]])</f>
        <v>2.1999999999999999E-2</v>
      </c>
      <c r="DE279" s="40">
        <f>Tabelle5897112140[[#This Row],[Durchschnittsauslastung min]]*Tabelle5897112140[[#This Row],[installierte Leistung MW min]]</f>
        <v>139.54760000000002</v>
      </c>
      <c r="DF279" s="40">
        <f>Tabelle5897112140[[#This Row],[Durchschnittsauslastung durch]]*Tabelle5897112140[[#This Row],[installierte Leistung MW durch]]</f>
        <v>444.27392916666662</v>
      </c>
      <c r="DG279" s="40">
        <f>Tabelle5897112140[[#This Row],[Durchschnittsauslastung max]]*Tabelle5897112140[[#This Row],[installierte Leistung MW max]]</f>
        <v>770.69564000000003</v>
      </c>
      <c r="DH279" s="46">
        <f>Tabelle5897112140[[#This Row],[Maximalauslastung min]]*Tabelle5897112140[[#This Row],[installierte Leistung MW min]]</f>
        <v>0</v>
      </c>
      <c r="DI279" s="46">
        <f>Tabelle5897112140[[#This Row],[Maximalauslastung durch]]*Tabelle5897112140[[#This Row],[installierte Leistung MW durch]]</f>
        <v>0</v>
      </c>
      <c r="DJ279" s="19">
        <f>Tabelle5897112140[[#This Row],[Maximalauslastung max]]*Tabelle5897112140[[#This Row],[installierte Leistung MW durch]]</f>
        <v>0</v>
      </c>
      <c r="DK279" s="9">
        <v>0</v>
      </c>
      <c r="DL279" s="9">
        <v>0</v>
      </c>
      <c r="DM279" s="9">
        <v>0</v>
      </c>
      <c r="DN279" s="1">
        <v>34959.26</v>
      </c>
      <c r="DO279" s="1">
        <v>34886.9</v>
      </c>
      <c r="DP279" s="1">
        <v>35031.620000000003</v>
      </c>
      <c r="DQ279" s="19"/>
      <c r="DR279" s="19"/>
      <c r="DW279" s="1">
        <v>2.25</v>
      </c>
      <c r="DX279" s="1">
        <v>1.5</v>
      </c>
      <c r="DY279" s="1">
        <v>3</v>
      </c>
      <c r="DZ279" s="1">
        <v>2.25</v>
      </c>
      <c r="EA279" s="1">
        <v>1.5</v>
      </c>
      <c r="EB279" s="1">
        <v>3</v>
      </c>
      <c r="EC279" s="1">
        <v>18</v>
      </c>
      <c r="ED279" s="1">
        <v>12</v>
      </c>
      <c r="EE279" s="1">
        <v>24</v>
      </c>
      <c r="EF279" s="1">
        <v>18</v>
      </c>
      <c r="EG279" s="1">
        <v>18</v>
      </c>
      <c r="EH279" s="1">
        <v>18</v>
      </c>
      <c r="EL279" s="1">
        <v>280</v>
      </c>
      <c r="EM279" s="1">
        <v>252</v>
      </c>
      <c r="EN279" s="1">
        <v>308</v>
      </c>
      <c r="EO279" s="11"/>
      <c r="EP279" s="11"/>
      <c r="EQ279" s="11"/>
      <c r="ER279" s="1">
        <v>280</v>
      </c>
      <c r="ES279" s="1">
        <v>252</v>
      </c>
      <c r="ET279" s="1">
        <v>308</v>
      </c>
      <c r="EU279" s="1">
        <v>91.818181818181827</v>
      </c>
      <c r="EV279" s="19">
        <v>82.626262626262644</v>
      </c>
      <c r="EW279" s="19">
        <v>101.01010101010101</v>
      </c>
      <c r="EX279" s="19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>
        <v>747.47474747474746</v>
      </c>
      <c r="FK279" s="8">
        <v>740</v>
      </c>
      <c r="FL279" s="1">
        <v>754.94949494949492</v>
      </c>
      <c r="FO279" s="1">
        <v>67</v>
      </c>
      <c r="FP279" s="1">
        <v>67</v>
      </c>
      <c r="FQ279" s="1">
        <v>67</v>
      </c>
      <c r="FR279" s="13" t="s">
        <v>806</v>
      </c>
      <c r="FS279" s="13" t="s">
        <v>806</v>
      </c>
      <c r="FT279" s="13" t="s">
        <v>806</v>
      </c>
      <c r="FU279" s="13"/>
      <c r="FV279" s="13" t="s">
        <v>806</v>
      </c>
      <c r="FW279" s="13" t="s">
        <v>806</v>
      </c>
      <c r="FX279" s="13" t="s">
        <v>806</v>
      </c>
      <c r="FY279" s="13" t="s">
        <v>806</v>
      </c>
      <c r="FZ279" s="13" t="s">
        <v>806</v>
      </c>
      <c r="GA279" s="13" t="s">
        <v>806</v>
      </c>
      <c r="GB279" s="13" t="s">
        <v>806</v>
      </c>
      <c r="GE279" s="13" t="s">
        <v>806</v>
      </c>
      <c r="GF279" s="13" t="s">
        <v>806</v>
      </c>
      <c r="GH279" s="13" t="s">
        <v>806</v>
      </c>
    </row>
    <row r="280" spans="1:190" ht="12.75" customHeight="1" x14ac:dyDescent="0.25">
      <c r="A280" s="1" t="s">
        <v>283</v>
      </c>
      <c r="B280" s="1" t="s">
        <v>283</v>
      </c>
      <c r="C280" s="1" t="s">
        <v>804</v>
      </c>
      <c r="D280" s="1" t="s">
        <v>682</v>
      </c>
      <c r="E280" s="1" t="s">
        <v>139</v>
      </c>
      <c r="F280" s="1">
        <v>0</v>
      </c>
      <c r="G280" s="1">
        <v>2045</v>
      </c>
      <c r="H280" s="1">
        <v>0</v>
      </c>
      <c r="I280" s="1">
        <v>0</v>
      </c>
      <c r="J280" s="1">
        <v>1</v>
      </c>
      <c r="K28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8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8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301.16736000000009</v>
      </c>
      <c r="N280" s="19">
        <v>0</v>
      </c>
      <c r="O280" s="19">
        <v>0</v>
      </c>
      <c r="P280" s="19">
        <v>301.16736000000009</v>
      </c>
      <c r="Q280" s="19">
        <v>310.28517333333343</v>
      </c>
      <c r="R280" s="19">
        <v>0</v>
      </c>
      <c r="S280" s="19">
        <v>1271.5955200000001</v>
      </c>
      <c r="T280" s="19">
        <v>0</v>
      </c>
      <c r="U280" s="19">
        <v>0</v>
      </c>
      <c r="V280" s="19">
        <v>301.16736000000009</v>
      </c>
      <c r="W280" s="19">
        <v>310.28517333333343</v>
      </c>
      <c r="X280" s="19">
        <v>0</v>
      </c>
      <c r="Y280" s="19">
        <v>1271.5955200000001</v>
      </c>
      <c r="Z280" s="19">
        <v>0</v>
      </c>
      <c r="AA280" s="19">
        <v>0</v>
      </c>
      <c r="AB280" s="19">
        <v>301.16736000000009</v>
      </c>
      <c r="AC280" s="19">
        <v>310.28517333333343</v>
      </c>
      <c r="AD280" s="19">
        <v>0</v>
      </c>
      <c r="AE280" s="19">
        <v>1271.5955200000001</v>
      </c>
      <c r="AF280" s="19">
        <v>0</v>
      </c>
      <c r="AG280" s="19">
        <v>0</v>
      </c>
      <c r="AH280" s="19">
        <v>301.16736000000009</v>
      </c>
      <c r="AI280" s="19">
        <v>310.28517333333343</v>
      </c>
      <c r="AJ280" s="19">
        <v>0</v>
      </c>
      <c r="AK280" s="19">
        <v>1271.5955200000001</v>
      </c>
      <c r="AL280" s="19">
        <v>0</v>
      </c>
      <c r="AM280" s="19">
        <v>0</v>
      </c>
      <c r="AN280" s="19">
        <v>301.16736000000009</v>
      </c>
      <c r="AO280" s="19">
        <v>310.28517333333343</v>
      </c>
      <c r="AP280" s="19">
        <v>0</v>
      </c>
      <c r="AQ280" s="19">
        <v>1271.5955200000001</v>
      </c>
      <c r="AR280" s="19">
        <v>0</v>
      </c>
      <c r="AS280" s="19">
        <v>0</v>
      </c>
      <c r="AT280" s="19">
        <v>301.16736000000009</v>
      </c>
      <c r="AU280" s="19">
        <v>310.28517333333343</v>
      </c>
      <c r="AV280" s="19">
        <v>0</v>
      </c>
      <c r="AW280" s="19">
        <v>1271.5955200000001</v>
      </c>
      <c r="AX280" s="19">
        <v>0</v>
      </c>
      <c r="AY280" s="19">
        <v>0</v>
      </c>
      <c r="AZ280" s="19">
        <v>301.16736000000009</v>
      </c>
      <c r="BA280" s="19">
        <v>310.28517333333343</v>
      </c>
      <c r="BB280" s="19">
        <v>0</v>
      </c>
      <c r="BC280" s="19">
        <v>1271.5955200000001</v>
      </c>
      <c r="BD280" s="19">
        <v>0</v>
      </c>
      <c r="BE280" s="19">
        <v>0</v>
      </c>
      <c r="BF280" s="19">
        <v>301.16736000000009</v>
      </c>
      <c r="BG280" s="19">
        <v>310.28517333333343</v>
      </c>
      <c r="BH280" s="19">
        <v>0</v>
      </c>
      <c r="BI280" s="19">
        <v>1271.5955200000001</v>
      </c>
      <c r="BJ280" s="19">
        <v>0</v>
      </c>
      <c r="BK280" s="19">
        <v>0</v>
      </c>
      <c r="BL280" s="19">
        <v>301.16736000000009</v>
      </c>
      <c r="BM280" s="19">
        <v>310.28517333333343</v>
      </c>
      <c r="BN280" s="19">
        <v>0</v>
      </c>
      <c r="BO280" s="19">
        <v>1271.5955200000001</v>
      </c>
      <c r="BP280" s="19"/>
      <c r="BQ28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310.28517333333343</v>
      </c>
      <c r="BS28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1271.5955200000001</v>
      </c>
      <c r="BT280" s="11">
        <f>Tabelle5897112140[[#This Row],[Mindestauslastung min]]*Tabelle5897112140[[#This Row],[installierte Leistung MW min]]</f>
        <v>0</v>
      </c>
      <c r="BU280" s="11">
        <f>Tabelle5897112140[[#This Row],[Mindestauslastung durch]]*Tabelle5897112140[[#This Row],[installierte Leistung MW durch]]</f>
        <v>0</v>
      </c>
      <c r="BV280" s="11">
        <f>Tabelle5897112140[[#This Row],[Mindestauslastung max]]*Tabelle5897112140[[#This Row],[installierte Leistung MW max]]</f>
        <v>0</v>
      </c>
      <c r="BW280" s="9">
        <v>0</v>
      </c>
      <c r="BX280" s="9">
        <v>0</v>
      </c>
      <c r="BY280" s="9">
        <v>0</v>
      </c>
      <c r="BZ280" s="9"/>
      <c r="CA280" s="9">
        <v>1.270833333333333E-2</v>
      </c>
      <c r="CB280" s="9">
        <v>4.0000000000000001E-3</v>
      </c>
      <c r="CC280" s="9">
        <v>2.1999999999999999E-2</v>
      </c>
      <c r="CD280" s="9">
        <v>1.270833333333333E-2</v>
      </c>
      <c r="CE280" s="9">
        <v>4.0000000000000001E-3</v>
      </c>
      <c r="CF280" s="9">
        <v>2.1999999999999999E-2</v>
      </c>
      <c r="CG280" s="9">
        <v>1.270833333333333E-2</v>
      </c>
      <c r="CH280" s="9">
        <v>4.0000000000000001E-3</v>
      </c>
      <c r="CI280" s="9">
        <v>2.1999999999999999E-2</v>
      </c>
      <c r="CJ280" s="9">
        <v>1.270833333333333E-2</v>
      </c>
      <c r="CK280" s="9">
        <v>4.0000000000000001E-3</v>
      </c>
      <c r="CL280" s="9">
        <v>2.1999999999999999E-2</v>
      </c>
      <c r="CM280" s="9">
        <v>1.270833333333333E-2</v>
      </c>
      <c r="CN280" s="9">
        <v>4.0000000000000001E-3</v>
      </c>
      <c r="CO280" s="9">
        <v>2.1999999999999999E-2</v>
      </c>
      <c r="CP280" s="9">
        <v>1.270833333333333E-2</v>
      </c>
      <c r="CQ280" s="9">
        <v>4.0000000000000001E-3</v>
      </c>
      <c r="CR280" s="9">
        <v>2.1999999999999999E-2</v>
      </c>
      <c r="CS280" s="9">
        <v>1.270833333333333E-2</v>
      </c>
      <c r="CT280" s="9">
        <v>4.0000000000000001E-3</v>
      </c>
      <c r="CU280" s="9">
        <v>2.1999999999999999E-2</v>
      </c>
      <c r="CV280" s="9">
        <v>1.270833333333333E-2</v>
      </c>
      <c r="CW280" s="9">
        <v>4.0000000000000001E-3</v>
      </c>
      <c r="CX280" s="9">
        <v>2.1999999999999999E-2</v>
      </c>
      <c r="CY280" s="9">
        <v>1.270833333333333E-2</v>
      </c>
      <c r="CZ280" s="9">
        <v>4.0000000000000001E-3</v>
      </c>
      <c r="DA280" s="9">
        <v>2.1999999999999999E-2</v>
      </c>
      <c r="DB280" s="9">
        <f>MIN(Tabelle5897112140[[#This Row],[Durchschnittsauslastung durch Sommer WTT]:[Durchschnittsauslastung max Winter SFN]])</f>
        <v>4.0000000000000001E-3</v>
      </c>
      <c r="DC28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80" s="9">
        <f>MAX(Tabelle5897112140[[#This Row],[Durchschnittsauslastung durch Sommer WTT]:[Durchschnittsauslastung max Winter SFN]])</f>
        <v>2.1999999999999999E-2</v>
      </c>
      <c r="DE280" s="40">
        <f>Tabelle5897112140[[#This Row],[Durchschnittsauslastung min]]*Tabelle5897112140[[#This Row],[installierte Leistung MW min]]</f>
        <v>133.29920000000001</v>
      </c>
      <c r="DF280" s="40">
        <f>Tabelle5897112140[[#This Row],[Durchschnittsauslastung durch]]*Tabelle5897112140[[#This Row],[installierte Leistung MW durch]]</f>
        <v>424.38106666666658</v>
      </c>
      <c r="DG280" s="40">
        <f>Tabelle5897112140[[#This Row],[Durchschnittsauslastung max]]*Tabelle5897112140[[#This Row],[installierte Leistung MW max]]</f>
        <v>736.18687999999997</v>
      </c>
      <c r="DH280" s="46">
        <f>Tabelle5897112140[[#This Row],[Maximalauslastung min]]*Tabelle5897112140[[#This Row],[installierte Leistung MW min]]</f>
        <v>0</v>
      </c>
      <c r="DI280" s="46">
        <f>Tabelle5897112140[[#This Row],[Maximalauslastung durch]]*Tabelle5897112140[[#This Row],[installierte Leistung MW durch]]</f>
        <v>0</v>
      </c>
      <c r="DJ280" s="19">
        <f>Tabelle5897112140[[#This Row],[Maximalauslastung max]]*Tabelle5897112140[[#This Row],[installierte Leistung MW durch]]</f>
        <v>0</v>
      </c>
      <c r="DK280" s="9">
        <v>0</v>
      </c>
      <c r="DL280" s="9">
        <v>0</v>
      </c>
      <c r="DM280" s="9">
        <v>0</v>
      </c>
      <c r="DN280" s="1">
        <v>33393.919999999998</v>
      </c>
      <c r="DO280" s="1">
        <v>33324.800000000003</v>
      </c>
      <c r="DP280" s="1">
        <v>33463.040000000001</v>
      </c>
      <c r="DQ280" s="19"/>
      <c r="DR280" s="19"/>
      <c r="DW280" s="1">
        <v>2.25</v>
      </c>
      <c r="DX280" s="1">
        <v>1.5</v>
      </c>
      <c r="DY280" s="1">
        <v>3</v>
      </c>
      <c r="DZ280" s="1">
        <v>2.25</v>
      </c>
      <c r="EA280" s="1">
        <v>1.5</v>
      </c>
      <c r="EB280" s="1">
        <v>3</v>
      </c>
      <c r="EC280" s="1">
        <v>18</v>
      </c>
      <c r="ED280" s="1">
        <v>12</v>
      </c>
      <c r="EE280" s="1">
        <v>24</v>
      </c>
      <c r="EF280" s="1">
        <v>18</v>
      </c>
      <c r="EG280" s="1">
        <v>18</v>
      </c>
      <c r="EH280" s="1">
        <v>18</v>
      </c>
      <c r="EL280" s="1">
        <v>280</v>
      </c>
      <c r="EM280" s="1">
        <v>252</v>
      </c>
      <c r="EN280" s="1">
        <v>308</v>
      </c>
      <c r="EO280" s="11"/>
      <c r="EP280" s="11"/>
      <c r="EQ280" s="11"/>
      <c r="ER280" s="1">
        <v>280</v>
      </c>
      <c r="ES280" s="1">
        <v>252</v>
      </c>
      <c r="ET280" s="1">
        <v>308</v>
      </c>
      <c r="EU280" s="1">
        <v>91.818181818181827</v>
      </c>
      <c r="EV280" s="19">
        <v>82.626262626262644</v>
      </c>
      <c r="EW280" s="19">
        <v>101.01010101010101</v>
      </c>
      <c r="EX280" s="19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>
        <v>747.47474747474746</v>
      </c>
      <c r="FK280" s="8">
        <v>740</v>
      </c>
      <c r="FL280" s="1">
        <v>754.94949494949492</v>
      </c>
      <c r="FO280" s="1">
        <v>67</v>
      </c>
      <c r="FP280" s="1">
        <v>67</v>
      </c>
      <c r="FQ280" s="1">
        <v>67</v>
      </c>
      <c r="FR280" s="13" t="s">
        <v>806</v>
      </c>
      <c r="FS280" s="13" t="s">
        <v>806</v>
      </c>
      <c r="FT280" s="13" t="s">
        <v>806</v>
      </c>
      <c r="FU280" s="13"/>
      <c r="FV280" s="13" t="s">
        <v>806</v>
      </c>
      <c r="FW280" s="13" t="s">
        <v>806</v>
      </c>
      <c r="FX280" s="13" t="s">
        <v>806</v>
      </c>
      <c r="FY280" s="13" t="s">
        <v>806</v>
      </c>
      <c r="FZ280" s="13" t="s">
        <v>806</v>
      </c>
      <c r="GA280" s="13" t="s">
        <v>806</v>
      </c>
      <c r="GB280" s="13" t="s">
        <v>806</v>
      </c>
      <c r="GE280" s="13" t="s">
        <v>806</v>
      </c>
      <c r="GF280" s="13" t="s">
        <v>806</v>
      </c>
      <c r="GH280" s="13" t="s">
        <v>806</v>
      </c>
    </row>
    <row r="281" spans="1:190" ht="12.75" customHeight="1" x14ac:dyDescent="0.25">
      <c r="A281" s="1" t="s">
        <v>283</v>
      </c>
      <c r="B281" s="1" t="s">
        <v>283</v>
      </c>
      <c r="C281" s="1" t="s">
        <v>804</v>
      </c>
      <c r="D281" s="1" t="s">
        <v>682</v>
      </c>
      <c r="E281" s="1" t="s">
        <v>139</v>
      </c>
      <c r="F281" s="1">
        <v>0</v>
      </c>
      <c r="G281" s="1">
        <v>2050</v>
      </c>
      <c r="H281" s="1">
        <v>0</v>
      </c>
      <c r="I281" s="1">
        <v>0</v>
      </c>
      <c r="J281" s="1">
        <v>1</v>
      </c>
      <c r="K28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8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8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277.63866000000007</v>
      </c>
      <c r="N281" s="19">
        <v>0</v>
      </c>
      <c r="O281" s="19">
        <v>0</v>
      </c>
      <c r="P281" s="19">
        <v>277.63866000000007</v>
      </c>
      <c r="Q281" s="19">
        <v>286.04414416666674</v>
      </c>
      <c r="R281" s="19">
        <v>0</v>
      </c>
      <c r="S281" s="19">
        <v>1172.2521199999999</v>
      </c>
      <c r="T281" s="19">
        <v>0</v>
      </c>
      <c r="U281" s="19">
        <v>0</v>
      </c>
      <c r="V281" s="19">
        <v>277.63866000000007</v>
      </c>
      <c r="W281" s="19">
        <v>286.04414416666674</v>
      </c>
      <c r="X281" s="19">
        <v>0</v>
      </c>
      <c r="Y281" s="19">
        <v>1172.2521199999999</v>
      </c>
      <c r="Z281" s="19">
        <v>0</v>
      </c>
      <c r="AA281" s="19">
        <v>0</v>
      </c>
      <c r="AB281" s="19">
        <v>277.63866000000007</v>
      </c>
      <c r="AC281" s="19">
        <v>286.04414416666674</v>
      </c>
      <c r="AD281" s="19">
        <v>0</v>
      </c>
      <c r="AE281" s="19">
        <v>1172.2521199999999</v>
      </c>
      <c r="AF281" s="19">
        <v>0</v>
      </c>
      <c r="AG281" s="19">
        <v>0</v>
      </c>
      <c r="AH281" s="19">
        <v>277.63866000000007</v>
      </c>
      <c r="AI281" s="19">
        <v>286.04414416666674</v>
      </c>
      <c r="AJ281" s="19">
        <v>0</v>
      </c>
      <c r="AK281" s="19">
        <v>1172.2521199999999</v>
      </c>
      <c r="AL281" s="19">
        <v>0</v>
      </c>
      <c r="AM281" s="19">
        <v>0</v>
      </c>
      <c r="AN281" s="19">
        <v>277.63866000000007</v>
      </c>
      <c r="AO281" s="19">
        <v>286.04414416666674</v>
      </c>
      <c r="AP281" s="19">
        <v>0</v>
      </c>
      <c r="AQ281" s="19">
        <v>1172.2521199999999</v>
      </c>
      <c r="AR281" s="19">
        <v>0</v>
      </c>
      <c r="AS281" s="19">
        <v>0</v>
      </c>
      <c r="AT281" s="19">
        <v>277.63866000000007</v>
      </c>
      <c r="AU281" s="19">
        <v>286.04414416666674</v>
      </c>
      <c r="AV281" s="19">
        <v>0</v>
      </c>
      <c r="AW281" s="19">
        <v>1172.2521199999999</v>
      </c>
      <c r="AX281" s="19">
        <v>0</v>
      </c>
      <c r="AY281" s="19">
        <v>0</v>
      </c>
      <c r="AZ281" s="19">
        <v>277.63866000000007</v>
      </c>
      <c r="BA281" s="19">
        <v>286.04414416666674</v>
      </c>
      <c r="BB281" s="19">
        <v>0</v>
      </c>
      <c r="BC281" s="19">
        <v>1172.2521199999999</v>
      </c>
      <c r="BD281" s="19">
        <v>0</v>
      </c>
      <c r="BE281" s="19">
        <v>0</v>
      </c>
      <c r="BF281" s="19">
        <v>277.63866000000007</v>
      </c>
      <c r="BG281" s="19">
        <v>286.04414416666674</v>
      </c>
      <c r="BH281" s="19">
        <v>0</v>
      </c>
      <c r="BI281" s="19">
        <v>1172.2521199999999</v>
      </c>
      <c r="BJ281" s="19">
        <v>0</v>
      </c>
      <c r="BK281" s="19">
        <v>0</v>
      </c>
      <c r="BL281" s="19">
        <v>277.63866000000007</v>
      </c>
      <c r="BM281" s="19">
        <v>286.04414416666674</v>
      </c>
      <c r="BN281" s="19">
        <v>0</v>
      </c>
      <c r="BO281" s="19">
        <v>1172.2521199999999</v>
      </c>
      <c r="BP281" s="19"/>
      <c r="BQ28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286.04414416666674</v>
      </c>
      <c r="BS28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1172.2521199999999</v>
      </c>
      <c r="BT281" s="11">
        <f>Tabelle5897112140[[#This Row],[Mindestauslastung min]]*Tabelle5897112140[[#This Row],[installierte Leistung MW min]]</f>
        <v>0</v>
      </c>
      <c r="BU281" s="11">
        <f>Tabelle5897112140[[#This Row],[Mindestauslastung durch]]*Tabelle5897112140[[#This Row],[installierte Leistung MW durch]]</f>
        <v>0</v>
      </c>
      <c r="BV281" s="11">
        <f>Tabelle5897112140[[#This Row],[Mindestauslastung max]]*Tabelle5897112140[[#This Row],[installierte Leistung MW max]]</f>
        <v>0</v>
      </c>
      <c r="BW281" s="9">
        <v>0</v>
      </c>
      <c r="BX281" s="9">
        <v>0</v>
      </c>
      <c r="BY281" s="9">
        <v>0</v>
      </c>
      <c r="BZ281" s="9"/>
      <c r="CA281" s="9">
        <v>1.270833333333333E-2</v>
      </c>
      <c r="CB281" s="9">
        <v>4.0000000000000001E-3</v>
      </c>
      <c r="CC281" s="9">
        <v>2.1999999999999999E-2</v>
      </c>
      <c r="CD281" s="9">
        <v>1.270833333333333E-2</v>
      </c>
      <c r="CE281" s="9">
        <v>4.0000000000000001E-3</v>
      </c>
      <c r="CF281" s="9">
        <v>2.1999999999999999E-2</v>
      </c>
      <c r="CG281" s="9">
        <v>1.270833333333333E-2</v>
      </c>
      <c r="CH281" s="9">
        <v>4.0000000000000001E-3</v>
      </c>
      <c r="CI281" s="9">
        <v>2.1999999999999999E-2</v>
      </c>
      <c r="CJ281" s="9">
        <v>1.270833333333333E-2</v>
      </c>
      <c r="CK281" s="9">
        <v>4.0000000000000001E-3</v>
      </c>
      <c r="CL281" s="9">
        <v>2.1999999999999999E-2</v>
      </c>
      <c r="CM281" s="9">
        <v>1.270833333333333E-2</v>
      </c>
      <c r="CN281" s="9">
        <v>4.0000000000000001E-3</v>
      </c>
      <c r="CO281" s="9">
        <v>2.1999999999999999E-2</v>
      </c>
      <c r="CP281" s="9">
        <v>1.270833333333333E-2</v>
      </c>
      <c r="CQ281" s="9">
        <v>4.0000000000000001E-3</v>
      </c>
      <c r="CR281" s="9">
        <v>2.1999999999999999E-2</v>
      </c>
      <c r="CS281" s="9">
        <v>1.270833333333333E-2</v>
      </c>
      <c r="CT281" s="9">
        <v>4.0000000000000001E-3</v>
      </c>
      <c r="CU281" s="9">
        <v>2.1999999999999999E-2</v>
      </c>
      <c r="CV281" s="9">
        <v>1.270833333333333E-2</v>
      </c>
      <c r="CW281" s="9">
        <v>4.0000000000000001E-3</v>
      </c>
      <c r="CX281" s="9">
        <v>2.1999999999999999E-2</v>
      </c>
      <c r="CY281" s="9">
        <v>1.270833333333333E-2</v>
      </c>
      <c r="CZ281" s="9">
        <v>4.0000000000000001E-3</v>
      </c>
      <c r="DA281" s="9">
        <v>2.1999999999999999E-2</v>
      </c>
      <c r="DB281" s="9">
        <f>MIN(Tabelle5897112140[[#This Row],[Durchschnittsauslastung durch Sommer WTT]:[Durchschnittsauslastung max Winter SFN]])</f>
        <v>4.0000000000000001E-3</v>
      </c>
      <c r="DC28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81" s="9">
        <f>MAX(Tabelle5897112140[[#This Row],[Durchschnittsauslastung durch Sommer WTT]:[Durchschnittsauslastung max Winter SFN]])</f>
        <v>2.1999999999999999E-2</v>
      </c>
      <c r="DE281" s="40">
        <f>Tabelle5897112140[[#This Row],[Durchschnittsauslastung min]]*Tabelle5897112140[[#This Row],[installierte Leistung MW min]]</f>
        <v>122.8852</v>
      </c>
      <c r="DF281" s="40">
        <f>Tabelle5897112140[[#This Row],[Durchschnittsauslastung durch]]*Tabelle5897112140[[#This Row],[installierte Leistung MW durch]]</f>
        <v>391.22629583333327</v>
      </c>
      <c r="DG281" s="40">
        <f>Tabelle5897112140[[#This Row],[Durchschnittsauslastung max]]*Tabelle5897112140[[#This Row],[installierte Leistung MW max]]</f>
        <v>678.67228</v>
      </c>
      <c r="DH281" s="46">
        <f>Tabelle5897112140[[#This Row],[Maximalauslastung min]]*Tabelle5897112140[[#This Row],[installierte Leistung MW min]]</f>
        <v>0</v>
      </c>
      <c r="DI281" s="46">
        <f>Tabelle5897112140[[#This Row],[Maximalauslastung durch]]*Tabelle5897112140[[#This Row],[installierte Leistung MW durch]]</f>
        <v>0</v>
      </c>
      <c r="DJ281" s="19">
        <f>Tabelle5897112140[[#This Row],[Maximalauslastung max]]*Tabelle5897112140[[#This Row],[installierte Leistung MW durch]]</f>
        <v>0</v>
      </c>
      <c r="DK281" s="9">
        <v>0</v>
      </c>
      <c r="DL281" s="9">
        <v>0</v>
      </c>
      <c r="DM281" s="9">
        <v>0</v>
      </c>
      <c r="DN281" s="1">
        <v>30785.02</v>
      </c>
      <c r="DO281" s="1">
        <v>30721.3</v>
      </c>
      <c r="DP281" s="1">
        <v>30848.74</v>
      </c>
      <c r="DQ281" s="19"/>
      <c r="DR281" s="19"/>
      <c r="DW281" s="1">
        <v>2.25</v>
      </c>
      <c r="DX281" s="1">
        <v>1.5</v>
      </c>
      <c r="DY281" s="1">
        <v>3</v>
      </c>
      <c r="DZ281" s="1">
        <v>2.25</v>
      </c>
      <c r="EA281" s="1">
        <v>1.5</v>
      </c>
      <c r="EB281" s="1">
        <v>3</v>
      </c>
      <c r="EC281" s="1">
        <v>18</v>
      </c>
      <c r="ED281" s="1">
        <v>12</v>
      </c>
      <c r="EE281" s="1">
        <v>24</v>
      </c>
      <c r="EF281" s="1">
        <v>18</v>
      </c>
      <c r="EG281" s="1">
        <v>18</v>
      </c>
      <c r="EH281" s="1">
        <v>18</v>
      </c>
      <c r="EL281" s="1">
        <v>280</v>
      </c>
      <c r="EM281" s="1">
        <v>252</v>
      </c>
      <c r="EN281" s="1">
        <v>308</v>
      </c>
      <c r="EO281" s="11"/>
      <c r="EP281" s="11"/>
      <c r="EQ281" s="11"/>
      <c r="ER281" s="1">
        <v>280</v>
      </c>
      <c r="ES281" s="1">
        <v>252</v>
      </c>
      <c r="ET281" s="1">
        <v>308</v>
      </c>
      <c r="EU281" s="1">
        <v>91.818181818181827</v>
      </c>
      <c r="EV281" s="19">
        <v>82.626262626262644</v>
      </c>
      <c r="EW281" s="19">
        <v>101.01010101010101</v>
      </c>
      <c r="EX281" s="19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>
        <v>747.47474747474746</v>
      </c>
      <c r="FK281" s="8">
        <v>740</v>
      </c>
      <c r="FL281" s="1">
        <v>754.94949494949492</v>
      </c>
      <c r="FO281" s="1">
        <v>67</v>
      </c>
      <c r="FP281" s="1">
        <v>67</v>
      </c>
      <c r="FQ281" s="1">
        <v>67</v>
      </c>
      <c r="FR281" s="13" t="s">
        <v>806</v>
      </c>
      <c r="FS281" s="13" t="s">
        <v>806</v>
      </c>
      <c r="FT281" s="13" t="s">
        <v>806</v>
      </c>
      <c r="FU281" s="13"/>
      <c r="FV281" s="13" t="s">
        <v>806</v>
      </c>
      <c r="FW281" s="13" t="s">
        <v>806</v>
      </c>
      <c r="FX281" s="13" t="s">
        <v>806</v>
      </c>
      <c r="FY281" s="13" t="s">
        <v>806</v>
      </c>
      <c r="FZ281" s="13" t="s">
        <v>806</v>
      </c>
      <c r="GA281" s="13" t="s">
        <v>806</v>
      </c>
      <c r="GB281" s="13" t="s">
        <v>806</v>
      </c>
      <c r="GE281" s="13" t="s">
        <v>806</v>
      </c>
      <c r="GF281" s="13" t="s">
        <v>806</v>
      </c>
      <c r="GH281" s="13" t="s">
        <v>806</v>
      </c>
    </row>
    <row r="282" spans="1:190" ht="12.75" customHeight="1" x14ac:dyDescent="0.25">
      <c r="A282" s="1" t="s">
        <v>362</v>
      </c>
      <c r="B282" s="1" t="s">
        <v>650</v>
      </c>
      <c r="C282" s="1" t="s">
        <v>804</v>
      </c>
      <c r="D282" s="1" t="s">
        <v>690</v>
      </c>
      <c r="E282" s="1" t="s">
        <v>139</v>
      </c>
      <c r="F282" s="1">
        <v>0</v>
      </c>
      <c r="G282" s="1">
        <v>2015</v>
      </c>
      <c r="H282" s="1">
        <v>1</v>
      </c>
      <c r="I282" s="1">
        <v>0</v>
      </c>
      <c r="J282" s="1">
        <v>0</v>
      </c>
      <c r="K28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152.03</v>
      </c>
      <c r="L28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1496</v>
      </c>
      <c r="M28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4089.15</v>
      </c>
      <c r="N282" s="19">
        <v>1496</v>
      </c>
      <c r="O282" s="19">
        <v>152.03</v>
      </c>
      <c r="P282" s="19">
        <v>4089.15</v>
      </c>
      <c r="Q282" s="19">
        <v>748</v>
      </c>
      <c r="R282" s="19">
        <v>0</v>
      </c>
      <c r="S282" s="19">
        <v>2355.63</v>
      </c>
      <c r="T282" s="19">
        <v>1496</v>
      </c>
      <c r="U282" s="19">
        <v>152.03</v>
      </c>
      <c r="V282" s="19">
        <v>4089.15</v>
      </c>
      <c r="W282" s="19">
        <v>748</v>
      </c>
      <c r="X282" s="19">
        <v>0</v>
      </c>
      <c r="Y282" s="19">
        <v>2355.63</v>
      </c>
      <c r="Z282" s="19">
        <v>1496</v>
      </c>
      <c r="AA282" s="19">
        <v>152.03</v>
      </c>
      <c r="AB282" s="19">
        <v>4089.15</v>
      </c>
      <c r="AC282" s="19">
        <v>748</v>
      </c>
      <c r="AD282" s="19">
        <v>0</v>
      </c>
      <c r="AE282" s="19">
        <v>2355.63</v>
      </c>
      <c r="AF282" s="19">
        <v>1496</v>
      </c>
      <c r="AG282" s="19">
        <v>152.03</v>
      </c>
      <c r="AH282" s="19">
        <v>4089.15</v>
      </c>
      <c r="AI282" s="19">
        <v>748</v>
      </c>
      <c r="AJ282" s="19">
        <v>0</v>
      </c>
      <c r="AK282" s="19">
        <v>2355.63</v>
      </c>
      <c r="AL282" s="19">
        <v>1496</v>
      </c>
      <c r="AM282" s="19">
        <v>152.03</v>
      </c>
      <c r="AN282" s="19">
        <v>4089.15</v>
      </c>
      <c r="AO282" s="19">
        <v>748</v>
      </c>
      <c r="AP282" s="19">
        <v>0</v>
      </c>
      <c r="AQ282" s="19">
        <v>2355.63</v>
      </c>
      <c r="AR282" s="19">
        <v>1496</v>
      </c>
      <c r="AS282" s="19">
        <v>152.03</v>
      </c>
      <c r="AT282" s="19">
        <v>4089.15</v>
      </c>
      <c r="AU282" s="19">
        <v>748</v>
      </c>
      <c r="AV282" s="19">
        <v>0</v>
      </c>
      <c r="AW282" s="19">
        <v>2355.63</v>
      </c>
      <c r="AX282" s="19">
        <v>1496</v>
      </c>
      <c r="AY282" s="19">
        <v>152.03</v>
      </c>
      <c r="AZ282" s="19">
        <v>4089.15</v>
      </c>
      <c r="BA282" s="19">
        <v>748</v>
      </c>
      <c r="BB282" s="19">
        <v>0</v>
      </c>
      <c r="BC282" s="19">
        <v>2355.63</v>
      </c>
      <c r="BD282" s="19">
        <v>1496</v>
      </c>
      <c r="BE282" s="19">
        <v>152.03</v>
      </c>
      <c r="BF282" s="19">
        <v>4089.15</v>
      </c>
      <c r="BG282" s="19">
        <v>748</v>
      </c>
      <c r="BH282" s="19">
        <v>0</v>
      </c>
      <c r="BI282" s="19">
        <v>2355.63</v>
      </c>
      <c r="BJ282" s="19">
        <v>1496</v>
      </c>
      <c r="BK282" s="19">
        <v>152.03</v>
      </c>
      <c r="BL282" s="19">
        <v>4089.15</v>
      </c>
      <c r="BM282" s="19">
        <v>748</v>
      </c>
      <c r="BN282" s="19">
        <v>0</v>
      </c>
      <c r="BO282" s="19">
        <v>2355.63</v>
      </c>
      <c r="BP282" s="19"/>
      <c r="BQ28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748</v>
      </c>
      <c r="BS28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2355.63</v>
      </c>
      <c r="BT282" s="11">
        <f>Tabelle5897112140[[#This Row],[Mindestauslastung min]]*Tabelle5897112140[[#This Row],[installierte Leistung MW min]]</f>
        <v>330.5</v>
      </c>
      <c r="BU282" s="11">
        <f>Tabelle5897112140[[#This Row],[Mindestauslastung durch]]*Tabelle5897112140[[#This Row],[installierte Leistung MW durch]]</f>
        <v>340</v>
      </c>
      <c r="BV282" s="11">
        <f>Tabelle5897112140[[#This Row],[Mindestauslastung max]]*Tabelle5897112140[[#This Row],[installierte Leistung MW max]]</f>
        <v>349.5</v>
      </c>
      <c r="BW282" s="9">
        <v>0.05</v>
      </c>
      <c r="BX282" s="9">
        <v>0.05</v>
      </c>
      <c r="BY282" s="9">
        <v>0.05</v>
      </c>
      <c r="BZ282" s="9"/>
      <c r="CA282" s="9">
        <v>0.22</v>
      </c>
      <c r="CB282" s="9">
        <v>2.3E-2</v>
      </c>
      <c r="CC282" s="9">
        <v>0.58499999999999996</v>
      </c>
      <c r="CD282" s="9">
        <v>0.22</v>
      </c>
      <c r="CE282" s="9">
        <v>2.3E-2</v>
      </c>
      <c r="CF282" s="9">
        <v>0.58499999999999996</v>
      </c>
      <c r="CG282" s="9">
        <v>0.22</v>
      </c>
      <c r="CH282" s="9">
        <v>2.3E-2</v>
      </c>
      <c r="CI282" s="9">
        <v>0.58499999999999996</v>
      </c>
      <c r="CJ282" s="9">
        <v>0.22</v>
      </c>
      <c r="CK282" s="9">
        <v>2.3E-2</v>
      </c>
      <c r="CL282" s="9">
        <v>0.58499999999999996</v>
      </c>
      <c r="CM282" s="9">
        <v>0.22</v>
      </c>
      <c r="CN282" s="9">
        <v>2.3E-2</v>
      </c>
      <c r="CO282" s="9">
        <v>0.58499999999999996</v>
      </c>
      <c r="CP282" s="9">
        <v>0.22</v>
      </c>
      <c r="CQ282" s="9">
        <v>2.3E-2</v>
      </c>
      <c r="CR282" s="9">
        <v>0.58499999999999996</v>
      </c>
      <c r="CS282" s="9">
        <v>0.22</v>
      </c>
      <c r="CT282" s="9">
        <v>2.3E-2</v>
      </c>
      <c r="CU282" s="9">
        <v>0.58499999999999996</v>
      </c>
      <c r="CV282" s="9">
        <v>0.22</v>
      </c>
      <c r="CW282" s="9">
        <v>2.3E-2</v>
      </c>
      <c r="CX282" s="9">
        <v>0.58499999999999996</v>
      </c>
      <c r="CY282" s="9">
        <v>0.22</v>
      </c>
      <c r="CZ282" s="9">
        <v>2.3E-2</v>
      </c>
      <c r="DA282" s="9">
        <v>0.58499999999999996</v>
      </c>
      <c r="DB282" s="9">
        <f>MIN(Tabelle5897112140[[#This Row],[Durchschnittsauslastung durch Sommer WTT]:[Durchschnittsauslastung max Winter SFN]])</f>
        <v>2.3E-2</v>
      </c>
      <c r="DC28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2" s="9">
        <f>MAX(Tabelle5897112140[[#This Row],[Durchschnittsauslastung durch Sommer WTT]:[Durchschnittsauslastung max Winter SFN]])</f>
        <v>0.58499999999999996</v>
      </c>
      <c r="DE282" s="40">
        <f>Tabelle5897112140[[#This Row],[Durchschnittsauslastung min]]*Tabelle5897112140[[#This Row],[installierte Leistung MW min]]</f>
        <v>152.03</v>
      </c>
      <c r="DF282" s="40">
        <f>Tabelle5897112140[[#This Row],[Durchschnittsauslastung durch]]*Tabelle5897112140[[#This Row],[installierte Leistung MW durch]]</f>
        <v>1496</v>
      </c>
      <c r="DG282" s="40">
        <f>Tabelle5897112140[[#This Row],[Durchschnittsauslastung max]]*Tabelle5897112140[[#This Row],[installierte Leistung MW max]]</f>
        <v>4089.1499999999996</v>
      </c>
      <c r="DH282" s="46">
        <f>Tabelle5897112140[[#This Row],[Maximalauslastung min]]*Tabelle5897112140[[#This Row],[installierte Leistung MW min]]</f>
        <v>6610</v>
      </c>
      <c r="DI282" s="46">
        <f>Tabelle5897112140[[#This Row],[Maximalauslastung durch]]*Tabelle5897112140[[#This Row],[installierte Leistung MW durch]]</f>
        <v>6800</v>
      </c>
      <c r="DJ282" s="19">
        <f>Tabelle5897112140[[#This Row],[Maximalauslastung max]]*Tabelle5897112140[[#This Row],[installierte Leistung MW durch]]</f>
        <v>6800</v>
      </c>
      <c r="DK282" s="9">
        <v>1</v>
      </c>
      <c r="DL282" s="9">
        <v>1</v>
      </c>
      <c r="DM282" s="9">
        <v>1</v>
      </c>
      <c r="DN282" s="1">
        <v>6800</v>
      </c>
      <c r="DO282" s="1">
        <v>6610</v>
      </c>
      <c r="DP282" s="1">
        <v>6990</v>
      </c>
      <c r="DQ282" s="19"/>
      <c r="DR282" s="19"/>
      <c r="DW282" s="1">
        <v>0.25</v>
      </c>
      <c r="DX282" s="1">
        <v>0.2</v>
      </c>
      <c r="DY282" s="1">
        <v>0.3</v>
      </c>
      <c r="DZ282" s="1">
        <v>0.25</v>
      </c>
      <c r="EA282" s="1">
        <v>0.2</v>
      </c>
      <c r="EB282" s="1">
        <v>0.3</v>
      </c>
      <c r="EC282" s="1">
        <v>0.5</v>
      </c>
      <c r="ED282" s="1">
        <v>0.4</v>
      </c>
      <c r="EE282" s="1">
        <v>0.6</v>
      </c>
      <c r="EF282" s="1">
        <v>0.5</v>
      </c>
      <c r="EG282" s="1">
        <v>0.5</v>
      </c>
      <c r="EH282" s="1">
        <v>0.5</v>
      </c>
      <c r="EL282" s="1">
        <v>365</v>
      </c>
      <c r="EM282" s="1">
        <v>328</v>
      </c>
      <c r="EN282" s="1">
        <v>402</v>
      </c>
      <c r="EO282" s="11"/>
      <c r="EP282" s="11"/>
      <c r="EQ282" s="11"/>
      <c r="ER282" s="1">
        <v>365</v>
      </c>
      <c r="ES282" s="1">
        <v>328</v>
      </c>
      <c r="ET282" s="1">
        <v>402</v>
      </c>
      <c r="EU282" s="1">
        <v>144.44444444444446</v>
      </c>
      <c r="EV282" s="19">
        <v>130</v>
      </c>
      <c r="EW282" s="19">
        <v>158.88888888888891</v>
      </c>
      <c r="EX282" s="19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>
        <v>9.8989898989898997</v>
      </c>
      <c r="FK282" s="8">
        <v>3.5353535353535364</v>
      </c>
      <c r="FL282" s="1">
        <v>16.262626262626263</v>
      </c>
      <c r="FO282" s="1">
        <v>67</v>
      </c>
      <c r="FP282" s="1">
        <v>67</v>
      </c>
      <c r="FQ282" s="1">
        <v>67</v>
      </c>
      <c r="FR282" s="13" t="s">
        <v>806</v>
      </c>
      <c r="FS282" s="13" t="s">
        <v>806</v>
      </c>
      <c r="FT282" s="13" t="s">
        <v>806</v>
      </c>
      <c r="FU282" s="13"/>
      <c r="FV282" s="13" t="s">
        <v>806</v>
      </c>
      <c r="FW282" s="13" t="s">
        <v>806</v>
      </c>
      <c r="FX282" s="13" t="s">
        <v>806</v>
      </c>
      <c r="FY282" s="13" t="s">
        <v>806</v>
      </c>
      <c r="FZ282" s="13" t="s">
        <v>806</v>
      </c>
      <c r="GA282" s="13" t="s">
        <v>806</v>
      </c>
      <c r="GB282" s="13" t="s">
        <v>806</v>
      </c>
      <c r="GE282" s="13" t="s">
        <v>806</v>
      </c>
      <c r="GF282" s="13" t="s">
        <v>806</v>
      </c>
      <c r="GH282" s="13" t="s">
        <v>806</v>
      </c>
    </row>
    <row r="283" spans="1:190" ht="12.75" customHeight="1" x14ac:dyDescent="0.25">
      <c r="A283" s="1" t="s">
        <v>362</v>
      </c>
      <c r="B283" s="1" t="s">
        <v>650</v>
      </c>
      <c r="C283" s="1" t="s">
        <v>804</v>
      </c>
      <c r="D283" s="1" t="s">
        <v>690</v>
      </c>
      <c r="E283" s="1" t="s">
        <v>139</v>
      </c>
      <c r="F283" s="1">
        <v>0</v>
      </c>
      <c r="G283" s="1">
        <v>2020</v>
      </c>
      <c r="H283" s="1">
        <v>1</v>
      </c>
      <c r="I283" s="1">
        <v>0</v>
      </c>
      <c r="J283" s="1">
        <v>0</v>
      </c>
      <c r="K28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218.92319999999998</v>
      </c>
      <c r="L28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2154.2399999999998</v>
      </c>
      <c r="M28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5888.3760000000002</v>
      </c>
      <c r="N283" s="19">
        <v>2154.2399999999998</v>
      </c>
      <c r="O283" s="19">
        <v>218.92319999999998</v>
      </c>
      <c r="P283" s="19">
        <v>5888.3760000000002</v>
      </c>
      <c r="Q283" s="19">
        <v>1077.1199999999999</v>
      </c>
      <c r="R283" s="19">
        <v>0</v>
      </c>
      <c r="S283" s="19">
        <v>3392.1071999999999</v>
      </c>
      <c r="T283" s="19">
        <v>2154.2399999999998</v>
      </c>
      <c r="U283" s="19">
        <v>218.92319999999998</v>
      </c>
      <c r="V283" s="19">
        <v>5888.3760000000002</v>
      </c>
      <c r="W283" s="19">
        <v>1077.1199999999999</v>
      </c>
      <c r="X283" s="19">
        <v>0</v>
      </c>
      <c r="Y283" s="19">
        <v>3392.1071999999999</v>
      </c>
      <c r="Z283" s="19">
        <v>2154.2399999999998</v>
      </c>
      <c r="AA283" s="19">
        <v>218.92319999999998</v>
      </c>
      <c r="AB283" s="19">
        <v>5888.3760000000002</v>
      </c>
      <c r="AC283" s="19">
        <v>1077.1199999999999</v>
      </c>
      <c r="AD283" s="19">
        <v>0</v>
      </c>
      <c r="AE283" s="19">
        <v>3392.1071999999999</v>
      </c>
      <c r="AF283" s="19">
        <v>2154.2399999999998</v>
      </c>
      <c r="AG283" s="19">
        <v>218.92319999999998</v>
      </c>
      <c r="AH283" s="19">
        <v>5888.3760000000002</v>
      </c>
      <c r="AI283" s="19">
        <v>1077.1199999999999</v>
      </c>
      <c r="AJ283" s="19">
        <v>0</v>
      </c>
      <c r="AK283" s="19">
        <v>3392.1071999999999</v>
      </c>
      <c r="AL283" s="19">
        <v>2154.2399999999998</v>
      </c>
      <c r="AM283" s="19">
        <v>218.92319999999998</v>
      </c>
      <c r="AN283" s="19">
        <v>5888.3760000000002</v>
      </c>
      <c r="AO283" s="19">
        <v>1077.1199999999999</v>
      </c>
      <c r="AP283" s="19">
        <v>0</v>
      </c>
      <c r="AQ283" s="19">
        <v>3392.1071999999999</v>
      </c>
      <c r="AR283" s="19">
        <v>2154.2399999999998</v>
      </c>
      <c r="AS283" s="19">
        <v>218.92319999999998</v>
      </c>
      <c r="AT283" s="19">
        <v>5888.3760000000002</v>
      </c>
      <c r="AU283" s="19">
        <v>1077.1199999999999</v>
      </c>
      <c r="AV283" s="19">
        <v>0</v>
      </c>
      <c r="AW283" s="19">
        <v>3392.1071999999999</v>
      </c>
      <c r="AX283" s="19">
        <v>2154.2399999999998</v>
      </c>
      <c r="AY283" s="19">
        <v>218.92319999999998</v>
      </c>
      <c r="AZ283" s="19">
        <v>5888.3760000000002</v>
      </c>
      <c r="BA283" s="19">
        <v>1077.1199999999999</v>
      </c>
      <c r="BB283" s="19">
        <v>0</v>
      </c>
      <c r="BC283" s="19">
        <v>3392.1071999999999</v>
      </c>
      <c r="BD283" s="19">
        <v>2154.2399999999998</v>
      </c>
      <c r="BE283" s="19">
        <v>218.92319999999998</v>
      </c>
      <c r="BF283" s="19">
        <v>5888.3760000000002</v>
      </c>
      <c r="BG283" s="19">
        <v>1077.1199999999999</v>
      </c>
      <c r="BH283" s="19">
        <v>0</v>
      </c>
      <c r="BI283" s="19">
        <v>3392.1071999999999</v>
      </c>
      <c r="BJ283" s="19">
        <v>2154.2399999999998</v>
      </c>
      <c r="BK283" s="19">
        <v>218.92319999999998</v>
      </c>
      <c r="BL283" s="19">
        <v>5888.3760000000002</v>
      </c>
      <c r="BM283" s="19">
        <v>1077.1199999999999</v>
      </c>
      <c r="BN283" s="19">
        <v>0</v>
      </c>
      <c r="BO283" s="19">
        <v>3392.1071999999999</v>
      </c>
      <c r="BP283" s="19"/>
      <c r="BQ28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1077.1199999999999</v>
      </c>
      <c r="BS28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3392.1071999999999</v>
      </c>
      <c r="BT283" s="11">
        <f>Tabelle5897112140[[#This Row],[Mindestauslastung min]]*Tabelle5897112140[[#This Row],[installierte Leistung MW min]]</f>
        <v>475.92</v>
      </c>
      <c r="BU283" s="11">
        <f>Tabelle5897112140[[#This Row],[Mindestauslastung durch]]*Tabelle5897112140[[#This Row],[installierte Leistung MW durch]]</f>
        <v>489.6</v>
      </c>
      <c r="BV283" s="11">
        <f>Tabelle5897112140[[#This Row],[Mindestauslastung max]]*Tabelle5897112140[[#This Row],[installierte Leistung MW max]]</f>
        <v>503.28000000000003</v>
      </c>
      <c r="BW283" s="9">
        <v>0.05</v>
      </c>
      <c r="BX283" s="9">
        <v>0.05</v>
      </c>
      <c r="BY283" s="9">
        <v>0.05</v>
      </c>
      <c r="BZ283" s="9"/>
      <c r="CA283" s="9">
        <v>0.22</v>
      </c>
      <c r="CB283" s="9">
        <v>2.3E-2</v>
      </c>
      <c r="CC283" s="9">
        <v>0.58499999999999996</v>
      </c>
      <c r="CD283" s="9">
        <v>0.22</v>
      </c>
      <c r="CE283" s="9">
        <v>2.3E-2</v>
      </c>
      <c r="CF283" s="9">
        <v>0.58499999999999996</v>
      </c>
      <c r="CG283" s="9">
        <v>0.22</v>
      </c>
      <c r="CH283" s="9">
        <v>2.3E-2</v>
      </c>
      <c r="CI283" s="9">
        <v>0.58499999999999996</v>
      </c>
      <c r="CJ283" s="9">
        <v>0.22</v>
      </c>
      <c r="CK283" s="9">
        <v>2.3E-2</v>
      </c>
      <c r="CL283" s="9">
        <v>0.58499999999999996</v>
      </c>
      <c r="CM283" s="9">
        <v>0.22</v>
      </c>
      <c r="CN283" s="9">
        <v>2.3E-2</v>
      </c>
      <c r="CO283" s="9">
        <v>0.58499999999999996</v>
      </c>
      <c r="CP283" s="9">
        <v>0.22</v>
      </c>
      <c r="CQ283" s="9">
        <v>2.3E-2</v>
      </c>
      <c r="CR283" s="9">
        <v>0.58499999999999996</v>
      </c>
      <c r="CS283" s="9">
        <v>0.22</v>
      </c>
      <c r="CT283" s="9">
        <v>2.3E-2</v>
      </c>
      <c r="CU283" s="9">
        <v>0.58499999999999996</v>
      </c>
      <c r="CV283" s="9">
        <v>0.22</v>
      </c>
      <c r="CW283" s="9">
        <v>2.3E-2</v>
      </c>
      <c r="CX283" s="9">
        <v>0.58499999999999996</v>
      </c>
      <c r="CY283" s="9">
        <v>0.22</v>
      </c>
      <c r="CZ283" s="9">
        <v>2.3E-2</v>
      </c>
      <c r="DA283" s="9">
        <v>0.58499999999999996</v>
      </c>
      <c r="DB283" s="9">
        <f>MIN(Tabelle5897112140[[#This Row],[Durchschnittsauslastung durch Sommer WTT]:[Durchschnittsauslastung max Winter SFN]])</f>
        <v>2.3E-2</v>
      </c>
      <c r="DC28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3" s="9">
        <f>MAX(Tabelle5897112140[[#This Row],[Durchschnittsauslastung durch Sommer WTT]:[Durchschnittsauslastung max Winter SFN]])</f>
        <v>0.58499999999999996</v>
      </c>
      <c r="DE283" s="40">
        <f>Tabelle5897112140[[#This Row],[Durchschnittsauslastung min]]*Tabelle5897112140[[#This Row],[installierte Leistung MW min]]</f>
        <v>218.92319999999998</v>
      </c>
      <c r="DF283" s="40">
        <f>Tabelle5897112140[[#This Row],[Durchschnittsauslastung durch]]*Tabelle5897112140[[#This Row],[installierte Leistung MW durch]]</f>
        <v>2154.2400000000002</v>
      </c>
      <c r="DG283" s="40">
        <f>Tabelle5897112140[[#This Row],[Durchschnittsauslastung max]]*Tabelle5897112140[[#This Row],[installierte Leistung MW max]]</f>
        <v>5888.3760000000002</v>
      </c>
      <c r="DH283" s="46">
        <f>Tabelle5897112140[[#This Row],[Maximalauslastung min]]*Tabelle5897112140[[#This Row],[installierte Leistung MW min]]</f>
        <v>0</v>
      </c>
      <c r="DI283" s="46">
        <f>Tabelle5897112140[[#This Row],[Maximalauslastung durch]]*Tabelle5897112140[[#This Row],[installierte Leistung MW durch]]</f>
        <v>0</v>
      </c>
      <c r="DJ283" s="19">
        <f>Tabelle5897112140[[#This Row],[Maximalauslastung max]]*Tabelle5897112140[[#This Row],[installierte Leistung MW durch]]</f>
        <v>0</v>
      </c>
      <c r="DK283" s="9">
        <v>0</v>
      </c>
      <c r="DL283" s="9">
        <v>0</v>
      </c>
      <c r="DM283" s="9">
        <v>0</v>
      </c>
      <c r="DN283" s="1">
        <v>9792</v>
      </c>
      <c r="DO283" s="1">
        <v>9518.4</v>
      </c>
      <c r="DP283" s="1">
        <v>10065.6</v>
      </c>
      <c r="DQ283" s="19"/>
      <c r="DR283" s="19"/>
      <c r="DW283" s="1">
        <v>0.25</v>
      </c>
      <c r="DX283" s="1">
        <v>0.2</v>
      </c>
      <c r="DY283" s="1">
        <v>0.3</v>
      </c>
      <c r="DZ283" s="1">
        <v>0.25</v>
      </c>
      <c r="EA283" s="1">
        <v>0.2</v>
      </c>
      <c r="EB283" s="1">
        <v>0.3</v>
      </c>
      <c r="EC283" s="1">
        <v>0.5</v>
      </c>
      <c r="ED283" s="1">
        <v>0.4</v>
      </c>
      <c r="EE283" s="1">
        <v>0.6</v>
      </c>
      <c r="EF283" s="1">
        <v>0.5</v>
      </c>
      <c r="EG283" s="1">
        <v>0.5</v>
      </c>
      <c r="EH283" s="1">
        <v>0.5</v>
      </c>
      <c r="EL283" s="1">
        <v>365</v>
      </c>
      <c r="EM283" s="1">
        <v>328</v>
      </c>
      <c r="EN283" s="1">
        <v>402</v>
      </c>
      <c r="EO283" s="11"/>
      <c r="EP283" s="11"/>
      <c r="EQ283" s="11"/>
      <c r="ER283" s="1">
        <v>365</v>
      </c>
      <c r="ES283" s="1">
        <v>328</v>
      </c>
      <c r="ET283" s="1">
        <v>402</v>
      </c>
      <c r="EU283" s="1">
        <v>144.44444444444446</v>
      </c>
      <c r="EV283" s="19">
        <v>130</v>
      </c>
      <c r="EW283" s="19">
        <v>158.88888888888891</v>
      </c>
      <c r="EX283" s="19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>
        <v>9.8989898989898997</v>
      </c>
      <c r="FK283" s="8">
        <v>3.5353535353535364</v>
      </c>
      <c r="FL283" s="1">
        <v>16.262626262626263</v>
      </c>
      <c r="FO283" s="1">
        <v>67</v>
      </c>
      <c r="FP283" s="1">
        <v>67</v>
      </c>
      <c r="FQ283" s="1">
        <v>67</v>
      </c>
      <c r="FR283" s="13" t="s">
        <v>806</v>
      </c>
      <c r="FS283" s="13" t="s">
        <v>806</v>
      </c>
      <c r="FT283" s="13" t="s">
        <v>806</v>
      </c>
      <c r="FU283" s="13"/>
      <c r="FV283" s="13" t="s">
        <v>806</v>
      </c>
      <c r="FW283" s="13" t="s">
        <v>806</v>
      </c>
      <c r="FX283" s="13" t="s">
        <v>806</v>
      </c>
      <c r="FY283" s="13" t="s">
        <v>806</v>
      </c>
      <c r="FZ283" s="13" t="s">
        <v>806</v>
      </c>
      <c r="GA283" s="13" t="s">
        <v>806</v>
      </c>
      <c r="GB283" s="13" t="s">
        <v>806</v>
      </c>
      <c r="GE283" s="13" t="s">
        <v>806</v>
      </c>
      <c r="GF283" s="13" t="s">
        <v>806</v>
      </c>
      <c r="GH283" s="13" t="s">
        <v>806</v>
      </c>
    </row>
    <row r="284" spans="1:190" ht="12.75" customHeight="1" x14ac:dyDescent="0.25">
      <c r="A284" s="1" t="s">
        <v>362</v>
      </c>
      <c r="B284" s="1" t="s">
        <v>650</v>
      </c>
      <c r="C284" s="1" t="s">
        <v>804</v>
      </c>
      <c r="D284" s="1" t="s">
        <v>690</v>
      </c>
      <c r="E284" s="1" t="s">
        <v>139</v>
      </c>
      <c r="F284" s="1">
        <v>0</v>
      </c>
      <c r="G284" s="1">
        <v>2025</v>
      </c>
      <c r="H284" s="1">
        <v>1</v>
      </c>
      <c r="I284" s="1">
        <v>0</v>
      </c>
      <c r="J284" s="1">
        <v>0</v>
      </c>
      <c r="K28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325.3442</v>
      </c>
      <c r="L28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3201.4399999999996</v>
      </c>
      <c r="M28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8750.7810000000009</v>
      </c>
      <c r="N284" s="19">
        <v>3201.44</v>
      </c>
      <c r="O284" s="19">
        <v>325.3442</v>
      </c>
      <c r="P284" s="19">
        <v>8750.7810000000009</v>
      </c>
      <c r="Q284" s="19">
        <v>1600.72</v>
      </c>
      <c r="R284" s="19">
        <v>0</v>
      </c>
      <c r="S284" s="19">
        <v>5041.0482000000002</v>
      </c>
      <c r="T284" s="19">
        <v>3201.44</v>
      </c>
      <c r="U284" s="19">
        <v>325.3442</v>
      </c>
      <c r="V284" s="19">
        <v>8750.7810000000009</v>
      </c>
      <c r="W284" s="19">
        <v>1600.72</v>
      </c>
      <c r="X284" s="19">
        <v>0</v>
      </c>
      <c r="Y284" s="19">
        <v>5041.0482000000002</v>
      </c>
      <c r="Z284" s="19">
        <v>3201.44</v>
      </c>
      <c r="AA284" s="19">
        <v>325.3442</v>
      </c>
      <c r="AB284" s="19">
        <v>8750.7810000000009</v>
      </c>
      <c r="AC284" s="19">
        <v>1600.72</v>
      </c>
      <c r="AD284" s="19">
        <v>0</v>
      </c>
      <c r="AE284" s="19">
        <v>5041.0482000000002</v>
      </c>
      <c r="AF284" s="19">
        <v>3201.44</v>
      </c>
      <c r="AG284" s="19">
        <v>325.3442</v>
      </c>
      <c r="AH284" s="19">
        <v>8750.7810000000009</v>
      </c>
      <c r="AI284" s="19">
        <v>1600.72</v>
      </c>
      <c r="AJ284" s="19">
        <v>0</v>
      </c>
      <c r="AK284" s="19">
        <v>5041.0482000000002</v>
      </c>
      <c r="AL284" s="19">
        <v>3201.44</v>
      </c>
      <c r="AM284" s="19">
        <v>325.3442</v>
      </c>
      <c r="AN284" s="19">
        <v>8750.7810000000009</v>
      </c>
      <c r="AO284" s="19">
        <v>1600.72</v>
      </c>
      <c r="AP284" s="19">
        <v>0</v>
      </c>
      <c r="AQ284" s="19">
        <v>5041.0482000000002</v>
      </c>
      <c r="AR284" s="19">
        <v>3201.44</v>
      </c>
      <c r="AS284" s="19">
        <v>325.3442</v>
      </c>
      <c r="AT284" s="19">
        <v>8750.7810000000009</v>
      </c>
      <c r="AU284" s="19">
        <v>1600.72</v>
      </c>
      <c r="AV284" s="19">
        <v>0</v>
      </c>
      <c r="AW284" s="19">
        <v>5041.0482000000002</v>
      </c>
      <c r="AX284" s="19">
        <v>3201.44</v>
      </c>
      <c r="AY284" s="19">
        <v>325.3442</v>
      </c>
      <c r="AZ284" s="19">
        <v>8750.7810000000009</v>
      </c>
      <c r="BA284" s="19">
        <v>1600.72</v>
      </c>
      <c r="BB284" s="19">
        <v>0</v>
      </c>
      <c r="BC284" s="19">
        <v>5041.0482000000002</v>
      </c>
      <c r="BD284" s="19">
        <v>3201.44</v>
      </c>
      <c r="BE284" s="19">
        <v>325.3442</v>
      </c>
      <c r="BF284" s="19">
        <v>8750.7810000000009</v>
      </c>
      <c r="BG284" s="19">
        <v>1600.72</v>
      </c>
      <c r="BH284" s="19">
        <v>0</v>
      </c>
      <c r="BI284" s="19">
        <v>5041.0482000000002</v>
      </c>
      <c r="BJ284" s="19">
        <v>3201.44</v>
      </c>
      <c r="BK284" s="19">
        <v>325.3442</v>
      </c>
      <c r="BL284" s="19">
        <v>8750.7810000000009</v>
      </c>
      <c r="BM284" s="19">
        <v>1600.72</v>
      </c>
      <c r="BN284" s="19">
        <v>0</v>
      </c>
      <c r="BO284" s="19">
        <v>5041.0482000000002</v>
      </c>
      <c r="BP284" s="19"/>
      <c r="BQ28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1600.7199999999998</v>
      </c>
      <c r="BS28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5041.0482000000002</v>
      </c>
      <c r="BT284" s="11">
        <f>Tabelle5897112140[[#This Row],[Mindestauslastung min]]*Tabelle5897112140[[#This Row],[installierte Leistung MW min]]</f>
        <v>707.27</v>
      </c>
      <c r="BU284" s="11">
        <f>Tabelle5897112140[[#This Row],[Mindestauslastung durch]]*Tabelle5897112140[[#This Row],[installierte Leistung MW durch]]</f>
        <v>727.6</v>
      </c>
      <c r="BV284" s="11">
        <f>Tabelle5897112140[[#This Row],[Mindestauslastung max]]*Tabelle5897112140[[#This Row],[installierte Leistung MW max]]</f>
        <v>747.93000000000006</v>
      </c>
      <c r="BW284" s="9">
        <v>0.05</v>
      </c>
      <c r="BX284" s="9">
        <v>0.05</v>
      </c>
      <c r="BY284" s="9">
        <v>0.05</v>
      </c>
      <c r="BZ284" s="9"/>
      <c r="CA284" s="9">
        <v>0.22</v>
      </c>
      <c r="CB284" s="9">
        <v>2.3E-2</v>
      </c>
      <c r="CC284" s="9">
        <v>0.58499999999999996</v>
      </c>
      <c r="CD284" s="9">
        <v>0.22</v>
      </c>
      <c r="CE284" s="9">
        <v>2.3E-2</v>
      </c>
      <c r="CF284" s="9">
        <v>0.58499999999999996</v>
      </c>
      <c r="CG284" s="9">
        <v>0.22</v>
      </c>
      <c r="CH284" s="9">
        <v>2.3E-2</v>
      </c>
      <c r="CI284" s="9">
        <v>0.58499999999999996</v>
      </c>
      <c r="CJ284" s="9">
        <v>0.22</v>
      </c>
      <c r="CK284" s="9">
        <v>2.3E-2</v>
      </c>
      <c r="CL284" s="9">
        <v>0.58499999999999996</v>
      </c>
      <c r="CM284" s="9">
        <v>0.22</v>
      </c>
      <c r="CN284" s="9">
        <v>2.3E-2</v>
      </c>
      <c r="CO284" s="9">
        <v>0.58499999999999996</v>
      </c>
      <c r="CP284" s="9">
        <v>0.22</v>
      </c>
      <c r="CQ284" s="9">
        <v>2.3E-2</v>
      </c>
      <c r="CR284" s="9">
        <v>0.58499999999999996</v>
      </c>
      <c r="CS284" s="9">
        <v>0.22</v>
      </c>
      <c r="CT284" s="9">
        <v>2.3E-2</v>
      </c>
      <c r="CU284" s="9">
        <v>0.58499999999999996</v>
      </c>
      <c r="CV284" s="9">
        <v>0.22</v>
      </c>
      <c r="CW284" s="9">
        <v>2.3E-2</v>
      </c>
      <c r="CX284" s="9">
        <v>0.58499999999999996</v>
      </c>
      <c r="CY284" s="9">
        <v>0.22</v>
      </c>
      <c r="CZ284" s="9">
        <v>2.3E-2</v>
      </c>
      <c r="DA284" s="9">
        <v>0.58499999999999996</v>
      </c>
      <c r="DB284" s="9">
        <f>MIN(Tabelle5897112140[[#This Row],[Durchschnittsauslastung durch Sommer WTT]:[Durchschnittsauslastung max Winter SFN]])</f>
        <v>2.3E-2</v>
      </c>
      <c r="DC28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4" s="9">
        <f>MAX(Tabelle5897112140[[#This Row],[Durchschnittsauslastung durch Sommer WTT]:[Durchschnittsauslastung max Winter SFN]])</f>
        <v>0.58499999999999996</v>
      </c>
      <c r="DE284" s="40">
        <f>Tabelle5897112140[[#This Row],[Durchschnittsauslastung min]]*Tabelle5897112140[[#This Row],[installierte Leistung MW min]]</f>
        <v>325.3442</v>
      </c>
      <c r="DF284" s="40">
        <f>Tabelle5897112140[[#This Row],[Durchschnittsauslastung durch]]*Tabelle5897112140[[#This Row],[installierte Leistung MW durch]]</f>
        <v>3201.44</v>
      </c>
      <c r="DG284" s="40">
        <f>Tabelle5897112140[[#This Row],[Durchschnittsauslastung max]]*Tabelle5897112140[[#This Row],[installierte Leistung MW max]]</f>
        <v>8750.780999999999</v>
      </c>
      <c r="DH284" s="46">
        <f>Tabelle5897112140[[#This Row],[Maximalauslastung min]]*Tabelle5897112140[[#This Row],[installierte Leistung MW min]]</f>
        <v>0</v>
      </c>
      <c r="DI284" s="46">
        <f>Tabelle5897112140[[#This Row],[Maximalauslastung durch]]*Tabelle5897112140[[#This Row],[installierte Leistung MW durch]]</f>
        <v>0</v>
      </c>
      <c r="DJ284" s="19">
        <f>Tabelle5897112140[[#This Row],[Maximalauslastung max]]*Tabelle5897112140[[#This Row],[installierte Leistung MW durch]]</f>
        <v>0</v>
      </c>
      <c r="DK284" s="9">
        <v>0</v>
      </c>
      <c r="DL284" s="9">
        <v>0</v>
      </c>
      <c r="DM284" s="9">
        <v>0</v>
      </c>
      <c r="DN284" s="1">
        <v>14552</v>
      </c>
      <c r="DO284" s="1">
        <v>14145.4</v>
      </c>
      <c r="DP284" s="1">
        <v>14958.6</v>
      </c>
      <c r="DQ284" s="19"/>
      <c r="DR284" s="19"/>
      <c r="DW284" s="1">
        <v>0.25</v>
      </c>
      <c r="DX284" s="1">
        <v>0.2</v>
      </c>
      <c r="DY284" s="1">
        <v>0.3</v>
      </c>
      <c r="DZ284" s="1">
        <v>0.25</v>
      </c>
      <c r="EA284" s="1">
        <v>0.2</v>
      </c>
      <c r="EB284" s="1">
        <v>0.3</v>
      </c>
      <c r="EC284" s="1">
        <v>0.5</v>
      </c>
      <c r="ED284" s="1">
        <v>0.4</v>
      </c>
      <c r="EE284" s="1">
        <v>0.6</v>
      </c>
      <c r="EF284" s="1">
        <v>0.5</v>
      </c>
      <c r="EG284" s="1">
        <v>0.5</v>
      </c>
      <c r="EH284" s="1">
        <v>0.5</v>
      </c>
      <c r="EL284" s="1">
        <v>365</v>
      </c>
      <c r="EM284" s="1">
        <v>328</v>
      </c>
      <c r="EN284" s="1">
        <v>402</v>
      </c>
      <c r="EO284" s="11"/>
      <c r="EP284" s="11"/>
      <c r="EQ284" s="11"/>
      <c r="ER284" s="1">
        <v>365</v>
      </c>
      <c r="ES284" s="1">
        <v>328</v>
      </c>
      <c r="ET284" s="1">
        <v>402</v>
      </c>
      <c r="EU284" s="1">
        <v>144.44444444444446</v>
      </c>
      <c r="EV284" s="19">
        <v>130</v>
      </c>
      <c r="EW284" s="19">
        <v>158.88888888888891</v>
      </c>
      <c r="EX284" s="19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>
        <v>9.8989898989898997</v>
      </c>
      <c r="FK284" s="8">
        <v>3.5353535353535364</v>
      </c>
      <c r="FL284" s="1">
        <v>16.262626262626263</v>
      </c>
      <c r="FO284" s="1">
        <v>67</v>
      </c>
      <c r="FP284" s="1">
        <v>67</v>
      </c>
      <c r="FQ284" s="1">
        <v>67</v>
      </c>
      <c r="FR284" s="13" t="s">
        <v>806</v>
      </c>
      <c r="FS284" s="13" t="s">
        <v>806</v>
      </c>
      <c r="FT284" s="13" t="s">
        <v>806</v>
      </c>
      <c r="FU284" s="13"/>
      <c r="FV284" s="13" t="s">
        <v>806</v>
      </c>
      <c r="FW284" s="13" t="s">
        <v>806</v>
      </c>
      <c r="FX284" s="13" t="s">
        <v>806</v>
      </c>
      <c r="FY284" s="13" t="s">
        <v>806</v>
      </c>
      <c r="FZ284" s="13" t="s">
        <v>806</v>
      </c>
      <c r="GA284" s="13" t="s">
        <v>806</v>
      </c>
      <c r="GB284" s="13" t="s">
        <v>806</v>
      </c>
      <c r="GE284" s="13" t="s">
        <v>806</v>
      </c>
      <c r="GF284" s="13" t="s">
        <v>806</v>
      </c>
      <c r="GH284" s="13" t="s">
        <v>806</v>
      </c>
    </row>
    <row r="285" spans="1:190" ht="12.75" customHeight="1" x14ac:dyDescent="0.25">
      <c r="A285" s="1" t="s">
        <v>362</v>
      </c>
      <c r="B285" s="1" t="s">
        <v>650</v>
      </c>
      <c r="C285" s="1" t="s">
        <v>804</v>
      </c>
      <c r="D285" s="1" t="s">
        <v>690</v>
      </c>
      <c r="E285" s="1" t="s">
        <v>139</v>
      </c>
      <c r="F285" s="1">
        <v>0</v>
      </c>
      <c r="G285" s="1">
        <v>2030</v>
      </c>
      <c r="H285" s="1">
        <v>1</v>
      </c>
      <c r="I285" s="1">
        <v>0</v>
      </c>
      <c r="J285" s="1">
        <v>0</v>
      </c>
      <c r="K28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498.65839999999997</v>
      </c>
      <c r="L28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4906.88</v>
      </c>
      <c r="M28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13412.412</v>
      </c>
      <c r="N285" s="19">
        <v>4906.88</v>
      </c>
      <c r="O285" s="19">
        <v>498.65839999999997</v>
      </c>
      <c r="P285" s="19">
        <v>13412.412</v>
      </c>
      <c r="Q285" s="19">
        <v>2453.44</v>
      </c>
      <c r="R285" s="19">
        <v>0</v>
      </c>
      <c r="S285" s="19">
        <v>7726.4664000000002</v>
      </c>
      <c r="T285" s="19">
        <v>4906.88</v>
      </c>
      <c r="U285" s="19">
        <v>498.65839999999997</v>
      </c>
      <c r="V285" s="19">
        <v>13412.412</v>
      </c>
      <c r="W285" s="19">
        <v>2453.44</v>
      </c>
      <c r="X285" s="19">
        <v>0</v>
      </c>
      <c r="Y285" s="19">
        <v>7726.4664000000002</v>
      </c>
      <c r="Z285" s="19">
        <v>4906.88</v>
      </c>
      <c r="AA285" s="19">
        <v>498.65839999999997</v>
      </c>
      <c r="AB285" s="19">
        <v>13412.412</v>
      </c>
      <c r="AC285" s="19">
        <v>2453.44</v>
      </c>
      <c r="AD285" s="19">
        <v>0</v>
      </c>
      <c r="AE285" s="19">
        <v>7726.4664000000002</v>
      </c>
      <c r="AF285" s="19">
        <v>4906.88</v>
      </c>
      <c r="AG285" s="19">
        <v>498.65839999999997</v>
      </c>
      <c r="AH285" s="19">
        <v>13412.412</v>
      </c>
      <c r="AI285" s="19">
        <v>2453.44</v>
      </c>
      <c r="AJ285" s="19">
        <v>0</v>
      </c>
      <c r="AK285" s="19">
        <v>7726.4664000000002</v>
      </c>
      <c r="AL285" s="19">
        <v>4906.88</v>
      </c>
      <c r="AM285" s="19">
        <v>498.65839999999997</v>
      </c>
      <c r="AN285" s="19">
        <v>13412.412</v>
      </c>
      <c r="AO285" s="19">
        <v>2453.44</v>
      </c>
      <c r="AP285" s="19">
        <v>0</v>
      </c>
      <c r="AQ285" s="19">
        <v>7726.4664000000002</v>
      </c>
      <c r="AR285" s="19">
        <v>4906.88</v>
      </c>
      <c r="AS285" s="19">
        <v>498.65839999999997</v>
      </c>
      <c r="AT285" s="19">
        <v>13412.412</v>
      </c>
      <c r="AU285" s="19">
        <v>2453.44</v>
      </c>
      <c r="AV285" s="19">
        <v>0</v>
      </c>
      <c r="AW285" s="19">
        <v>7726.4664000000002</v>
      </c>
      <c r="AX285" s="19">
        <v>4906.88</v>
      </c>
      <c r="AY285" s="19">
        <v>498.65839999999997</v>
      </c>
      <c r="AZ285" s="19">
        <v>13412.412</v>
      </c>
      <c r="BA285" s="19">
        <v>2453.44</v>
      </c>
      <c r="BB285" s="19">
        <v>0</v>
      </c>
      <c r="BC285" s="19">
        <v>7726.4664000000002</v>
      </c>
      <c r="BD285" s="19">
        <v>4906.88</v>
      </c>
      <c r="BE285" s="19">
        <v>498.65839999999997</v>
      </c>
      <c r="BF285" s="19">
        <v>13412.412</v>
      </c>
      <c r="BG285" s="19">
        <v>2453.44</v>
      </c>
      <c r="BH285" s="19">
        <v>0</v>
      </c>
      <c r="BI285" s="19">
        <v>7726.4664000000002</v>
      </c>
      <c r="BJ285" s="19">
        <v>4906.88</v>
      </c>
      <c r="BK285" s="19">
        <v>498.65839999999997</v>
      </c>
      <c r="BL285" s="19">
        <v>13412.412</v>
      </c>
      <c r="BM285" s="19">
        <v>2453.44</v>
      </c>
      <c r="BN285" s="19">
        <v>0</v>
      </c>
      <c r="BO285" s="19">
        <v>7726.4664000000002</v>
      </c>
      <c r="BP285" s="19"/>
      <c r="BQ28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2453.44</v>
      </c>
      <c r="BS28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7726.4664000000002</v>
      </c>
      <c r="BT285" s="11">
        <f>Tabelle5897112140[[#This Row],[Mindestauslastung min]]*Tabelle5897112140[[#This Row],[installierte Leistung MW min]]</f>
        <v>1084.04</v>
      </c>
      <c r="BU285" s="11">
        <f>Tabelle5897112140[[#This Row],[Mindestauslastung durch]]*Tabelle5897112140[[#This Row],[installierte Leistung MW durch]]</f>
        <v>1115.2</v>
      </c>
      <c r="BV285" s="11">
        <f>Tabelle5897112140[[#This Row],[Mindestauslastung max]]*Tabelle5897112140[[#This Row],[installierte Leistung MW max]]</f>
        <v>1146.3600000000001</v>
      </c>
      <c r="BW285" s="9">
        <v>0.05</v>
      </c>
      <c r="BX285" s="9">
        <v>0.05</v>
      </c>
      <c r="BY285" s="9">
        <v>0.05</v>
      </c>
      <c r="BZ285" s="9"/>
      <c r="CA285" s="9">
        <v>0.22</v>
      </c>
      <c r="CB285" s="9">
        <v>2.3E-2</v>
      </c>
      <c r="CC285" s="9">
        <v>0.58499999999999996</v>
      </c>
      <c r="CD285" s="9">
        <v>0.22</v>
      </c>
      <c r="CE285" s="9">
        <v>2.3E-2</v>
      </c>
      <c r="CF285" s="9">
        <v>0.58499999999999996</v>
      </c>
      <c r="CG285" s="9">
        <v>0.22</v>
      </c>
      <c r="CH285" s="9">
        <v>2.3E-2</v>
      </c>
      <c r="CI285" s="9">
        <v>0.58499999999999996</v>
      </c>
      <c r="CJ285" s="9">
        <v>0.22</v>
      </c>
      <c r="CK285" s="9">
        <v>2.3E-2</v>
      </c>
      <c r="CL285" s="9">
        <v>0.58499999999999996</v>
      </c>
      <c r="CM285" s="9">
        <v>0.22</v>
      </c>
      <c r="CN285" s="9">
        <v>2.3E-2</v>
      </c>
      <c r="CO285" s="9">
        <v>0.58499999999999996</v>
      </c>
      <c r="CP285" s="9">
        <v>0.22</v>
      </c>
      <c r="CQ285" s="9">
        <v>2.3E-2</v>
      </c>
      <c r="CR285" s="9">
        <v>0.58499999999999996</v>
      </c>
      <c r="CS285" s="9">
        <v>0.22</v>
      </c>
      <c r="CT285" s="9">
        <v>2.3E-2</v>
      </c>
      <c r="CU285" s="9">
        <v>0.58499999999999996</v>
      </c>
      <c r="CV285" s="9">
        <v>0.22</v>
      </c>
      <c r="CW285" s="9">
        <v>2.3E-2</v>
      </c>
      <c r="CX285" s="9">
        <v>0.58499999999999996</v>
      </c>
      <c r="CY285" s="9">
        <v>0.22</v>
      </c>
      <c r="CZ285" s="9">
        <v>2.3E-2</v>
      </c>
      <c r="DA285" s="9">
        <v>0.58499999999999996</v>
      </c>
      <c r="DB285" s="9">
        <f>MIN(Tabelle5897112140[[#This Row],[Durchschnittsauslastung durch Sommer WTT]:[Durchschnittsauslastung max Winter SFN]])</f>
        <v>2.3E-2</v>
      </c>
      <c r="DC28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5" s="9">
        <f>MAX(Tabelle5897112140[[#This Row],[Durchschnittsauslastung durch Sommer WTT]:[Durchschnittsauslastung max Winter SFN]])</f>
        <v>0.58499999999999996</v>
      </c>
      <c r="DE285" s="40">
        <f>Tabelle5897112140[[#This Row],[Durchschnittsauslastung min]]*Tabelle5897112140[[#This Row],[installierte Leistung MW min]]</f>
        <v>498.65839999999997</v>
      </c>
      <c r="DF285" s="40">
        <f>Tabelle5897112140[[#This Row],[Durchschnittsauslastung durch]]*Tabelle5897112140[[#This Row],[installierte Leistung MW durch]]</f>
        <v>4906.88</v>
      </c>
      <c r="DG285" s="40">
        <f>Tabelle5897112140[[#This Row],[Durchschnittsauslastung max]]*Tabelle5897112140[[#This Row],[installierte Leistung MW max]]</f>
        <v>13412.412</v>
      </c>
      <c r="DH285" s="46">
        <f>Tabelle5897112140[[#This Row],[Maximalauslastung min]]*Tabelle5897112140[[#This Row],[installierte Leistung MW min]]</f>
        <v>0</v>
      </c>
      <c r="DI285" s="46">
        <f>Tabelle5897112140[[#This Row],[Maximalauslastung durch]]*Tabelle5897112140[[#This Row],[installierte Leistung MW durch]]</f>
        <v>0</v>
      </c>
      <c r="DJ285" s="19">
        <f>Tabelle5897112140[[#This Row],[Maximalauslastung max]]*Tabelle5897112140[[#This Row],[installierte Leistung MW durch]]</f>
        <v>0</v>
      </c>
      <c r="DK285" s="9">
        <v>0</v>
      </c>
      <c r="DL285" s="9">
        <v>0</v>
      </c>
      <c r="DM285" s="9">
        <v>0</v>
      </c>
      <c r="DN285" s="1">
        <v>22304</v>
      </c>
      <c r="DO285" s="1">
        <v>21680.799999999999</v>
      </c>
      <c r="DP285" s="1">
        <v>22927.200000000001</v>
      </c>
      <c r="DQ285" s="19"/>
      <c r="DR285" s="19"/>
      <c r="DW285" s="1">
        <v>0.25</v>
      </c>
      <c r="DX285" s="1">
        <v>0.2</v>
      </c>
      <c r="DY285" s="1">
        <v>0.3</v>
      </c>
      <c r="DZ285" s="1">
        <v>0.25</v>
      </c>
      <c r="EA285" s="1">
        <v>0.2</v>
      </c>
      <c r="EB285" s="1">
        <v>0.3</v>
      </c>
      <c r="EC285" s="1">
        <v>0.5</v>
      </c>
      <c r="ED285" s="1">
        <v>0.4</v>
      </c>
      <c r="EE285" s="1">
        <v>0.6</v>
      </c>
      <c r="EF285" s="1">
        <v>0.5</v>
      </c>
      <c r="EG285" s="1">
        <v>0.5</v>
      </c>
      <c r="EH285" s="1">
        <v>0.5</v>
      </c>
      <c r="EL285" s="1">
        <v>365</v>
      </c>
      <c r="EM285" s="1">
        <v>328</v>
      </c>
      <c r="EN285" s="1">
        <v>402</v>
      </c>
      <c r="EO285" s="11"/>
      <c r="EP285" s="11"/>
      <c r="EQ285" s="11"/>
      <c r="ER285" s="1">
        <v>365</v>
      </c>
      <c r="ES285" s="1">
        <v>328</v>
      </c>
      <c r="ET285" s="1">
        <v>402</v>
      </c>
      <c r="EU285" s="1">
        <v>144.44444444444446</v>
      </c>
      <c r="EV285" s="19">
        <v>130</v>
      </c>
      <c r="EW285" s="19">
        <v>158.88888888888891</v>
      </c>
      <c r="EX285" s="19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>
        <v>9.8989898989898997</v>
      </c>
      <c r="FK285" s="8">
        <v>3.5353535353535364</v>
      </c>
      <c r="FL285" s="1">
        <v>16.262626262626263</v>
      </c>
      <c r="FO285" s="1">
        <v>67</v>
      </c>
      <c r="FP285" s="1">
        <v>67</v>
      </c>
      <c r="FQ285" s="1">
        <v>67</v>
      </c>
      <c r="FR285" s="13" t="s">
        <v>806</v>
      </c>
      <c r="FS285" s="13" t="s">
        <v>806</v>
      </c>
      <c r="FT285" s="13" t="s">
        <v>806</v>
      </c>
      <c r="FU285" s="13"/>
      <c r="FV285" s="13" t="s">
        <v>806</v>
      </c>
      <c r="FW285" s="13" t="s">
        <v>806</v>
      </c>
      <c r="FX285" s="13" t="s">
        <v>806</v>
      </c>
      <c r="FY285" s="13" t="s">
        <v>806</v>
      </c>
      <c r="FZ285" s="13" t="s">
        <v>806</v>
      </c>
      <c r="GA285" s="13" t="s">
        <v>806</v>
      </c>
      <c r="GB285" s="13" t="s">
        <v>806</v>
      </c>
      <c r="GE285" s="13" t="s">
        <v>806</v>
      </c>
      <c r="GF285" s="13" t="s">
        <v>806</v>
      </c>
      <c r="GH285" s="13" t="s">
        <v>806</v>
      </c>
    </row>
    <row r="286" spans="1:190" ht="12.75" customHeight="1" x14ac:dyDescent="0.25">
      <c r="A286" s="1" t="s">
        <v>362</v>
      </c>
      <c r="B286" s="1" t="s">
        <v>650</v>
      </c>
      <c r="C286" s="1" t="s">
        <v>804</v>
      </c>
      <c r="D286" s="1" t="s">
        <v>690</v>
      </c>
      <c r="E286" s="1" t="s">
        <v>139</v>
      </c>
      <c r="F286" s="1">
        <v>0</v>
      </c>
      <c r="G286" s="1">
        <v>2035</v>
      </c>
      <c r="H286" s="1">
        <v>1</v>
      </c>
      <c r="I286" s="1">
        <v>0</v>
      </c>
      <c r="J286" s="1">
        <v>0</v>
      </c>
      <c r="K28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588.35609999999997</v>
      </c>
      <c r="L28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5789.52</v>
      </c>
      <c r="M28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15825.0105</v>
      </c>
      <c r="N286" s="19">
        <v>5789.52</v>
      </c>
      <c r="O286" s="19">
        <v>588.35609999999997</v>
      </c>
      <c r="P286" s="19">
        <v>15825.0105</v>
      </c>
      <c r="Q286" s="19">
        <v>2894.76</v>
      </c>
      <c r="R286" s="19">
        <v>0</v>
      </c>
      <c r="S286" s="19">
        <v>9116.2881000000016</v>
      </c>
      <c r="T286" s="19">
        <v>5789.52</v>
      </c>
      <c r="U286" s="19">
        <v>588.35609999999997</v>
      </c>
      <c r="V286" s="19">
        <v>15825.0105</v>
      </c>
      <c r="W286" s="19">
        <v>2894.76</v>
      </c>
      <c r="X286" s="19">
        <v>0</v>
      </c>
      <c r="Y286" s="19">
        <v>9116.2881000000016</v>
      </c>
      <c r="Z286" s="19">
        <v>5789.52</v>
      </c>
      <c r="AA286" s="19">
        <v>588.35609999999997</v>
      </c>
      <c r="AB286" s="19">
        <v>15825.0105</v>
      </c>
      <c r="AC286" s="19">
        <v>2894.76</v>
      </c>
      <c r="AD286" s="19">
        <v>0</v>
      </c>
      <c r="AE286" s="19">
        <v>9116.2881000000016</v>
      </c>
      <c r="AF286" s="19">
        <v>5789.52</v>
      </c>
      <c r="AG286" s="19">
        <v>588.35609999999997</v>
      </c>
      <c r="AH286" s="19">
        <v>15825.0105</v>
      </c>
      <c r="AI286" s="19">
        <v>2894.76</v>
      </c>
      <c r="AJ286" s="19">
        <v>0</v>
      </c>
      <c r="AK286" s="19">
        <v>9116.2881000000016</v>
      </c>
      <c r="AL286" s="19">
        <v>5789.52</v>
      </c>
      <c r="AM286" s="19">
        <v>588.35609999999997</v>
      </c>
      <c r="AN286" s="19">
        <v>15825.0105</v>
      </c>
      <c r="AO286" s="19">
        <v>2894.76</v>
      </c>
      <c r="AP286" s="19">
        <v>0</v>
      </c>
      <c r="AQ286" s="19">
        <v>9116.2881000000016</v>
      </c>
      <c r="AR286" s="19">
        <v>5789.52</v>
      </c>
      <c r="AS286" s="19">
        <v>588.35609999999997</v>
      </c>
      <c r="AT286" s="19">
        <v>15825.0105</v>
      </c>
      <c r="AU286" s="19">
        <v>2894.76</v>
      </c>
      <c r="AV286" s="19">
        <v>0</v>
      </c>
      <c r="AW286" s="19">
        <v>9116.2881000000016</v>
      </c>
      <c r="AX286" s="19">
        <v>5789.52</v>
      </c>
      <c r="AY286" s="19">
        <v>588.35609999999997</v>
      </c>
      <c r="AZ286" s="19">
        <v>15825.0105</v>
      </c>
      <c r="BA286" s="19">
        <v>2894.76</v>
      </c>
      <c r="BB286" s="19">
        <v>0</v>
      </c>
      <c r="BC286" s="19">
        <v>9116.2881000000016</v>
      </c>
      <c r="BD286" s="19">
        <v>5789.52</v>
      </c>
      <c r="BE286" s="19">
        <v>588.35609999999997</v>
      </c>
      <c r="BF286" s="19">
        <v>15825.0105</v>
      </c>
      <c r="BG286" s="19">
        <v>2894.76</v>
      </c>
      <c r="BH286" s="19">
        <v>0</v>
      </c>
      <c r="BI286" s="19">
        <v>9116.2881000000016</v>
      </c>
      <c r="BJ286" s="19">
        <v>5789.52</v>
      </c>
      <c r="BK286" s="19">
        <v>588.35609999999997</v>
      </c>
      <c r="BL286" s="19">
        <v>15825.0105</v>
      </c>
      <c r="BM286" s="19">
        <v>2894.76</v>
      </c>
      <c r="BN286" s="19">
        <v>0</v>
      </c>
      <c r="BO286" s="19">
        <v>9116.2881000000016</v>
      </c>
      <c r="BP286" s="19"/>
      <c r="BQ28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2894.76</v>
      </c>
      <c r="BS28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9116.2881000000016</v>
      </c>
      <c r="BT286" s="11">
        <f>Tabelle5897112140[[#This Row],[Mindestauslastung min]]*Tabelle5897112140[[#This Row],[installierte Leistung MW min]]</f>
        <v>1279.0350000000001</v>
      </c>
      <c r="BU286" s="11">
        <f>Tabelle5897112140[[#This Row],[Mindestauslastung durch]]*Tabelle5897112140[[#This Row],[installierte Leistung MW durch]]</f>
        <v>1315.8000000000002</v>
      </c>
      <c r="BV286" s="11">
        <f>Tabelle5897112140[[#This Row],[Mindestauslastung max]]*Tabelle5897112140[[#This Row],[installierte Leistung MW max]]</f>
        <v>1352.5650000000001</v>
      </c>
      <c r="BW286" s="9">
        <v>0.05</v>
      </c>
      <c r="BX286" s="9">
        <v>0.05</v>
      </c>
      <c r="BY286" s="9">
        <v>0.05</v>
      </c>
      <c r="BZ286" s="9"/>
      <c r="CA286" s="9">
        <v>0.22</v>
      </c>
      <c r="CB286" s="9">
        <v>2.3E-2</v>
      </c>
      <c r="CC286" s="9">
        <v>0.58499999999999996</v>
      </c>
      <c r="CD286" s="9">
        <v>0.22</v>
      </c>
      <c r="CE286" s="9">
        <v>2.3E-2</v>
      </c>
      <c r="CF286" s="9">
        <v>0.58499999999999996</v>
      </c>
      <c r="CG286" s="9">
        <v>0.22</v>
      </c>
      <c r="CH286" s="9">
        <v>2.3E-2</v>
      </c>
      <c r="CI286" s="9">
        <v>0.58499999999999996</v>
      </c>
      <c r="CJ286" s="9">
        <v>0.22</v>
      </c>
      <c r="CK286" s="9">
        <v>2.3E-2</v>
      </c>
      <c r="CL286" s="9">
        <v>0.58499999999999996</v>
      </c>
      <c r="CM286" s="9">
        <v>0.22</v>
      </c>
      <c r="CN286" s="9">
        <v>2.3E-2</v>
      </c>
      <c r="CO286" s="9">
        <v>0.58499999999999996</v>
      </c>
      <c r="CP286" s="9">
        <v>0.22</v>
      </c>
      <c r="CQ286" s="9">
        <v>2.3E-2</v>
      </c>
      <c r="CR286" s="9">
        <v>0.58499999999999996</v>
      </c>
      <c r="CS286" s="9">
        <v>0.22</v>
      </c>
      <c r="CT286" s="9">
        <v>2.3E-2</v>
      </c>
      <c r="CU286" s="9">
        <v>0.58499999999999996</v>
      </c>
      <c r="CV286" s="9">
        <v>0.22</v>
      </c>
      <c r="CW286" s="9">
        <v>2.3E-2</v>
      </c>
      <c r="CX286" s="9">
        <v>0.58499999999999996</v>
      </c>
      <c r="CY286" s="9">
        <v>0.22</v>
      </c>
      <c r="CZ286" s="9">
        <v>2.3E-2</v>
      </c>
      <c r="DA286" s="9">
        <v>0.58499999999999996</v>
      </c>
      <c r="DB286" s="9">
        <f>MIN(Tabelle5897112140[[#This Row],[Durchschnittsauslastung durch Sommer WTT]:[Durchschnittsauslastung max Winter SFN]])</f>
        <v>2.3E-2</v>
      </c>
      <c r="DC28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6" s="9">
        <f>MAX(Tabelle5897112140[[#This Row],[Durchschnittsauslastung durch Sommer WTT]:[Durchschnittsauslastung max Winter SFN]])</f>
        <v>0.58499999999999996</v>
      </c>
      <c r="DE286" s="40">
        <f>Tabelle5897112140[[#This Row],[Durchschnittsauslastung min]]*Tabelle5897112140[[#This Row],[installierte Leistung MW min]]</f>
        <v>588.35609999999997</v>
      </c>
      <c r="DF286" s="40">
        <f>Tabelle5897112140[[#This Row],[Durchschnittsauslastung durch]]*Tabelle5897112140[[#This Row],[installierte Leistung MW durch]]</f>
        <v>5789.52</v>
      </c>
      <c r="DG286" s="40">
        <f>Tabelle5897112140[[#This Row],[Durchschnittsauslastung max]]*Tabelle5897112140[[#This Row],[installierte Leistung MW max]]</f>
        <v>15825.010499999999</v>
      </c>
      <c r="DH286" s="46">
        <f>Tabelle5897112140[[#This Row],[Maximalauslastung min]]*Tabelle5897112140[[#This Row],[installierte Leistung MW min]]</f>
        <v>0</v>
      </c>
      <c r="DI286" s="46">
        <f>Tabelle5897112140[[#This Row],[Maximalauslastung durch]]*Tabelle5897112140[[#This Row],[installierte Leistung MW durch]]</f>
        <v>0</v>
      </c>
      <c r="DJ286" s="19">
        <f>Tabelle5897112140[[#This Row],[Maximalauslastung max]]*Tabelle5897112140[[#This Row],[installierte Leistung MW durch]]</f>
        <v>0</v>
      </c>
      <c r="DK286" s="9">
        <v>0</v>
      </c>
      <c r="DL286" s="9">
        <v>0</v>
      </c>
      <c r="DM286" s="9">
        <v>0</v>
      </c>
      <c r="DN286" s="1">
        <v>26316</v>
      </c>
      <c r="DO286" s="1">
        <v>25580.7</v>
      </c>
      <c r="DP286" s="1">
        <v>27051.3</v>
      </c>
      <c r="DQ286" s="19"/>
      <c r="DR286" s="19"/>
      <c r="DW286" s="1">
        <v>0.25</v>
      </c>
      <c r="DX286" s="1">
        <v>0.2</v>
      </c>
      <c r="DY286" s="1">
        <v>0.3</v>
      </c>
      <c r="DZ286" s="1">
        <v>0.25</v>
      </c>
      <c r="EA286" s="1">
        <v>0.2</v>
      </c>
      <c r="EB286" s="1">
        <v>0.3</v>
      </c>
      <c r="EC286" s="1">
        <v>0.5</v>
      </c>
      <c r="ED286" s="1">
        <v>0.4</v>
      </c>
      <c r="EE286" s="1">
        <v>0.6</v>
      </c>
      <c r="EF286" s="1">
        <v>0.5</v>
      </c>
      <c r="EG286" s="1">
        <v>0.5</v>
      </c>
      <c r="EH286" s="1">
        <v>0.5</v>
      </c>
      <c r="EL286" s="1">
        <v>365</v>
      </c>
      <c r="EM286" s="1">
        <v>328</v>
      </c>
      <c r="EN286" s="1">
        <v>402</v>
      </c>
      <c r="EO286" s="11"/>
      <c r="EP286" s="11"/>
      <c r="EQ286" s="11"/>
      <c r="ER286" s="1">
        <v>365</v>
      </c>
      <c r="ES286" s="1">
        <v>328</v>
      </c>
      <c r="ET286" s="1">
        <v>402</v>
      </c>
      <c r="EU286" s="1">
        <v>144.44444444444446</v>
      </c>
      <c r="EV286" s="19">
        <v>130</v>
      </c>
      <c r="EW286" s="19">
        <v>158.88888888888891</v>
      </c>
      <c r="EX286" s="19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>
        <v>9.8989898989898997</v>
      </c>
      <c r="FK286" s="8">
        <v>3.5353535353535364</v>
      </c>
      <c r="FL286" s="1">
        <v>16.262626262626263</v>
      </c>
      <c r="FO286" s="1">
        <v>67</v>
      </c>
      <c r="FP286" s="1">
        <v>67</v>
      </c>
      <c r="FQ286" s="1">
        <v>67</v>
      </c>
      <c r="FR286" s="13" t="s">
        <v>806</v>
      </c>
      <c r="FS286" s="13" t="s">
        <v>806</v>
      </c>
      <c r="FT286" s="13" t="s">
        <v>806</v>
      </c>
      <c r="FU286" s="13"/>
      <c r="FV286" s="13" t="s">
        <v>806</v>
      </c>
      <c r="FW286" s="13" t="s">
        <v>806</v>
      </c>
      <c r="FX286" s="13" t="s">
        <v>806</v>
      </c>
      <c r="FY286" s="13" t="s">
        <v>806</v>
      </c>
      <c r="FZ286" s="13" t="s">
        <v>806</v>
      </c>
      <c r="GA286" s="13" t="s">
        <v>806</v>
      </c>
      <c r="GB286" s="13" t="s">
        <v>806</v>
      </c>
      <c r="GE286" s="13" t="s">
        <v>806</v>
      </c>
      <c r="GF286" s="13" t="s">
        <v>806</v>
      </c>
      <c r="GH286" s="13" t="s">
        <v>806</v>
      </c>
    </row>
    <row r="287" spans="1:190" ht="12.75" customHeight="1" x14ac:dyDescent="0.25">
      <c r="A287" s="1" t="s">
        <v>362</v>
      </c>
      <c r="B287" s="1" t="s">
        <v>650</v>
      </c>
      <c r="C287" s="1" t="s">
        <v>804</v>
      </c>
      <c r="D287" s="1" t="s">
        <v>690</v>
      </c>
      <c r="E287" s="1" t="s">
        <v>139</v>
      </c>
      <c r="F287" s="1">
        <v>0</v>
      </c>
      <c r="G287" s="1">
        <v>2040</v>
      </c>
      <c r="H287" s="1">
        <v>1</v>
      </c>
      <c r="I287" s="1">
        <v>0</v>
      </c>
      <c r="J287" s="1">
        <v>0</v>
      </c>
      <c r="K28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693.2568</v>
      </c>
      <c r="L28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6821.76</v>
      </c>
      <c r="M28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18646.523999999998</v>
      </c>
      <c r="N287" s="19">
        <v>6821.7599999999993</v>
      </c>
      <c r="O287" s="19">
        <v>693.2568</v>
      </c>
      <c r="P287" s="19">
        <v>18646.523999999998</v>
      </c>
      <c r="Q287" s="19">
        <v>3410.8799999999997</v>
      </c>
      <c r="R287" s="19">
        <v>0</v>
      </c>
      <c r="S287" s="19">
        <v>10741.6728</v>
      </c>
      <c r="T287" s="19">
        <v>6821.7599999999993</v>
      </c>
      <c r="U287" s="19">
        <v>693.2568</v>
      </c>
      <c r="V287" s="19">
        <v>18646.523999999998</v>
      </c>
      <c r="W287" s="19">
        <v>3410.8799999999997</v>
      </c>
      <c r="X287" s="19">
        <v>0</v>
      </c>
      <c r="Y287" s="19">
        <v>10741.6728</v>
      </c>
      <c r="Z287" s="19">
        <v>6821.7599999999993</v>
      </c>
      <c r="AA287" s="19">
        <v>693.2568</v>
      </c>
      <c r="AB287" s="19">
        <v>18646.523999999998</v>
      </c>
      <c r="AC287" s="19">
        <v>3410.8799999999997</v>
      </c>
      <c r="AD287" s="19">
        <v>0</v>
      </c>
      <c r="AE287" s="19">
        <v>10741.6728</v>
      </c>
      <c r="AF287" s="19">
        <v>6821.7599999999993</v>
      </c>
      <c r="AG287" s="19">
        <v>693.2568</v>
      </c>
      <c r="AH287" s="19">
        <v>18646.523999999998</v>
      </c>
      <c r="AI287" s="19">
        <v>3410.8799999999997</v>
      </c>
      <c r="AJ287" s="19">
        <v>0</v>
      </c>
      <c r="AK287" s="19">
        <v>10741.6728</v>
      </c>
      <c r="AL287" s="19">
        <v>6821.7599999999993</v>
      </c>
      <c r="AM287" s="19">
        <v>693.2568</v>
      </c>
      <c r="AN287" s="19">
        <v>18646.523999999998</v>
      </c>
      <c r="AO287" s="19">
        <v>3410.8799999999997</v>
      </c>
      <c r="AP287" s="19">
        <v>0</v>
      </c>
      <c r="AQ287" s="19">
        <v>10741.6728</v>
      </c>
      <c r="AR287" s="19">
        <v>6821.7599999999993</v>
      </c>
      <c r="AS287" s="19">
        <v>693.2568</v>
      </c>
      <c r="AT287" s="19">
        <v>18646.523999999998</v>
      </c>
      <c r="AU287" s="19">
        <v>3410.8799999999997</v>
      </c>
      <c r="AV287" s="19">
        <v>0</v>
      </c>
      <c r="AW287" s="19">
        <v>10741.6728</v>
      </c>
      <c r="AX287" s="19">
        <v>6821.7599999999993</v>
      </c>
      <c r="AY287" s="19">
        <v>693.2568</v>
      </c>
      <c r="AZ287" s="19">
        <v>18646.523999999998</v>
      </c>
      <c r="BA287" s="19">
        <v>3410.8799999999997</v>
      </c>
      <c r="BB287" s="19">
        <v>0</v>
      </c>
      <c r="BC287" s="19">
        <v>10741.6728</v>
      </c>
      <c r="BD287" s="19">
        <v>6821.7599999999993</v>
      </c>
      <c r="BE287" s="19">
        <v>693.2568</v>
      </c>
      <c r="BF287" s="19">
        <v>18646.523999999998</v>
      </c>
      <c r="BG287" s="19">
        <v>3410.8799999999997</v>
      </c>
      <c r="BH287" s="19">
        <v>0</v>
      </c>
      <c r="BI287" s="19">
        <v>10741.6728</v>
      </c>
      <c r="BJ287" s="19">
        <v>6821.7599999999993</v>
      </c>
      <c r="BK287" s="19">
        <v>693.2568</v>
      </c>
      <c r="BL287" s="19">
        <v>18646.523999999998</v>
      </c>
      <c r="BM287" s="19">
        <v>3410.8799999999997</v>
      </c>
      <c r="BN287" s="19">
        <v>0</v>
      </c>
      <c r="BO287" s="19">
        <v>10741.6728</v>
      </c>
      <c r="BP287" s="19"/>
      <c r="BQ28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3410.88</v>
      </c>
      <c r="BS28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10741.6728</v>
      </c>
      <c r="BT287" s="11">
        <f>Tabelle5897112140[[#This Row],[Mindestauslastung min]]*Tabelle5897112140[[#This Row],[installierte Leistung MW min]]</f>
        <v>1507.08</v>
      </c>
      <c r="BU287" s="11">
        <f>Tabelle5897112140[[#This Row],[Mindestauslastung durch]]*Tabelle5897112140[[#This Row],[installierte Leistung MW durch]]</f>
        <v>1550.4</v>
      </c>
      <c r="BV287" s="11">
        <f>Tabelle5897112140[[#This Row],[Mindestauslastung max]]*Tabelle5897112140[[#This Row],[installierte Leistung MW max]]</f>
        <v>1593.7200000000003</v>
      </c>
      <c r="BW287" s="9">
        <v>0.05</v>
      </c>
      <c r="BX287" s="9">
        <v>0.05</v>
      </c>
      <c r="BY287" s="9">
        <v>0.05</v>
      </c>
      <c r="BZ287" s="9"/>
      <c r="CA287" s="9">
        <v>0.22</v>
      </c>
      <c r="CB287" s="9">
        <v>2.3E-2</v>
      </c>
      <c r="CC287" s="9">
        <v>0.58499999999999996</v>
      </c>
      <c r="CD287" s="9">
        <v>0.22</v>
      </c>
      <c r="CE287" s="9">
        <v>2.3E-2</v>
      </c>
      <c r="CF287" s="9">
        <v>0.58499999999999996</v>
      </c>
      <c r="CG287" s="9">
        <v>0.22</v>
      </c>
      <c r="CH287" s="9">
        <v>2.3E-2</v>
      </c>
      <c r="CI287" s="9">
        <v>0.58499999999999996</v>
      </c>
      <c r="CJ287" s="9">
        <v>0.22</v>
      </c>
      <c r="CK287" s="9">
        <v>2.3E-2</v>
      </c>
      <c r="CL287" s="9">
        <v>0.58499999999999996</v>
      </c>
      <c r="CM287" s="9">
        <v>0.22</v>
      </c>
      <c r="CN287" s="9">
        <v>2.3E-2</v>
      </c>
      <c r="CO287" s="9">
        <v>0.58499999999999996</v>
      </c>
      <c r="CP287" s="9">
        <v>0.22</v>
      </c>
      <c r="CQ287" s="9">
        <v>2.3E-2</v>
      </c>
      <c r="CR287" s="9">
        <v>0.58499999999999996</v>
      </c>
      <c r="CS287" s="9">
        <v>0.22</v>
      </c>
      <c r="CT287" s="9">
        <v>2.3E-2</v>
      </c>
      <c r="CU287" s="9">
        <v>0.58499999999999996</v>
      </c>
      <c r="CV287" s="9">
        <v>0.22</v>
      </c>
      <c r="CW287" s="9">
        <v>2.3E-2</v>
      </c>
      <c r="CX287" s="9">
        <v>0.58499999999999996</v>
      </c>
      <c r="CY287" s="9">
        <v>0.22</v>
      </c>
      <c r="CZ287" s="9">
        <v>2.3E-2</v>
      </c>
      <c r="DA287" s="9">
        <v>0.58499999999999996</v>
      </c>
      <c r="DB287" s="9">
        <f>MIN(Tabelle5897112140[[#This Row],[Durchschnittsauslastung durch Sommer WTT]:[Durchschnittsauslastung max Winter SFN]])</f>
        <v>2.3E-2</v>
      </c>
      <c r="DC28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7" s="9">
        <f>MAX(Tabelle5897112140[[#This Row],[Durchschnittsauslastung durch Sommer WTT]:[Durchschnittsauslastung max Winter SFN]])</f>
        <v>0.58499999999999996</v>
      </c>
      <c r="DE287" s="40">
        <f>Tabelle5897112140[[#This Row],[Durchschnittsauslastung min]]*Tabelle5897112140[[#This Row],[installierte Leistung MW min]]</f>
        <v>693.2568</v>
      </c>
      <c r="DF287" s="40">
        <f>Tabelle5897112140[[#This Row],[Durchschnittsauslastung durch]]*Tabelle5897112140[[#This Row],[installierte Leistung MW durch]]</f>
        <v>6821.76</v>
      </c>
      <c r="DG287" s="40">
        <f>Tabelle5897112140[[#This Row],[Durchschnittsauslastung max]]*Tabelle5897112140[[#This Row],[installierte Leistung MW max]]</f>
        <v>18646.524000000001</v>
      </c>
      <c r="DH287" s="46">
        <f>Tabelle5897112140[[#This Row],[Maximalauslastung min]]*Tabelle5897112140[[#This Row],[installierte Leistung MW min]]</f>
        <v>0</v>
      </c>
      <c r="DI287" s="46">
        <f>Tabelle5897112140[[#This Row],[Maximalauslastung durch]]*Tabelle5897112140[[#This Row],[installierte Leistung MW durch]]</f>
        <v>0</v>
      </c>
      <c r="DJ287" s="19">
        <f>Tabelle5897112140[[#This Row],[Maximalauslastung max]]*Tabelle5897112140[[#This Row],[installierte Leistung MW durch]]</f>
        <v>0</v>
      </c>
      <c r="DK287" s="9">
        <v>0</v>
      </c>
      <c r="DL287" s="9">
        <v>0</v>
      </c>
      <c r="DM287" s="9">
        <v>0</v>
      </c>
      <c r="DN287" s="1">
        <v>31008</v>
      </c>
      <c r="DO287" s="1">
        <v>30141.599999999999</v>
      </c>
      <c r="DP287" s="1">
        <v>31874.400000000001</v>
      </c>
      <c r="DQ287" s="19"/>
      <c r="DR287" s="19"/>
      <c r="DW287" s="1">
        <v>0.25</v>
      </c>
      <c r="DX287" s="1">
        <v>0.2</v>
      </c>
      <c r="DY287" s="1">
        <v>0.3</v>
      </c>
      <c r="DZ287" s="1">
        <v>0.25</v>
      </c>
      <c r="EA287" s="1">
        <v>0.2</v>
      </c>
      <c r="EB287" s="1">
        <v>0.3</v>
      </c>
      <c r="EC287" s="1">
        <v>0.5</v>
      </c>
      <c r="ED287" s="1">
        <v>0.4</v>
      </c>
      <c r="EE287" s="1">
        <v>0.6</v>
      </c>
      <c r="EF287" s="1">
        <v>0.5</v>
      </c>
      <c r="EG287" s="1">
        <v>0.5</v>
      </c>
      <c r="EH287" s="1">
        <v>0.5</v>
      </c>
      <c r="EL287" s="1">
        <v>365</v>
      </c>
      <c r="EM287" s="1">
        <v>328</v>
      </c>
      <c r="EN287" s="1">
        <v>402</v>
      </c>
      <c r="EO287" s="11"/>
      <c r="EP287" s="11"/>
      <c r="EQ287" s="11"/>
      <c r="ER287" s="1">
        <v>365</v>
      </c>
      <c r="ES287" s="1">
        <v>328</v>
      </c>
      <c r="ET287" s="1">
        <v>402</v>
      </c>
      <c r="EU287" s="1">
        <v>144.44444444444446</v>
      </c>
      <c r="EV287" s="19">
        <v>130</v>
      </c>
      <c r="EW287" s="19">
        <v>158.88888888888891</v>
      </c>
      <c r="EX287" s="19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>
        <v>9.8989898989898997</v>
      </c>
      <c r="FK287" s="8">
        <v>3.5353535353535364</v>
      </c>
      <c r="FL287" s="1">
        <v>16.262626262626263</v>
      </c>
      <c r="FO287" s="1">
        <v>67</v>
      </c>
      <c r="FP287" s="1">
        <v>67</v>
      </c>
      <c r="FQ287" s="1">
        <v>67</v>
      </c>
      <c r="FR287" s="13" t="s">
        <v>806</v>
      </c>
      <c r="FS287" s="13" t="s">
        <v>806</v>
      </c>
      <c r="FT287" s="13" t="s">
        <v>806</v>
      </c>
      <c r="FU287" s="13"/>
      <c r="FV287" s="13" t="s">
        <v>806</v>
      </c>
      <c r="FW287" s="13" t="s">
        <v>806</v>
      </c>
      <c r="FX287" s="13" t="s">
        <v>806</v>
      </c>
      <c r="FY287" s="13" t="s">
        <v>806</v>
      </c>
      <c r="FZ287" s="13" t="s">
        <v>806</v>
      </c>
      <c r="GA287" s="13" t="s">
        <v>806</v>
      </c>
      <c r="GB287" s="13" t="s">
        <v>806</v>
      </c>
      <c r="GE287" s="13" t="s">
        <v>806</v>
      </c>
      <c r="GF287" s="13" t="s">
        <v>806</v>
      </c>
      <c r="GH287" s="13" t="s">
        <v>806</v>
      </c>
    </row>
    <row r="288" spans="1:190" ht="12.75" customHeight="1" x14ac:dyDescent="0.25">
      <c r="A288" s="1" t="s">
        <v>362</v>
      </c>
      <c r="B288" s="1" t="s">
        <v>650</v>
      </c>
      <c r="C288" s="1" t="s">
        <v>804</v>
      </c>
      <c r="D288" s="1" t="s">
        <v>690</v>
      </c>
      <c r="E288" s="1" t="s">
        <v>139</v>
      </c>
      <c r="F288" s="1">
        <v>0</v>
      </c>
      <c r="G288" s="1">
        <v>2045</v>
      </c>
      <c r="H288" s="1">
        <v>1</v>
      </c>
      <c r="I288" s="1">
        <v>0</v>
      </c>
      <c r="J288" s="1">
        <v>0</v>
      </c>
      <c r="K28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819.44169999999997</v>
      </c>
      <c r="L28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8063.4400000000005</v>
      </c>
      <c r="M28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22040.518499999998</v>
      </c>
      <c r="N288" s="19">
        <v>8063.44</v>
      </c>
      <c r="O288" s="19">
        <v>819.44169999999997</v>
      </c>
      <c r="P288" s="19">
        <v>22040.518499999998</v>
      </c>
      <c r="Q288" s="19">
        <v>4031.72</v>
      </c>
      <c r="R288" s="19">
        <v>0</v>
      </c>
      <c r="S288" s="19">
        <v>12696.8457</v>
      </c>
      <c r="T288" s="19">
        <v>8063.44</v>
      </c>
      <c r="U288" s="19">
        <v>819.44169999999997</v>
      </c>
      <c r="V288" s="19">
        <v>22040.518499999998</v>
      </c>
      <c r="W288" s="19">
        <v>4031.72</v>
      </c>
      <c r="X288" s="19">
        <v>0</v>
      </c>
      <c r="Y288" s="19">
        <v>12696.8457</v>
      </c>
      <c r="Z288" s="19">
        <v>8063.44</v>
      </c>
      <c r="AA288" s="19">
        <v>819.44169999999997</v>
      </c>
      <c r="AB288" s="19">
        <v>22040.518499999998</v>
      </c>
      <c r="AC288" s="19">
        <v>4031.72</v>
      </c>
      <c r="AD288" s="19">
        <v>0</v>
      </c>
      <c r="AE288" s="19">
        <v>12696.8457</v>
      </c>
      <c r="AF288" s="19">
        <v>8063.44</v>
      </c>
      <c r="AG288" s="19">
        <v>819.44169999999997</v>
      </c>
      <c r="AH288" s="19">
        <v>22040.518499999998</v>
      </c>
      <c r="AI288" s="19">
        <v>4031.72</v>
      </c>
      <c r="AJ288" s="19">
        <v>0</v>
      </c>
      <c r="AK288" s="19">
        <v>12696.8457</v>
      </c>
      <c r="AL288" s="19">
        <v>8063.44</v>
      </c>
      <c r="AM288" s="19">
        <v>819.44169999999997</v>
      </c>
      <c r="AN288" s="19">
        <v>22040.518499999998</v>
      </c>
      <c r="AO288" s="19">
        <v>4031.72</v>
      </c>
      <c r="AP288" s="19">
        <v>0</v>
      </c>
      <c r="AQ288" s="19">
        <v>12696.8457</v>
      </c>
      <c r="AR288" s="19">
        <v>8063.44</v>
      </c>
      <c r="AS288" s="19">
        <v>819.44169999999997</v>
      </c>
      <c r="AT288" s="19">
        <v>22040.518499999998</v>
      </c>
      <c r="AU288" s="19">
        <v>4031.72</v>
      </c>
      <c r="AV288" s="19">
        <v>0</v>
      </c>
      <c r="AW288" s="19">
        <v>12696.8457</v>
      </c>
      <c r="AX288" s="19">
        <v>8063.44</v>
      </c>
      <c r="AY288" s="19">
        <v>819.44169999999997</v>
      </c>
      <c r="AZ288" s="19">
        <v>22040.518499999998</v>
      </c>
      <c r="BA288" s="19">
        <v>4031.72</v>
      </c>
      <c r="BB288" s="19">
        <v>0</v>
      </c>
      <c r="BC288" s="19">
        <v>12696.8457</v>
      </c>
      <c r="BD288" s="19">
        <v>8063.44</v>
      </c>
      <c r="BE288" s="19">
        <v>819.44169999999997</v>
      </c>
      <c r="BF288" s="19">
        <v>22040.518499999998</v>
      </c>
      <c r="BG288" s="19">
        <v>4031.72</v>
      </c>
      <c r="BH288" s="19">
        <v>0</v>
      </c>
      <c r="BI288" s="19">
        <v>12696.8457</v>
      </c>
      <c r="BJ288" s="19">
        <v>8063.44</v>
      </c>
      <c r="BK288" s="19">
        <v>819.44169999999997</v>
      </c>
      <c r="BL288" s="19">
        <v>22040.518499999998</v>
      </c>
      <c r="BM288" s="19">
        <v>4031.72</v>
      </c>
      <c r="BN288" s="19">
        <v>0</v>
      </c>
      <c r="BO288" s="19">
        <v>12696.8457</v>
      </c>
      <c r="BP288" s="19"/>
      <c r="BQ28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4031.7200000000003</v>
      </c>
      <c r="BS28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12696.8457</v>
      </c>
      <c r="BT288" s="11">
        <f>Tabelle5897112140[[#This Row],[Mindestauslastung min]]*Tabelle5897112140[[#This Row],[installierte Leistung MW min]]</f>
        <v>1781.3950000000002</v>
      </c>
      <c r="BU288" s="11">
        <f>Tabelle5897112140[[#This Row],[Mindestauslastung durch]]*Tabelle5897112140[[#This Row],[installierte Leistung MW durch]]</f>
        <v>1832.6000000000001</v>
      </c>
      <c r="BV288" s="11">
        <f>Tabelle5897112140[[#This Row],[Mindestauslastung max]]*Tabelle5897112140[[#This Row],[installierte Leistung MW max]]</f>
        <v>1883.8050000000001</v>
      </c>
      <c r="BW288" s="9">
        <v>0.05</v>
      </c>
      <c r="BX288" s="9">
        <v>0.05</v>
      </c>
      <c r="BY288" s="9">
        <v>0.05</v>
      </c>
      <c r="BZ288" s="9"/>
      <c r="CA288" s="9">
        <v>0.22</v>
      </c>
      <c r="CB288" s="9">
        <v>2.3E-2</v>
      </c>
      <c r="CC288" s="9">
        <v>0.58499999999999996</v>
      </c>
      <c r="CD288" s="9">
        <v>0.22</v>
      </c>
      <c r="CE288" s="9">
        <v>2.3E-2</v>
      </c>
      <c r="CF288" s="9">
        <v>0.58499999999999996</v>
      </c>
      <c r="CG288" s="9">
        <v>0.22</v>
      </c>
      <c r="CH288" s="9">
        <v>2.3E-2</v>
      </c>
      <c r="CI288" s="9">
        <v>0.58499999999999996</v>
      </c>
      <c r="CJ288" s="9">
        <v>0.22</v>
      </c>
      <c r="CK288" s="9">
        <v>2.3E-2</v>
      </c>
      <c r="CL288" s="9">
        <v>0.58499999999999996</v>
      </c>
      <c r="CM288" s="9">
        <v>0.22</v>
      </c>
      <c r="CN288" s="9">
        <v>2.3E-2</v>
      </c>
      <c r="CO288" s="9">
        <v>0.58499999999999996</v>
      </c>
      <c r="CP288" s="9">
        <v>0.22</v>
      </c>
      <c r="CQ288" s="9">
        <v>2.3E-2</v>
      </c>
      <c r="CR288" s="9">
        <v>0.58499999999999996</v>
      </c>
      <c r="CS288" s="9">
        <v>0.22</v>
      </c>
      <c r="CT288" s="9">
        <v>2.3E-2</v>
      </c>
      <c r="CU288" s="9">
        <v>0.58499999999999996</v>
      </c>
      <c r="CV288" s="9">
        <v>0.22</v>
      </c>
      <c r="CW288" s="9">
        <v>2.3E-2</v>
      </c>
      <c r="CX288" s="9">
        <v>0.58499999999999996</v>
      </c>
      <c r="CY288" s="9">
        <v>0.22</v>
      </c>
      <c r="CZ288" s="9">
        <v>2.3E-2</v>
      </c>
      <c r="DA288" s="9">
        <v>0.58499999999999996</v>
      </c>
      <c r="DB288" s="9">
        <f>MIN(Tabelle5897112140[[#This Row],[Durchschnittsauslastung durch Sommer WTT]:[Durchschnittsauslastung max Winter SFN]])</f>
        <v>2.3E-2</v>
      </c>
      <c r="DC28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8" s="9">
        <f>MAX(Tabelle5897112140[[#This Row],[Durchschnittsauslastung durch Sommer WTT]:[Durchschnittsauslastung max Winter SFN]])</f>
        <v>0.58499999999999996</v>
      </c>
      <c r="DE288" s="40">
        <f>Tabelle5897112140[[#This Row],[Durchschnittsauslastung min]]*Tabelle5897112140[[#This Row],[installierte Leistung MW min]]</f>
        <v>819.44169999999997</v>
      </c>
      <c r="DF288" s="40">
        <f>Tabelle5897112140[[#This Row],[Durchschnittsauslastung durch]]*Tabelle5897112140[[#This Row],[installierte Leistung MW durch]]</f>
        <v>8063.44</v>
      </c>
      <c r="DG288" s="40">
        <f>Tabelle5897112140[[#This Row],[Durchschnittsauslastung max]]*Tabelle5897112140[[#This Row],[installierte Leistung MW max]]</f>
        <v>22040.518499999998</v>
      </c>
      <c r="DH288" s="46">
        <f>Tabelle5897112140[[#This Row],[Maximalauslastung min]]*Tabelle5897112140[[#This Row],[installierte Leistung MW min]]</f>
        <v>0</v>
      </c>
      <c r="DI288" s="46">
        <f>Tabelle5897112140[[#This Row],[Maximalauslastung durch]]*Tabelle5897112140[[#This Row],[installierte Leistung MW durch]]</f>
        <v>0</v>
      </c>
      <c r="DJ288" s="19">
        <f>Tabelle5897112140[[#This Row],[Maximalauslastung max]]*Tabelle5897112140[[#This Row],[installierte Leistung MW durch]]</f>
        <v>0</v>
      </c>
      <c r="DK288" s="9">
        <v>0</v>
      </c>
      <c r="DL288" s="9">
        <v>0</v>
      </c>
      <c r="DM288" s="9">
        <v>0</v>
      </c>
      <c r="DN288" s="1">
        <v>36652</v>
      </c>
      <c r="DO288" s="1">
        <v>35627.9</v>
      </c>
      <c r="DP288" s="1">
        <v>37676.1</v>
      </c>
      <c r="DQ288" s="19"/>
      <c r="DR288" s="19"/>
      <c r="DW288" s="1">
        <v>0.25</v>
      </c>
      <c r="DX288" s="1">
        <v>0.2</v>
      </c>
      <c r="DY288" s="1">
        <v>0.3</v>
      </c>
      <c r="DZ288" s="1">
        <v>0.25</v>
      </c>
      <c r="EA288" s="1">
        <v>0.2</v>
      </c>
      <c r="EB288" s="1">
        <v>0.3</v>
      </c>
      <c r="EC288" s="1">
        <v>0.5</v>
      </c>
      <c r="ED288" s="1">
        <v>0.4</v>
      </c>
      <c r="EE288" s="1">
        <v>0.6</v>
      </c>
      <c r="EF288" s="1">
        <v>0.5</v>
      </c>
      <c r="EG288" s="1">
        <v>0.5</v>
      </c>
      <c r="EH288" s="1">
        <v>0.5</v>
      </c>
      <c r="EL288" s="1">
        <v>365</v>
      </c>
      <c r="EM288" s="1">
        <v>328</v>
      </c>
      <c r="EN288" s="1">
        <v>402</v>
      </c>
      <c r="EO288" s="11"/>
      <c r="EP288" s="11"/>
      <c r="EQ288" s="11"/>
      <c r="ER288" s="1">
        <v>365</v>
      </c>
      <c r="ES288" s="1">
        <v>328</v>
      </c>
      <c r="ET288" s="1">
        <v>402</v>
      </c>
      <c r="EU288" s="1">
        <v>144.44444444444446</v>
      </c>
      <c r="EV288" s="19">
        <v>130</v>
      </c>
      <c r="EW288" s="19">
        <v>158.88888888888891</v>
      </c>
      <c r="EX288" s="19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>
        <v>9.8989898989898997</v>
      </c>
      <c r="FK288" s="8">
        <v>3.5353535353535364</v>
      </c>
      <c r="FL288" s="1">
        <v>16.262626262626263</v>
      </c>
      <c r="FO288" s="1">
        <v>67</v>
      </c>
      <c r="FP288" s="1">
        <v>67</v>
      </c>
      <c r="FQ288" s="1">
        <v>67</v>
      </c>
      <c r="FR288" s="13" t="s">
        <v>806</v>
      </c>
      <c r="FS288" s="13" t="s">
        <v>806</v>
      </c>
      <c r="FT288" s="13" t="s">
        <v>806</v>
      </c>
      <c r="FU288" s="13"/>
      <c r="FV288" s="13" t="s">
        <v>806</v>
      </c>
      <c r="FW288" s="13" t="s">
        <v>806</v>
      </c>
      <c r="FX288" s="13" t="s">
        <v>806</v>
      </c>
      <c r="FY288" s="13" t="s">
        <v>806</v>
      </c>
      <c r="FZ288" s="13" t="s">
        <v>806</v>
      </c>
      <c r="GA288" s="13" t="s">
        <v>806</v>
      </c>
      <c r="GB288" s="13" t="s">
        <v>806</v>
      </c>
      <c r="GE288" s="13" t="s">
        <v>806</v>
      </c>
      <c r="GF288" s="13" t="s">
        <v>806</v>
      </c>
      <c r="GH288" s="13" t="s">
        <v>806</v>
      </c>
    </row>
    <row r="289" spans="1:190" ht="12.75" customHeight="1" x14ac:dyDescent="0.25">
      <c r="A289" s="1" t="s">
        <v>362</v>
      </c>
      <c r="B289" s="1" t="s">
        <v>650</v>
      </c>
      <c r="C289" s="1" t="s">
        <v>804</v>
      </c>
      <c r="D289" s="1" t="s">
        <v>690</v>
      </c>
      <c r="E289" s="1" t="s">
        <v>139</v>
      </c>
      <c r="F289" s="1">
        <v>0</v>
      </c>
      <c r="G289" s="1">
        <v>2050</v>
      </c>
      <c r="H289" s="1">
        <v>1</v>
      </c>
      <c r="I289" s="1">
        <v>0</v>
      </c>
      <c r="J289" s="1">
        <v>0</v>
      </c>
      <c r="K28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925.86270000000002</v>
      </c>
      <c r="L28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9110.64</v>
      </c>
      <c r="M28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24902.923500000001</v>
      </c>
      <c r="N289" s="19">
        <v>9110.64</v>
      </c>
      <c r="O289" s="19">
        <v>925.86270000000002</v>
      </c>
      <c r="P289" s="19">
        <v>24902.923500000001</v>
      </c>
      <c r="Q289" s="19">
        <v>4555.32</v>
      </c>
      <c r="R289" s="19">
        <v>0</v>
      </c>
      <c r="S289" s="19">
        <v>14345.786700000001</v>
      </c>
      <c r="T289" s="19">
        <v>9110.64</v>
      </c>
      <c r="U289" s="19">
        <v>925.86270000000002</v>
      </c>
      <c r="V289" s="19">
        <v>24902.923500000001</v>
      </c>
      <c r="W289" s="19">
        <v>4555.32</v>
      </c>
      <c r="X289" s="19">
        <v>0</v>
      </c>
      <c r="Y289" s="19">
        <v>14345.786700000001</v>
      </c>
      <c r="Z289" s="19">
        <v>9110.64</v>
      </c>
      <c r="AA289" s="19">
        <v>925.86270000000002</v>
      </c>
      <c r="AB289" s="19">
        <v>24902.923500000001</v>
      </c>
      <c r="AC289" s="19">
        <v>4555.32</v>
      </c>
      <c r="AD289" s="19">
        <v>0</v>
      </c>
      <c r="AE289" s="19">
        <v>14345.786700000001</v>
      </c>
      <c r="AF289" s="19">
        <v>9110.64</v>
      </c>
      <c r="AG289" s="19">
        <v>925.86270000000002</v>
      </c>
      <c r="AH289" s="19">
        <v>24902.923500000001</v>
      </c>
      <c r="AI289" s="19">
        <v>4555.32</v>
      </c>
      <c r="AJ289" s="19">
        <v>0</v>
      </c>
      <c r="AK289" s="19">
        <v>14345.786700000001</v>
      </c>
      <c r="AL289" s="19">
        <v>9110.64</v>
      </c>
      <c r="AM289" s="19">
        <v>925.86270000000002</v>
      </c>
      <c r="AN289" s="19">
        <v>24902.923500000001</v>
      </c>
      <c r="AO289" s="19">
        <v>4555.32</v>
      </c>
      <c r="AP289" s="19">
        <v>0</v>
      </c>
      <c r="AQ289" s="19">
        <v>14345.786700000001</v>
      </c>
      <c r="AR289" s="19">
        <v>9110.64</v>
      </c>
      <c r="AS289" s="19">
        <v>925.86270000000002</v>
      </c>
      <c r="AT289" s="19">
        <v>24902.923500000001</v>
      </c>
      <c r="AU289" s="19">
        <v>4555.32</v>
      </c>
      <c r="AV289" s="19">
        <v>0</v>
      </c>
      <c r="AW289" s="19">
        <v>14345.786700000001</v>
      </c>
      <c r="AX289" s="19">
        <v>9110.64</v>
      </c>
      <c r="AY289" s="19">
        <v>925.86270000000002</v>
      </c>
      <c r="AZ289" s="19">
        <v>24902.923500000001</v>
      </c>
      <c r="BA289" s="19">
        <v>4555.32</v>
      </c>
      <c r="BB289" s="19">
        <v>0</v>
      </c>
      <c r="BC289" s="19">
        <v>14345.786700000001</v>
      </c>
      <c r="BD289" s="19">
        <v>9110.64</v>
      </c>
      <c r="BE289" s="19">
        <v>925.86270000000002</v>
      </c>
      <c r="BF289" s="19">
        <v>24902.923500000001</v>
      </c>
      <c r="BG289" s="19">
        <v>4555.32</v>
      </c>
      <c r="BH289" s="19">
        <v>0</v>
      </c>
      <c r="BI289" s="19">
        <v>14345.786700000001</v>
      </c>
      <c r="BJ289" s="19">
        <v>9110.64</v>
      </c>
      <c r="BK289" s="19">
        <v>925.86270000000002</v>
      </c>
      <c r="BL289" s="19">
        <v>24902.923500000001</v>
      </c>
      <c r="BM289" s="19">
        <v>4555.32</v>
      </c>
      <c r="BN289" s="19">
        <v>0</v>
      </c>
      <c r="BO289" s="19">
        <v>14345.786700000001</v>
      </c>
      <c r="BP289" s="19"/>
      <c r="BQ28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4555.32</v>
      </c>
      <c r="BS28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14345.786700000001</v>
      </c>
      <c r="BT289" s="11">
        <f>Tabelle5897112140[[#This Row],[Mindestauslastung min]]*Tabelle5897112140[[#This Row],[installierte Leistung MW min]]</f>
        <v>2012.7450000000001</v>
      </c>
      <c r="BU289" s="11">
        <f>Tabelle5897112140[[#This Row],[Mindestauslastung durch]]*Tabelle5897112140[[#This Row],[installierte Leistung MW durch]]</f>
        <v>2070.6</v>
      </c>
      <c r="BV289" s="11">
        <f>Tabelle5897112140[[#This Row],[Mindestauslastung max]]*Tabelle5897112140[[#This Row],[installierte Leistung MW max]]</f>
        <v>2128.4549999999999</v>
      </c>
      <c r="BW289" s="9">
        <v>0.05</v>
      </c>
      <c r="BX289" s="9">
        <v>0.05</v>
      </c>
      <c r="BY289" s="9">
        <v>0.05</v>
      </c>
      <c r="BZ289" s="9"/>
      <c r="CA289" s="9">
        <v>0.22</v>
      </c>
      <c r="CB289" s="9">
        <v>2.3E-2</v>
      </c>
      <c r="CC289" s="9">
        <v>0.58499999999999996</v>
      </c>
      <c r="CD289" s="9">
        <v>0.22</v>
      </c>
      <c r="CE289" s="9">
        <v>2.3E-2</v>
      </c>
      <c r="CF289" s="9">
        <v>0.58499999999999996</v>
      </c>
      <c r="CG289" s="9">
        <v>0.22</v>
      </c>
      <c r="CH289" s="9">
        <v>2.3E-2</v>
      </c>
      <c r="CI289" s="9">
        <v>0.58499999999999996</v>
      </c>
      <c r="CJ289" s="9">
        <v>0.22</v>
      </c>
      <c r="CK289" s="9">
        <v>2.3E-2</v>
      </c>
      <c r="CL289" s="9">
        <v>0.58499999999999996</v>
      </c>
      <c r="CM289" s="9">
        <v>0.22</v>
      </c>
      <c r="CN289" s="9">
        <v>2.3E-2</v>
      </c>
      <c r="CO289" s="9">
        <v>0.58499999999999996</v>
      </c>
      <c r="CP289" s="9">
        <v>0.22</v>
      </c>
      <c r="CQ289" s="9">
        <v>2.3E-2</v>
      </c>
      <c r="CR289" s="9">
        <v>0.58499999999999996</v>
      </c>
      <c r="CS289" s="9">
        <v>0.22</v>
      </c>
      <c r="CT289" s="9">
        <v>2.3E-2</v>
      </c>
      <c r="CU289" s="9">
        <v>0.58499999999999996</v>
      </c>
      <c r="CV289" s="9">
        <v>0.22</v>
      </c>
      <c r="CW289" s="9">
        <v>2.3E-2</v>
      </c>
      <c r="CX289" s="9">
        <v>0.58499999999999996</v>
      </c>
      <c r="CY289" s="9">
        <v>0.22</v>
      </c>
      <c r="CZ289" s="9">
        <v>2.3E-2</v>
      </c>
      <c r="DA289" s="9">
        <v>0.58499999999999996</v>
      </c>
      <c r="DB289" s="9">
        <f>MIN(Tabelle5897112140[[#This Row],[Durchschnittsauslastung durch Sommer WTT]:[Durchschnittsauslastung max Winter SFN]])</f>
        <v>2.3E-2</v>
      </c>
      <c r="DC28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9" s="9">
        <f>MAX(Tabelle5897112140[[#This Row],[Durchschnittsauslastung durch Sommer WTT]:[Durchschnittsauslastung max Winter SFN]])</f>
        <v>0.58499999999999996</v>
      </c>
      <c r="DE289" s="40">
        <f>Tabelle5897112140[[#This Row],[Durchschnittsauslastung min]]*Tabelle5897112140[[#This Row],[installierte Leistung MW min]]</f>
        <v>925.86270000000002</v>
      </c>
      <c r="DF289" s="40">
        <f>Tabelle5897112140[[#This Row],[Durchschnittsauslastung durch]]*Tabelle5897112140[[#This Row],[installierte Leistung MW durch]]</f>
        <v>9110.64</v>
      </c>
      <c r="DG289" s="40">
        <f>Tabelle5897112140[[#This Row],[Durchschnittsauslastung max]]*Tabelle5897112140[[#This Row],[installierte Leistung MW max]]</f>
        <v>24902.923499999997</v>
      </c>
      <c r="DH289" s="46">
        <f>Tabelle5897112140[[#This Row],[Maximalauslastung min]]*Tabelle5897112140[[#This Row],[installierte Leistung MW min]]</f>
        <v>0</v>
      </c>
      <c r="DI289" s="46">
        <f>Tabelle5897112140[[#This Row],[Maximalauslastung durch]]*Tabelle5897112140[[#This Row],[installierte Leistung MW durch]]</f>
        <v>0</v>
      </c>
      <c r="DJ289" s="19">
        <f>Tabelle5897112140[[#This Row],[Maximalauslastung max]]*Tabelle5897112140[[#This Row],[installierte Leistung MW durch]]</f>
        <v>0</v>
      </c>
      <c r="DK289" s="9">
        <v>0</v>
      </c>
      <c r="DL289" s="9">
        <v>0</v>
      </c>
      <c r="DM289" s="9">
        <v>0</v>
      </c>
      <c r="DN289" s="1">
        <v>41412</v>
      </c>
      <c r="DO289" s="1">
        <v>40254.9</v>
      </c>
      <c r="DP289" s="1">
        <v>42569.1</v>
      </c>
      <c r="DQ289" s="19"/>
      <c r="DR289" s="19"/>
      <c r="DW289" s="1">
        <v>0.25</v>
      </c>
      <c r="DX289" s="1">
        <v>0.2</v>
      </c>
      <c r="DY289" s="1">
        <v>0.3</v>
      </c>
      <c r="DZ289" s="1">
        <v>0.25</v>
      </c>
      <c r="EA289" s="1">
        <v>0.2</v>
      </c>
      <c r="EB289" s="1">
        <v>0.3</v>
      </c>
      <c r="EC289" s="1">
        <v>0.5</v>
      </c>
      <c r="ED289" s="1">
        <v>0.4</v>
      </c>
      <c r="EE289" s="1">
        <v>0.6</v>
      </c>
      <c r="EF289" s="1">
        <v>0.5</v>
      </c>
      <c r="EG289" s="1">
        <v>0.5</v>
      </c>
      <c r="EH289" s="1">
        <v>0.5</v>
      </c>
      <c r="EL289" s="1">
        <v>365</v>
      </c>
      <c r="EM289" s="1">
        <v>328</v>
      </c>
      <c r="EN289" s="1">
        <v>402</v>
      </c>
      <c r="EO289" s="11"/>
      <c r="EP289" s="11"/>
      <c r="EQ289" s="11"/>
      <c r="ER289" s="1">
        <v>365</v>
      </c>
      <c r="ES289" s="1">
        <v>328</v>
      </c>
      <c r="ET289" s="1">
        <v>402</v>
      </c>
      <c r="EU289" s="1">
        <v>144.44444444444446</v>
      </c>
      <c r="EV289" s="19">
        <v>130</v>
      </c>
      <c r="EW289" s="19">
        <v>158.88888888888891</v>
      </c>
      <c r="EX289" s="19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>
        <v>9.8989898989898997</v>
      </c>
      <c r="FK289" s="8">
        <v>3.5353535353535364</v>
      </c>
      <c r="FL289" s="1">
        <v>16.262626262626263</v>
      </c>
      <c r="FO289" s="1">
        <v>67</v>
      </c>
      <c r="FP289" s="1">
        <v>67</v>
      </c>
      <c r="FQ289" s="1">
        <v>67</v>
      </c>
      <c r="FR289" s="13" t="s">
        <v>806</v>
      </c>
      <c r="FS289" s="13" t="s">
        <v>806</v>
      </c>
      <c r="FT289" s="13" t="s">
        <v>806</v>
      </c>
      <c r="FU289" s="13"/>
      <c r="FV289" s="13" t="s">
        <v>806</v>
      </c>
      <c r="FW289" s="13" t="s">
        <v>806</v>
      </c>
      <c r="FX289" s="13" t="s">
        <v>806</v>
      </c>
      <c r="FY289" s="13" t="s">
        <v>806</v>
      </c>
      <c r="FZ289" s="13" t="s">
        <v>806</v>
      </c>
      <c r="GA289" s="13" t="s">
        <v>806</v>
      </c>
      <c r="GB289" s="13" t="s">
        <v>806</v>
      </c>
      <c r="GE289" s="13" t="s">
        <v>806</v>
      </c>
      <c r="GF289" s="13" t="s">
        <v>806</v>
      </c>
      <c r="GH289" s="13" t="s">
        <v>806</v>
      </c>
    </row>
    <row r="290" spans="1:190" ht="12.75" customHeight="1" x14ac:dyDescent="0.25">
      <c r="A290" s="1" t="s">
        <v>132</v>
      </c>
      <c r="B290" s="1" t="s">
        <v>653</v>
      </c>
      <c r="C290" s="1" t="s">
        <v>804</v>
      </c>
      <c r="D290" s="1" t="s">
        <v>691</v>
      </c>
      <c r="E290" s="1" t="s">
        <v>139</v>
      </c>
      <c r="F290" s="1">
        <v>0</v>
      </c>
      <c r="G290" s="1">
        <v>2015</v>
      </c>
      <c r="H290" s="1">
        <v>1</v>
      </c>
      <c r="I290" s="1">
        <v>0</v>
      </c>
      <c r="J290" s="1">
        <v>0</v>
      </c>
      <c r="K29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924.81399999999996</v>
      </c>
      <c r="L29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1317.1560416666671</v>
      </c>
      <c r="M29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1809.2249999999999</v>
      </c>
      <c r="N290" s="19">
        <v>1317.1560416666671</v>
      </c>
      <c r="O290" s="19">
        <v>924.81399999999996</v>
      </c>
      <c r="P290" s="19">
        <v>1809.2249999999999</v>
      </c>
      <c r="Q290" s="19">
        <v>0</v>
      </c>
      <c r="R290" s="19">
        <v>0</v>
      </c>
      <c r="S290" s="19">
        <v>0</v>
      </c>
      <c r="T290" s="19">
        <v>1317.1560416666671</v>
      </c>
      <c r="U290" s="19">
        <v>924.81399999999996</v>
      </c>
      <c r="V290" s="19">
        <v>1809.2249999999999</v>
      </c>
      <c r="W290" s="19">
        <v>0</v>
      </c>
      <c r="X290" s="19">
        <v>0</v>
      </c>
      <c r="Y290" s="19">
        <v>0</v>
      </c>
      <c r="Z290" s="19">
        <v>1317.1560416666671</v>
      </c>
      <c r="AA290" s="19">
        <v>924.81399999999996</v>
      </c>
      <c r="AB290" s="19">
        <v>1809.2249999999999</v>
      </c>
      <c r="AC290" s="19">
        <v>0</v>
      </c>
      <c r="AD290" s="19">
        <v>0</v>
      </c>
      <c r="AE290" s="19">
        <v>0</v>
      </c>
      <c r="AF290" s="19">
        <v>1317.1560416666671</v>
      </c>
      <c r="AG290" s="19">
        <v>924.81399999999996</v>
      </c>
      <c r="AH290" s="19">
        <v>1809.2249999999999</v>
      </c>
      <c r="AI290" s="19">
        <v>0</v>
      </c>
      <c r="AJ290" s="19">
        <v>0</v>
      </c>
      <c r="AK290" s="19">
        <v>0</v>
      </c>
      <c r="AL290" s="19">
        <v>1317.1560416666671</v>
      </c>
      <c r="AM290" s="19">
        <v>924.81399999999996</v>
      </c>
      <c r="AN290" s="19">
        <v>1809.2249999999999</v>
      </c>
      <c r="AO290" s="19">
        <v>0</v>
      </c>
      <c r="AP290" s="19">
        <v>0</v>
      </c>
      <c r="AQ290" s="19">
        <v>0</v>
      </c>
      <c r="AR290" s="19">
        <v>1317.1560416666671</v>
      </c>
      <c r="AS290" s="19">
        <v>924.81399999999996</v>
      </c>
      <c r="AT290" s="19">
        <v>1809.2249999999999</v>
      </c>
      <c r="AU290" s="19">
        <v>0</v>
      </c>
      <c r="AV290" s="19">
        <v>0</v>
      </c>
      <c r="AW290" s="19">
        <v>0</v>
      </c>
      <c r="AX290" s="19">
        <v>1317.1560416666671</v>
      </c>
      <c r="AY290" s="19">
        <v>924.81399999999996</v>
      </c>
      <c r="AZ290" s="19">
        <v>1809.2249999999999</v>
      </c>
      <c r="BA290" s="19">
        <v>0</v>
      </c>
      <c r="BB290" s="19">
        <v>0</v>
      </c>
      <c r="BC290" s="19">
        <v>0</v>
      </c>
      <c r="BD290" s="19">
        <v>1317.1560416666671</v>
      </c>
      <c r="BE290" s="19">
        <v>924.81399999999996</v>
      </c>
      <c r="BF290" s="19">
        <v>1809.2249999999999</v>
      </c>
      <c r="BG290" s="19">
        <v>0</v>
      </c>
      <c r="BH290" s="19">
        <v>0</v>
      </c>
      <c r="BI290" s="19">
        <v>0</v>
      </c>
      <c r="BJ290" s="19">
        <v>1317.1560416666671</v>
      </c>
      <c r="BK290" s="19">
        <v>924.81399999999996</v>
      </c>
      <c r="BL290" s="19">
        <v>1809.2249999999999</v>
      </c>
      <c r="BM290" s="19">
        <v>0</v>
      </c>
      <c r="BN290" s="19">
        <v>0</v>
      </c>
      <c r="BO290" s="19">
        <v>0</v>
      </c>
      <c r="BP290" s="19"/>
      <c r="BQ29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0" s="11">
        <f>Tabelle5897112140[[#This Row],[Mindestauslastung min]]*Tabelle5897112140[[#This Row],[installierte Leistung MW min]]</f>
        <v>182.05</v>
      </c>
      <c r="BU290" s="11">
        <f>Tabelle5897112140[[#This Row],[Mindestauslastung durch]]*Tabelle5897112140[[#This Row],[installierte Leistung MW durch]]</f>
        <v>197.45000000000002</v>
      </c>
      <c r="BV290" s="11">
        <f>Tabelle5897112140[[#This Row],[Mindestauslastung max]]*Tabelle5897112140[[#This Row],[installierte Leistung MW max]]</f>
        <v>212.85000000000002</v>
      </c>
      <c r="BW290" s="9">
        <v>0.05</v>
      </c>
      <c r="BX290" s="9">
        <v>0.05</v>
      </c>
      <c r="BY290" s="9">
        <v>0.05</v>
      </c>
      <c r="BZ290" s="9"/>
      <c r="CA290" s="9">
        <v>0.33354166666666663</v>
      </c>
      <c r="CB290" s="9">
        <v>0.254</v>
      </c>
      <c r="CC290" s="9">
        <v>0.42499999999999999</v>
      </c>
      <c r="CD290" s="9">
        <v>0.33354166666666663</v>
      </c>
      <c r="CE290" s="9">
        <v>0.254</v>
      </c>
      <c r="CF290" s="9">
        <v>0.42499999999999999</v>
      </c>
      <c r="CG290" s="9">
        <v>0.33354166666666663</v>
      </c>
      <c r="CH290" s="9">
        <v>0.254</v>
      </c>
      <c r="CI290" s="9">
        <v>0.42499999999999999</v>
      </c>
      <c r="CJ290" s="9">
        <v>0.33354166666666663</v>
      </c>
      <c r="CK290" s="9">
        <v>0.254</v>
      </c>
      <c r="CL290" s="9">
        <v>0.42499999999999999</v>
      </c>
      <c r="CM290" s="9">
        <v>0.33354166666666663</v>
      </c>
      <c r="CN290" s="9">
        <v>0.254</v>
      </c>
      <c r="CO290" s="9">
        <v>0.42499999999999999</v>
      </c>
      <c r="CP290" s="9">
        <v>0.33354166666666663</v>
      </c>
      <c r="CQ290" s="9">
        <v>0.254</v>
      </c>
      <c r="CR290" s="9">
        <v>0.42499999999999999</v>
      </c>
      <c r="CS290" s="9">
        <v>0.33354166666666663</v>
      </c>
      <c r="CT290" s="9">
        <v>0.254</v>
      </c>
      <c r="CU290" s="9">
        <v>0.42499999999999999</v>
      </c>
      <c r="CV290" s="9">
        <v>0.33354166666666663</v>
      </c>
      <c r="CW290" s="9">
        <v>0.254</v>
      </c>
      <c r="CX290" s="9">
        <v>0.42499999999999999</v>
      </c>
      <c r="CY290" s="9">
        <v>0.33354166666666663</v>
      </c>
      <c r="CZ290" s="9">
        <v>0.254</v>
      </c>
      <c r="DA290" s="9">
        <v>0.42499999999999999</v>
      </c>
      <c r="DB290" s="9">
        <f>MIN(Tabelle5897112140[[#This Row],[Durchschnittsauslastung durch Sommer WTT]:[Durchschnittsauslastung max Winter SFN]])</f>
        <v>0.254</v>
      </c>
      <c r="DC29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0" s="9">
        <f>MAX(Tabelle5897112140[[#This Row],[Durchschnittsauslastung durch Sommer WTT]:[Durchschnittsauslastung max Winter SFN]])</f>
        <v>0.42499999999999999</v>
      </c>
      <c r="DE290" s="40">
        <f>Tabelle5897112140[[#This Row],[Durchschnittsauslastung min]]*Tabelle5897112140[[#This Row],[installierte Leistung MW min]]</f>
        <v>924.81399999999996</v>
      </c>
      <c r="DF290" s="40">
        <f>Tabelle5897112140[[#This Row],[Durchschnittsauslastung durch]]*Tabelle5897112140[[#This Row],[installierte Leistung MW durch]]</f>
        <v>1317.1560416666664</v>
      </c>
      <c r="DG290" s="40">
        <f>Tabelle5897112140[[#This Row],[Durchschnittsauslastung max]]*Tabelle5897112140[[#This Row],[installierte Leistung MW max]]</f>
        <v>1809.2249999999999</v>
      </c>
      <c r="DH290" s="46">
        <f>Tabelle5897112140[[#This Row],[Maximalauslastung min]]*Tabelle5897112140[[#This Row],[installierte Leistung MW min]]</f>
        <v>0</v>
      </c>
      <c r="DI290" s="46">
        <f>Tabelle5897112140[[#This Row],[Maximalauslastung durch]]*Tabelle5897112140[[#This Row],[installierte Leistung MW durch]]</f>
        <v>0</v>
      </c>
      <c r="DJ290" s="19">
        <f>Tabelle5897112140[[#This Row],[Maximalauslastung max]]*Tabelle5897112140[[#This Row],[installierte Leistung MW durch]]</f>
        <v>0</v>
      </c>
      <c r="DK290" s="9">
        <v>0</v>
      </c>
      <c r="DL290" s="9">
        <v>0</v>
      </c>
      <c r="DM290" s="9">
        <v>0</v>
      </c>
      <c r="DN290" s="1">
        <v>3949</v>
      </c>
      <c r="DO290" s="1">
        <v>3641</v>
      </c>
      <c r="DP290" s="1">
        <v>4257</v>
      </c>
      <c r="DQ290" s="19"/>
      <c r="DR290" s="19"/>
      <c r="DW290" s="1">
        <v>0.25</v>
      </c>
      <c r="DX290" s="1">
        <v>0.2</v>
      </c>
      <c r="DY290" s="1">
        <v>0.3</v>
      </c>
      <c r="DZ290" s="1">
        <v>0.25</v>
      </c>
      <c r="EA290" s="1">
        <v>0.2</v>
      </c>
      <c r="EB290" s="1">
        <v>0.3</v>
      </c>
      <c r="EC290" s="1">
        <v>4.5</v>
      </c>
      <c r="ED290" s="1">
        <v>3</v>
      </c>
      <c r="EE290" s="1">
        <v>6</v>
      </c>
      <c r="EF290" s="1">
        <v>0.4</v>
      </c>
      <c r="EG290" s="1">
        <v>0.3</v>
      </c>
      <c r="EH290" s="1">
        <v>0.5</v>
      </c>
      <c r="EL290" s="1">
        <v>6570</v>
      </c>
      <c r="EM290" s="1">
        <v>4380</v>
      </c>
      <c r="EN290" s="1">
        <v>8760</v>
      </c>
      <c r="EO290" s="11"/>
      <c r="EP290" s="11"/>
      <c r="EQ290" s="11"/>
      <c r="ER290" s="1">
        <v>6570</v>
      </c>
      <c r="ES290" s="1">
        <v>4380</v>
      </c>
      <c r="ET290" s="1">
        <v>8760</v>
      </c>
      <c r="EU290" s="1">
        <v>63.838383838383841</v>
      </c>
      <c r="EV290" s="19">
        <v>57.474747474747488</v>
      </c>
      <c r="EW290" s="19">
        <v>70.202020202020208</v>
      </c>
      <c r="EX290" s="19"/>
      <c r="EY290" s="19"/>
      <c r="EZ290" s="19"/>
      <c r="FA290" s="8"/>
      <c r="FB290" s="8"/>
      <c r="FC290" s="8"/>
      <c r="FD290" s="8"/>
      <c r="FE290" s="8"/>
      <c r="FF290" s="8"/>
      <c r="FG290" s="8"/>
      <c r="FH290" s="8"/>
      <c r="FI290" s="8"/>
      <c r="FJ290" s="8">
        <v>1202.0202020202021</v>
      </c>
      <c r="FK290" s="8">
        <v>1081.8181818181818</v>
      </c>
      <c r="FL290" s="1">
        <v>1322.2222222222222</v>
      </c>
      <c r="FO290" s="1">
        <v>67</v>
      </c>
      <c r="FP290" s="1">
        <v>67</v>
      </c>
      <c r="FQ290" s="1">
        <v>67</v>
      </c>
      <c r="FR290" s="13" t="s">
        <v>806</v>
      </c>
      <c r="FS290" s="13" t="s">
        <v>806</v>
      </c>
      <c r="FT290" s="13" t="s">
        <v>806</v>
      </c>
      <c r="FU290" s="13"/>
      <c r="FV290" s="13" t="s">
        <v>806</v>
      </c>
      <c r="FW290" s="13" t="s">
        <v>806</v>
      </c>
      <c r="FX290" s="13" t="s">
        <v>806</v>
      </c>
      <c r="FY290" s="13" t="s">
        <v>806</v>
      </c>
      <c r="FZ290" s="13" t="s">
        <v>806</v>
      </c>
      <c r="GA290" s="13" t="s">
        <v>806</v>
      </c>
      <c r="GB290" s="13" t="s">
        <v>806</v>
      </c>
      <c r="GE290" s="13" t="s">
        <v>806</v>
      </c>
      <c r="GF290" s="13" t="s">
        <v>806</v>
      </c>
      <c r="GH290" s="13" t="s">
        <v>806</v>
      </c>
    </row>
    <row r="291" spans="1:190" ht="12.75" customHeight="1" x14ac:dyDescent="0.25">
      <c r="A291" s="1" t="s">
        <v>132</v>
      </c>
      <c r="B291" s="1" t="s">
        <v>653</v>
      </c>
      <c r="C291" s="1" t="s">
        <v>804</v>
      </c>
      <c r="D291" s="1" t="s">
        <v>691</v>
      </c>
      <c r="E291" s="1" t="s">
        <v>139</v>
      </c>
      <c r="F291" s="1">
        <v>0</v>
      </c>
      <c r="G291" s="1">
        <v>2020</v>
      </c>
      <c r="H291" s="1">
        <v>1</v>
      </c>
      <c r="I291" s="1">
        <v>0</v>
      </c>
      <c r="J291" s="1">
        <v>0</v>
      </c>
      <c r="K29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758.3474799999999</v>
      </c>
      <c r="L29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1080.0679541666671</v>
      </c>
      <c r="M29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1483.5644999999997</v>
      </c>
      <c r="N291" s="19">
        <v>1080.0679541666671</v>
      </c>
      <c r="O291" s="19">
        <v>758.3474799999999</v>
      </c>
      <c r="P291" s="19">
        <v>1483.5644999999997</v>
      </c>
      <c r="Q291" s="19">
        <v>0</v>
      </c>
      <c r="R291" s="19">
        <v>0</v>
      </c>
      <c r="S291" s="19">
        <v>0</v>
      </c>
      <c r="T291" s="19">
        <v>1080.0679541666671</v>
      </c>
      <c r="U291" s="19">
        <v>758.3474799999999</v>
      </c>
      <c r="V291" s="19">
        <v>1483.5644999999997</v>
      </c>
      <c r="W291" s="19">
        <v>0</v>
      </c>
      <c r="X291" s="19">
        <v>0</v>
      </c>
      <c r="Y291" s="19">
        <v>0</v>
      </c>
      <c r="Z291" s="19">
        <v>1080.0679541666671</v>
      </c>
      <c r="AA291" s="19">
        <v>758.3474799999999</v>
      </c>
      <c r="AB291" s="19">
        <v>1483.5644999999997</v>
      </c>
      <c r="AC291" s="19">
        <v>0</v>
      </c>
      <c r="AD291" s="19">
        <v>0</v>
      </c>
      <c r="AE291" s="19">
        <v>0</v>
      </c>
      <c r="AF291" s="19">
        <v>1080.0679541666671</v>
      </c>
      <c r="AG291" s="19">
        <v>758.3474799999999</v>
      </c>
      <c r="AH291" s="19">
        <v>1483.5644999999997</v>
      </c>
      <c r="AI291" s="19">
        <v>0</v>
      </c>
      <c r="AJ291" s="19">
        <v>0</v>
      </c>
      <c r="AK291" s="19">
        <v>0</v>
      </c>
      <c r="AL291" s="19">
        <v>1080.0679541666671</v>
      </c>
      <c r="AM291" s="19">
        <v>758.3474799999999</v>
      </c>
      <c r="AN291" s="19">
        <v>1483.5644999999997</v>
      </c>
      <c r="AO291" s="19">
        <v>0</v>
      </c>
      <c r="AP291" s="19">
        <v>0</v>
      </c>
      <c r="AQ291" s="19">
        <v>0</v>
      </c>
      <c r="AR291" s="19">
        <v>1080.0679541666671</v>
      </c>
      <c r="AS291" s="19">
        <v>758.3474799999999</v>
      </c>
      <c r="AT291" s="19">
        <v>1483.5644999999997</v>
      </c>
      <c r="AU291" s="19">
        <v>0</v>
      </c>
      <c r="AV291" s="19">
        <v>0</v>
      </c>
      <c r="AW291" s="19">
        <v>0</v>
      </c>
      <c r="AX291" s="19">
        <v>1080.0679541666671</v>
      </c>
      <c r="AY291" s="19">
        <v>758.3474799999999</v>
      </c>
      <c r="AZ291" s="19">
        <v>1483.5644999999997</v>
      </c>
      <c r="BA291" s="19">
        <v>0</v>
      </c>
      <c r="BB291" s="19">
        <v>0</v>
      </c>
      <c r="BC291" s="19">
        <v>0</v>
      </c>
      <c r="BD291" s="19">
        <v>1080.0679541666671</v>
      </c>
      <c r="BE291" s="19">
        <v>758.3474799999999</v>
      </c>
      <c r="BF291" s="19">
        <v>1483.5644999999997</v>
      </c>
      <c r="BG291" s="19">
        <v>0</v>
      </c>
      <c r="BH291" s="19">
        <v>0</v>
      </c>
      <c r="BI291" s="19">
        <v>0</v>
      </c>
      <c r="BJ291" s="19">
        <v>1080.0679541666671</v>
      </c>
      <c r="BK291" s="19">
        <v>758.3474799999999</v>
      </c>
      <c r="BL291" s="19">
        <v>1483.5644999999997</v>
      </c>
      <c r="BM291" s="19">
        <v>0</v>
      </c>
      <c r="BN291" s="19">
        <v>0</v>
      </c>
      <c r="BO291" s="19">
        <v>0</v>
      </c>
      <c r="BP291" s="19"/>
      <c r="BQ29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1" s="11">
        <f>Tabelle5897112140[[#This Row],[Mindestauslastung min]]*Tabelle5897112140[[#This Row],[installierte Leistung MW min]]</f>
        <v>149.28100000000001</v>
      </c>
      <c r="BU291" s="11">
        <f>Tabelle5897112140[[#This Row],[Mindestauslastung durch]]*Tabelle5897112140[[#This Row],[installierte Leistung MW durch]]</f>
        <v>161.90899999999999</v>
      </c>
      <c r="BV291" s="11">
        <f>Tabelle5897112140[[#This Row],[Mindestauslastung max]]*Tabelle5897112140[[#This Row],[installierte Leistung MW max]]</f>
        <v>174.53700000000001</v>
      </c>
      <c r="BW291" s="9">
        <v>0.05</v>
      </c>
      <c r="BX291" s="9">
        <v>0.05</v>
      </c>
      <c r="BY291" s="9">
        <v>0.05</v>
      </c>
      <c r="BZ291" s="9"/>
      <c r="CA291" s="9">
        <v>0.33354166666666663</v>
      </c>
      <c r="CB291" s="9">
        <v>0.254</v>
      </c>
      <c r="CC291" s="9">
        <v>0.42499999999999999</v>
      </c>
      <c r="CD291" s="9">
        <v>0.33354166666666663</v>
      </c>
      <c r="CE291" s="9">
        <v>0.254</v>
      </c>
      <c r="CF291" s="9">
        <v>0.42499999999999999</v>
      </c>
      <c r="CG291" s="9">
        <v>0.33354166666666663</v>
      </c>
      <c r="CH291" s="9">
        <v>0.254</v>
      </c>
      <c r="CI291" s="9">
        <v>0.42499999999999999</v>
      </c>
      <c r="CJ291" s="9">
        <v>0.33354166666666663</v>
      </c>
      <c r="CK291" s="9">
        <v>0.254</v>
      </c>
      <c r="CL291" s="9">
        <v>0.42499999999999999</v>
      </c>
      <c r="CM291" s="9">
        <v>0.33354166666666663</v>
      </c>
      <c r="CN291" s="9">
        <v>0.254</v>
      </c>
      <c r="CO291" s="9">
        <v>0.42499999999999999</v>
      </c>
      <c r="CP291" s="9">
        <v>0.33354166666666663</v>
      </c>
      <c r="CQ291" s="9">
        <v>0.254</v>
      </c>
      <c r="CR291" s="9">
        <v>0.42499999999999999</v>
      </c>
      <c r="CS291" s="9">
        <v>0.33354166666666663</v>
      </c>
      <c r="CT291" s="9">
        <v>0.254</v>
      </c>
      <c r="CU291" s="9">
        <v>0.42499999999999999</v>
      </c>
      <c r="CV291" s="9">
        <v>0.33354166666666663</v>
      </c>
      <c r="CW291" s="9">
        <v>0.254</v>
      </c>
      <c r="CX291" s="9">
        <v>0.42499999999999999</v>
      </c>
      <c r="CY291" s="9">
        <v>0.33354166666666663</v>
      </c>
      <c r="CZ291" s="9">
        <v>0.254</v>
      </c>
      <c r="DA291" s="9">
        <v>0.42499999999999999</v>
      </c>
      <c r="DB291" s="9">
        <f>MIN(Tabelle5897112140[[#This Row],[Durchschnittsauslastung durch Sommer WTT]:[Durchschnittsauslastung max Winter SFN]])</f>
        <v>0.254</v>
      </c>
      <c r="DC29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1" s="9">
        <f>MAX(Tabelle5897112140[[#This Row],[Durchschnittsauslastung durch Sommer WTT]:[Durchschnittsauslastung max Winter SFN]])</f>
        <v>0.42499999999999999</v>
      </c>
      <c r="DE291" s="40">
        <f>Tabelle5897112140[[#This Row],[Durchschnittsauslastung min]]*Tabelle5897112140[[#This Row],[installierte Leistung MW min]]</f>
        <v>758.34748000000002</v>
      </c>
      <c r="DF291" s="40">
        <f>Tabelle5897112140[[#This Row],[Durchschnittsauslastung durch]]*Tabelle5897112140[[#This Row],[installierte Leistung MW durch]]</f>
        <v>1080.0679541666664</v>
      </c>
      <c r="DG291" s="40">
        <f>Tabelle5897112140[[#This Row],[Durchschnittsauslastung max]]*Tabelle5897112140[[#This Row],[installierte Leistung MW max]]</f>
        <v>1483.5645</v>
      </c>
      <c r="DH291" s="46">
        <f>Tabelle5897112140[[#This Row],[Maximalauslastung min]]*Tabelle5897112140[[#This Row],[installierte Leistung MW min]]</f>
        <v>1910.7968000000001</v>
      </c>
      <c r="DI291" s="46">
        <f>Tabelle5897112140[[#This Row],[Maximalauslastung durch]]*Tabelle5897112140[[#This Row],[installierte Leistung MW durch]]</f>
        <v>2299.1077999999998</v>
      </c>
      <c r="DJ291" s="19">
        <f>Tabelle5897112140[[#This Row],[Maximalauslastung max]]*Tabelle5897112140[[#This Row],[installierte Leistung MW durch]]</f>
        <v>2525.7804000000001</v>
      </c>
      <c r="DK291" s="9">
        <v>0.64</v>
      </c>
      <c r="DL291" s="9">
        <v>0.71</v>
      </c>
      <c r="DM291" s="9">
        <v>0.78</v>
      </c>
      <c r="DN291" s="1">
        <v>3238.18</v>
      </c>
      <c r="DO291" s="1">
        <v>2985.62</v>
      </c>
      <c r="DP291" s="1">
        <v>3490.74</v>
      </c>
      <c r="DQ291" s="19"/>
      <c r="DR291" s="19"/>
      <c r="DW291" s="1">
        <v>0.25</v>
      </c>
      <c r="DX291" s="1">
        <v>0.2</v>
      </c>
      <c r="DY291" s="1">
        <v>0.3</v>
      </c>
      <c r="DZ291" s="1">
        <v>0.25</v>
      </c>
      <c r="EA291" s="1">
        <v>0.2</v>
      </c>
      <c r="EB291" s="1">
        <v>0.3</v>
      </c>
      <c r="EC291" s="1">
        <v>4.5</v>
      </c>
      <c r="ED291" s="1">
        <v>3</v>
      </c>
      <c r="EE291" s="1">
        <v>6</v>
      </c>
      <c r="EF291" s="1">
        <v>0.4</v>
      </c>
      <c r="EG291" s="1">
        <v>0.3</v>
      </c>
      <c r="EH291" s="1">
        <v>0.5</v>
      </c>
      <c r="EL291" s="1">
        <v>6570</v>
      </c>
      <c r="EM291" s="1">
        <v>4380</v>
      </c>
      <c r="EN291" s="1">
        <v>8760</v>
      </c>
      <c r="EO291" s="11"/>
      <c r="EP291" s="11"/>
      <c r="EQ291" s="11"/>
      <c r="ER291" s="1">
        <v>6570</v>
      </c>
      <c r="ES291" s="1">
        <v>4380</v>
      </c>
      <c r="ET291" s="1">
        <v>8760</v>
      </c>
      <c r="EU291" s="1">
        <v>63.838383838383841</v>
      </c>
      <c r="EV291" s="19">
        <v>57.474747474747488</v>
      </c>
      <c r="EW291" s="19">
        <v>70.202020202020208</v>
      </c>
      <c r="EX291" s="19"/>
      <c r="EY291" s="19"/>
      <c r="EZ291" s="19"/>
      <c r="FA291" s="8"/>
      <c r="FB291" s="8"/>
      <c r="FC291" s="8"/>
      <c r="FD291" s="8"/>
      <c r="FE291" s="8"/>
      <c r="FF291" s="8"/>
      <c r="FG291" s="8"/>
      <c r="FH291" s="8"/>
      <c r="FI291" s="8"/>
      <c r="FJ291" s="8">
        <v>1202.0202020202021</v>
      </c>
      <c r="FK291" s="8">
        <v>1081.8181818181818</v>
      </c>
      <c r="FL291" s="1">
        <v>1322.2222222222222</v>
      </c>
      <c r="FO291" s="1">
        <v>67</v>
      </c>
      <c r="FP291" s="1">
        <v>67</v>
      </c>
      <c r="FQ291" s="1">
        <v>67</v>
      </c>
      <c r="FR291" s="13" t="s">
        <v>806</v>
      </c>
      <c r="FS291" s="13" t="s">
        <v>806</v>
      </c>
      <c r="FT291" s="13" t="s">
        <v>806</v>
      </c>
      <c r="FU291" s="13"/>
      <c r="FV291" s="13" t="s">
        <v>806</v>
      </c>
      <c r="FW291" s="13" t="s">
        <v>806</v>
      </c>
      <c r="FX291" s="13" t="s">
        <v>806</v>
      </c>
      <c r="FY291" s="13" t="s">
        <v>806</v>
      </c>
      <c r="FZ291" s="13" t="s">
        <v>806</v>
      </c>
      <c r="GA291" s="13" t="s">
        <v>806</v>
      </c>
      <c r="GB291" s="13" t="s">
        <v>806</v>
      </c>
      <c r="GE291" s="13" t="s">
        <v>806</v>
      </c>
      <c r="GF291" s="13" t="s">
        <v>806</v>
      </c>
      <c r="GH291" s="13" t="s">
        <v>806</v>
      </c>
    </row>
    <row r="292" spans="1:190" ht="12.75" customHeight="1" x14ac:dyDescent="0.25">
      <c r="A292" s="1" t="s">
        <v>132</v>
      </c>
      <c r="B292" s="1" t="s">
        <v>653</v>
      </c>
      <c r="C292" s="1" t="s">
        <v>804</v>
      </c>
      <c r="D292" s="1" t="s">
        <v>691</v>
      </c>
      <c r="E292" s="1" t="s">
        <v>139</v>
      </c>
      <c r="F292" s="1">
        <v>0</v>
      </c>
      <c r="G292" s="1">
        <v>2025</v>
      </c>
      <c r="H292" s="1">
        <v>1</v>
      </c>
      <c r="I292" s="1">
        <v>0</v>
      </c>
      <c r="J292" s="1">
        <v>0</v>
      </c>
      <c r="K29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656.61793999999998</v>
      </c>
      <c r="L29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935.18078958333354</v>
      </c>
      <c r="M29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1284.5497499999999</v>
      </c>
      <c r="N292" s="19">
        <v>935.18078958333354</v>
      </c>
      <c r="O292" s="19">
        <v>656.61793999999998</v>
      </c>
      <c r="P292" s="19">
        <v>1284.5497499999999</v>
      </c>
      <c r="Q292" s="19">
        <v>0</v>
      </c>
      <c r="R292" s="19">
        <v>0</v>
      </c>
      <c r="S292" s="19">
        <v>0</v>
      </c>
      <c r="T292" s="19">
        <v>935.18078958333354</v>
      </c>
      <c r="U292" s="19">
        <v>656.61793999999998</v>
      </c>
      <c r="V292" s="19">
        <v>1284.5497499999999</v>
      </c>
      <c r="W292" s="19">
        <v>0</v>
      </c>
      <c r="X292" s="19">
        <v>0</v>
      </c>
      <c r="Y292" s="19">
        <v>0</v>
      </c>
      <c r="Z292" s="19">
        <v>935.18078958333354</v>
      </c>
      <c r="AA292" s="19">
        <v>656.61793999999998</v>
      </c>
      <c r="AB292" s="19">
        <v>1284.5497499999999</v>
      </c>
      <c r="AC292" s="19">
        <v>0</v>
      </c>
      <c r="AD292" s="19">
        <v>0</v>
      </c>
      <c r="AE292" s="19">
        <v>0</v>
      </c>
      <c r="AF292" s="19">
        <v>935.18078958333354</v>
      </c>
      <c r="AG292" s="19">
        <v>656.61793999999998</v>
      </c>
      <c r="AH292" s="19">
        <v>1284.5497499999999</v>
      </c>
      <c r="AI292" s="19">
        <v>0</v>
      </c>
      <c r="AJ292" s="19">
        <v>0</v>
      </c>
      <c r="AK292" s="19">
        <v>0</v>
      </c>
      <c r="AL292" s="19">
        <v>935.18078958333354</v>
      </c>
      <c r="AM292" s="19">
        <v>656.61793999999998</v>
      </c>
      <c r="AN292" s="19">
        <v>1284.5497499999999</v>
      </c>
      <c r="AO292" s="19">
        <v>0</v>
      </c>
      <c r="AP292" s="19">
        <v>0</v>
      </c>
      <c r="AQ292" s="19">
        <v>0</v>
      </c>
      <c r="AR292" s="19">
        <v>935.18078958333354</v>
      </c>
      <c r="AS292" s="19">
        <v>656.61793999999998</v>
      </c>
      <c r="AT292" s="19">
        <v>1284.5497499999999</v>
      </c>
      <c r="AU292" s="19">
        <v>0</v>
      </c>
      <c r="AV292" s="19">
        <v>0</v>
      </c>
      <c r="AW292" s="19">
        <v>0</v>
      </c>
      <c r="AX292" s="19">
        <v>935.18078958333354</v>
      </c>
      <c r="AY292" s="19">
        <v>656.61793999999998</v>
      </c>
      <c r="AZ292" s="19">
        <v>1284.5497499999999</v>
      </c>
      <c r="BA292" s="19">
        <v>0</v>
      </c>
      <c r="BB292" s="19">
        <v>0</v>
      </c>
      <c r="BC292" s="19">
        <v>0</v>
      </c>
      <c r="BD292" s="19">
        <v>935.18078958333354</v>
      </c>
      <c r="BE292" s="19">
        <v>656.61793999999998</v>
      </c>
      <c r="BF292" s="19">
        <v>1284.5497499999999</v>
      </c>
      <c r="BG292" s="19">
        <v>0</v>
      </c>
      <c r="BH292" s="19">
        <v>0</v>
      </c>
      <c r="BI292" s="19">
        <v>0</v>
      </c>
      <c r="BJ292" s="19">
        <v>935.18078958333354</v>
      </c>
      <c r="BK292" s="19">
        <v>656.61793999999998</v>
      </c>
      <c r="BL292" s="19">
        <v>1284.5497499999999</v>
      </c>
      <c r="BM292" s="19">
        <v>0</v>
      </c>
      <c r="BN292" s="19">
        <v>0</v>
      </c>
      <c r="BO292" s="19">
        <v>0</v>
      </c>
      <c r="BP292" s="19"/>
      <c r="BQ29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2" s="11">
        <f>Tabelle5897112140[[#This Row],[Mindestauslastung min]]*Tabelle5897112140[[#This Row],[installierte Leistung MW min]]</f>
        <v>129.25550000000001</v>
      </c>
      <c r="BU292" s="11">
        <f>Tabelle5897112140[[#This Row],[Mindestauslastung durch]]*Tabelle5897112140[[#This Row],[installierte Leistung MW durch]]</f>
        <v>140.18950000000001</v>
      </c>
      <c r="BV292" s="11">
        <f>Tabelle5897112140[[#This Row],[Mindestauslastung max]]*Tabelle5897112140[[#This Row],[installierte Leistung MW max]]</f>
        <v>151.12350000000001</v>
      </c>
      <c r="BW292" s="9">
        <v>0.05</v>
      </c>
      <c r="BX292" s="9">
        <v>0.05</v>
      </c>
      <c r="BY292" s="9">
        <v>0.05</v>
      </c>
      <c r="BZ292" s="9"/>
      <c r="CA292" s="9">
        <v>0.33354166666666663</v>
      </c>
      <c r="CB292" s="9">
        <v>0.254</v>
      </c>
      <c r="CC292" s="9">
        <v>0.42499999999999999</v>
      </c>
      <c r="CD292" s="9">
        <v>0.33354166666666663</v>
      </c>
      <c r="CE292" s="9">
        <v>0.254</v>
      </c>
      <c r="CF292" s="9">
        <v>0.42499999999999999</v>
      </c>
      <c r="CG292" s="9">
        <v>0.33354166666666663</v>
      </c>
      <c r="CH292" s="9">
        <v>0.254</v>
      </c>
      <c r="CI292" s="9">
        <v>0.42499999999999999</v>
      </c>
      <c r="CJ292" s="9">
        <v>0.33354166666666663</v>
      </c>
      <c r="CK292" s="9">
        <v>0.254</v>
      </c>
      <c r="CL292" s="9">
        <v>0.42499999999999999</v>
      </c>
      <c r="CM292" s="9">
        <v>0.33354166666666663</v>
      </c>
      <c r="CN292" s="9">
        <v>0.254</v>
      </c>
      <c r="CO292" s="9">
        <v>0.42499999999999999</v>
      </c>
      <c r="CP292" s="9">
        <v>0.33354166666666663</v>
      </c>
      <c r="CQ292" s="9">
        <v>0.254</v>
      </c>
      <c r="CR292" s="9">
        <v>0.42499999999999999</v>
      </c>
      <c r="CS292" s="9">
        <v>0.33354166666666663</v>
      </c>
      <c r="CT292" s="9">
        <v>0.254</v>
      </c>
      <c r="CU292" s="9">
        <v>0.42499999999999999</v>
      </c>
      <c r="CV292" s="9">
        <v>0.33354166666666663</v>
      </c>
      <c r="CW292" s="9">
        <v>0.254</v>
      </c>
      <c r="CX292" s="9">
        <v>0.42499999999999999</v>
      </c>
      <c r="CY292" s="9">
        <v>0.33354166666666663</v>
      </c>
      <c r="CZ292" s="9">
        <v>0.254</v>
      </c>
      <c r="DA292" s="9">
        <v>0.42499999999999999</v>
      </c>
      <c r="DB292" s="9">
        <f>MIN(Tabelle5897112140[[#This Row],[Durchschnittsauslastung durch Sommer WTT]:[Durchschnittsauslastung max Winter SFN]])</f>
        <v>0.254</v>
      </c>
      <c r="DC29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2" s="9">
        <f>MAX(Tabelle5897112140[[#This Row],[Durchschnittsauslastung durch Sommer WTT]:[Durchschnittsauslastung max Winter SFN]])</f>
        <v>0.42499999999999999</v>
      </c>
      <c r="DE292" s="40">
        <f>Tabelle5897112140[[#This Row],[Durchschnittsauslastung min]]*Tabelle5897112140[[#This Row],[installierte Leistung MW min]]</f>
        <v>656.61794000000009</v>
      </c>
      <c r="DF292" s="40">
        <f>Tabelle5897112140[[#This Row],[Durchschnittsauslastung durch]]*Tabelle5897112140[[#This Row],[installierte Leistung MW durch]]</f>
        <v>935.18078958333319</v>
      </c>
      <c r="DG292" s="40">
        <f>Tabelle5897112140[[#This Row],[Durchschnittsauslastung max]]*Tabelle5897112140[[#This Row],[installierte Leistung MW max]]</f>
        <v>1284.5497499999999</v>
      </c>
      <c r="DH292" s="46">
        <f>Tabelle5897112140[[#This Row],[Maximalauslastung min]]*Tabelle5897112140[[#This Row],[installierte Leistung MW min]]</f>
        <v>1654.4704000000002</v>
      </c>
      <c r="DI292" s="46">
        <f>Tabelle5897112140[[#This Row],[Maximalauslastung durch]]*Tabelle5897112140[[#This Row],[installierte Leistung MW durch]]</f>
        <v>1990.6908999999998</v>
      </c>
      <c r="DJ292" s="19">
        <f>Tabelle5897112140[[#This Row],[Maximalauslastung max]]*Tabelle5897112140[[#This Row],[installierte Leistung MW durch]]</f>
        <v>2186.9562000000001</v>
      </c>
      <c r="DK292" s="9">
        <v>0.64</v>
      </c>
      <c r="DL292" s="9">
        <v>0.71</v>
      </c>
      <c r="DM292" s="9">
        <v>0.78</v>
      </c>
      <c r="DN292" s="1">
        <v>2803.79</v>
      </c>
      <c r="DO292" s="1">
        <v>2585.11</v>
      </c>
      <c r="DP292" s="1">
        <v>3022.47</v>
      </c>
      <c r="DQ292" s="19"/>
      <c r="DR292" s="19"/>
      <c r="DW292" s="1">
        <v>0.25</v>
      </c>
      <c r="DX292" s="1">
        <v>0.2</v>
      </c>
      <c r="DY292" s="1">
        <v>0.3</v>
      </c>
      <c r="DZ292" s="1">
        <v>0.25</v>
      </c>
      <c r="EA292" s="1">
        <v>0.2</v>
      </c>
      <c r="EB292" s="1">
        <v>0.3</v>
      </c>
      <c r="EC292" s="1">
        <v>4.5</v>
      </c>
      <c r="ED292" s="1">
        <v>3</v>
      </c>
      <c r="EE292" s="1">
        <v>6</v>
      </c>
      <c r="EF292" s="1">
        <v>0.4</v>
      </c>
      <c r="EG292" s="1">
        <v>0.3</v>
      </c>
      <c r="EH292" s="1">
        <v>0.5</v>
      </c>
      <c r="EL292" s="1">
        <v>6570</v>
      </c>
      <c r="EM292" s="1">
        <v>4380</v>
      </c>
      <c r="EN292" s="1">
        <v>8760</v>
      </c>
      <c r="EO292" s="11"/>
      <c r="EP292" s="11"/>
      <c r="EQ292" s="11"/>
      <c r="ER292" s="1">
        <v>6570</v>
      </c>
      <c r="ES292" s="1">
        <v>4380</v>
      </c>
      <c r="ET292" s="1">
        <v>8760</v>
      </c>
      <c r="EU292" s="1">
        <v>63.838383838383841</v>
      </c>
      <c r="EV292" s="19">
        <v>57.474747474747488</v>
      </c>
      <c r="EW292" s="19">
        <v>70.202020202020208</v>
      </c>
      <c r="EX292" s="19"/>
      <c r="EY292" s="19"/>
      <c r="EZ292" s="19"/>
      <c r="FA292" s="8"/>
      <c r="FB292" s="8"/>
      <c r="FC292" s="8"/>
      <c r="FD292" s="8"/>
      <c r="FE292" s="8"/>
      <c r="FF292" s="8"/>
      <c r="FG292" s="8"/>
      <c r="FH292" s="8"/>
      <c r="FI292" s="8"/>
      <c r="FJ292" s="8">
        <v>1202.0202020202021</v>
      </c>
      <c r="FK292" s="8">
        <v>1081.8181818181818</v>
      </c>
      <c r="FL292" s="1">
        <v>1322.2222222222222</v>
      </c>
      <c r="FO292" s="1">
        <v>67</v>
      </c>
      <c r="FP292" s="1">
        <v>67</v>
      </c>
      <c r="FQ292" s="1">
        <v>67</v>
      </c>
      <c r="FR292" s="13" t="s">
        <v>806</v>
      </c>
      <c r="FS292" s="13" t="s">
        <v>806</v>
      </c>
      <c r="FT292" s="13" t="s">
        <v>806</v>
      </c>
      <c r="FU292" s="13"/>
      <c r="FV292" s="13" t="s">
        <v>806</v>
      </c>
      <c r="FW292" s="13" t="s">
        <v>806</v>
      </c>
      <c r="FX292" s="13" t="s">
        <v>806</v>
      </c>
      <c r="FY292" s="13" t="s">
        <v>806</v>
      </c>
      <c r="FZ292" s="13" t="s">
        <v>806</v>
      </c>
      <c r="GA292" s="13" t="s">
        <v>806</v>
      </c>
      <c r="GB292" s="13" t="s">
        <v>806</v>
      </c>
      <c r="GE292" s="13" t="s">
        <v>806</v>
      </c>
      <c r="GF292" s="13" t="s">
        <v>806</v>
      </c>
      <c r="GH292" s="13" t="s">
        <v>806</v>
      </c>
    </row>
    <row r="293" spans="1:190" ht="12.75" customHeight="1" x14ac:dyDescent="0.25">
      <c r="A293" s="1" t="s">
        <v>132</v>
      </c>
      <c r="B293" s="1" t="s">
        <v>653</v>
      </c>
      <c r="C293" s="1" t="s">
        <v>804</v>
      </c>
      <c r="D293" s="1" t="s">
        <v>691</v>
      </c>
      <c r="E293" s="1" t="s">
        <v>139</v>
      </c>
      <c r="F293" s="1">
        <v>0</v>
      </c>
      <c r="G293" s="1">
        <v>2030</v>
      </c>
      <c r="H293" s="1">
        <v>1</v>
      </c>
      <c r="I293" s="1">
        <v>0</v>
      </c>
      <c r="J293" s="1">
        <v>0</v>
      </c>
      <c r="K29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564.13653999999997</v>
      </c>
      <c r="L29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803.46518541666694</v>
      </c>
      <c r="M29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1103.62725</v>
      </c>
      <c r="N293" s="19">
        <v>803.46518541666694</v>
      </c>
      <c r="O293" s="19">
        <v>564.13653999999997</v>
      </c>
      <c r="P293" s="19">
        <v>1103.62725</v>
      </c>
      <c r="Q293" s="19">
        <v>0</v>
      </c>
      <c r="R293" s="19">
        <v>0</v>
      </c>
      <c r="S293" s="19">
        <v>0</v>
      </c>
      <c r="T293" s="19">
        <v>803.46518541666694</v>
      </c>
      <c r="U293" s="19">
        <v>564.13653999999997</v>
      </c>
      <c r="V293" s="19">
        <v>1103.62725</v>
      </c>
      <c r="W293" s="19">
        <v>0</v>
      </c>
      <c r="X293" s="19">
        <v>0</v>
      </c>
      <c r="Y293" s="19">
        <v>0</v>
      </c>
      <c r="Z293" s="19">
        <v>803.46518541666694</v>
      </c>
      <c r="AA293" s="19">
        <v>564.13653999999997</v>
      </c>
      <c r="AB293" s="19">
        <v>1103.62725</v>
      </c>
      <c r="AC293" s="19">
        <v>0</v>
      </c>
      <c r="AD293" s="19">
        <v>0</v>
      </c>
      <c r="AE293" s="19">
        <v>0</v>
      </c>
      <c r="AF293" s="19">
        <v>803.46518541666694</v>
      </c>
      <c r="AG293" s="19">
        <v>564.13653999999997</v>
      </c>
      <c r="AH293" s="19">
        <v>1103.62725</v>
      </c>
      <c r="AI293" s="19">
        <v>0</v>
      </c>
      <c r="AJ293" s="19">
        <v>0</v>
      </c>
      <c r="AK293" s="19">
        <v>0</v>
      </c>
      <c r="AL293" s="19">
        <v>803.46518541666694</v>
      </c>
      <c r="AM293" s="19">
        <v>564.13653999999997</v>
      </c>
      <c r="AN293" s="19">
        <v>1103.62725</v>
      </c>
      <c r="AO293" s="19">
        <v>0</v>
      </c>
      <c r="AP293" s="19">
        <v>0</v>
      </c>
      <c r="AQ293" s="19">
        <v>0</v>
      </c>
      <c r="AR293" s="19">
        <v>803.46518541666694</v>
      </c>
      <c r="AS293" s="19">
        <v>564.13653999999997</v>
      </c>
      <c r="AT293" s="19">
        <v>1103.62725</v>
      </c>
      <c r="AU293" s="19">
        <v>0</v>
      </c>
      <c r="AV293" s="19">
        <v>0</v>
      </c>
      <c r="AW293" s="19">
        <v>0</v>
      </c>
      <c r="AX293" s="19">
        <v>803.46518541666694</v>
      </c>
      <c r="AY293" s="19">
        <v>564.13653999999997</v>
      </c>
      <c r="AZ293" s="19">
        <v>1103.62725</v>
      </c>
      <c r="BA293" s="19">
        <v>0</v>
      </c>
      <c r="BB293" s="19">
        <v>0</v>
      </c>
      <c r="BC293" s="19">
        <v>0</v>
      </c>
      <c r="BD293" s="19">
        <v>803.46518541666694</v>
      </c>
      <c r="BE293" s="19">
        <v>564.13653999999997</v>
      </c>
      <c r="BF293" s="19">
        <v>1103.62725</v>
      </c>
      <c r="BG293" s="19">
        <v>0</v>
      </c>
      <c r="BH293" s="19">
        <v>0</v>
      </c>
      <c r="BI293" s="19">
        <v>0</v>
      </c>
      <c r="BJ293" s="19">
        <v>803.46518541666694</v>
      </c>
      <c r="BK293" s="19">
        <v>564.13653999999997</v>
      </c>
      <c r="BL293" s="19">
        <v>1103.62725</v>
      </c>
      <c r="BM293" s="19">
        <v>0</v>
      </c>
      <c r="BN293" s="19">
        <v>0</v>
      </c>
      <c r="BO293" s="19">
        <v>0</v>
      </c>
      <c r="BP293" s="19"/>
      <c r="BQ29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3" s="11">
        <f>Tabelle5897112140[[#This Row],[Mindestauslastung min]]*Tabelle5897112140[[#This Row],[installierte Leistung MW min]]</f>
        <v>111.05050000000001</v>
      </c>
      <c r="BU293" s="11">
        <f>Tabelle5897112140[[#This Row],[Mindestauslastung durch]]*Tabelle5897112140[[#This Row],[installierte Leistung MW durch]]</f>
        <v>120.44450000000001</v>
      </c>
      <c r="BV293" s="11">
        <f>Tabelle5897112140[[#This Row],[Mindestauslastung max]]*Tabelle5897112140[[#This Row],[installierte Leistung MW max]]</f>
        <v>129.83850000000001</v>
      </c>
      <c r="BW293" s="9">
        <v>0.05</v>
      </c>
      <c r="BX293" s="9">
        <v>0.05</v>
      </c>
      <c r="BY293" s="9">
        <v>0.05</v>
      </c>
      <c r="BZ293" s="9"/>
      <c r="CA293" s="9">
        <v>0.33354166666666663</v>
      </c>
      <c r="CB293" s="9">
        <v>0.254</v>
      </c>
      <c r="CC293" s="9">
        <v>0.42499999999999999</v>
      </c>
      <c r="CD293" s="9">
        <v>0.33354166666666663</v>
      </c>
      <c r="CE293" s="9">
        <v>0.254</v>
      </c>
      <c r="CF293" s="9">
        <v>0.42499999999999999</v>
      </c>
      <c r="CG293" s="9">
        <v>0.33354166666666663</v>
      </c>
      <c r="CH293" s="9">
        <v>0.254</v>
      </c>
      <c r="CI293" s="9">
        <v>0.42499999999999999</v>
      </c>
      <c r="CJ293" s="9">
        <v>0.33354166666666663</v>
      </c>
      <c r="CK293" s="9">
        <v>0.254</v>
      </c>
      <c r="CL293" s="9">
        <v>0.42499999999999999</v>
      </c>
      <c r="CM293" s="9">
        <v>0.33354166666666663</v>
      </c>
      <c r="CN293" s="9">
        <v>0.254</v>
      </c>
      <c r="CO293" s="9">
        <v>0.42499999999999999</v>
      </c>
      <c r="CP293" s="9">
        <v>0.33354166666666663</v>
      </c>
      <c r="CQ293" s="9">
        <v>0.254</v>
      </c>
      <c r="CR293" s="9">
        <v>0.42499999999999999</v>
      </c>
      <c r="CS293" s="9">
        <v>0.33354166666666663</v>
      </c>
      <c r="CT293" s="9">
        <v>0.254</v>
      </c>
      <c r="CU293" s="9">
        <v>0.42499999999999999</v>
      </c>
      <c r="CV293" s="9">
        <v>0.33354166666666663</v>
      </c>
      <c r="CW293" s="9">
        <v>0.254</v>
      </c>
      <c r="CX293" s="9">
        <v>0.42499999999999999</v>
      </c>
      <c r="CY293" s="9">
        <v>0.33354166666666663</v>
      </c>
      <c r="CZ293" s="9">
        <v>0.254</v>
      </c>
      <c r="DA293" s="9">
        <v>0.42499999999999999</v>
      </c>
      <c r="DB293" s="9">
        <f>MIN(Tabelle5897112140[[#This Row],[Durchschnittsauslastung durch Sommer WTT]:[Durchschnittsauslastung max Winter SFN]])</f>
        <v>0.254</v>
      </c>
      <c r="DC29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3" s="9">
        <f>MAX(Tabelle5897112140[[#This Row],[Durchschnittsauslastung durch Sommer WTT]:[Durchschnittsauslastung max Winter SFN]])</f>
        <v>0.42499999999999999</v>
      </c>
      <c r="DE293" s="40">
        <f>Tabelle5897112140[[#This Row],[Durchschnittsauslastung min]]*Tabelle5897112140[[#This Row],[installierte Leistung MW min]]</f>
        <v>564.13654000000008</v>
      </c>
      <c r="DF293" s="40">
        <f>Tabelle5897112140[[#This Row],[Durchschnittsauslastung durch]]*Tabelle5897112140[[#This Row],[installierte Leistung MW durch]]</f>
        <v>803.46518541666649</v>
      </c>
      <c r="DG293" s="40">
        <f>Tabelle5897112140[[#This Row],[Durchschnittsauslastung max]]*Tabelle5897112140[[#This Row],[installierte Leistung MW max]]</f>
        <v>1103.62725</v>
      </c>
      <c r="DH293" s="46">
        <f>Tabelle5897112140[[#This Row],[Maximalauslastung min]]*Tabelle5897112140[[#This Row],[installierte Leistung MW min]]</f>
        <v>1421.4464000000003</v>
      </c>
      <c r="DI293" s="46">
        <f>Tabelle5897112140[[#This Row],[Maximalauslastung durch]]*Tabelle5897112140[[#This Row],[installierte Leistung MW durch]]</f>
        <v>1710.3118999999999</v>
      </c>
      <c r="DJ293" s="19">
        <f>Tabelle5897112140[[#This Row],[Maximalauslastung max]]*Tabelle5897112140[[#This Row],[installierte Leistung MW durch]]</f>
        <v>1878.9341999999999</v>
      </c>
      <c r="DK293" s="9">
        <v>0.64</v>
      </c>
      <c r="DL293" s="9">
        <v>0.71</v>
      </c>
      <c r="DM293" s="9">
        <v>0.78</v>
      </c>
      <c r="DN293" s="1">
        <v>2408.89</v>
      </c>
      <c r="DO293" s="1">
        <v>2221.0100000000002</v>
      </c>
      <c r="DP293" s="1">
        <v>2596.77</v>
      </c>
      <c r="DQ293" s="19"/>
      <c r="DR293" s="19"/>
      <c r="DW293" s="1">
        <v>0.25</v>
      </c>
      <c r="DX293" s="1">
        <v>0.2</v>
      </c>
      <c r="DY293" s="1">
        <v>0.3</v>
      </c>
      <c r="DZ293" s="1">
        <v>0.25</v>
      </c>
      <c r="EA293" s="1">
        <v>0.2</v>
      </c>
      <c r="EB293" s="1">
        <v>0.3</v>
      </c>
      <c r="EC293" s="1">
        <v>4.5</v>
      </c>
      <c r="ED293" s="1">
        <v>3</v>
      </c>
      <c r="EE293" s="1">
        <v>6</v>
      </c>
      <c r="EF293" s="1">
        <v>0.4</v>
      </c>
      <c r="EG293" s="1">
        <v>0.3</v>
      </c>
      <c r="EH293" s="1">
        <v>0.5</v>
      </c>
      <c r="EL293" s="1">
        <v>6570</v>
      </c>
      <c r="EM293" s="1">
        <v>4380</v>
      </c>
      <c r="EN293" s="1">
        <v>8760</v>
      </c>
      <c r="EO293" s="11"/>
      <c r="EP293" s="11"/>
      <c r="EQ293" s="11"/>
      <c r="ER293" s="1">
        <v>6570</v>
      </c>
      <c r="ES293" s="1">
        <v>4380</v>
      </c>
      <c r="ET293" s="1">
        <v>8760</v>
      </c>
      <c r="EU293" s="1">
        <v>63.838383838383841</v>
      </c>
      <c r="EV293" s="19">
        <v>57.474747474747488</v>
      </c>
      <c r="EW293" s="19">
        <v>70.202020202020208</v>
      </c>
      <c r="EX293" s="19"/>
      <c r="EY293" s="19"/>
      <c r="EZ293" s="19"/>
      <c r="FA293" s="8"/>
      <c r="FB293" s="8"/>
      <c r="FC293" s="8"/>
      <c r="FD293" s="8"/>
      <c r="FE293" s="8"/>
      <c r="FF293" s="8"/>
      <c r="FG293" s="8"/>
      <c r="FH293" s="8"/>
      <c r="FI293" s="8"/>
      <c r="FJ293" s="8">
        <v>1202.0202020202021</v>
      </c>
      <c r="FK293" s="8">
        <v>1081.8181818181818</v>
      </c>
      <c r="FL293" s="1">
        <v>1322.2222222222222</v>
      </c>
      <c r="FO293" s="1">
        <v>67</v>
      </c>
      <c r="FP293" s="1">
        <v>67</v>
      </c>
      <c r="FQ293" s="1">
        <v>67</v>
      </c>
      <c r="FR293" s="13" t="s">
        <v>806</v>
      </c>
      <c r="FS293" s="13" t="s">
        <v>806</v>
      </c>
      <c r="FT293" s="13" t="s">
        <v>806</v>
      </c>
      <c r="FU293" s="13"/>
      <c r="FV293" s="13" t="s">
        <v>806</v>
      </c>
      <c r="FW293" s="13" t="s">
        <v>806</v>
      </c>
      <c r="FX293" s="13" t="s">
        <v>806</v>
      </c>
      <c r="FY293" s="13" t="s">
        <v>806</v>
      </c>
      <c r="FZ293" s="13" t="s">
        <v>806</v>
      </c>
      <c r="GA293" s="13" t="s">
        <v>806</v>
      </c>
      <c r="GB293" s="13" t="s">
        <v>806</v>
      </c>
      <c r="GE293" s="13" t="s">
        <v>806</v>
      </c>
      <c r="GF293" s="13" t="s">
        <v>806</v>
      </c>
      <c r="GH293" s="13" t="s">
        <v>806</v>
      </c>
    </row>
    <row r="294" spans="1:190" ht="12.75" customHeight="1" x14ac:dyDescent="0.25">
      <c r="A294" s="1" t="s">
        <v>132</v>
      </c>
      <c r="B294" s="1" t="s">
        <v>653</v>
      </c>
      <c r="C294" s="1" t="s">
        <v>804</v>
      </c>
      <c r="D294" s="1" t="s">
        <v>691</v>
      </c>
      <c r="E294" s="1" t="s">
        <v>139</v>
      </c>
      <c r="F294" s="1">
        <v>0</v>
      </c>
      <c r="G294" s="1">
        <v>2035</v>
      </c>
      <c r="H294" s="1">
        <v>1</v>
      </c>
      <c r="I294" s="1">
        <v>0</v>
      </c>
      <c r="J294" s="1">
        <v>0</v>
      </c>
      <c r="K29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536.39211999999998</v>
      </c>
      <c r="L29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763.95050416666697</v>
      </c>
      <c r="M29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1049.3504999999998</v>
      </c>
      <c r="N294" s="19">
        <v>763.95050416666686</v>
      </c>
      <c r="O294" s="19">
        <v>536.39211999999998</v>
      </c>
      <c r="P294" s="19">
        <v>1049.3504999999998</v>
      </c>
      <c r="Q294" s="19">
        <v>0</v>
      </c>
      <c r="R294" s="19">
        <v>0</v>
      </c>
      <c r="S294" s="19">
        <v>0</v>
      </c>
      <c r="T294" s="19">
        <v>763.95050416666686</v>
      </c>
      <c r="U294" s="19">
        <v>536.39211999999998</v>
      </c>
      <c r="V294" s="19">
        <v>1049.3504999999998</v>
      </c>
      <c r="W294" s="19">
        <v>0</v>
      </c>
      <c r="X294" s="19">
        <v>0</v>
      </c>
      <c r="Y294" s="19">
        <v>0</v>
      </c>
      <c r="Z294" s="19">
        <v>763.95050416666686</v>
      </c>
      <c r="AA294" s="19">
        <v>536.39211999999998</v>
      </c>
      <c r="AB294" s="19">
        <v>1049.3504999999998</v>
      </c>
      <c r="AC294" s="19">
        <v>0</v>
      </c>
      <c r="AD294" s="19">
        <v>0</v>
      </c>
      <c r="AE294" s="19">
        <v>0</v>
      </c>
      <c r="AF294" s="19">
        <v>763.95050416666686</v>
      </c>
      <c r="AG294" s="19">
        <v>536.39211999999998</v>
      </c>
      <c r="AH294" s="19">
        <v>1049.3504999999998</v>
      </c>
      <c r="AI294" s="19">
        <v>0</v>
      </c>
      <c r="AJ294" s="19">
        <v>0</v>
      </c>
      <c r="AK294" s="19">
        <v>0</v>
      </c>
      <c r="AL294" s="19">
        <v>763.95050416666686</v>
      </c>
      <c r="AM294" s="19">
        <v>536.39211999999998</v>
      </c>
      <c r="AN294" s="19">
        <v>1049.3504999999998</v>
      </c>
      <c r="AO294" s="19">
        <v>0</v>
      </c>
      <c r="AP294" s="19">
        <v>0</v>
      </c>
      <c r="AQ294" s="19">
        <v>0</v>
      </c>
      <c r="AR294" s="19">
        <v>763.95050416666686</v>
      </c>
      <c r="AS294" s="19">
        <v>536.39211999999998</v>
      </c>
      <c r="AT294" s="19">
        <v>1049.3504999999998</v>
      </c>
      <c r="AU294" s="19">
        <v>0</v>
      </c>
      <c r="AV294" s="19">
        <v>0</v>
      </c>
      <c r="AW294" s="19">
        <v>0</v>
      </c>
      <c r="AX294" s="19">
        <v>763.95050416666686</v>
      </c>
      <c r="AY294" s="19">
        <v>536.39211999999998</v>
      </c>
      <c r="AZ294" s="19">
        <v>1049.3504999999998</v>
      </c>
      <c r="BA294" s="19">
        <v>0</v>
      </c>
      <c r="BB294" s="19">
        <v>0</v>
      </c>
      <c r="BC294" s="19">
        <v>0</v>
      </c>
      <c r="BD294" s="19">
        <v>763.95050416666686</v>
      </c>
      <c r="BE294" s="19">
        <v>536.39211999999998</v>
      </c>
      <c r="BF294" s="19">
        <v>1049.3504999999998</v>
      </c>
      <c r="BG294" s="19">
        <v>0</v>
      </c>
      <c r="BH294" s="19">
        <v>0</v>
      </c>
      <c r="BI294" s="19">
        <v>0</v>
      </c>
      <c r="BJ294" s="19">
        <v>763.95050416666686</v>
      </c>
      <c r="BK294" s="19">
        <v>536.39211999999998</v>
      </c>
      <c r="BL294" s="19">
        <v>1049.3504999999998</v>
      </c>
      <c r="BM294" s="19">
        <v>0</v>
      </c>
      <c r="BN294" s="19">
        <v>0</v>
      </c>
      <c r="BO294" s="19">
        <v>0</v>
      </c>
      <c r="BP294" s="19"/>
      <c r="BQ29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4" s="11">
        <f>Tabelle5897112140[[#This Row],[Mindestauslastung min]]*Tabelle5897112140[[#This Row],[installierte Leistung MW min]]</f>
        <v>105.58900000000001</v>
      </c>
      <c r="BU294" s="11">
        <f>Tabelle5897112140[[#This Row],[Mindestauslastung durch]]*Tabelle5897112140[[#This Row],[installierte Leistung MW durch]]</f>
        <v>114.52100000000002</v>
      </c>
      <c r="BV294" s="11">
        <f>Tabelle5897112140[[#This Row],[Mindestauslastung max]]*Tabelle5897112140[[#This Row],[installierte Leistung MW max]]</f>
        <v>123.453</v>
      </c>
      <c r="BW294" s="9">
        <v>0.05</v>
      </c>
      <c r="BX294" s="9">
        <v>0.05</v>
      </c>
      <c r="BY294" s="9">
        <v>0.05</v>
      </c>
      <c r="BZ294" s="9"/>
      <c r="CA294" s="9">
        <v>0.33354166666666663</v>
      </c>
      <c r="CB294" s="9">
        <v>0.254</v>
      </c>
      <c r="CC294" s="9">
        <v>0.42499999999999999</v>
      </c>
      <c r="CD294" s="9">
        <v>0.33354166666666663</v>
      </c>
      <c r="CE294" s="9">
        <v>0.254</v>
      </c>
      <c r="CF294" s="9">
        <v>0.42499999999999999</v>
      </c>
      <c r="CG294" s="9">
        <v>0.33354166666666663</v>
      </c>
      <c r="CH294" s="9">
        <v>0.254</v>
      </c>
      <c r="CI294" s="9">
        <v>0.42499999999999999</v>
      </c>
      <c r="CJ294" s="9">
        <v>0.33354166666666663</v>
      </c>
      <c r="CK294" s="9">
        <v>0.254</v>
      </c>
      <c r="CL294" s="9">
        <v>0.42499999999999999</v>
      </c>
      <c r="CM294" s="9">
        <v>0.33354166666666663</v>
      </c>
      <c r="CN294" s="9">
        <v>0.254</v>
      </c>
      <c r="CO294" s="9">
        <v>0.42499999999999999</v>
      </c>
      <c r="CP294" s="9">
        <v>0.33354166666666663</v>
      </c>
      <c r="CQ294" s="9">
        <v>0.254</v>
      </c>
      <c r="CR294" s="9">
        <v>0.42499999999999999</v>
      </c>
      <c r="CS294" s="9">
        <v>0.33354166666666663</v>
      </c>
      <c r="CT294" s="9">
        <v>0.254</v>
      </c>
      <c r="CU294" s="9">
        <v>0.42499999999999999</v>
      </c>
      <c r="CV294" s="9">
        <v>0.33354166666666663</v>
      </c>
      <c r="CW294" s="9">
        <v>0.254</v>
      </c>
      <c r="CX294" s="9">
        <v>0.42499999999999999</v>
      </c>
      <c r="CY294" s="9">
        <v>0.33354166666666663</v>
      </c>
      <c r="CZ294" s="9">
        <v>0.254</v>
      </c>
      <c r="DA294" s="9">
        <v>0.42499999999999999</v>
      </c>
      <c r="DB294" s="9">
        <f>MIN(Tabelle5897112140[[#This Row],[Durchschnittsauslastung durch Sommer WTT]:[Durchschnittsauslastung max Winter SFN]])</f>
        <v>0.254</v>
      </c>
      <c r="DC29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4" s="9">
        <f>MAX(Tabelle5897112140[[#This Row],[Durchschnittsauslastung durch Sommer WTT]:[Durchschnittsauslastung max Winter SFN]])</f>
        <v>0.42499999999999999</v>
      </c>
      <c r="DE294" s="40">
        <f>Tabelle5897112140[[#This Row],[Durchschnittsauslastung min]]*Tabelle5897112140[[#This Row],[installierte Leistung MW min]]</f>
        <v>536.39212000000009</v>
      </c>
      <c r="DF294" s="40">
        <f>Tabelle5897112140[[#This Row],[Durchschnittsauslastung durch]]*Tabelle5897112140[[#This Row],[installierte Leistung MW durch]]</f>
        <v>763.95050416666663</v>
      </c>
      <c r="DG294" s="40">
        <f>Tabelle5897112140[[#This Row],[Durchschnittsauslastung max]]*Tabelle5897112140[[#This Row],[installierte Leistung MW max]]</f>
        <v>1049.3505</v>
      </c>
      <c r="DH294" s="46">
        <f>Tabelle5897112140[[#This Row],[Maximalauslastung min]]*Tabelle5897112140[[#This Row],[installierte Leistung MW min]]</f>
        <v>1351.5392000000002</v>
      </c>
      <c r="DI294" s="46">
        <f>Tabelle5897112140[[#This Row],[Maximalauslastung durch]]*Tabelle5897112140[[#This Row],[installierte Leistung MW durch]]</f>
        <v>1626.1982</v>
      </c>
      <c r="DJ294" s="19">
        <f>Tabelle5897112140[[#This Row],[Maximalauslastung max]]*Tabelle5897112140[[#This Row],[installierte Leistung MW durch]]</f>
        <v>1786.5276000000001</v>
      </c>
      <c r="DK294" s="9">
        <v>0.64</v>
      </c>
      <c r="DL294" s="9">
        <v>0.71</v>
      </c>
      <c r="DM294" s="9">
        <v>0.78</v>
      </c>
      <c r="DN294" s="1">
        <v>2290.42</v>
      </c>
      <c r="DO294" s="1">
        <v>2111.7800000000002</v>
      </c>
      <c r="DP294" s="1">
        <v>2469.06</v>
      </c>
      <c r="DQ294" s="19"/>
      <c r="DR294" s="19"/>
      <c r="DW294" s="1">
        <v>0.25</v>
      </c>
      <c r="DX294" s="1">
        <v>0.2</v>
      </c>
      <c r="DY294" s="1">
        <v>0.3</v>
      </c>
      <c r="DZ294" s="1">
        <v>0.25</v>
      </c>
      <c r="EA294" s="1">
        <v>0.2</v>
      </c>
      <c r="EB294" s="1">
        <v>0.3</v>
      </c>
      <c r="EC294" s="1">
        <v>4.5</v>
      </c>
      <c r="ED294" s="1">
        <v>3</v>
      </c>
      <c r="EE294" s="1">
        <v>6</v>
      </c>
      <c r="EF294" s="1">
        <v>0.4</v>
      </c>
      <c r="EG294" s="1">
        <v>0.3</v>
      </c>
      <c r="EH294" s="1">
        <v>0.5</v>
      </c>
      <c r="EL294" s="1">
        <v>6570</v>
      </c>
      <c r="EM294" s="1">
        <v>4380</v>
      </c>
      <c r="EN294" s="1">
        <v>8760</v>
      </c>
      <c r="EO294" s="11"/>
      <c r="EP294" s="11"/>
      <c r="EQ294" s="11"/>
      <c r="ER294" s="1">
        <v>6570</v>
      </c>
      <c r="ES294" s="1">
        <v>4380</v>
      </c>
      <c r="ET294" s="1">
        <v>8760</v>
      </c>
      <c r="EU294" s="1">
        <v>63.838383838383841</v>
      </c>
      <c r="EV294" s="19">
        <v>57.474747474747488</v>
      </c>
      <c r="EW294" s="19">
        <v>70.202020202020208</v>
      </c>
      <c r="EX294" s="19"/>
      <c r="EY294" s="19"/>
      <c r="EZ294" s="19"/>
      <c r="FA294" s="8"/>
      <c r="FB294" s="8"/>
      <c r="FC294" s="8"/>
      <c r="FD294" s="8"/>
      <c r="FE294" s="8"/>
      <c r="FF294" s="8"/>
      <c r="FG294" s="8"/>
      <c r="FH294" s="8"/>
      <c r="FI294" s="8"/>
      <c r="FJ294" s="8">
        <v>1202.0202020202021</v>
      </c>
      <c r="FK294" s="8">
        <v>1081.8181818181818</v>
      </c>
      <c r="FL294" s="1">
        <v>1322.2222222222222</v>
      </c>
      <c r="FO294" s="1">
        <v>67</v>
      </c>
      <c r="FP294" s="1">
        <v>67</v>
      </c>
      <c r="FQ294" s="1">
        <v>67</v>
      </c>
      <c r="FR294" s="13" t="s">
        <v>806</v>
      </c>
      <c r="FS294" s="13" t="s">
        <v>806</v>
      </c>
      <c r="FT294" s="13" t="s">
        <v>806</v>
      </c>
      <c r="FU294" s="13"/>
      <c r="FV294" s="13" t="s">
        <v>806</v>
      </c>
      <c r="FW294" s="13" t="s">
        <v>806</v>
      </c>
      <c r="FX294" s="13" t="s">
        <v>806</v>
      </c>
      <c r="FY294" s="13" t="s">
        <v>806</v>
      </c>
      <c r="FZ294" s="13" t="s">
        <v>806</v>
      </c>
      <c r="GA294" s="13" t="s">
        <v>806</v>
      </c>
      <c r="GB294" s="13" t="s">
        <v>806</v>
      </c>
      <c r="GE294" s="13" t="s">
        <v>806</v>
      </c>
      <c r="GF294" s="13" t="s">
        <v>806</v>
      </c>
      <c r="GH294" s="13" t="s">
        <v>806</v>
      </c>
    </row>
    <row r="295" spans="1:190" ht="12.75" customHeight="1" x14ac:dyDescent="0.25">
      <c r="A295" s="1" t="s">
        <v>132</v>
      </c>
      <c r="B295" s="1" t="s">
        <v>653</v>
      </c>
      <c r="C295" s="1" t="s">
        <v>804</v>
      </c>
      <c r="D295" s="1" t="s">
        <v>691</v>
      </c>
      <c r="E295" s="1" t="s">
        <v>139</v>
      </c>
      <c r="F295" s="1">
        <v>0</v>
      </c>
      <c r="G295" s="1">
        <v>2040</v>
      </c>
      <c r="H295" s="1">
        <v>1</v>
      </c>
      <c r="I295" s="1">
        <v>0</v>
      </c>
      <c r="J295" s="1">
        <v>0</v>
      </c>
      <c r="K29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508.64770000000004</v>
      </c>
      <c r="L29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724.43582291666712</v>
      </c>
      <c r="M29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995.07375000000002</v>
      </c>
      <c r="N295" s="19">
        <v>724.43582291666701</v>
      </c>
      <c r="O295" s="19">
        <v>508.64770000000004</v>
      </c>
      <c r="P295" s="19">
        <v>995.07375000000002</v>
      </c>
      <c r="Q295" s="19">
        <v>0</v>
      </c>
      <c r="R295" s="19">
        <v>0</v>
      </c>
      <c r="S295" s="19">
        <v>0</v>
      </c>
      <c r="T295" s="19">
        <v>724.43582291666701</v>
      </c>
      <c r="U295" s="19">
        <v>508.64770000000004</v>
      </c>
      <c r="V295" s="19">
        <v>995.07375000000002</v>
      </c>
      <c r="W295" s="19">
        <v>0</v>
      </c>
      <c r="X295" s="19">
        <v>0</v>
      </c>
      <c r="Y295" s="19">
        <v>0</v>
      </c>
      <c r="Z295" s="19">
        <v>724.43582291666701</v>
      </c>
      <c r="AA295" s="19">
        <v>508.64770000000004</v>
      </c>
      <c r="AB295" s="19">
        <v>995.07375000000002</v>
      </c>
      <c r="AC295" s="19">
        <v>0</v>
      </c>
      <c r="AD295" s="19">
        <v>0</v>
      </c>
      <c r="AE295" s="19">
        <v>0</v>
      </c>
      <c r="AF295" s="19">
        <v>724.43582291666701</v>
      </c>
      <c r="AG295" s="19">
        <v>508.64770000000004</v>
      </c>
      <c r="AH295" s="19">
        <v>995.07375000000002</v>
      </c>
      <c r="AI295" s="19">
        <v>0</v>
      </c>
      <c r="AJ295" s="19">
        <v>0</v>
      </c>
      <c r="AK295" s="19">
        <v>0</v>
      </c>
      <c r="AL295" s="19">
        <v>724.43582291666701</v>
      </c>
      <c r="AM295" s="19">
        <v>508.64770000000004</v>
      </c>
      <c r="AN295" s="19">
        <v>995.07375000000002</v>
      </c>
      <c r="AO295" s="19">
        <v>0</v>
      </c>
      <c r="AP295" s="19">
        <v>0</v>
      </c>
      <c r="AQ295" s="19">
        <v>0</v>
      </c>
      <c r="AR295" s="19">
        <v>724.43582291666701</v>
      </c>
      <c r="AS295" s="19">
        <v>508.64770000000004</v>
      </c>
      <c r="AT295" s="19">
        <v>995.07375000000002</v>
      </c>
      <c r="AU295" s="19">
        <v>0</v>
      </c>
      <c r="AV295" s="19">
        <v>0</v>
      </c>
      <c r="AW295" s="19">
        <v>0</v>
      </c>
      <c r="AX295" s="19">
        <v>724.43582291666701</v>
      </c>
      <c r="AY295" s="19">
        <v>508.64770000000004</v>
      </c>
      <c r="AZ295" s="19">
        <v>995.07375000000002</v>
      </c>
      <c r="BA295" s="19">
        <v>0</v>
      </c>
      <c r="BB295" s="19">
        <v>0</v>
      </c>
      <c r="BC295" s="19">
        <v>0</v>
      </c>
      <c r="BD295" s="19">
        <v>724.43582291666701</v>
      </c>
      <c r="BE295" s="19">
        <v>508.64770000000004</v>
      </c>
      <c r="BF295" s="19">
        <v>995.07375000000002</v>
      </c>
      <c r="BG295" s="19">
        <v>0</v>
      </c>
      <c r="BH295" s="19">
        <v>0</v>
      </c>
      <c r="BI295" s="19">
        <v>0</v>
      </c>
      <c r="BJ295" s="19">
        <v>724.43582291666701</v>
      </c>
      <c r="BK295" s="19">
        <v>508.64770000000004</v>
      </c>
      <c r="BL295" s="19">
        <v>995.07375000000002</v>
      </c>
      <c r="BM295" s="19">
        <v>0</v>
      </c>
      <c r="BN295" s="19">
        <v>0</v>
      </c>
      <c r="BO295" s="19">
        <v>0</v>
      </c>
      <c r="BP295" s="19"/>
      <c r="BQ29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5" s="11">
        <f>Tabelle5897112140[[#This Row],[Mindestauslastung min]]*Tabelle5897112140[[#This Row],[installierte Leistung MW min]]</f>
        <v>100.1275</v>
      </c>
      <c r="BU295" s="11">
        <f>Tabelle5897112140[[#This Row],[Mindestauslastung durch]]*Tabelle5897112140[[#This Row],[installierte Leistung MW durch]]</f>
        <v>108.5975</v>
      </c>
      <c r="BV295" s="11">
        <f>Tabelle5897112140[[#This Row],[Mindestauslastung max]]*Tabelle5897112140[[#This Row],[installierte Leistung MW max]]</f>
        <v>117.0675</v>
      </c>
      <c r="BW295" s="9">
        <v>0.05</v>
      </c>
      <c r="BX295" s="9">
        <v>0.05</v>
      </c>
      <c r="BY295" s="9">
        <v>0.05</v>
      </c>
      <c r="BZ295" s="9"/>
      <c r="CA295" s="9">
        <v>0.33354166666666663</v>
      </c>
      <c r="CB295" s="9">
        <v>0.254</v>
      </c>
      <c r="CC295" s="9">
        <v>0.42499999999999999</v>
      </c>
      <c r="CD295" s="9">
        <v>0.33354166666666663</v>
      </c>
      <c r="CE295" s="9">
        <v>0.254</v>
      </c>
      <c r="CF295" s="9">
        <v>0.42499999999999999</v>
      </c>
      <c r="CG295" s="9">
        <v>0.33354166666666663</v>
      </c>
      <c r="CH295" s="9">
        <v>0.254</v>
      </c>
      <c r="CI295" s="9">
        <v>0.42499999999999999</v>
      </c>
      <c r="CJ295" s="9">
        <v>0.33354166666666663</v>
      </c>
      <c r="CK295" s="9">
        <v>0.254</v>
      </c>
      <c r="CL295" s="9">
        <v>0.42499999999999999</v>
      </c>
      <c r="CM295" s="9">
        <v>0.33354166666666663</v>
      </c>
      <c r="CN295" s="9">
        <v>0.254</v>
      </c>
      <c r="CO295" s="9">
        <v>0.42499999999999999</v>
      </c>
      <c r="CP295" s="9">
        <v>0.33354166666666663</v>
      </c>
      <c r="CQ295" s="9">
        <v>0.254</v>
      </c>
      <c r="CR295" s="9">
        <v>0.42499999999999999</v>
      </c>
      <c r="CS295" s="9">
        <v>0.33354166666666663</v>
      </c>
      <c r="CT295" s="9">
        <v>0.254</v>
      </c>
      <c r="CU295" s="9">
        <v>0.42499999999999999</v>
      </c>
      <c r="CV295" s="9">
        <v>0.33354166666666663</v>
      </c>
      <c r="CW295" s="9">
        <v>0.254</v>
      </c>
      <c r="CX295" s="9">
        <v>0.42499999999999999</v>
      </c>
      <c r="CY295" s="9">
        <v>0.33354166666666663</v>
      </c>
      <c r="CZ295" s="9">
        <v>0.254</v>
      </c>
      <c r="DA295" s="9">
        <v>0.42499999999999999</v>
      </c>
      <c r="DB295" s="9">
        <f>MIN(Tabelle5897112140[[#This Row],[Durchschnittsauslastung durch Sommer WTT]:[Durchschnittsauslastung max Winter SFN]])</f>
        <v>0.254</v>
      </c>
      <c r="DC29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5" s="9">
        <f>MAX(Tabelle5897112140[[#This Row],[Durchschnittsauslastung durch Sommer WTT]:[Durchschnittsauslastung max Winter SFN]])</f>
        <v>0.42499999999999999</v>
      </c>
      <c r="DE295" s="40">
        <f>Tabelle5897112140[[#This Row],[Durchschnittsauslastung min]]*Tabelle5897112140[[#This Row],[installierte Leistung MW min]]</f>
        <v>508.64769999999999</v>
      </c>
      <c r="DF295" s="40">
        <f>Tabelle5897112140[[#This Row],[Durchschnittsauslastung durch]]*Tabelle5897112140[[#This Row],[installierte Leistung MW durch]]</f>
        <v>724.43582291666655</v>
      </c>
      <c r="DG295" s="40">
        <f>Tabelle5897112140[[#This Row],[Durchschnittsauslastung max]]*Tabelle5897112140[[#This Row],[installierte Leistung MW max]]</f>
        <v>995.0737499999999</v>
      </c>
      <c r="DH295" s="46">
        <f>Tabelle5897112140[[#This Row],[Maximalauslastung min]]*Tabelle5897112140[[#This Row],[installierte Leistung MW min]]</f>
        <v>1281.6320000000001</v>
      </c>
      <c r="DI295" s="46">
        <f>Tabelle5897112140[[#This Row],[Maximalauslastung durch]]*Tabelle5897112140[[#This Row],[installierte Leistung MW durch]]</f>
        <v>1542.0844999999997</v>
      </c>
      <c r="DJ295" s="19">
        <f>Tabelle5897112140[[#This Row],[Maximalauslastung max]]*Tabelle5897112140[[#This Row],[installierte Leistung MW durch]]</f>
        <v>1694.1209999999999</v>
      </c>
      <c r="DK295" s="9">
        <v>0.64</v>
      </c>
      <c r="DL295" s="9">
        <v>0.71</v>
      </c>
      <c r="DM295" s="9">
        <v>0.78</v>
      </c>
      <c r="DN295" s="1">
        <v>2171.9499999999998</v>
      </c>
      <c r="DO295" s="1">
        <v>2002.55</v>
      </c>
      <c r="DP295" s="1">
        <v>2341.35</v>
      </c>
      <c r="DQ295" s="19"/>
      <c r="DR295" s="19"/>
      <c r="DW295" s="1">
        <v>0.25</v>
      </c>
      <c r="DX295" s="1">
        <v>0.2</v>
      </c>
      <c r="DY295" s="1">
        <v>0.3</v>
      </c>
      <c r="DZ295" s="1">
        <v>0.25</v>
      </c>
      <c r="EA295" s="1">
        <v>0.2</v>
      </c>
      <c r="EB295" s="1">
        <v>0.3</v>
      </c>
      <c r="EC295" s="1">
        <v>4.5</v>
      </c>
      <c r="ED295" s="1">
        <v>3</v>
      </c>
      <c r="EE295" s="1">
        <v>6</v>
      </c>
      <c r="EF295" s="1">
        <v>0.4</v>
      </c>
      <c r="EG295" s="1">
        <v>0.3</v>
      </c>
      <c r="EH295" s="1">
        <v>0.5</v>
      </c>
      <c r="EL295" s="1">
        <v>6570</v>
      </c>
      <c r="EM295" s="1">
        <v>4380</v>
      </c>
      <c r="EN295" s="1">
        <v>8760</v>
      </c>
      <c r="EO295" s="11"/>
      <c r="EP295" s="11"/>
      <c r="EQ295" s="11"/>
      <c r="ER295" s="1">
        <v>6570</v>
      </c>
      <c r="ES295" s="1">
        <v>4380</v>
      </c>
      <c r="ET295" s="1">
        <v>8760</v>
      </c>
      <c r="EU295" s="1">
        <v>63.838383838383841</v>
      </c>
      <c r="EV295" s="19">
        <v>57.474747474747488</v>
      </c>
      <c r="EW295" s="19">
        <v>70.202020202020208</v>
      </c>
      <c r="EX295" s="19"/>
      <c r="EY295" s="19"/>
      <c r="EZ295" s="19"/>
      <c r="FA295" s="8"/>
      <c r="FB295" s="8"/>
      <c r="FC295" s="8"/>
      <c r="FD295" s="8"/>
      <c r="FE295" s="8"/>
      <c r="FF295" s="8"/>
      <c r="FG295" s="8"/>
      <c r="FH295" s="8"/>
      <c r="FI295" s="8"/>
      <c r="FJ295" s="8">
        <v>1202.0202020202021</v>
      </c>
      <c r="FK295" s="8">
        <v>1081.8181818181818</v>
      </c>
      <c r="FL295" s="1">
        <v>1322.2222222222222</v>
      </c>
      <c r="FO295" s="1">
        <v>67</v>
      </c>
      <c r="FP295" s="1">
        <v>67</v>
      </c>
      <c r="FQ295" s="1">
        <v>67</v>
      </c>
      <c r="FR295" s="13" t="s">
        <v>806</v>
      </c>
      <c r="FS295" s="13" t="s">
        <v>806</v>
      </c>
      <c r="FT295" s="13" t="s">
        <v>806</v>
      </c>
      <c r="FU295" s="13"/>
      <c r="FV295" s="13" t="s">
        <v>806</v>
      </c>
      <c r="FW295" s="13" t="s">
        <v>806</v>
      </c>
      <c r="FX295" s="13" t="s">
        <v>806</v>
      </c>
      <c r="FY295" s="13" t="s">
        <v>806</v>
      </c>
      <c r="FZ295" s="13" t="s">
        <v>806</v>
      </c>
      <c r="GA295" s="13" t="s">
        <v>806</v>
      </c>
      <c r="GB295" s="13" t="s">
        <v>806</v>
      </c>
      <c r="GE295" s="13" t="s">
        <v>806</v>
      </c>
      <c r="GF295" s="13" t="s">
        <v>806</v>
      </c>
      <c r="GH295" s="13" t="s">
        <v>806</v>
      </c>
    </row>
    <row r="296" spans="1:190" ht="12.75" customHeight="1" x14ac:dyDescent="0.25">
      <c r="A296" s="1" t="s">
        <v>132</v>
      </c>
      <c r="B296" s="1" t="s">
        <v>653</v>
      </c>
      <c r="C296" s="1" t="s">
        <v>804</v>
      </c>
      <c r="D296" s="1" t="s">
        <v>691</v>
      </c>
      <c r="E296" s="1" t="s">
        <v>139</v>
      </c>
      <c r="F296" s="1">
        <v>0</v>
      </c>
      <c r="G296" s="1">
        <v>2045</v>
      </c>
      <c r="H296" s="1">
        <v>1</v>
      </c>
      <c r="I296" s="1">
        <v>0</v>
      </c>
      <c r="J296" s="1">
        <v>0</v>
      </c>
      <c r="K29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490.15142000000003</v>
      </c>
      <c r="L29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698.09270208333351</v>
      </c>
      <c r="M29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958.88924999999995</v>
      </c>
      <c r="N296" s="19">
        <v>698.09270208333362</v>
      </c>
      <c r="O296" s="19">
        <v>490.15142000000003</v>
      </c>
      <c r="P296" s="19">
        <v>958.88924999999995</v>
      </c>
      <c r="Q296" s="19">
        <v>0</v>
      </c>
      <c r="R296" s="19">
        <v>0</v>
      </c>
      <c r="S296" s="19">
        <v>0</v>
      </c>
      <c r="T296" s="19">
        <v>698.09270208333362</v>
      </c>
      <c r="U296" s="19">
        <v>490.15142000000003</v>
      </c>
      <c r="V296" s="19">
        <v>958.88924999999995</v>
      </c>
      <c r="W296" s="19">
        <v>0</v>
      </c>
      <c r="X296" s="19">
        <v>0</v>
      </c>
      <c r="Y296" s="19">
        <v>0</v>
      </c>
      <c r="Z296" s="19">
        <v>698.09270208333362</v>
      </c>
      <c r="AA296" s="19">
        <v>490.15142000000003</v>
      </c>
      <c r="AB296" s="19">
        <v>958.88924999999995</v>
      </c>
      <c r="AC296" s="19">
        <v>0</v>
      </c>
      <c r="AD296" s="19">
        <v>0</v>
      </c>
      <c r="AE296" s="19">
        <v>0</v>
      </c>
      <c r="AF296" s="19">
        <v>698.09270208333362</v>
      </c>
      <c r="AG296" s="19">
        <v>490.15142000000003</v>
      </c>
      <c r="AH296" s="19">
        <v>958.88924999999995</v>
      </c>
      <c r="AI296" s="19">
        <v>0</v>
      </c>
      <c r="AJ296" s="19">
        <v>0</v>
      </c>
      <c r="AK296" s="19">
        <v>0</v>
      </c>
      <c r="AL296" s="19">
        <v>698.09270208333362</v>
      </c>
      <c r="AM296" s="19">
        <v>490.15142000000003</v>
      </c>
      <c r="AN296" s="19">
        <v>958.88924999999995</v>
      </c>
      <c r="AO296" s="19">
        <v>0</v>
      </c>
      <c r="AP296" s="19">
        <v>0</v>
      </c>
      <c r="AQ296" s="19">
        <v>0</v>
      </c>
      <c r="AR296" s="19">
        <v>698.09270208333362</v>
      </c>
      <c r="AS296" s="19">
        <v>490.15142000000003</v>
      </c>
      <c r="AT296" s="19">
        <v>958.88924999999995</v>
      </c>
      <c r="AU296" s="19">
        <v>0</v>
      </c>
      <c r="AV296" s="19">
        <v>0</v>
      </c>
      <c r="AW296" s="19">
        <v>0</v>
      </c>
      <c r="AX296" s="19">
        <v>698.09270208333362</v>
      </c>
      <c r="AY296" s="19">
        <v>490.15142000000003</v>
      </c>
      <c r="AZ296" s="19">
        <v>958.88924999999995</v>
      </c>
      <c r="BA296" s="19">
        <v>0</v>
      </c>
      <c r="BB296" s="19">
        <v>0</v>
      </c>
      <c r="BC296" s="19">
        <v>0</v>
      </c>
      <c r="BD296" s="19">
        <v>698.09270208333362</v>
      </c>
      <c r="BE296" s="19">
        <v>490.15142000000003</v>
      </c>
      <c r="BF296" s="19">
        <v>958.88924999999995</v>
      </c>
      <c r="BG296" s="19">
        <v>0</v>
      </c>
      <c r="BH296" s="19">
        <v>0</v>
      </c>
      <c r="BI296" s="19">
        <v>0</v>
      </c>
      <c r="BJ296" s="19">
        <v>698.09270208333362</v>
      </c>
      <c r="BK296" s="19">
        <v>490.15142000000003</v>
      </c>
      <c r="BL296" s="19">
        <v>958.88924999999995</v>
      </c>
      <c r="BM296" s="19">
        <v>0</v>
      </c>
      <c r="BN296" s="19">
        <v>0</v>
      </c>
      <c r="BO296" s="19">
        <v>0</v>
      </c>
      <c r="BP296" s="19"/>
      <c r="BQ29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6" s="11">
        <f>Tabelle5897112140[[#This Row],[Mindestauslastung min]]*Tabelle5897112140[[#This Row],[installierte Leistung MW min]]</f>
        <v>96.486500000000007</v>
      </c>
      <c r="BU296" s="11">
        <f>Tabelle5897112140[[#This Row],[Mindestauslastung durch]]*Tabelle5897112140[[#This Row],[installierte Leistung MW durch]]</f>
        <v>104.6485</v>
      </c>
      <c r="BV296" s="11">
        <f>Tabelle5897112140[[#This Row],[Mindestauslastung max]]*Tabelle5897112140[[#This Row],[installierte Leistung MW max]]</f>
        <v>112.8105</v>
      </c>
      <c r="BW296" s="9">
        <v>0.05</v>
      </c>
      <c r="BX296" s="9">
        <v>0.05</v>
      </c>
      <c r="BY296" s="9">
        <v>0.05</v>
      </c>
      <c r="BZ296" s="9"/>
      <c r="CA296" s="9">
        <v>0.33354166666666663</v>
      </c>
      <c r="CB296" s="9">
        <v>0.254</v>
      </c>
      <c r="CC296" s="9">
        <v>0.42499999999999999</v>
      </c>
      <c r="CD296" s="9">
        <v>0.33354166666666663</v>
      </c>
      <c r="CE296" s="9">
        <v>0.254</v>
      </c>
      <c r="CF296" s="9">
        <v>0.42499999999999999</v>
      </c>
      <c r="CG296" s="9">
        <v>0.33354166666666663</v>
      </c>
      <c r="CH296" s="9">
        <v>0.254</v>
      </c>
      <c r="CI296" s="9">
        <v>0.42499999999999999</v>
      </c>
      <c r="CJ296" s="9">
        <v>0.33354166666666663</v>
      </c>
      <c r="CK296" s="9">
        <v>0.254</v>
      </c>
      <c r="CL296" s="9">
        <v>0.42499999999999999</v>
      </c>
      <c r="CM296" s="9">
        <v>0.33354166666666663</v>
      </c>
      <c r="CN296" s="9">
        <v>0.254</v>
      </c>
      <c r="CO296" s="9">
        <v>0.42499999999999999</v>
      </c>
      <c r="CP296" s="9">
        <v>0.33354166666666663</v>
      </c>
      <c r="CQ296" s="9">
        <v>0.254</v>
      </c>
      <c r="CR296" s="9">
        <v>0.42499999999999999</v>
      </c>
      <c r="CS296" s="9">
        <v>0.33354166666666663</v>
      </c>
      <c r="CT296" s="9">
        <v>0.254</v>
      </c>
      <c r="CU296" s="9">
        <v>0.42499999999999999</v>
      </c>
      <c r="CV296" s="9">
        <v>0.33354166666666663</v>
      </c>
      <c r="CW296" s="9">
        <v>0.254</v>
      </c>
      <c r="CX296" s="9">
        <v>0.42499999999999999</v>
      </c>
      <c r="CY296" s="9">
        <v>0.33354166666666663</v>
      </c>
      <c r="CZ296" s="9">
        <v>0.254</v>
      </c>
      <c r="DA296" s="9">
        <v>0.42499999999999999</v>
      </c>
      <c r="DB296" s="9">
        <f>MIN(Tabelle5897112140[[#This Row],[Durchschnittsauslastung durch Sommer WTT]:[Durchschnittsauslastung max Winter SFN]])</f>
        <v>0.254</v>
      </c>
      <c r="DC29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6" s="9">
        <f>MAX(Tabelle5897112140[[#This Row],[Durchschnittsauslastung durch Sommer WTT]:[Durchschnittsauslastung max Winter SFN]])</f>
        <v>0.42499999999999999</v>
      </c>
      <c r="DE296" s="40">
        <f>Tabelle5897112140[[#This Row],[Durchschnittsauslastung min]]*Tabelle5897112140[[#This Row],[installierte Leistung MW min]]</f>
        <v>490.15142000000003</v>
      </c>
      <c r="DF296" s="40">
        <f>Tabelle5897112140[[#This Row],[Durchschnittsauslastung durch]]*Tabelle5897112140[[#This Row],[installierte Leistung MW durch]]</f>
        <v>698.09270208333317</v>
      </c>
      <c r="DG296" s="40">
        <f>Tabelle5897112140[[#This Row],[Durchschnittsauslastung max]]*Tabelle5897112140[[#This Row],[installierte Leistung MW max]]</f>
        <v>958.88924999999995</v>
      </c>
      <c r="DH296" s="46">
        <f>Tabelle5897112140[[#This Row],[Maximalauslastung min]]*Tabelle5897112140[[#This Row],[installierte Leistung MW min]]</f>
        <v>1235.0272</v>
      </c>
      <c r="DI296" s="46">
        <f>Tabelle5897112140[[#This Row],[Maximalauslastung durch]]*Tabelle5897112140[[#This Row],[installierte Leistung MW durch]]</f>
        <v>1486.0086999999999</v>
      </c>
      <c r="DJ296" s="19">
        <f>Tabelle5897112140[[#This Row],[Maximalauslastung max]]*Tabelle5897112140[[#This Row],[installierte Leistung MW durch]]</f>
        <v>1632.5165999999999</v>
      </c>
      <c r="DK296" s="9">
        <v>0.64</v>
      </c>
      <c r="DL296" s="9">
        <v>0.71</v>
      </c>
      <c r="DM296" s="9">
        <v>0.78</v>
      </c>
      <c r="DN296" s="1">
        <v>2092.9699999999998</v>
      </c>
      <c r="DO296" s="1">
        <v>1929.73</v>
      </c>
      <c r="DP296" s="1">
        <v>2256.21</v>
      </c>
      <c r="DQ296" s="19"/>
      <c r="DR296" s="19"/>
      <c r="DW296" s="1">
        <v>0.25</v>
      </c>
      <c r="DX296" s="1">
        <v>0.2</v>
      </c>
      <c r="DY296" s="1">
        <v>0.3</v>
      </c>
      <c r="DZ296" s="1">
        <v>0.25</v>
      </c>
      <c r="EA296" s="1">
        <v>0.2</v>
      </c>
      <c r="EB296" s="1">
        <v>0.3</v>
      </c>
      <c r="EC296" s="1">
        <v>4.5</v>
      </c>
      <c r="ED296" s="1">
        <v>3</v>
      </c>
      <c r="EE296" s="1">
        <v>6</v>
      </c>
      <c r="EF296" s="1">
        <v>0.4</v>
      </c>
      <c r="EG296" s="1">
        <v>0.3</v>
      </c>
      <c r="EH296" s="1">
        <v>0.5</v>
      </c>
      <c r="EL296" s="1">
        <v>6570</v>
      </c>
      <c r="EM296" s="1">
        <v>4380</v>
      </c>
      <c r="EN296" s="1">
        <v>8760</v>
      </c>
      <c r="EO296" s="11"/>
      <c r="EP296" s="11"/>
      <c r="EQ296" s="11"/>
      <c r="ER296" s="1">
        <v>6570</v>
      </c>
      <c r="ES296" s="1">
        <v>4380</v>
      </c>
      <c r="ET296" s="1">
        <v>8760</v>
      </c>
      <c r="EU296" s="1">
        <v>63.838383838383841</v>
      </c>
      <c r="EV296" s="19">
        <v>57.474747474747488</v>
      </c>
      <c r="EW296" s="19">
        <v>70.202020202020208</v>
      </c>
      <c r="EX296" s="19"/>
      <c r="EY296" s="19"/>
      <c r="EZ296" s="19"/>
      <c r="FA296" s="8"/>
      <c r="FB296" s="8"/>
      <c r="FC296" s="8"/>
      <c r="FD296" s="8"/>
      <c r="FE296" s="8"/>
      <c r="FF296" s="8"/>
      <c r="FG296" s="8"/>
      <c r="FH296" s="8"/>
      <c r="FI296" s="8"/>
      <c r="FJ296" s="8">
        <v>1202.0202020202021</v>
      </c>
      <c r="FK296" s="8">
        <v>1081.8181818181818</v>
      </c>
      <c r="FL296" s="1">
        <v>1322.2222222222222</v>
      </c>
      <c r="FO296" s="1">
        <v>67</v>
      </c>
      <c r="FP296" s="1">
        <v>67</v>
      </c>
      <c r="FQ296" s="1">
        <v>67</v>
      </c>
      <c r="FR296" s="13" t="s">
        <v>806</v>
      </c>
      <c r="FS296" s="13" t="s">
        <v>806</v>
      </c>
      <c r="FT296" s="13" t="s">
        <v>806</v>
      </c>
      <c r="FU296" s="13"/>
      <c r="FV296" s="13" t="s">
        <v>806</v>
      </c>
      <c r="FW296" s="13" t="s">
        <v>806</v>
      </c>
      <c r="FX296" s="13" t="s">
        <v>806</v>
      </c>
      <c r="FY296" s="13" t="s">
        <v>806</v>
      </c>
      <c r="FZ296" s="13" t="s">
        <v>806</v>
      </c>
      <c r="GA296" s="13" t="s">
        <v>806</v>
      </c>
      <c r="GB296" s="13" t="s">
        <v>806</v>
      </c>
      <c r="GE296" s="13" t="s">
        <v>806</v>
      </c>
      <c r="GF296" s="13" t="s">
        <v>806</v>
      </c>
      <c r="GH296" s="13" t="s">
        <v>806</v>
      </c>
    </row>
    <row r="297" spans="1:190" ht="12.75" customHeight="1" x14ac:dyDescent="0.25">
      <c r="A297" s="1" t="s">
        <v>132</v>
      </c>
      <c r="B297" s="1" t="s">
        <v>653</v>
      </c>
      <c r="C297" s="1" t="s">
        <v>804</v>
      </c>
      <c r="D297" s="1" t="s">
        <v>691</v>
      </c>
      <c r="E297" s="1" t="s">
        <v>139</v>
      </c>
      <c r="F297" s="1">
        <v>0</v>
      </c>
      <c r="G297" s="1">
        <v>2050</v>
      </c>
      <c r="H297" s="1">
        <v>1</v>
      </c>
      <c r="I297" s="1">
        <v>0</v>
      </c>
      <c r="J297" s="1">
        <v>0</v>
      </c>
      <c r="K29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471.65514000000002</v>
      </c>
      <c r="L29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671.74958125000023</v>
      </c>
      <c r="M29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922.70474999999999</v>
      </c>
      <c r="N297" s="19">
        <v>671.74958125000023</v>
      </c>
      <c r="O297" s="19">
        <v>471.65514000000002</v>
      </c>
      <c r="P297" s="19">
        <v>922.70474999999999</v>
      </c>
      <c r="Q297" s="19">
        <v>0</v>
      </c>
      <c r="R297" s="19">
        <v>0</v>
      </c>
      <c r="S297" s="19">
        <v>0</v>
      </c>
      <c r="T297" s="19">
        <v>671.74958125000023</v>
      </c>
      <c r="U297" s="19">
        <v>471.65514000000002</v>
      </c>
      <c r="V297" s="19">
        <v>922.70474999999999</v>
      </c>
      <c r="W297" s="19">
        <v>0</v>
      </c>
      <c r="X297" s="19">
        <v>0</v>
      </c>
      <c r="Y297" s="19">
        <v>0</v>
      </c>
      <c r="Z297" s="19">
        <v>671.74958125000023</v>
      </c>
      <c r="AA297" s="19">
        <v>471.65514000000002</v>
      </c>
      <c r="AB297" s="19">
        <v>922.70474999999999</v>
      </c>
      <c r="AC297" s="19">
        <v>0</v>
      </c>
      <c r="AD297" s="19">
        <v>0</v>
      </c>
      <c r="AE297" s="19">
        <v>0</v>
      </c>
      <c r="AF297" s="19">
        <v>671.74958125000023</v>
      </c>
      <c r="AG297" s="19">
        <v>471.65514000000002</v>
      </c>
      <c r="AH297" s="19">
        <v>922.70474999999999</v>
      </c>
      <c r="AI297" s="19">
        <v>0</v>
      </c>
      <c r="AJ297" s="19">
        <v>0</v>
      </c>
      <c r="AK297" s="19">
        <v>0</v>
      </c>
      <c r="AL297" s="19">
        <v>671.74958125000023</v>
      </c>
      <c r="AM297" s="19">
        <v>471.65514000000002</v>
      </c>
      <c r="AN297" s="19">
        <v>922.70474999999999</v>
      </c>
      <c r="AO297" s="19">
        <v>0</v>
      </c>
      <c r="AP297" s="19">
        <v>0</v>
      </c>
      <c r="AQ297" s="19">
        <v>0</v>
      </c>
      <c r="AR297" s="19">
        <v>671.74958125000023</v>
      </c>
      <c r="AS297" s="19">
        <v>471.65514000000002</v>
      </c>
      <c r="AT297" s="19">
        <v>922.70474999999999</v>
      </c>
      <c r="AU297" s="19">
        <v>0</v>
      </c>
      <c r="AV297" s="19">
        <v>0</v>
      </c>
      <c r="AW297" s="19">
        <v>0</v>
      </c>
      <c r="AX297" s="19">
        <v>671.74958125000023</v>
      </c>
      <c r="AY297" s="19">
        <v>471.65514000000002</v>
      </c>
      <c r="AZ297" s="19">
        <v>922.70474999999999</v>
      </c>
      <c r="BA297" s="19">
        <v>0</v>
      </c>
      <c r="BB297" s="19">
        <v>0</v>
      </c>
      <c r="BC297" s="19">
        <v>0</v>
      </c>
      <c r="BD297" s="19">
        <v>671.74958125000023</v>
      </c>
      <c r="BE297" s="19">
        <v>471.65514000000002</v>
      </c>
      <c r="BF297" s="19">
        <v>922.70474999999999</v>
      </c>
      <c r="BG297" s="19">
        <v>0</v>
      </c>
      <c r="BH297" s="19">
        <v>0</v>
      </c>
      <c r="BI297" s="19">
        <v>0</v>
      </c>
      <c r="BJ297" s="19">
        <v>671.74958125000023</v>
      </c>
      <c r="BK297" s="19">
        <v>471.65514000000002</v>
      </c>
      <c r="BL297" s="19">
        <v>922.70474999999999</v>
      </c>
      <c r="BM297" s="19">
        <v>0</v>
      </c>
      <c r="BN297" s="19">
        <v>0</v>
      </c>
      <c r="BO297" s="19">
        <v>0</v>
      </c>
      <c r="BP297" s="19"/>
      <c r="BQ29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7" s="11">
        <f>Tabelle5897112140[[#This Row],[Mindestauslastung min]]*Tabelle5897112140[[#This Row],[installierte Leistung MW min]]</f>
        <v>92.845500000000015</v>
      </c>
      <c r="BU297" s="11">
        <f>Tabelle5897112140[[#This Row],[Mindestauslastung durch]]*Tabelle5897112140[[#This Row],[installierte Leistung MW durch]]</f>
        <v>100.6995</v>
      </c>
      <c r="BV297" s="11">
        <f>Tabelle5897112140[[#This Row],[Mindestauslastung max]]*Tabelle5897112140[[#This Row],[installierte Leistung MW max]]</f>
        <v>108.55350000000001</v>
      </c>
      <c r="BW297" s="9">
        <v>0.05</v>
      </c>
      <c r="BX297" s="9">
        <v>0.05</v>
      </c>
      <c r="BY297" s="9">
        <v>0.05</v>
      </c>
      <c r="BZ297" s="9"/>
      <c r="CA297" s="9">
        <v>0.33354166666666663</v>
      </c>
      <c r="CB297" s="9">
        <v>0.254</v>
      </c>
      <c r="CC297" s="9">
        <v>0.42499999999999999</v>
      </c>
      <c r="CD297" s="9">
        <v>0.33354166666666663</v>
      </c>
      <c r="CE297" s="9">
        <v>0.254</v>
      </c>
      <c r="CF297" s="9">
        <v>0.42499999999999999</v>
      </c>
      <c r="CG297" s="9">
        <v>0.33354166666666663</v>
      </c>
      <c r="CH297" s="9">
        <v>0.254</v>
      </c>
      <c r="CI297" s="9">
        <v>0.42499999999999999</v>
      </c>
      <c r="CJ297" s="9">
        <v>0.33354166666666663</v>
      </c>
      <c r="CK297" s="9">
        <v>0.254</v>
      </c>
      <c r="CL297" s="9">
        <v>0.42499999999999999</v>
      </c>
      <c r="CM297" s="9">
        <v>0.33354166666666663</v>
      </c>
      <c r="CN297" s="9">
        <v>0.254</v>
      </c>
      <c r="CO297" s="9">
        <v>0.42499999999999999</v>
      </c>
      <c r="CP297" s="9">
        <v>0.33354166666666663</v>
      </c>
      <c r="CQ297" s="9">
        <v>0.254</v>
      </c>
      <c r="CR297" s="9">
        <v>0.42499999999999999</v>
      </c>
      <c r="CS297" s="9">
        <v>0.33354166666666663</v>
      </c>
      <c r="CT297" s="9">
        <v>0.254</v>
      </c>
      <c r="CU297" s="9">
        <v>0.42499999999999999</v>
      </c>
      <c r="CV297" s="9">
        <v>0.33354166666666663</v>
      </c>
      <c r="CW297" s="9">
        <v>0.254</v>
      </c>
      <c r="CX297" s="9">
        <v>0.42499999999999999</v>
      </c>
      <c r="CY297" s="9">
        <v>0.33354166666666663</v>
      </c>
      <c r="CZ297" s="9">
        <v>0.254</v>
      </c>
      <c r="DA297" s="9">
        <v>0.42499999999999999</v>
      </c>
      <c r="DB297" s="9">
        <f>MIN(Tabelle5897112140[[#This Row],[Durchschnittsauslastung durch Sommer WTT]:[Durchschnittsauslastung max Winter SFN]])</f>
        <v>0.254</v>
      </c>
      <c r="DC29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7" s="9">
        <f>MAX(Tabelle5897112140[[#This Row],[Durchschnittsauslastung durch Sommer WTT]:[Durchschnittsauslastung max Winter SFN]])</f>
        <v>0.42499999999999999</v>
      </c>
      <c r="DE297" s="40">
        <f>Tabelle5897112140[[#This Row],[Durchschnittsauslastung min]]*Tabelle5897112140[[#This Row],[installierte Leistung MW min]]</f>
        <v>471.65514000000002</v>
      </c>
      <c r="DF297" s="40">
        <f>Tabelle5897112140[[#This Row],[Durchschnittsauslastung durch]]*Tabelle5897112140[[#This Row],[installierte Leistung MW durch]]</f>
        <v>671.74958124999989</v>
      </c>
      <c r="DG297" s="40">
        <f>Tabelle5897112140[[#This Row],[Durchschnittsauslastung max]]*Tabelle5897112140[[#This Row],[installierte Leistung MW max]]</f>
        <v>922.70474999999999</v>
      </c>
      <c r="DH297" s="46">
        <f>Tabelle5897112140[[#This Row],[Maximalauslastung min]]*Tabelle5897112140[[#This Row],[installierte Leistung MW min]]</f>
        <v>1188.4224000000002</v>
      </c>
      <c r="DI297" s="46">
        <f>Tabelle5897112140[[#This Row],[Maximalauslastung durch]]*Tabelle5897112140[[#This Row],[installierte Leistung MW durch]]</f>
        <v>1429.9329</v>
      </c>
      <c r="DJ297" s="19">
        <f>Tabelle5897112140[[#This Row],[Maximalauslastung max]]*Tabelle5897112140[[#This Row],[installierte Leistung MW durch]]</f>
        <v>1570.9122</v>
      </c>
      <c r="DK297" s="9">
        <v>0.64</v>
      </c>
      <c r="DL297" s="9">
        <v>0.71</v>
      </c>
      <c r="DM297" s="9">
        <v>0.78</v>
      </c>
      <c r="DN297" s="1">
        <v>2013.99</v>
      </c>
      <c r="DO297" s="1">
        <v>1856.91</v>
      </c>
      <c r="DP297" s="1">
        <v>2171.0700000000002</v>
      </c>
      <c r="DQ297" s="19"/>
      <c r="DR297" s="19"/>
      <c r="DW297" s="1">
        <v>0.25</v>
      </c>
      <c r="DX297" s="1">
        <v>0.2</v>
      </c>
      <c r="DY297" s="1">
        <v>0.3</v>
      </c>
      <c r="DZ297" s="1">
        <v>0.25</v>
      </c>
      <c r="EA297" s="1">
        <v>0.2</v>
      </c>
      <c r="EB297" s="1">
        <v>0.3</v>
      </c>
      <c r="EC297" s="1">
        <v>4.5</v>
      </c>
      <c r="ED297" s="1">
        <v>3</v>
      </c>
      <c r="EE297" s="1">
        <v>6</v>
      </c>
      <c r="EF297" s="1">
        <v>0.4</v>
      </c>
      <c r="EG297" s="1">
        <v>0.3</v>
      </c>
      <c r="EH297" s="1">
        <v>0.5</v>
      </c>
      <c r="EL297" s="1">
        <v>6570</v>
      </c>
      <c r="EM297" s="1">
        <v>4380</v>
      </c>
      <c r="EN297" s="1">
        <v>8760</v>
      </c>
      <c r="EO297" s="11"/>
      <c r="EP297" s="11"/>
      <c r="EQ297" s="11"/>
      <c r="ER297" s="1">
        <v>6570</v>
      </c>
      <c r="ES297" s="1">
        <v>4380</v>
      </c>
      <c r="ET297" s="1">
        <v>8760</v>
      </c>
      <c r="EU297" s="1">
        <v>63.838383838383841</v>
      </c>
      <c r="EV297" s="19">
        <v>57.474747474747488</v>
      </c>
      <c r="EW297" s="19">
        <v>70.202020202020208</v>
      </c>
      <c r="EX297" s="19"/>
      <c r="EY297" s="19"/>
      <c r="EZ297" s="19"/>
      <c r="FA297" s="8"/>
      <c r="FB297" s="8"/>
      <c r="FC297" s="8"/>
      <c r="FD297" s="8"/>
      <c r="FE297" s="8"/>
      <c r="FF297" s="8"/>
      <c r="FG297" s="8"/>
      <c r="FH297" s="8"/>
      <c r="FI297" s="8"/>
      <c r="FJ297" s="8">
        <v>1202.0202020202021</v>
      </c>
      <c r="FK297" s="8">
        <v>1081.8181818181818</v>
      </c>
      <c r="FL297" s="1">
        <v>1322.2222222222222</v>
      </c>
      <c r="FO297" s="1">
        <v>67</v>
      </c>
      <c r="FP297" s="1">
        <v>67</v>
      </c>
      <c r="FQ297" s="1">
        <v>67</v>
      </c>
      <c r="FR297" s="13" t="s">
        <v>806</v>
      </c>
      <c r="FS297" s="13" t="s">
        <v>806</v>
      </c>
      <c r="FT297" s="13" t="s">
        <v>806</v>
      </c>
      <c r="FU297" s="13"/>
      <c r="FV297" s="13" t="s">
        <v>806</v>
      </c>
      <c r="FW297" s="13" t="s">
        <v>806</v>
      </c>
      <c r="FX297" s="13" t="s">
        <v>806</v>
      </c>
      <c r="FY297" s="13" t="s">
        <v>806</v>
      </c>
      <c r="FZ297" s="13" t="s">
        <v>806</v>
      </c>
      <c r="GA297" s="13" t="s">
        <v>806</v>
      </c>
      <c r="GB297" s="13" t="s">
        <v>806</v>
      </c>
      <c r="GE297" s="13" t="s">
        <v>806</v>
      </c>
      <c r="GF297" s="13" t="s">
        <v>806</v>
      </c>
      <c r="GH297" s="13" t="s">
        <v>806</v>
      </c>
    </row>
    <row r="298" spans="1:190" ht="12.75" customHeight="1" x14ac:dyDescent="0.25">
      <c r="A298" s="1" t="s">
        <v>150</v>
      </c>
      <c r="B298" s="1" t="s">
        <v>744</v>
      </c>
      <c r="C298" s="1" t="s">
        <v>804</v>
      </c>
      <c r="D298" s="1" t="s">
        <v>705</v>
      </c>
      <c r="E298" s="1" t="s">
        <v>139</v>
      </c>
      <c r="F298" s="1">
        <v>0</v>
      </c>
      <c r="G298" s="1">
        <v>2015</v>
      </c>
      <c r="H298" s="1">
        <v>0</v>
      </c>
      <c r="I298" s="1">
        <v>1</v>
      </c>
      <c r="J298" s="1">
        <v>0</v>
      </c>
      <c r="K29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615.6</v>
      </c>
      <c r="L29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1894.6874999999995</v>
      </c>
      <c r="M29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2716.1750000000002</v>
      </c>
      <c r="N298" s="19">
        <v>1894.6874999999991</v>
      </c>
      <c r="O298" s="19">
        <v>615.6</v>
      </c>
      <c r="P298" s="19">
        <v>2716.1750000000002</v>
      </c>
      <c r="Q298" s="19">
        <v>0</v>
      </c>
      <c r="R298" s="19">
        <v>0</v>
      </c>
      <c r="S298" s="19">
        <v>642.6</v>
      </c>
      <c r="T298" s="19">
        <v>1894.6874999999991</v>
      </c>
      <c r="U298" s="19">
        <v>615.6</v>
      </c>
      <c r="V298" s="19">
        <v>2716.1750000000002</v>
      </c>
      <c r="W298" s="19">
        <v>0</v>
      </c>
      <c r="X298" s="19">
        <v>0</v>
      </c>
      <c r="Y298" s="19">
        <v>642.6</v>
      </c>
      <c r="Z298" s="19">
        <v>1894.6874999999991</v>
      </c>
      <c r="AA298" s="19">
        <v>615.6</v>
      </c>
      <c r="AB298" s="19">
        <v>2716.1750000000002</v>
      </c>
      <c r="AC298" s="19">
        <v>0</v>
      </c>
      <c r="AD298" s="19">
        <v>0</v>
      </c>
      <c r="AE298" s="19">
        <v>642.6</v>
      </c>
      <c r="AF298" s="19">
        <v>1894.6874999999991</v>
      </c>
      <c r="AG298" s="19">
        <v>615.6</v>
      </c>
      <c r="AH298" s="19">
        <v>2716.1750000000002</v>
      </c>
      <c r="AI298" s="19">
        <v>0</v>
      </c>
      <c r="AJ298" s="19">
        <v>0</v>
      </c>
      <c r="AK298" s="19">
        <v>642.6</v>
      </c>
      <c r="AL298" s="19">
        <v>1894.6874999999991</v>
      </c>
      <c r="AM298" s="19">
        <v>615.6</v>
      </c>
      <c r="AN298" s="19">
        <v>2716.1750000000002</v>
      </c>
      <c r="AO298" s="19">
        <v>0</v>
      </c>
      <c r="AP298" s="19">
        <v>0</v>
      </c>
      <c r="AQ298" s="19">
        <v>642.6</v>
      </c>
      <c r="AR298" s="19">
        <v>1894.6874999999991</v>
      </c>
      <c r="AS298" s="19">
        <v>615.6</v>
      </c>
      <c r="AT298" s="19">
        <v>2716.1750000000002</v>
      </c>
      <c r="AU298" s="19">
        <v>0</v>
      </c>
      <c r="AV298" s="19">
        <v>0</v>
      </c>
      <c r="AW298" s="19">
        <v>642.6</v>
      </c>
      <c r="AX298" s="19">
        <v>1894.6874999999991</v>
      </c>
      <c r="AY298" s="19">
        <v>615.6</v>
      </c>
      <c r="AZ298" s="19">
        <v>2716.1750000000002</v>
      </c>
      <c r="BA298" s="19">
        <v>0</v>
      </c>
      <c r="BB298" s="19">
        <v>0</v>
      </c>
      <c r="BC298" s="19">
        <v>642.6</v>
      </c>
      <c r="BD298" s="19">
        <v>1894.6874999999991</v>
      </c>
      <c r="BE298" s="19">
        <v>615.6</v>
      </c>
      <c r="BF298" s="19">
        <v>2716.1750000000002</v>
      </c>
      <c r="BG298" s="19">
        <v>0</v>
      </c>
      <c r="BH298" s="19">
        <v>0</v>
      </c>
      <c r="BI298" s="19">
        <v>642.6</v>
      </c>
      <c r="BJ298" s="19">
        <v>1894.6874999999991</v>
      </c>
      <c r="BK298" s="19">
        <v>615.6</v>
      </c>
      <c r="BL298" s="19">
        <v>2716.1750000000002</v>
      </c>
      <c r="BM298" s="19">
        <v>0</v>
      </c>
      <c r="BN298" s="19">
        <v>0</v>
      </c>
      <c r="BO298" s="19">
        <v>642.6</v>
      </c>
      <c r="BP298" s="19"/>
      <c r="BQ29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642.6</v>
      </c>
      <c r="BT298" s="11">
        <f>Tabelle5897112140[[#This Row],[Mindestauslastung min]]*Tabelle5897112140[[#This Row],[installierte Leistung MW min]]</f>
        <v>101.25</v>
      </c>
      <c r="BU298" s="11">
        <f>Tabelle5897112140[[#This Row],[Mindestauslastung durch]]*Tabelle5897112140[[#This Row],[installierte Leistung MW durch]]</f>
        <v>125</v>
      </c>
      <c r="BV298" s="11">
        <f>Tabelle5897112140[[#This Row],[Mindestauslastung max]]*Tabelle5897112140[[#This Row],[installierte Leistung MW max]]</f>
        <v>148.75</v>
      </c>
      <c r="BW298" s="9">
        <v>0.05</v>
      </c>
      <c r="BX298" s="9">
        <v>0.05</v>
      </c>
      <c r="BY298" s="9">
        <v>0.05</v>
      </c>
      <c r="BZ298" s="9"/>
      <c r="CA298" s="9">
        <v>0.75787499999999985</v>
      </c>
      <c r="CB298" s="9">
        <v>0.30399999999999999</v>
      </c>
      <c r="CC298" s="9">
        <v>0.91299999999999992</v>
      </c>
      <c r="CD298" s="9">
        <v>0.75787499999999985</v>
      </c>
      <c r="CE298" s="9">
        <v>0.30399999999999999</v>
      </c>
      <c r="CF298" s="9">
        <v>0.91299999999999992</v>
      </c>
      <c r="CG298" s="9">
        <v>0.75787499999999985</v>
      </c>
      <c r="CH298" s="9">
        <v>0.30399999999999999</v>
      </c>
      <c r="CI298" s="9">
        <v>0.91299999999999992</v>
      </c>
      <c r="CJ298" s="9">
        <v>0.75787499999999985</v>
      </c>
      <c r="CK298" s="9">
        <v>0.30399999999999999</v>
      </c>
      <c r="CL298" s="9">
        <v>0.91299999999999992</v>
      </c>
      <c r="CM298" s="9">
        <v>0.75787499999999985</v>
      </c>
      <c r="CN298" s="9">
        <v>0.30399999999999999</v>
      </c>
      <c r="CO298" s="9">
        <v>0.91299999999999992</v>
      </c>
      <c r="CP298" s="9">
        <v>0.75787499999999985</v>
      </c>
      <c r="CQ298" s="9">
        <v>0.30399999999999999</v>
      </c>
      <c r="CR298" s="9">
        <v>0.91299999999999992</v>
      </c>
      <c r="CS298" s="9">
        <v>0.75787499999999985</v>
      </c>
      <c r="CT298" s="9">
        <v>0.30399999999999999</v>
      </c>
      <c r="CU298" s="9">
        <v>0.91299999999999992</v>
      </c>
      <c r="CV298" s="9">
        <v>0.75787499999999985</v>
      </c>
      <c r="CW298" s="9">
        <v>0.30399999999999999</v>
      </c>
      <c r="CX298" s="9">
        <v>0.91299999999999992</v>
      </c>
      <c r="CY298" s="9">
        <v>0.75787499999999985</v>
      </c>
      <c r="CZ298" s="9">
        <v>0.30399999999999999</v>
      </c>
      <c r="DA298" s="9">
        <v>0.91299999999999992</v>
      </c>
      <c r="DB298" s="9">
        <f>MIN(Tabelle5897112140[[#This Row],[Durchschnittsauslastung durch Sommer WTT]:[Durchschnittsauslastung max Winter SFN]])</f>
        <v>0.30399999999999999</v>
      </c>
      <c r="DC29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298" s="9">
        <f>MAX(Tabelle5897112140[[#This Row],[Durchschnittsauslastung durch Sommer WTT]:[Durchschnittsauslastung max Winter SFN]])</f>
        <v>0.91299999999999992</v>
      </c>
      <c r="DE298" s="40">
        <f>Tabelle5897112140[[#This Row],[Durchschnittsauslastung min]]*Tabelle5897112140[[#This Row],[installierte Leistung MW min]]</f>
        <v>615.6</v>
      </c>
      <c r="DF298" s="40">
        <f>Tabelle5897112140[[#This Row],[Durchschnittsauslastung durch]]*Tabelle5897112140[[#This Row],[installierte Leistung MW durch]]</f>
        <v>1894.6874999999995</v>
      </c>
      <c r="DG298" s="40">
        <f>Tabelle5897112140[[#This Row],[Durchschnittsauslastung max]]*Tabelle5897112140[[#This Row],[installierte Leistung MW max]]</f>
        <v>2716.1749999999997</v>
      </c>
      <c r="DH298" s="46">
        <f>Tabelle5897112140[[#This Row],[Maximalauslastung min]]*Tabelle5897112140[[#This Row],[installierte Leistung MW min]]</f>
        <v>850.5</v>
      </c>
      <c r="DI298" s="46">
        <f>Tabelle5897112140[[#This Row],[Maximalauslastung durch]]*Tabelle5897112140[[#This Row],[installierte Leistung MW durch]]</f>
        <v>1175</v>
      </c>
      <c r="DJ298" s="19">
        <f>Tabelle5897112140[[#This Row],[Maximalauslastung max]]*Tabelle5897112140[[#This Row],[installierte Leistung MW durch]]</f>
        <v>1300</v>
      </c>
      <c r="DK298" s="9">
        <v>0.42</v>
      </c>
      <c r="DL298" s="9">
        <v>0.47</v>
      </c>
      <c r="DM298" s="9">
        <v>0.52</v>
      </c>
      <c r="DN298" s="1">
        <v>2500</v>
      </c>
      <c r="DO298" s="1">
        <v>2025</v>
      </c>
      <c r="DP298" s="1">
        <v>2975</v>
      </c>
      <c r="DQ298" s="19"/>
      <c r="DR298" s="19"/>
      <c r="DW298" s="1">
        <v>0.25</v>
      </c>
      <c r="DX298" s="1">
        <v>0.2</v>
      </c>
      <c r="DY298" s="1">
        <v>0.3</v>
      </c>
      <c r="DZ298" s="1">
        <v>0.25</v>
      </c>
      <c r="EA298" s="1">
        <v>0.2</v>
      </c>
      <c r="EB298" s="1">
        <v>0.3</v>
      </c>
      <c r="EC298" s="1">
        <v>0.5</v>
      </c>
      <c r="ED298" s="1">
        <v>0.4</v>
      </c>
      <c r="EE298" s="1">
        <v>0.6</v>
      </c>
      <c r="EF298" s="1">
        <v>0.3</v>
      </c>
      <c r="EG298" s="1">
        <v>0.2</v>
      </c>
      <c r="EH298" s="1">
        <v>0.4</v>
      </c>
      <c r="EL298" s="1">
        <v>365</v>
      </c>
      <c r="EM298" s="1">
        <v>328</v>
      </c>
      <c r="EN298" s="1">
        <v>402</v>
      </c>
      <c r="EO298" s="11"/>
      <c r="EP298" s="11"/>
      <c r="EQ298" s="11"/>
      <c r="ER298" s="1">
        <v>365</v>
      </c>
      <c r="ES298" s="1">
        <v>328</v>
      </c>
      <c r="ET298" s="1">
        <v>402</v>
      </c>
      <c r="EU298" s="1">
        <v>144.44444444444446</v>
      </c>
      <c r="EV298" s="19">
        <v>130</v>
      </c>
      <c r="EW298" s="19">
        <v>158.88888888888891</v>
      </c>
      <c r="EX298" s="19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>
        <v>9.8989898989898997</v>
      </c>
      <c r="FK298" s="8">
        <v>3.5353535353535364</v>
      </c>
      <c r="FL298" s="1">
        <v>16.262626262626263</v>
      </c>
      <c r="FO298" s="1">
        <v>67</v>
      </c>
      <c r="FP298" s="1">
        <v>67</v>
      </c>
      <c r="FQ298" s="1">
        <v>67</v>
      </c>
      <c r="FR298" s="13" t="s">
        <v>806</v>
      </c>
      <c r="FS298" s="13" t="s">
        <v>806</v>
      </c>
      <c r="FT298" s="13" t="s">
        <v>806</v>
      </c>
      <c r="FU298" s="13"/>
      <c r="FV298" s="13" t="s">
        <v>806</v>
      </c>
      <c r="FW298" s="13" t="s">
        <v>806</v>
      </c>
      <c r="FX298" s="13" t="s">
        <v>806</v>
      </c>
      <c r="FY298" s="13" t="s">
        <v>806</v>
      </c>
      <c r="FZ298" s="13" t="s">
        <v>806</v>
      </c>
      <c r="GA298" s="13" t="s">
        <v>806</v>
      </c>
      <c r="GB298" s="13" t="s">
        <v>806</v>
      </c>
      <c r="GE298" s="13" t="s">
        <v>806</v>
      </c>
      <c r="GF298" s="13" t="s">
        <v>806</v>
      </c>
      <c r="GH298" s="13" t="s">
        <v>806</v>
      </c>
    </row>
    <row r="299" spans="1:190" ht="12.75" customHeight="1" x14ac:dyDescent="0.25">
      <c r="A299" s="1" t="s">
        <v>150</v>
      </c>
      <c r="B299" s="1" t="s">
        <v>744</v>
      </c>
      <c r="C299" s="1" t="s">
        <v>804</v>
      </c>
      <c r="D299" s="1" t="s">
        <v>705</v>
      </c>
      <c r="E299" s="1" t="s">
        <v>139</v>
      </c>
      <c r="F299" s="1">
        <v>0</v>
      </c>
      <c r="G299" s="1">
        <v>2020</v>
      </c>
      <c r="H299" s="1">
        <v>0</v>
      </c>
      <c r="I299" s="1">
        <v>1</v>
      </c>
      <c r="J299" s="1">
        <v>0</v>
      </c>
      <c r="K29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523.26</v>
      </c>
      <c r="L29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1610.4843749999991</v>
      </c>
      <c r="M29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2308.7487500000002</v>
      </c>
      <c r="N299" s="19">
        <v>1610.4843749999991</v>
      </c>
      <c r="O299" s="19">
        <v>523.26</v>
      </c>
      <c r="P299" s="19">
        <v>2308.7487500000002</v>
      </c>
      <c r="Q299" s="19">
        <v>0</v>
      </c>
      <c r="R299" s="19">
        <v>0</v>
      </c>
      <c r="S299" s="19">
        <v>546.21</v>
      </c>
      <c r="T299" s="19">
        <v>1610.4843749999991</v>
      </c>
      <c r="U299" s="19">
        <v>523.26</v>
      </c>
      <c r="V299" s="19">
        <v>2308.7487500000002</v>
      </c>
      <c r="W299" s="19">
        <v>0</v>
      </c>
      <c r="X299" s="19">
        <v>0</v>
      </c>
      <c r="Y299" s="19">
        <v>546.21</v>
      </c>
      <c r="Z299" s="19">
        <v>1610.4843749999991</v>
      </c>
      <c r="AA299" s="19">
        <v>523.26</v>
      </c>
      <c r="AB299" s="19">
        <v>2308.7487500000002</v>
      </c>
      <c r="AC299" s="19">
        <v>0</v>
      </c>
      <c r="AD299" s="19">
        <v>0</v>
      </c>
      <c r="AE299" s="19">
        <v>546.21</v>
      </c>
      <c r="AF299" s="19">
        <v>1610.4843749999991</v>
      </c>
      <c r="AG299" s="19">
        <v>523.26</v>
      </c>
      <c r="AH299" s="19">
        <v>2308.7487500000002</v>
      </c>
      <c r="AI299" s="19">
        <v>0</v>
      </c>
      <c r="AJ299" s="19">
        <v>0</v>
      </c>
      <c r="AK299" s="19">
        <v>546.21</v>
      </c>
      <c r="AL299" s="19">
        <v>1610.4843749999991</v>
      </c>
      <c r="AM299" s="19">
        <v>523.26</v>
      </c>
      <c r="AN299" s="19">
        <v>2308.7487500000002</v>
      </c>
      <c r="AO299" s="19">
        <v>0</v>
      </c>
      <c r="AP299" s="19">
        <v>0</v>
      </c>
      <c r="AQ299" s="19">
        <v>546.21</v>
      </c>
      <c r="AR299" s="19">
        <v>1610.4843749999991</v>
      </c>
      <c r="AS299" s="19">
        <v>523.26</v>
      </c>
      <c r="AT299" s="19">
        <v>2308.7487500000002</v>
      </c>
      <c r="AU299" s="19">
        <v>0</v>
      </c>
      <c r="AV299" s="19">
        <v>0</v>
      </c>
      <c r="AW299" s="19">
        <v>546.21</v>
      </c>
      <c r="AX299" s="19">
        <v>1610.4843749999991</v>
      </c>
      <c r="AY299" s="19">
        <v>523.26</v>
      </c>
      <c r="AZ299" s="19">
        <v>2308.7487500000002</v>
      </c>
      <c r="BA299" s="19">
        <v>0</v>
      </c>
      <c r="BB299" s="19">
        <v>0</v>
      </c>
      <c r="BC299" s="19">
        <v>546.21</v>
      </c>
      <c r="BD299" s="19">
        <v>1610.4843749999991</v>
      </c>
      <c r="BE299" s="19">
        <v>523.26</v>
      </c>
      <c r="BF299" s="19">
        <v>2308.7487500000002</v>
      </c>
      <c r="BG299" s="19">
        <v>0</v>
      </c>
      <c r="BH299" s="19">
        <v>0</v>
      </c>
      <c r="BI299" s="19">
        <v>546.21</v>
      </c>
      <c r="BJ299" s="19">
        <v>1610.4843749999991</v>
      </c>
      <c r="BK299" s="19">
        <v>523.26</v>
      </c>
      <c r="BL299" s="19">
        <v>2308.7487500000002</v>
      </c>
      <c r="BM299" s="19">
        <v>0</v>
      </c>
      <c r="BN299" s="19">
        <v>0</v>
      </c>
      <c r="BO299" s="19">
        <v>546.21</v>
      </c>
      <c r="BP299" s="19"/>
      <c r="BQ29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546.21</v>
      </c>
      <c r="BT299" s="11">
        <f>Tabelle5897112140[[#This Row],[Mindestauslastung min]]*Tabelle5897112140[[#This Row],[installierte Leistung MW min]]</f>
        <v>86.0625</v>
      </c>
      <c r="BU299" s="11">
        <f>Tabelle5897112140[[#This Row],[Mindestauslastung durch]]*Tabelle5897112140[[#This Row],[installierte Leistung MW durch]]</f>
        <v>106.25</v>
      </c>
      <c r="BV299" s="11">
        <f>Tabelle5897112140[[#This Row],[Mindestauslastung max]]*Tabelle5897112140[[#This Row],[installierte Leistung MW max]]</f>
        <v>126.4375</v>
      </c>
      <c r="BW299" s="9">
        <v>0.05</v>
      </c>
      <c r="BX299" s="9">
        <v>0.05</v>
      </c>
      <c r="BY299" s="9">
        <v>0.05</v>
      </c>
      <c r="BZ299" s="9"/>
      <c r="CA299" s="9">
        <v>0.75787499999999985</v>
      </c>
      <c r="CB299" s="9">
        <v>0.30399999999999999</v>
      </c>
      <c r="CC299" s="9">
        <v>0.91299999999999992</v>
      </c>
      <c r="CD299" s="9">
        <v>0.75787499999999985</v>
      </c>
      <c r="CE299" s="9">
        <v>0.30399999999999999</v>
      </c>
      <c r="CF299" s="9">
        <v>0.91299999999999992</v>
      </c>
      <c r="CG299" s="9">
        <v>0.75787499999999985</v>
      </c>
      <c r="CH299" s="9">
        <v>0.30399999999999999</v>
      </c>
      <c r="CI299" s="9">
        <v>0.91299999999999992</v>
      </c>
      <c r="CJ299" s="9">
        <v>0.75787499999999985</v>
      </c>
      <c r="CK299" s="9">
        <v>0.30399999999999999</v>
      </c>
      <c r="CL299" s="9">
        <v>0.91299999999999992</v>
      </c>
      <c r="CM299" s="9">
        <v>0.75787499999999985</v>
      </c>
      <c r="CN299" s="9">
        <v>0.30399999999999999</v>
      </c>
      <c r="CO299" s="9">
        <v>0.91299999999999992</v>
      </c>
      <c r="CP299" s="9">
        <v>0.75787499999999985</v>
      </c>
      <c r="CQ299" s="9">
        <v>0.30399999999999999</v>
      </c>
      <c r="CR299" s="9">
        <v>0.91299999999999992</v>
      </c>
      <c r="CS299" s="9">
        <v>0.75787499999999985</v>
      </c>
      <c r="CT299" s="9">
        <v>0.30399999999999999</v>
      </c>
      <c r="CU299" s="9">
        <v>0.91299999999999992</v>
      </c>
      <c r="CV299" s="9">
        <v>0.75787499999999985</v>
      </c>
      <c r="CW299" s="9">
        <v>0.30399999999999999</v>
      </c>
      <c r="CX299" s="9">
        <v>0.91299999999999992</v>
      </c>
      <c r="CY299" s="9">
        <v>0.75787499999999985</v>
      </c>
      <c r="CZ299" s="9">
        <v>0.30399999999999999</v>
      </c>
      <c r="DA299" s="9">
        <v>0.91299999999999992</v>
      </c>
      <c r="DB299" s="9">
        <f>MIN(Tabelle5897112140[[#This Row],[Durchschnittsauslastung durch Sommer WTT]:[Durchschnittsauslastung max Winter SFN]])</f>
        <v>0.30399999999999999</v>
      </c>
      <c r="DC29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299" s="9">
        <f>MAX(Tabelle5897112140[[#This Row],[Durchschnittsauslastung durch Sommer WTT]:[Durchschnittsauslastung max Winter SFN]])</f>
        <v>0.91299999999999992</v>
      </c>
      <c r="DE299" s="40">
        <f>Tabelle5897112140[[#This Row],[Durchschnittsauslastung min]]*Tabelle5897112140[[#This Row],[installierte Leistung MW min]]</f>
        <v>523.26</v>
      </c>
      <c r="DF299" s="40">
        <f>Tabelle5897112140[[#This Row],[Durchschnittsauslastung durch]]*Tabelle5897112140[[#This Row],[installierte Leistung MW durch]]</f>
        <v>1610.4843749999998</v>
      </c>
      <c r="DG299" s="40">
        <f>Tabelle5897112140[[#This Row],[Durchschnittsauslastung max]]*Tabelle5897112140[[#This Row],[installierte Leistung MW max]]</f>
        <v>2308.7487499999997</v>
      </c>
      <c r="DH299" s="46">
        <f>Tabelle5897112140[[#This Row],[Maximalauslastung min]]*Tabelle5897112140[[#This Row],[installierte Leistung MW min]]</f>
        <v>0</v>
      </c>
      <c r="DI299" s="46">
        <f>Tabelle5897112140[[#This Row],[Maximalauslastung durch]]*Tabelle5897112140[[#This Row],[installierte Leistung MW durch]]</f>
        <v>29.749999999999996</v>
      </c>
      <c r="DJ299" s="19">
        <f>Tabelle5897112140[[#This Row],[Maximalauslastung max]]*Tabelle5897112140[[#This Row],[installierte Leistung MW durch]]</f>
        <v>72.25</v>
      </c>
      <c r="DK299" s="9">
        <v>0</v>
      </c>
      <c r="DL299" s="9">
        <v>1.3999999999999999E-2</v>
      </c>
      <c r="DM299" s="9">
        <v>3.4000000000000002E-2</v>
      </c>
      <c r="DN299" s="1">
        <v>2125</v>
      </c>
      <c r="DO299" s="1">
        <v>1721.25</v>
      </c>
      <c r="DP299" s="1">
        <v>2528.75</v>
      </c>
      <c r="DQ299" s="19"/>
      <c r="DR299" s="19"/>
      <c r="DW299" s="1">
        <v>0.25</v>
      </c>
      <c r="DX299" s="1">
        <v>0.2</v>
      </c>
      <c r="DY299" s="1">
        <v>0.3</v>
      </c>
      <c r="DZ299" s="1">
        <v>0.25</v>
      </c>
      <c r="EA299" s="1">
        <v>0.2</v>
      </c>
      <c r="EB299" s="1">
        <v>0.3</v>
      </c>
      <c r="EC299" s="1">
        <v>0.5</v>
      </c>
      <c r="ED299" s="1">
        <v>0.4</v>
      </c>
      <c r="EE299" s="1">
        <v>0.6</v>
      </c>
      <c r="EF299" s="1">
        <v>0.3</v>
      </c>
      <c r="EG299" s="1">
        <v>0.2</v>
      </c>
      <c r="EH299" s="1">
        <v>0.4</v>
      </c>
      <c r="EL299" s="1">
        <v>365</v>
      </c>
      <c r="EM299" s="1">
        <v>328</v>
      </c>
      <c r="EN299" s="1">
        <v>402</v>
      </c>
      <c r="EO299" s="11"/>
      <c r="EP299" s="11"/>
      <c r="EQ299" s="11"/>
      <c r="ER299" s="1">
        <v>365</v>
      </c>
      <c r="ES299" s="1">
        <v>328</v>
      </c>
      <c r="ET299" s="1">
        <v>402</v>
      </c>
      <c r="EU299" s="1">
        <v>144.44444444444446</v>
      </c>
      <c r="EV299" s="19">
        <v>130</v>
      </c>
      <c r="EW299" s="19">
        <v>158.88888888888891</v>
      </c>
      <c r="EX299" s="19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>
        <v>9.8989898989898997</v>
      </c>
      <c r="FK299" s="8">
        <v>3.5353535353535364</v>
      </c>
      <c r="FL299" s="1">
        <v>16.262626262626263</v>
      </c>
      <c r="FO299" s="1">
        <v>67</v>
      </c>
      <c r="FP299" s="1">
        <v>67</v>
      </c>
      <c r="FQ299" s="1">
        <v>67</v>
      </c>
      <c r="FR299" s="13" t="s">
        <v>806</v>
      </c>
      <c r="FS299" s="13" t="s">
        <v>806</v>
      </c>
      <c r="FT299" s="13" t="s">
        <v>806</v>
      </c>
      <c r="FU299" s="13"/>
      <c r="FV299" s="13" t="s">
        <v>806</v>
      </c>
      <c r="FW299" s="13" t="s">
        <v>806</v>
      </c>
      <c r="FX299" s="13" t="s">
        <v>806</v>
      </c>
      <c r="FY299" s="13" t="s">
        <v>806</v>
      </c>
      <c r="FZ299" s="13" t="s">
        <v>806</v>
      </c>
      <c r="GA299" s="13" t="s">
        <v>806</v>
      </c>
      <c r="GB299" s="13" t="s">
        <v>806</v>
      </c>
      <c r="GE299" s="13" t="s">
        <v>806</v>
      </c>
      <c r="GF299" s="13" t="s">
        <v>806</v>
      </c>
      <c r="GH299" s="13" t="s">
        <v>806</v>
      </c>
    </row>
    <row r="300" spans="1:190" ht="12.75" customHeight="1" x14ac:dyDescent="0.25">
      <c r="A300" s="1" t="s">
        <v>150</v>
      </c>
      <c r="B300" s="1" t="s">
        <v>744</v>
      </c>
      <c r="C300" s="1" t="s">
        <v>804</v>
      </c>
      <c r="D300" s="1" t="s">
        <v>705</v>
      </c>
      <c r="E300" s="1" t="s">
        <v>139</v>
      </c>
      <c r="F300" s="1">
        <v>0</v>
      </c>
      <c r="G300" s="1">
        <v>2025</v>
      </c>
      <c r="H300" s="1">
        <v>0</v>
      </c>
      <c r="I300" s="1">
        <v>1</v>
      </c>
      <c r="J300" s="1">
        <v>0</v>
      </c>
      <c r="K30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449.38800000000003</v>
      </c>
      <c r="L30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1383.1218749999991</v>
      </c>
      <c r="M30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1982.8077500000002</v>
      </c>
      <c r="N300" s="19">
        <v>1383.1218749999994</v>
      </c>
      <c r="O300" s="19">
        <v>449.38800000000003</v>
      </c>
      <c r="P300" s="19">
        <v>1982.8077500000002</v>
      </c>
      <c r="Q300" s="19">
        <v>0</v>
      </c>
      <c r="R300" s="19">
        <v>0</v>
      </c>
      <c r="S300" s="19">
        <v>469.09800000000001</v>
      </c>
      <c r="T300" s="19">
        <v>1383.1218749999994</v>
      </c>
      <c r="U300" s="19">
        <v>449.38800000000003</v>
      </c>
      <c r="V300" s="19">
        <v>1982.8077500000002</v>
      </c>
      <c r="W300" s="19">
        <v>0</v>
      </c>
      <c r="X300" s="19">
        <v>0</v>
      </c>
      <c r="Y300" s="19">
        <v>469.09800000000001</v>
      </c>
      <c r="Z300" s="19">
        <v>1383.1218749999994</v>
      </c>
      <c r="AA300" s="19">
        <v>449.38800000000003</v>
      </c>
      <c r="AB300" s="19">
        <v>1982.8077500000002</v>
      </c>
      <c r="AC300" s="19">
        <v>0</v>
      </c>
      <c r="AD300" s="19">
        <v>0</v>
      </c>
      <c r="AE300" s="19">
        <v>469.09800000000001</v>
      </c>
      <c r="AF300" s="19">
        <v>1383.1218749999994</v>
      </c>
      <c r="AG300" s="19">
        <v>449.38800000000003</v>
      </c>
      <c r="AH300" s="19">
        <v>1982.8077500000002</v>
      </c>
      <c r="AI300" s="19">
        <v>0</v>
      </c>
      <c r="AJ300" s="19">
        <v>0</v>
      </c>
      <c r="AK300" s="19">
        <v>469.09800000000001</v>
      </c>
      <c r="AL300" s="19">
        <v>1383.1218749999994</v>
      </c>
      <c r="AM300" s="19">
        <v>449.38800000000003</v>
      </c>
      <c r="AN300" s="19">
        <v>1982.8077500000002</v>
      </c>
      <c r="AO300" s="19">
        <v>0</v>
      </c>
      <c r="AP300" s="19">
        <v>0</v>
      </c>
      <c r="AQ300" s="19">
        <v>469.09800000000001</v>
      </c>
      <c r="AR300" s="19">
        <v>1383.1218749999994</v>
      </c>
      <c r="AS300" s="19">
        <v>449.38800000000003</v>
      </c>
      <c r="AT300" s="19">
        <v>1982.8077500000002</v>
      </c>
      <c r="AU300" s="19">
        <v>0</v>
      </c>
      <c r="AV300" s="19">
        <v>0</v>
      </c>
      <c r="AW300" s="19">
        <v>469.09800000000001</v>
      </c>
      <c r="AX300" s="19">
        <v>1383.1218749999994</v>
      </c>
      <c r="AY300" s="19">
        <v>449.38800000000003</v>
      </c>
      <c r="AZ300" s="19">
        <v>1982.8077500000002</v>
      </c>
      <c r="BA300" s="19">
        <v>0</v>
      </c>
      <c r="BB300" s="19">
        <v>0</v>
      </c>
      <c r="BC300" s="19">
        <v>469.09800000000001</v>
      </c>
      <c r="BD300" s="19">
        <v>1383.1218749999994</v>
      </c>
      <c r="BE300" s="19">
        <v>449.38800000000003</v>
      </c>
      <c r="BF300" s="19">
        <v>1982.8077500000002</v>
      </c>
      <c r="BG300" s="19">
        <v>0</v>
      </c>
      <c r="BH300" s="19">
        <v>0</v>
      </c>
      <c r="BI300" s="19">
        <v>469.09800000000001</v>
      </c>
      <c r="BJ300" s="19">
        <v>1383.1218749999994</v>
      </c>
      <c r="BK300" s="19">
        <v>449.38800000000003</v>
      </c>
      <c r="BL300" s="19">
        <v>1982.8077500000002</v>
      </c>
      <c r="BM300" s="19">
        <v>0</v>
      </c>
      <c r="BN300" s="19">
        <v>0</v>
      </c>
      <c r="BO300" s="19">
        <v>469.09800000000001</v>
      </c>
      <c r="BP300" s="19"/>
      <c r="BQ30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469.09800000000001</v>
      </c>
      <c r="BT300" s="11">
        <f>Tabelle5897112140[[#This Row],[Mindestauslastung min]]*Tabelle5897112140[[#This Row],[installierte Leistung MW min]]</f>
        <v>73.912500000000009</v>
      </c>
      <c r="BU300" s="11">
        <f>Tabelle5897112140[[#This Row],[Mindestauslastung durch]]*Tabelle5897112140[[#This Row],[installierte Leistung MW durch]]</f>
        <v>91.25</v>
      </c>
      <c r="BV300" s="11">
        <f>Tabelle5897112140[[#This Row],[Mindestauslastung max]]*Tabelle5897112140[[#This Row],[installierte Leistung MW max]]</f>
        <v>108.58750000000001</v>
      </c>
      <c r="BW300" s="9">
        <v>0.05</v>
      </c>
      <c r="BX300" s="9">
        <v>0.05</v>
      </c>
      <c r="BY300" s="9">
        <v>0.05</v>
      </c>
      <c r="BZ300" s="9"/>
      <c r="CA300" s="9">
        <v>0.75787499999999985</v>
      </c>
      <c r="CB300" s="9">
        <v>0.30399999999999999</v>
      </c>
      <c r="CC300" s="9">
        <v>0.91299999999999992</v>
      </c>
      <c r="CD300" s="9">
        <v>0.75787499999999985</v>
      </c>
      <c r="CE300" s="9">
        <v>0.30399999999999999</v>
      </c>
      <c r="CF300" s="9">
        <v>0.91299999999999992</v>
      </c>
      <c r="CG300" s="9">
        <v>0.75787499999999985</v>
      </c>
      <c r="CH300" s="9">
        <v>0.30399999999999999</v>
      </c>
      <c r="CI300" s="9">
        <v>0.91299999999999992</v>
      </c>
      <c r="CJ300" s="9">
        <v>0.75787499999999985</v>
      </c>
      <c r="CK300" s="9">
        <v>0.30399999999999999</v>
      </c>
      <c r="CL300" s="9">
        <v>0.91299999999999992</v>
      </c>
      <c r="CM300" s="9">
        <v>0.75787499999999985</v>
      </c>
      <c r="CN300" s="9">
        <v>0.30399999999999999</v>
      </c>
      <c r="CO300" s="9">
        <v>0.91299999999999992</v>
      </c>
      <c r="CP300" s="9">
        <v>0.75787499999999985</v>
      </c>
      <c r="CQ300" s="9">
        <v>0.30399999999999999</v>
      </c>
      <c r="CR300" s="9">
        <v>0.91299999999999992</v>
      </c>
      <c r="CS300" s="9">
        <v>0.75787499999999985</v>
      </c>
      <c r="CT300" s="9">
        <v>0.30399999999999999</v>
      </c>
      <c r="CU300" s="9">
        <v>0.91299999999999992</v>
      </c>
      <c r="CV300" s="9">
        <v>0.75787499999999985</v>
      </c>
      <c r="CW300" s="9">
        <v>0.30399999999999999</v>
      </c>
      <c r="CX300" s="9">
        <v>0.91299999999999992</v>
      </c>
      <c r="CY300" s="9">
        <v>0.75787499999999985</v>
      </c>
      <c r="CZ300" s="9">
        <v>0.30399999999999999</v>
      </c>
      <c r="DA300" s="9">
        <v>0.91299999999999992</v>
      </c>
      <c r="DB300" s="9">
        <f>MIN(Tabelle5897112140[[#This Row],[Durchschnittsauslastung durch Sommer WTT]:[Durchschnittsauslastung max Winter SFN]])</f>
        <v>0.30399999999999999</v>
      </c>
      <c r="DC30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0" s="9">
        <f>MAX(Tabelle5897112140[[#This Row],[Durchschnittsauslastung durch Sommer WTT]:[Durchschnittsauslastung max Winter SFN]])</f>
        <v>0.91299999999999992</v>
      </c>
      <c r="DE300" s="40">
        <f>Tabelle5897112140[[#This Row],[Durchschnittsauslastung min]]*Tabelle5897112140[[#This Row],[installierte Leistung MW min]]</f>
        <v>449.38799999999998</v>
      </c>
      <c r="DF300" s="40">
        <f>Tabelle5897112140[[#This Row],[Durchschnittsauslastung durch]]*Tabelle5897112140[[#This Row],[installierte Leistung MW durch]]</f>
        <v>1383.1218749999998</v>
      </c>
      <c r="DG300" s="40">
        <f>Tabelle5897112140[[#This Row],[Durchschnittsauslastung max]]*Tabelle5897112140[[#This Row],[installierte Leistung MW max]]</f>
        <v>1982.8077499999999</v>
      </c>
      <c r="DH300" s="46">
        <f>Tabelle5897112140[[#This Row],[Maximalauslastung min]]*Tabelle5897112140[[#This Row],[installierte Leistung MW min]]</f>
        <v>0</v>
      </c>
      <c r="DI300" s="46">
        <f>Tabelle5897112140[[#This Row],[Maximalauslastung durch]]*Tabelle5897112140[[#This Row],[installierte Leistung MW durch]]</f>
        <v>25.549999999999997</v>
      </c>
      <c r="DJ300" s="19">
        <f>Tabelle5897112140[[#This Row],[Maximalauslastung max]]*Tabelle5897112140[[#This Row],[installierte Leistung MW durch]]</f>
        <v>62.050000000000004</v>
      </c>
      <c r="DK300" s="9">
        <v>0</v>
      </c>
      <c r="DL300" s="9">
        <v>1.3999999999999999E-2</v>
      </c>
      <c r="DM300" s="9">
        <v>3.4000000000000002E-2</v>
      </c>
      <c r="DN300" s="1">
        <v>1825</v>
      </c>
      <c r="DO300" s="1">
        <v>1478.25</v>
      </c>
      <c r="DP300" s="1">
        <v>2171.75</v>
      </c>
      <c r="DQ300" s="19"/>
      <c r="DR300" s="19"/>
      <c r="DW300" s="1">
        <v>0.25</v>
      </c>
      <c r="DX300" s="1">
        <v>0.2</v>
      </c>
      <c r="DY300" s="1">
        <v>0.3</v>
      </c>
      <c r="DZ300" s="1">
        <v>0.25</v>
      </c>
      <c r="EA300" s="1">
        <v>0.2</v>
      </c>
      <c r="EB300" s="1">
        <v>0.3</v>
      </c>
      <c r="EC300" s="1">
        <v>0.5</v>
      </c>
      <c r="ED300" s="1">
        <v>0.4</v>
      </c>
      <c r="EE300" s="1">
        <v>0.6</v>
      </c>
      <c r="EF300" s="1">
        <v>0.3</v>
      </c>
      <c r="EG300" s="1">
        <v>0.2</v>
      </c>
      <c r="EH300" s="1">
        <v>0.4</v>
      </c>
      <c r="EL300" s="1">
        <v>365</v>
      </c>
      <c r="EM300" s="1">
        <v>328</v>
      </c>
      <c r="EN300" s="1">
        <v>402</v>
      </c>
      <c r="EO300" s="11"/>
      <c r="EP300" s="11"/>
      <c r="EQ300" s="11"/>
      <c r="ER300" s="1">
        <v>365</v>
      </c>
      <c r="ES300" s="1">
        <v>328</v>
      </c>
      <c r="ET300" s="1">
        <v>402</v>
      </c>
      <c r="EU300" s="1">
        <v>144.44444444444446</v>
      </c>
      <c r="EV300" s="19">
        <v>130</v>
      </c>
      <c r="EW300" s="19">
        <v>158.88888888888891</v>
      </c>
      <c r="EX300" s="19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>
        <v>9.8989898989898997</v>
      </c>
      <c r="FK300" s="8">
        <v>3.5353535353535364</v>
      </c>
      <c r="FL300" s="1">
        <v>16.262626262626263</v>
      </c>
      <c r="FO300" s="1">
        <v>67</v>
      </c>
      <c r="FP300" s="1">
        <v>67</v>
      </c>
      <c r="FQ300" s="1">
        <v>67</v>
      </c>
      <c r="FR300" s="13" t="s">
        <v>806</v>
      </c>
      <c r="FS300" s="13" t="s">
        <v>806</v>
      </c>
      <c r="FT300" s="13" t="s">
        <v>806</v>
      </c>
      <c r="FU300" s="13"/>
      <c r="FV300" s="13" t="s">
        <v>806</v>
      </c>
      <c r="FW300" s="13" t="s">
        <v>806</v>
      </c>
      <c r="FX300" s="13" t="s">
        <v>806</v>
      </c>
      <c r="FY300" s="13" t="s">
        <v>806</v>
      </c>
      <c r="FZ300" s="13" t="s">
        <v>806</v>
      </c>
      <c r="GA300" s="13" t="s">
        <v>806</v>
      </c>
      <c r="GB300" s="13" t="s">
        <v>806</v>
      </c>
      <c r="GE300" s="13" t="s">
        <v>806</v>
      </c>
      <c r="GF300" s="13" t="s">
        <v>806</v>
      </c>
      <c r="GH300" s="13" t="s">
        <v>806</v>
      </c>
    </row>
    <row r="301" spans="1:190" ht="12.75" customHeight="1" x14ac:dyDescent="0.25">
      <c r="A301" s="1" t="s">
        <v>150</v>
      </c>
      <c r="B301" s="1" t="s">
        <v>744</v>
      </c>
      <c r="C301" s="1" t="s">
        <v>804</v>
      </c>
      <c r="D301" s="1" t="s">
        <v>705</v>
      </c>
      <c r="E301" s="1" t="s">
        <v>139</v>
      </c>
      <c r="F301" s="1">
        <v>0</v>
      </c>
      <c r="G301" s="1">
        <v>2030</v>
      </c>
      <c r="H301" s="1">
        <v>0</v>
      </c>
      <c r="I301" s="1">
        <v>1</v>
      </c>
      <c r="J301" s="1">
        <v>0</v>
      </c>
      <c r="K30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381.67200000000003</v>
      </c>
      <c r="L30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1174.7062499999995</v>
      </c>
      <c r="M30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1684.0285000000001</v>
      </c>
      <c r="N301" s="19">
        <v>1174.7062499999995</v>
      </c>
      <c r="O301" s="19">
        <v>381.67200000000003</v>
      </c>
      <c r="P301" s="19">
        <v>1684.0285000000001</v>
      </c>
      <c r="Q301" s="19">
        <v>0</v>
      </c>
      <c r="R301" s="19">
        <v>0</v>
      </c>
      <c r="S301" s="19">
        <v>398.41200000000003</v>
      </c>
      <c r="T301" s="19">
        <v>1174.7062499999995</v>
      </c>
      <c r="U301" s="19">
        <v>381.67200000000003</v>
      </c>
      <c r="V301" s="19">
        <v>1684.0285000000001</v>
      </c>
      <c r="W301" s="19">
        <v>0</v>
      </c>
      <c r="X301" s="19">
        <v>0</v>
      </c>
      <c r="Y301" s="19">
        <v>398.41200000000003</v>
      </c>
      <c r="Z301" s="19">
        <v>1174.7062499999995</v>
      </c>
      <c r="AA301" s="19">
        <v>381.67200000000003</v>
      </c>
      <c r="AB301" s="19">
        <v>1684.0285000000001</v>
      </c>
      <c r="AC301" s="19">
        <v>0</v>
      </c>
      <c r="AD301" s="19">
        <v>0</v>
      </c>
      <c r="AE301" s="19">
        <v>398.41200000000003</v>
      </c>
      <c r="AF301" s="19">
        <v>1174.7062499999995</v>
      </c>
      <c r="AG301" s="19">
        <v>381.67200000000003</v>
      </c>
      <c r="AH301" s="19">
        <v>1684.0285000000001</v>
      </c>
      <c r="AI301" s="19">
        <v>0</v>
      </c>
      <c r="AJ301" s="19">
        <v>0</v>
      </c>
      <c r="AK301" s="19">
        <v>398.41200000000003</v>
      </c>
      <c r="AL301" s="19">
        <v>1174.7062499999995</v>
      </c>
      <c r="AM301" s="19">
        <v>381.67200000000003</v>
      </c>
      <c r="AN301" s="19">
        <v>1684.0285000000001</v>
      </c>
      <c r="AO301" s="19">
        <v>0</v>
      </c>
      <c r="AP301" s="19">
        <v>0</v>
      </c>
      <c r="AQ301" s="19">
        <v>398.41200000000003</v>
      </c>
      <c r="AR301" s="19">
        <v>1174.7062499999995</v>
      </c>
      <c r="AS301" s="19">
        <v>381.67200000000003</v>
      </c>
      <c r="AT301" s="19">
        <v>1684.0285000000001</v>
      </c>
      <c r="AU301" s="19">
        <v>0</v>
      </c>
      <c r="AV301" s="19">
        <v>0</v>
      </c>
      <c r="AW301" s="19">
        <v>398.41200000000003</v>
      </c>
      <c r="AX301" s="19">
        <v>1174.7062499999995</v>
      </c>
      <c r="AY301" s="19">
        <v>381.67200000000003</v>
      </c>
      <c r="AZ301" s="19">
        <v>1684.0285000000001</v>
      </c>
      <c r="BA301" s="19">
        <v>0</v>
      </c>
      <c r="BB301" s="19">
        <v>0</v>
      </c>
      <c r="BC301" s="19">
        <v>398.41200000000003</v>
      </c>
      <c r="BD301" s="19">
        <v>1174.7062499999995</v>
      </c>
      <c r="BE301" s="19">
        <v>381.67200000000003</v>
      </c>
      <c r="BF301" s="19">
        <v>1684.0285000000001</v>
      </c>
      <c r="BG301" s="19">
        <v>0</v>
      </c>
      <c r="BH301" s="19">
        <v>0</v>
      </c>
      <c r="BI301" s="19">
        <v>398.41200000000003</v>
      </c>
      <c r="BJ301" s="19">
        <v>1174.7062499999995</v>
      </c>
      <c r="BK301" s="19">
        <v>381.67200000000003</v>
      </c>
      <c r="BL301" s="19">
        <v>1684.0285000000001</v>
      </c>
      <c r="BM301" s="19">
        <v>0</v>
      </c>
      <c r="BN301" s="19">
        <v>0</v>
      </c>
      <c r="BO301" s="19">
        <v>398.41200000000003</v>
      </c>
      <c r="BP301" s="19"/>
      <c r="BQ30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398.41200000000003</v>
      </c>
      <c r="BT301" s="11">
        <f>Tabelle5897112140[[#This Row],[Mindestauslastung min]]*Tabelle5897112140[[#This Row],[installierte Leistung MW min]]</f>
        <v>62.775000000000006</v>
      </c>
      <c r="BU301" s="11">
        <f>Tabelle5897112140[[#This Row],[Mindestauslastung durch]]*Tabelle5897112140[[#This Row],[installierte Leistung MW durch]]</f>
        <v>77.5</v>
      </c>
      <c r="BV301" s="11">
        <f>Tabelle5897112140[[#This Row],[Mindestauslastung max]]*Tabelle5897112140[[#This Row],[installierte Leistung MW max]]</f>
        <v>92.225000000000009</v>
      </c>
      <c r="BW301" s="9">
        <v>0.05</v>
      </c>
      <c r="BX301" s="9">
        <v>0.05</v>
      </c>
      <c r="BY301" s="9">
        <v>0.05</v>
      </c>
      <c r="BZ301" s="9"/>
      <c r="CA301" s="9">
        <v>0.75787499999999985</v>
      </c>
      <c r="CB301" s="9">
        <v>0.30399999999999999</v>
      </c>
      <c r="CC301" s="9">
        <v>0.91299999999999992</v>
      </c>
      <c r="CD301" s="9">
        <v>0.75787499999999985</v>
      </c>
      <c r="CE301" s="9">
        <v>0.30399999999999999</v>
      </c>
      <c r="CF301" s="9">
        <v>0.91299999999999992</v>
      </c>
      <c r="CG301" s="9">
        <v>0.75787499999999985</v>
      </c>
      <c r="CH301" s="9">
        <v>0.30399999999999999</v>
      </c>
      <c r="CI301" s="9">
        <v>0.91299999999999992</v>
      </c>
      <c r="CJ301" s="9">
        <v>0.75787499999999985</v>
      </c>
      <c r="CK301" s="9">
        <v>0.30399999999999999</v>
      </c>
      <c r="CL301" s="9">
        <v>0.91299999999999992</v>
      </c>
      <c r="CM301" s="9">
        <v>0.75787499999999985</v>
      </c>
      <c r="CN301" s="9">
        <v>0.30399999999999999</v>
      </c>
      <c r="CO301" s="9">
        <v>0.91299999999999992</v>
      </c>
      <c r="CP301" s="9">
        <v>0.75787499999999985</v>
      </c>
      <c r="CQ301" s="9">
        <v>0.30399999999999999</v>
      </c>
      <c r="CR301" s="9">
        <v>0.91299999999999992</v>
      </c>
      <c r="CS301" s="9">
        <v>0.75787499999999985</v>
      </c>
      <c r="CT301" s="9">
        <v>0.30399999999999999</v>
      </c>
      <c r="CU301" s="9">
        <v>0.91299999999999992</v>
      </c>
      <c r="CV301" s="9">
        <v>0.75787499999999985</v>
      </c>
      <c r="CW301" s="9">
        <v>0.30399999999999999</v>
      </c>
      <c r="CX301" s="9">
        <v>0.91299999999999992</v>
      </c>
      <c r="CY301" s="9">
        <v>0.75787499999999985</v>
      </c>
      <c r="CZ301" s="9">
        <v>0.30399999999999999</v>
      </c>
      <c r="DA301" s="9">
        <v>0.91299999999999992</v>
      </c>
      <c r="DB301" s="9">
        <f>MIN(Tabelle5897112140[[#This Row],[Durchschnittsauslastung durch Sommer WTT]:[Durchschnittsauslastung max Winter SFN]])</f>
        <v>0.30399999999999999</v>
      </c>
      <c r="DC30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1" s="9">
        <f>MAX(Tabelle5897112140[[#This Row],[Durchschnittsauslastung durch Sommer WTT]:[Durchschnittsauslastung max Winter SFN]])</f>
        <v>0.91299999999999992</v>
      </c>
      <c r="DE301" s="40">
        <f>Tabelle5897112140[[#This Row],[Durchschnittsauslastung min]]*Tabelle5897112140[[#This Row],[installierte Leistung MW min]]</f>
        <v>381.67199999999997</v>
      </c>
      <c r="DF301" s="40">
        <f>Tabelle5897112140[[#This Row],[Durchschnittsauslastung durch]]*Tabelle5897112140[[#This Row],[installierte Leistung MW durch]]</f>
        <v>1174.7062499999997</v>
      </c>
      <c r="DG301" s="40">
        <f>Tabelle5897112140[[#This Row],[Durchschnittsauslastung max]]*Tabelle5897112140[[#This Row],[installierte Leistung MW max]]</f>
        <v>1684.0284999999999</v>
      </c>
      <c r="DH301" s="46">
        <f>Tabelle5897112140[[#This Row],[Maximalauslastung min]]*Tabelle5897112140[[#This Row],[installierte Leistung MW min]]</f>
        <v>0</v>
      </c>
      <c r="DI301" s="46">
        <f>Tabelle5897112140[[#This Row],[Maximalauslastung durch]]*Tabelle5897112140[[#This Row],[installierte Leistung MW durch]]</f>
        <v>21.7</v>
      </c>
      <c r="DJ301" s="19">
        <f>Tabelle5897112140[[#This Row],[Maximalauslastung max]]*Tabelle5897112140[[#This Row],[installierte Leistung MW durch]]</f>
        <v>52.7</v>
      </c>
      <c r="DK301" s="9">
        <v>0</v>
      </c>
      <c r="DL301" s="9">
        <v>1.3999999999999999E-2</v>
      </c>
      <c r="DM301" s="9">
        <v>3.4000000000000002E-2</v>
      </c>
      <c r="DN301" s="1">
        <v>1550</v>
      </c>
      <c r="DO301" s="1">
        <v>1255.5</v>
      </c>
      <c r="DP301" s="1">
        <v>1844.5</v>
      </c>
      <c r="DQ301" s="19"/>
      <c r="DR301" s="19"/>
      <c r="DW301" s="1">
        <v>0.25</v>
      </c>
      <c r="DX301" s="1">
        <v>0.2</v>
      </c>
      <c r="DY301" s="1">
        <v>0.3</v>
      </c>
      <c r="DZ301" s="1">
        <v>0.25</v>
      </c>
      <c r="EA301" s="1">
        <v>0.2</v>
      </c>
      <c r="EB301" s="1">
        <v>0.3</v>
      </c>
      <c r="EC301" s="1">
        <v>0.5</v>
      </c>
      <c r="ED301" s="1">
        <v>0.4</v>
      </c>
      <c r="EE301" s="1">
        <v>0.6</v>
      </c>
      <c r="EF301" s="1">
        <v>0.3</v>
      </c>
      <c r="EG301" s="1">
        <v>0.2</v>
      </c>
      <c r="EH301" s="1">
        <v>0.4</v>
      </c>
      <c r="EL301" s="1">
        <v>365</v>
      </c>
      <c r="EM301" s="1">
        <v>328</v>
      </c>
      <c r="EN301" s="1">
        <v>402</v>
      </c>
      <c r="EO301" s="11"/>
      <c r="EP301" s="11"/>
      <c r="EQ301" s="11"/>
      <c r="ER301" s="1">
        <v>365</v>
      </c>
      <c r="ES301" s="1">
        <v>328</v>
      </c>
      <c r="ET301" s="1">
        <v>402</v>
      </c>
      <c r="EU301" s="1">
        <v>144.44444444444446</v>
      </c>
      <c r="EV301" s="19">
        <v>130</v>
      </c>
      <c r="EW301" s="19">
        <v>158.88888888888891</v>
      </c>
      <c r="EX301" s="19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>
        <v>9.8989898989898997</v>
      </c>
      <c r="FK301" s="8">
        <v>3.5353535353535364</v>
      </c>
      <c r="FL301" s="1">
        <v>16.262626262626263</v>
      </c>
      <c r="FO301" s="1">
        <v>67</v>
      </c>
      <c r="FP301" s="1">
        <v>67</v>
      </c>
      <c r="FQ301" s="1">
        <v>67</v>
      </c>
      <c r="FR301" s="13" t="s">
        <v>806</v>
      </c>
      <c r="FS301" s="13" t="s">
        <v>806</v>
      </c>
      <c r="FT301" s="13" t="s">
        <v>806</v>
      </c>
      <c r="FU301" s="13"/>
      <c r="FV301" s="13" t="s">
        <v>806</v>
      </c>
      <c r="FW301" s="13" t="s">
        <v>806</v>
      </c>
      <c r="FX301" s="13" t="s">
        <v>806</v>
      </c>
      <c r="FY301" s="13" t="s">
        <v>806</v>
      </c>
      <c r="FZ301" s="13" t="s">
        <v>806</v>
      </c>
      <c r="GA301" s="13" t="s">
        <v>806</v>
      </c>
      <c r="GB301" s="13" t="s">
        <v>806</v>
      </c>
      <c r="GE301" s="13" t="s">
        <v>806</v>
      </c>
      <c r="GF301" s="13" t="s">
        <v>806</v>
      </c>
      <c r="GH301" s="13" t="s">
        <v>806</v>
      </c>
    </row>
    <row r="302" spans="1:190" ht="12.75" customHeight="1" x14ac:dyDescent="0.25">
      <c r="A302" s="1" t="s">
        <v>150</v>
      </c>
      <c r="B302" s="1" t="s">
        <v>744</v>
      </c>
      <c r="C302" s="1" t="s">
        <v>804</v>
      </c>
      <c r="D302" s="1" t="s">
        <v>705</v>
      </c>
      <c r="E302" s="1" t="s">
        <v>139</v>
      </c>
      <c r="F302" s="1">
        <v>0</v>
      </c>
      <c r="G302" s="1">
        <v>2035</v>
      </c>
      <c r="H302" s="1">
        <v>0</v>
      </c>
      <c r="I302" s="1">
        <v>1</v>
      </c>
      <c r="J302" s="1">
        <v>0</v>
      </c>
      <c r="K30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381.67200000000003</v>
      </c>
      <c r="L30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1174.7062499999995</v>
      </c>
      <c r="M30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1684.0285000000001</v>
      </c>
      <c r="N302" s="19">
        <v>1174.7062499999995</v>
      </c>
      <c r="O302" s="19">
        <v>381.67200000000003</v>
      </c>
      <c r="P302" s="19">
        <v>1684.0285000000001</v>
      </c>
      <c r="Q302" s="19">
        <v>0</v>
      </c>
      <c r="R302" s="19">
        <v>0</v>
      </c>
      <c r="S302" s="19">
        <v>398.41200000000003</v>
      </c>
      <c r="T302" s="19">
        <v>1174.7062499999995</v>
      </c>
      <c r="U302" s="19">
        <v>381.67200000000003</v>
      </c>
      <c r="V302" s="19">
        <v>1684.0285000000001</v>
      </c>
      <c r="W302" s="19">
        <v>0</v>
      </c>
      <c r="X302" s="19">
        <v>0</v>
      </c>
      <c r="Y302" s="19">
        <v>398.41200000000003</v>
      </c>
      <c r="Z302" s="19">
        <v>1174.7062499999995</v>
      </c>
      <c r="AA302" s="19">
        <v>381.67200000000003</v>
      </c>
      <c r="AB302" s="19">
        <v>1684.0285000000001</v>
      </c>
      <c r="AC302" s="19">
        <v>0</v>
      </c>
      <c r="AD302" s="19">
        <v>0</v>
      </c>
      <c r="AE302" s="19">
        <v>398.41200000000003</v>
      </c>
      <c r="AF302" s="19">
        <v>1174.7062499999995</v>
      </c>
      <c r="AG302" s="19">
        <v>381.67200000000003</v>
      </c>
      <c r="AH302" s="19">
        <v>1684.0285000000001</v>
      </c>
      <c r="AI302" s="19">
        <v>0</v>
      </c>
      <c r="AJ302" s="19">
        <v>0</v>
      </c>
      <c r="AK302" s="19">
        <v>398.41200000000003</v>
      </c>
      <c r="AL302" s="19">
        <v>1174.7062499999995</v>
      </c>
      <c r="AM302" s="19">
        <v>381.67200000000003</v>
      </c>
      <c r="AN302" s="19">
        <v>1684.0285000000001</v>
      </c>
      <c r="AO302" s="19">
        <v>0</v>
      </c>
      <c r="AP302" s="19">
        <v>0</v>
      </c>
      <c r="AQ302" s="19">
        <v>398.41200000000003</v>
      </c>
      <c r="AR302" s="19">
        <v>1174.7062499999995</v>
      </c>
      <c r="AS302" s="19">
        <v>381.67200000000003</v>
      </c>
      <c r="AT302" s="19">
        <v>1684.0285000000001</v>
      </c>
      <c r="AU302" s="19">
        <v>0</v>
      </c>
      <c r="AV302" s="19">
        <v>0</v>
      </c>
      <c r="AW302" s="19">
        <v>398.41200000000003</v>
      </c>
      <c r="AX302" s="19">
        <v>1174.7062499999995</v>
      </c>
      <c r="AY302" s="19">
        <v>381.67200000000003</v>
      </c>
      <c r="AZ302" s="19">
        <v>1684.0285000000001</v>
      </c>
      <c r="BA302" s="19">
        <v>0</v>
      </c>
      <c r="BB302" s="19">
        <v>0</v>
      </c>
      <c r="BC302" s="19">
        <v>398.41200000000003</v>
      </c>
      <c r="BD302" s="19">
        <v>1174.7062499999995</v>
      </c>
      <c r="BE302" s="19">
        <v>381.67200000000003</v>
      </c>
      <c r="BF302" s="19">
        <v>1684.0285000000001</v>
      </c>
      <c r="BG302" s="19">
        <v>0</v>
      </c>
      <c r="BH302" s="19">
        <v>0</v>
      </c>
      <c r="BI302" s="19">
        <v>398.41200000000003</v>
      </c>
      <c r="BJ302" s="19">
        <v>1174.7062499999995</v>
      </c>
      <c r="BK302" s="19">
        <v>381.67200000000003</v>
      </c>
      <c r="BL302" s="19">
        <v>1684.0285000000001</v>
      </c>
      <c r="BM302" s="19">
        <v>0</v>
      </c>
      <c r="BN302" s="19">
        <v>0</v>
      </c>
      <c r="BO302" s="19">
        <v>398.41200000000003</v>
      </c>
      <c r="BP302" s="19"/>
      <c r="BQ30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398.41200000000003</v>
      </c>
      <c r="BT302" s="11">
        <f>Tabelle5897112140[[#This Row],[Mindestauslastung min]]*Tabelle5897112140[[#This Row],[installierte Leistung MW min]]</f>
        <v>62.775000000000006</v>
      </c>
      <c r="BU302" s="11">
        <f>Tabelle5897112140[[#This Row],[Mindestauslastung durch]]*Tabelle5897112140[[#This Row],[installierte Leistung MW durch]]</f>
        <v>77.5</v>
      </c>
      <c r="BV302" s="11">
        <f>Tabelle5897112140[[#This Row],[Mindestauslastung max]]*Tabelle5897112140[[#This Row],[installierte Leistung MW max]]</f>
        <v>92.225000000000009</v>
      </c>
      <c r="BW302" s="9">
        <v>0.05</v>
      </c>
      <c r="BX302" s="9">
        <v>0.05</v>
      </c>
      <c r="BY302" s="9">
        <v>0.05</v>
      </c>
      <c r="BZ302" s="9"/>
      <c r="CA302" s="9">
        <v>0.75787499999999985</v>
      </c>
      <c r="CB302" s="9">
        <v>0.30399999999999999</v>
      </c>
      <c r="CC302" s="9">
        <v>0.91299999999999992</v>
      </c>
      <c r="CD302" s="9">
        <v>0.75787499999999985</v>
      </c>
      <c r="CE302" s="9">
        <v>0.30399999999999999</v>
      </c>
      <c r="CF302" s="9">
        <v>0.91299999999999992</v>
      </c>
      <c r="CG302" s="9">
        <v>0.75787499999999985</v>
      </c>
      <c r="CH302" s="9">
        <v>0.30399999999999999</v>
      </c>
      <c r="CI302" s="9">
        <v>0.91299999999999992</v>
      </c>
      <c r="CJ302" s="9">
        <v>0.75787499999999985</v>
      </c>
      <c r="CK302" s="9">
        <v>0.30399999999999999</v>
      </c>
      <c r="CL302" s="9">
        <v>0.91299999999999992</v>
      </c>
      <c r="CM302" s="9">
        <v>0.75787499999999985</v>
      </c>
      <c r="CN302" s="9">
        <v>0.30399999999999999</v>
      </c>
      <c r="CO302" s="9">
        <v>0.91299999999999992</v>
      </c>
      <c r="CP302" s="9">
        <v>0.75787499999999985</v>
      </c>
      <c r="CQ302" s="9">
        <v>0.30399999999999999</v>
      </c>
      <c r="CR302" s="9">
        <v>0.91299999999999992</v>
      </c>
      <c r="CS302" s="9">
        <v>0.75787499999999985</v>
      </c>
      <c r="CT302" s="9">
        <v>0.30399999999999999</v>
      </c>
      <c r="CU302" s="9">
        <v>0.91299999999999992</v>
      </c>
      <c r="CV302" s="9">
        <v>0.75787499999999985</v>
      </c>
      <c r="CW302" s="9">
        <v>0.30399999999999999</v>
      </c>
      <c r="CX302" s="9">
        <v>0.91299999999999992</v>
      </c>
      <c r="CY302" s="9">
        <v>0.75787499999999985</v>
      </c>
      <c r="CZ302" s="9">
        <v>0.30399999999999999</v>
      </c>
      <c r="DA302" s="9">
        <v>0.91299999999999992</v>
      </c>
      <c r="DB302" s="9">
        <f>MIN(Tabelle5897112140[[#This Row],[Durchschnittsauslastung durch Sommer WTT]:[Durchschnittsauslastung max Winter SFN]])</f>
        <v>0.30399999999999999</v>
      </c>
      <c r="DC30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2" s="9">
        <f>MAX(Tabelle5897112140[[#This Row],[Durchschnittsauslastung durch Sommer WTT]:[Durchschnittsauslastung max Winter SFN]])</f>
        <v>0.91299999999999992</v>
      </c>
      <c r="DE302" s="40">
        <f>Tabelle5897112140[[#This Row],[Durchschnittsauslastung min]]*Tabelle5897112140[[#This Row],[installierte Leistung MW min]]</f>
        <v>381.67199999999997</v>
      </c>
      <c r="DF302" s="40">
        <f>Tabelle5897112140[[#This Row],[Durchschnittsauslastung durch]]*Tabelle5897112140[[#This Row],[installierte Leistung MW durch]]</f>
        <v>1174.7062499999997</v>
      </c>
      <c r="DG302" s="40">
        <f>Tabelle5897112140[[#This Row],[Durchschnittsauslastung max]]*Tabelle5897112140[[#This Row],[installierte Leistung MW max]]</f>
        <v>1684.0284999999999</v>
      </c>
      <c r="DH302" s="46">
        <f>Tabelle5897112140[[#This Row],[Maximalauslastung min]]*Tabelle5897112140[[#This Row],[installierte Leistung MW min]]</f>
        <v>0</v>
      </c>
      <c r="DI302" s="46">
        <f>Tabelle5897112140[[#This Row],[Maximalauslastung durch]]*Tabelle5897112140[[#This Row],[installierte Leistung MW durch]]</f>
        <v>21.7</v>
      </c>
      <c r="DJ302" s="19">
        <f>Tabelle5897112140[[#This Row],[Maximalauslastung max]]*Tabelle5897112140[[#This Row],[installierte Leistung MW durch]]</f>
        <v>52.7</v>
      </c>
      <c r="DK302" s="9">
        <v>0</v>
      </c>
      <c r="DL302" s="9">
        <v>1.3999999999999999E-2</v>
      </c>
      <c r="DM302" s="9">
        <v>3.4000000000000002E-2</v>
      </c>
      <c r="DN302" s="1">
        <v>1550</v>
      </c>
      <c r="DO302" s="1">
        <v>1255.5</v>
      </c>
      <c r="DP302" s="1">
        <v>1844.5</v>
      </c>
      <c r="DQ302" s="19"/>
      <c r="DR302" s="19"/>
      <c r="DW302" s="1">
        <v>0.25</v>
      </c>
      <c r="DX302" s="1">
        <v>0.2</v>
      </c>
      <c r="DY302" s="1">
        <v>0.3</v>
      </c>
      <c r="DZ302" s="1">
        <v>0.25</v>
      </c>
      <c r="EA302" s="1">
        <v>0.2</v>
      </c>
      <c r="EB302" s="1">
        <v>0.3</v>
      </c>
      <c r="EC302" s="1">
        <v>0.5</v>
      </c>
      <c r="ED302" s="1">
        <v>0.4</v>
      </c>
      <c r="EE302" s="1">
        <v>0.6</v>
      </c>
      <c r="EF302" s="1">
        <v>0.3</v>
      </c>
      <c r="EG302" s="1">
        <v>0.2</v>
      </c>
      <c r="EH302" s="1">
        <v>0.4</v>
      </c>
      <c r="EL302" s="1">
        <v>365</v>
      </c>
      <c r="EM302" s="1">
        <v>328</v>
      </c>
      <c r="EN302" s="1">
        <v>402</v>
      </c>
      <c r="EO302" s="11"/>
      <c r="EP302" s="11"/>
      <c r="EQ302" s="11"/>
      <c r="ER302" s="1">
        <v>365</v>
      </c>
      <c r="ES302" s="1">
        <v>328</v>
      </c>
      <c r="ET302" s="1">
        <v>402</v>
      </c>
      <c r="EU302" s="1">
        <v>144.44444444444446</v>
      </c>
      <c r="EV302" s="19">
        <v>130</v>
      </c>
      <c r="EW302" s="19">
        <v>158.88888888888891</v>
      </c>
      <c r="EX302" s="19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>
        <v>9.8989898989898997</v>
      </c>
      <c r="FK302" s="8">
        <v>3.5353535353535364</v>
      </c>
      <c r="FL302" s="1">
        <v>16.262626262626263</v>
      </c>
      <c r="FO302" s="1">
        <v>67</v>
      </c>
      <c r="FP302" s="1">
        <v>67</v>
      </c>
      <c r="FQ302" s="1">
        <v>67</v>
      </c>
      <c r="FR302" s="13" t="s">
        <v>806</v>
      </c>
      <c r="FS302" s="13" t="s">
        <v>806</v>
      </c>
      <c r="FT302" s="13" t="s">
        <v>806</v>
      </c>
      <c r="FU302" s="13"/>
      <c r="FV302" s="13" t="s">
        <v>806</v>
      </c>
      <c r="FW302" s="13" t="s">
        <v>806</v>
      </c>
      <c r="FX302" s="13" t="s">
        <v>806</v>
      </c>
      <c r="FY302" s="13" t="s">
        <v>806</v>
      </c>
      <c r="FZ302" s="13" t="s">
        <v>806</v>
      </c>
      <c r="GA302" s="13" t="s">
        <v>806</v>
      </c>
      <c r="GB302" s="13" t="s">
        <v>806</v>
      </c>
      <c r="GE302" s="13" t="s">
        <v>806</v>
      </c>
      <c r="GF302" s="13" t="s">
        <v>806</v>
      </c>
      <c r="GH302" s="13" t="s">
        <v>806</v>
      </c>
    </row>
    <row r="303" spans="1:190" ht="12.75" customHeight="1" x14ac:dyDescent="0.25">
      <c r="A303" s="1" t="s">
        <v>150</v>
      </c>
      <c r="B303" s="1" t="s">
        <v>744</v>
      </c>
      <c r="C303" s="1" t="s">
        <v>804</v>
      </c>
      <c r="D303" s="1" t="s">
        <v>705</v>
      </c>
      <c r="E303" s="1" t="s">
        <v>139</v>
      </c>
      <c r="F303" s="1">
        <v>0</v>
      </c>
      <c r="G303" s="1">
        <v>2040</v>
      </c>
      <c r="H303" s="1">
        <v>0</v>
      </c>
      <c r="I303" s="1">
        <v>1</v>
      </c>
      <c r="J303" s="1">
        <v>0</v>
      </c>
      <c r="K30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381.67200000000003</v>
      </c>
      <c r="L30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1174.7062499999995</v>
      </c>
      <c r="M30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1684.0285000000001</v>
      </c>
      <c r="N303" s="19">
        <v>1174.7062499999995</v>
      </c>
      <c r="O303" s="19">
        <v>381.67200000000003</v>
      </c>
      <c r="P303" s="19">
        <v>1684.0285000000001</v>
      </c>
      <c r="Q303" s="19">
        <v>0</v>
      </c>
      <c r="R303" s="19">
        <v>0</v>
      </c>
      <c r="S303" s="19">
        <v>398.41200000000003</v>
      </c>
      <c r="T303" s="19">
        <v>1174.7062499999995</v>
      </c>
      <c r="U303" s="19">
        <v>381.67200000000003</v>
      </c>
      <c r="V303" s="19">
        <v>1684.0285000000001</v>
      </c>
      <c r="W303" s="19">
        <v>0</v>
      </c>
      <c r="X303" s="19">
        <v>0</v>
      </c>
      <c r="Y303" s="19">
        <v>398.41200000000003</v>
      </c>
      <c r="Z303" s="19">
        <v>1174.7062499999995</v>
      </c>
      <c r="AA303" s="19">
        <v>381.67200000000003</v>
      </c>
      <c r="AB303" s="19">
        <v>1684.0285000000001</v>
      </c>
      <c r="AC303" s="19">
        <v>0</v>
      </c>
      <c r="AD303" s="19">
        <v>0</v>
      </c>
      <c r="AE303" s="19">
        <v>398.41200000000003</v>
      </c>
      <c r="AF303" s="19">
        <v>1174.7062499999995</v>
      </c>
      <c r="AG303" s="19">
        <v>381.67200000000003</v>
      </c>
      <c r="AH303" s="19">
        <v>1684.0285000000001</v>
      </c>
      <c r="AI303" s="19">
        <v>0</v>
      </c>
      <c r="AJ303" s="19">
        <v>0</v>
      </c>
      <c r="AK303" s="19">
        <v>398.41200000000003</v>
      </c>
      <c r="AL303" s="19">
        <v>1174.7062499999995</v>
      </c>
      <c r="AM303" s="19">
        <v>381.67200000000003</v>
      </c>
      <c r="AN303" s="19">
        <v>1684.0285000000001</v>
      </c>
      <c r="AO303" s="19">
        <v>0</v>
      </c>
      <c r="AP303" s="19">
        <v>0</v>
      </c>
      <c r="AQ303" s="19">
        <v>398.41200000000003</v>
      </c>
      <c r="AR303" s="19">
        <v>1174.7062499999995</v>
      </c>
      <c r="AS303" s="19">
        <v>381.67200000000003</v>
      </c>
      <c r="AT303" s="19">
        <v>1684.0285000000001</v>
      </c>
      <c r="AU303" s="19">
        <v>0</v>
      </c>
      <c r="AV303" s="19">
        <v>0</v>
      </c>
      <c r="AW303" s="19">
        <v>398.41200000000003</v>
      </c>
      <c r="AX303" s="19">
        <v>1174.7062499999995</v>
      </c>
      <c r="AY303" s="19">
        <v>381.67200000000003</v>
      </c>
      <c r="AZ303" s="19">
        <v>1684.0285000000001</v>
      </c>
      <c r="BA303" s="19">
        <v>0</v>
      </c>
      <c r="BB303" s="19">
        <v>0</v>
      </c>
      <c r="BC303" s="19">
        <v>398.41200000000003</v>
      </c>
      <c r="BD303" s="19">
        <v>1174.7062499999995</v>
      </c>
      <c r="BE303" s="19">
        <v>381.67200000000003</v>
      </c>
      <c r="BF303" s="19">
        <v>1684.0285000000001</v>
      </c>
      <c r="BG303" s="19">
        <v>0</v>
      </c>
      <c r="BH303" s="19">
        <v>0</v>
      </c>
      <c r="BI303" s="19">
        <v>398.41200000000003</v>
      </c>
      <c r="BJ303" s="19">
        <v>1174.7062499999995</v>
      </c>
      <c r="BK303" s="19">
        <v>381.67200000000003</v>
      </c>
      <c r="BL303" s="19">
        <v>1684.0285000000001</v>
      </c>
      <c r="BM303" s="19">
        <v>0</v>
      </c>
      <c r="BN303" s="19">
        <v>0</v>
      </c>
      <c r="BO303" s="19">
        <v>398.41200000000003</v>
      </c>
      <c r="BP303" s="19"/>
      <c r="BQ30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398.41200000000003</v>
      </c>
      <c r="BT303" s="11">
        <f>Tabelle5897112140[[#This Row],[Mindestauslastung min]]*Tabelle5897112140[[#This Row],[installierte Leistung MW min]]</f>
        <v>62.775000000000006</v>
      </c>
      <c r="BU303" s="11">
        <f>Tabelle5897112140[[#This Row],[Mindestauslastung durch]]*Tabelle5897112140[[#This Row],[installierte Leistung MW durch]]</f>
        <v>77.5</v>
      </c>
      <c r="BV303" s="11">
        <f>Tabelle5897112140[[#This Row],[Mindestauslastung max]]*Tabelle5897112140[[#This Row],[installierte Leistung MW max]]</f>
        <v>92.225000000000009</v>
      </c>
      <c r="BW303" s="9">
        <v>0.05</v>
      </c>
      <c r="BX303" s="9">
        <v>0.05</v>
      </c>
      <c r="BY303" s="9">
        <v>0.05</v>
      </c>
      <c r="BZ303" s="9"/>
      <c r="CA303" s="9">
        <v>0.75787499999999985</v>
      </c>
      <c r="CB303" s="9">
        <v>0.30399999999999999</v>
      </c>
      <c r="CC303" s="9">
        <v>0.91299999999999992</v>
      </c>
      <c r="CD303" s="9">
        <v>0.75787499999999985</v>
      </c>
      <c r="CE303" s="9">
        <v>0.30399999999999999</v>
      </c>
      <c r="CF303" s="9">
        <v>0.91299999999999992</v>
      </c>
      <c r="CG303" s="9">
        <v>0.75787499999999985</v>
      </c>
      <c r="CH303" s="9">
        <v>0.30399999999999999</v>
      </c>
      <c r="CI303" s="9">
        <v>0.91299999999999992</v>
      </c>
      <c r="CJ303" s="9">
        <v>0.75787499999999985</v>
      </c>
      <c r="CK303" s="9">
        <v>0.30399999999999999</v>
      </c>
      <c r="CL303" s="9">
        <v>0.91299999999999992</v>
      </c>
      <c r="CM303" s="9">
        <v>0.75787499999999985</v>
      </c>
      <c r="CN303" s="9">
        <v>0.30399999999999999</v>
      </c>
      <c r="CO303" s="9">
        <v>0.91299999999999992</v>
      </c>
      <c r="CP303" s="9">
        <v>0.75787499999999985</v>
      </c>
      <c r="CQ303" s="9">
        <v>0.30399999999999999</v>
      </c>
      <c r="CR303" s="9">
        <v>0.91299999999999992</v>
      </c>
      <c r="CS303" s="9">
        <v>0.75787499999999985</v>
      </c>
      <c r="CT303" s="9">
        <v>0.30399999999999999</v>
      </c>
      <c r="CU303" s="9">
        <v>0.91299999999999992</v>
      </c>
      <c r="CV303" s="9">
        <v>0.75787499999999985</v>
      </c>
      <c r="CW303" s="9">
        <v>0.30399999999999999</v>
      </c>
      <c r="CX303" s="9">
        <v>0.91299999999999992</v>
      </c>
      <c r="CY303" s="9">
        <v>0.75787499999999985</v>
      </c>
      <c r="CZ303" s="9">
        <v>0.30399999999999999</v>
      </c>
      <c r="DA303" s="9">
        <v>0.91299999999999992</v>
      </c>
      <c r="DB303" s="9">
        <f>MIN(Tabelle5897112140[[#This Row],[Durchschnittsauslastung durch Sommer WTT]:[Durchschnittsauslastung max Winter SFN]])</f>
        <v>0.30399999999999999</v>
      </c>
      <c r="DC30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3" s="9">
        <f>MAX(Tabelle5897112140[[#This Row],[Durchschnittsauslastung durch Sommer WTT]:[Durchschnittsauslastung max Winter SFN]])</f>
        <v>0.91299999999999992</v>
      </c>
      <c r="DE303" s="40">
        <f>Tabelle5897112140[[#This Row],[Durchschnittsauslastung min]]*Tabelle5897112140[[#This Row],[installierte Leistung MW min]]</f>
        <v>381.67199999999997</v>
      </c>
      <c r="DF303" s="40">
        <f>Tabelle5897112140[[#This Row],[Durchschnittsauslastung durch]]*Tabelle5897112140[[#This Row],[installierte Leistung MW durch]]</f>
        <v>1174.7062499999997</v>
      </c>
      <c r="DG303" s="40">
        <f>Tabelle5897112140[[#This Row],[Durchschnittsauslastung max]]*Tabelle5897112140[[#This Row],[installierte Leistung MW max]]</f>
        <v>1684.0284999999999</v>
      </c>
      <c r="DH303" s="46">
        <f>Tabelle5897112140[[#This Row],[Maximalauslastung min]]*Tabelle5897112140[[#This Row],[installierte Leistung MW min]]</f>
        <v>0</v>
      </c>
      <c r="DI303" s="46">
        <f>Tabelle5897112140[[#This Row],[Maximalauslastung durch]]*Tabelle5897112140[[#This Row],[installierte Leistung MW durch]]</f>
        <v>21.7</v>
      </c>
      <c r="DJ303" s="19">
        <f>Tabelle5897112140[[#This Row],[Maximalauslastung max]]*Tabelle5897112140[[#This Row],[installierte Leistung MW durch]]</f>
        <v>52.7</v>
      </c>
      <c r="DK303" s="9">
        <v>0</v>
      </c>
      <c r="DL303" s="9">
        <v>1.3999999999999999E-2</v>
      </c>
      <c r="DM303" s="9">
        <v>3.4000000000000002E-2</v>
      </c>
      <c r="DN303" s="1">
        <v>1550</v>
      </c>
      <c r="DO303" s="1">
        <v>1255.5</v>
      </c>
      <c r="DP303" s="1">
        <v>1844.5</v>
      </c>
      <c r="DQ303" s="19"/>
      <c r="DR303" s="19"/>
      <c r="DW303" s="1">
        <v>0.25</v>
      </c>
      <c r="DX303" s="1">
        <v>0.2</v>
      </c>
      <c r="DY303" s="1">
        <v>0.3</v>
      </c>
      <c r="DZ303" s="1">
        <v>0.25</v>
      </c>
      <c r="EA303" s="1">
        <v>0.2</v>
      </c>
      <c r="EB303" s="1">
        <v>0.3</v>
      </c>
      <c r="EC303" s="1">
        <v>0.5</v>
      </c>
      <c r="ED303" s="1">
        <v>0.4</v>
      </c>
      <c r="EE303" s="1">
        <v>0.6</v>
      </c>
      <c r="EF303" s="1">
        <v>0.3</v>
      </c>
      <c r="EG303" s="1">
        <v>0.2</v>
      </c>
      <c r="EH303" s="1">
        <v>0.4</v>
      </c>
      <c r="EL303" s="1">
        <v>365</v>
      </c>
      <c r="EM303" s="1">
        <v>328</v>
      </c>
      <c r="EN303" s="1">
        <v>402</v>
      </c>
      <c r="EO303" s="11"/>
      <c r="EP303" s="11"/>
      <c r="EQ303" s="11"/>
      <c r="ER303" s="1">
        <v>365</v>
      </c>
      <c r="ES303" s="1">
        <v>328</v>
      </c>
      <c r="ET303" s="1">
        <v>402</v>
      </c>
      <c r="EU303" s="1">
        <v>144.44444444444446</v>
      </c>
      <c r="EV303" s="19">
        <v>130</v>
      </c>
      <c r="EW303" s="19">
        <v>158.88888888888891</v>
      </c>
      <c r="EX303" s="19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>
        <v>9.8989898989898997</v>
      </c>
      <c r="FK303" s="8">
        <v>3.5353535353535364</v>
      </c>
      <c r="FL303" s="1">
        <v>16.262626262626263</v>
      </c>
      <c r="FO303" s="1">
        <v>67</v>
      </c>
      <c r="FP303" s="1">
        <v>67</v>
      </c>
      <c r="FQ303" s="1">
        <v>67</v>
      </c>
      <c r="FR303" s="13" t="s">
        <v>806</v>
      </c>
      <c r="FS303" s="13" t="s">
        <v>806</v>
      </c>
      <c r="FT303" s="13" t="s">
        <v>806</v>
      </c>
      <c r="FU303" s="13"/>
      <c r="FV303" s="13" t="s">
        <v>806</v>
      </c>
      <c r="FW303" s="13" t="s">
        <v>806</v>
      </c>
      <c r="FX303" s="13" t="s">
        <v>806</v>
      </c>
      <c r="FY303" s="13" t="s">
        <v>806</v>
      </c>
      <c r="FZ303" s="13" t="s">
        <v>806</v>
      </c>
      <c r="GA303" s="13" t="s">
        <v>806</v>
      </c>
      <c r="GB303" s="13" t="s">
        <v>806</v>
      </c>
      <c r="GE303" s="13" t="s">
        <v>806</v>
      </c>
      <c r="GF303" s="13" t="s">
        <v>806</v>
      </c>
      <c r="GH303" s="13" t="s">
        <v>806</v>
      </c>
    </row>
    <row r="304" spans="1:190" ht="12.75" customHeight="1" x14ac:dyDescent="0.25">
      <c r="A304" s="1" t="s">
        <v>150</v>
      </c>
      <c r="B304" s="1" t="s">
        <v>744</v>
      </c>
      <c r="C304" s="1" t="s">
        <v>804</v>
      </c>
      <c r="D304" s="1" t="s">
        <v>705</v>
      </c>
      <c r="E304" s="1" t="s">
        <v>139</v>
      </c>
      <c r="F304" s="1">
        <v>0</v>
      </c>
      <c r="G304" s="1">
        <v>2045</v>
      </c>
      <c r="H304" s="1">
        <v>0</v>
      </c>
      <c r="I304" s="1">
        <v>1</v>
      </c>
      <c r="J304" s="1">
        <v>0</v>
      </c>
      <c r="K30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387.82800000000003</v>
      </c>
      <c r="L30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1193.6531249999991</v>
      </c>
      <c r="M30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1711.1902500000001</v>
      </c>
      <c r="N304" s="19">
        <v>1193.6531249999994</v>
      </c>
      <c r="O304" s="19">
        <v>387.82800000000003</v>
      </c>
      <c r="P304" s="19">
        <v>1711.1902500000001</v>
      </c>
      <c r="Q304" s="19">
        <v>0</v>
      </c>
      <c r="R304" s="19">
        <v>0</v>
      </c>
      <c r="S304" s="19">
        <v>404.83800000000002</v>
      </c>
      <c r="T304" s="19">
        <v>1193.6531249999994</v>
      </c>
      <c r="U304" s="19">
        <v>387.82800000000003</v>
      </c>
      <c r="V304" s="19">
        <v>1711.1902500000001</v>
      </c>
      <c r="W304" s="19">
        <v>0</v>
      </c>
      <c r="X304" s="19">
        <v>0</v>
      </c>
      <c r="Y304" s="19">
        <v>404.83800000000002</v>
      </c>
      <c r="Z304" s="19">
        <v>1193.6531249999994</v>
      </c>
      <c r="AA304" s="19">
        <v>387.82800000000003</v>
      </c>
      <c r="AB304" s="19">
        <v>1711.1902500000001</v>
      </c>
      <c r="AC304" s="19">
        <v>0</v>
      </c>
      <c r="AD304" s="19">
        <v>0</v>
      </c>
      <c r="AE304" s="19">
        <v>404.83800000000002</v>
      </c>
      <c r="AF304" s="19">
        <v>1193.6531249999994</v>
      </c>
      <c r="AG304" s="19">
        <v>387.82800000000003</v>
      </c>
      <c r="AH304" s="19">
        <v>1711.1902500000001</v>
      </c>
      <c r="AI304" s="19">
        <v>0</v>
      </c>
      <c r="AJ304" s="19">
        <v>0</v>
      </c>
      <c r="AK304" s="19">
        <v>404.83800000000002</v>
      </c>
      <c r="AL304" s="19">
        <v>1193.6531249999994</v>
      </c>
      <c r="AM304" s="19">
        <v>387.82800000000003</v>
      </c>
      <c r="AN304" s="19">
        <v>1711.1902500000001</v>
      </c>
      <c r="AO304" s="19">
        <v>0</v>
      </c>
      <c r="AP304" s="19">
        <v>0</v>
      </c>
      <c r="AQ304" s="19">
        <v>404.83800000000002</v>
      </c>
      <c r="AR304" s="19">
        <v>1193.6531249999994</v>
      </c>
      <c r="AS304" s="19">
        <v>387.82800000000003</v>
      </c>
      <c r="AT304" s="19">
        <v>1711.1902500000001</v>
      </c>
      <c r="AU304" s="19">
        <v>0</v>
      </c>
      <c r="AV304" s="19">
        <v>0</v>
      </c>
      <c r="AW304" s="19">
        <v>404.83800000000002</v>
      </c>
      <c r="AX304" s="19">
        <v>1193.6531249999994</v>
      </c>
      <c r="AY304" s="19">
        <v>387.82800000000003</v>
      </c>
      <c r="AZ304" s="19">
        <v>1711.1902500000001</v>
      </c>
      <c r="BA304" s="19">
        <v>0</v>
      </c>
      <c r="BB304" s="19">
        <v>0</v>
      </c>
      <c r="BC304" s="19">
        <v>404.83800000000002</v>
      </c>
      <c r="BD304" s="19">
        <v>1193.6531249999994</v>
      </c>
      <c r="BE304" s="19">
        <v>387.82800000000003</v>
      </c>
      <c r="BF304" s="19">
        <v>1711.1902500000001</v>
      </c>
      <c r="BG304" s="19">
        <v>0</v>
      </c>
      <c r="BH304" s="19">
        <v>0</v>
      </c>
      <c r="BI304" s="19">
        <v>404.83800000000002</v>
      </c>
      <c r="BJ304" s="19">
        <v>1193.6531249999994</v>
      </c>
      <c r="BK304" s="19">
        <v>387.82800000000003</v>
      </c>
      <c r="BL304" s="19">
        <v>1711.1902500000001</v>
      </c>
      <c r="BM304" s="19">
        <v>0</v>
      </c>
      <c r="BN304" s="19">
        <v>0</v>
      </c>
      <c r="BO304" s="19">
        <v>404.83800000000002</v>
      </c>
      <c r="BP304" s="19"/>
      <c r="BQ30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404.83800000000002</v>
      </c>
      <c r="BT304" s="11">
        <f>Tabelle5897112140[[#This Row],[Mindestauslastung min]]*Tabelle5897112140[[#This Row],[installierte Leistung MW min]]</f>
        <v>63.787500000000001</v>
      </c>
      <c r="BU304" s="11">
        <f>Tabelle5897112140[[#This Row],[Mindestauslastung durch]]*Tabelle5897112140[[#This Row],[installierte Leistung MW durch]]</f>
        <v>78.75</v>
      </c>
      <c r="BV304" s="11">
        <f>Tabelle5897112140[[#This Row],[Mindestauslastung max]]*Tabelle5897112140[[#This Row],[installierte Leistung MW max]]</f>
        <v>93.712500000000006</v>
      </c>
      <c r="BW304" s="9">
        <v>0.05</v>
      </c>
      <c r="BX304" s="9">
        <v>0.05</v>
      </c>
      <c r="BY304" s="9">
        <v>0.05</v>
      </c>
      <c r="BZ304" s="9"/>
      <c r="CA304" s="9">
        <v>0.75787499999999985</v>
      </c>
      <c r="CB304" s="9">
        <v>0.30399999999999999</v>
      </c>
      <c r="CC304" s="9">
        <v>0.91299999999999992</v>
      </c>
      <c r="CD304" s="9">
        <v>0.75787499999999985</v>
      </c>
      <c r="CE304" s="9">
        <v>0.30399999999999999</v>
      </c>
      <c r="CF304" s="9">
        <v>0.91299999999999992</v>
      </c>
      <c r="CG304" s="9">
        <v>0.75787499999999985</v>
      </c>
      <c r="CH304" s="9">
        <v>0.30399999999999999</v>
      </c>
      <c r="CI304" s="9">
        <v>0.91299999999999992</v>
      </c>
      <c r="CJ304" s="9">
        <v>0.75787499999999985</v>
      </c>
      <c r="CK304" s="9">
        <v>0.30399999999999999</v>
      </c>
      <c r="CL304" s="9">
        <v>0.91299999999999992</v>
      </c>
      <c r="CM304" s="9">
        <v>0.75787499999999985</v>
      </c>
      <c r="CN304" s="9">
        <v>0.30399999999999999</v>
      </c>
      <c r="CO304" s="9">
        <v>0.91299999999999992</v>
      </c>
      <c r="CP304" s="9">
        <v>0.75787499999999985</v>
      </c>
      <c r="CQ304" s="9">
        <v>0.30399999999999999</v>
      </c>
      <c r="CR304" s="9">
        <v>0.91299999999999992</v>
      </c>
      <c r="CS304" s="9">
        <v>0.75787499999999985</v>
      </c>
      <c r="CT304" s="9">
        <v>0.30399999999999999</v>
      </c>
      <c r="CU304" s="9">
        <v>0.91299999999999992</v>
      </c>
      <c r="CV304" s="9">
        <v>0.75787499999999985</v>
      </c>
      <c r="CW304" s="9">
        <v>0.30399999999999999</v>
      </c>
      <c r="CX304" s="9">
        <v>0.91299999999999992</v>
      </c>
      <c r="CY304" s="9">
        <v>0.75787499999999985</v>
      </c>
      <c r="CZ304" s="9">
        <v>0.30399999999999999</v>
      </c>
      <c r="DA304" s="9">
        <v>0.91299999999999992</v>
      </c>
      <c r="DB304" s="9">
        <f>MIN(Tabelle5897112140[[#This Row],[Durchschnittsauslastung durch Sommer WTT]:[Durchschnittsauslastung max Winter SFN]])</f>
        <v>0.30399999999999999</v>
      </c>
      <c r="DC30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4" s="9">
        <f>MAX(Tabelle5897112140[[#This Row],[Durchschnittsauslastung durch Sommer WTT]:[Durchschnittsauslastung max Winter SFN]])</f>
        <v>0.91299999999999992</v>
      </c>
      <c r="DE304" s="40">
        <f>Tabelle5897112140[[#This Row],[Durchschnittsauslastung min]]*Tabelle5897112140[[#This Row],[installierte Leistung MW min]]</f>
        <v>387.82799999999997</v>
      </c>
      <c r="DF304" s="40">
        <f>Tabelle5897112140[[#This Row],[Durchschnittsauslastung durch]]*Tabelle5897112140[[#This Row],[installierte Leistung MW durch]]</f>
        <v>1193.6531249999998</v>
      </c>
      <c r="DG304" s="40">
        <f>Tabelle5897112140[[#This Row],[Durchschnittsauslastung max]]*Tabelle5897112140[[#This Row],[installierte Leistung MW max]]</f>
        <v>1711.1902499999999</v>
      </c>
      <c r="DH304" s="46">
        <f>Tabelle5897112140[[#This Row],[Maximalauslastung min]]*Tabelle5897112140[[#This Row],[installierte Leistung MW min]]</f>
        <v>0</v>
      </c>
      <c r="DI304" s="46">
        <f>Tabelle5897112140[[#This Row],[Maximalauslastung durch]]*Tabelle5897112140[[#This Row],[installierte Leistung MW durch]]</f>
        <v>22.049999999999997</v>
      </c>
      <c r="DJ304" s="19">
        <f>Tabelle5897112140[[#This Row],[Maximalauslastung max]]*Tabelle5897112140[[#This Row],[installierte Leistung MW durch]]</f>
        <v>53.550000000000004</v>
      </c>
      <c r="DK304" s="9">
        <v>0</v>
      </c>
      <c r="DL304" s="9">
        <v>1.3999999999999999E-2</v>
      </c>
      <c r="DM304" s="9">
        <v>3.4000000000000002E-2</v>
      </c>
      <c r="DN304" s="1">
        <v>1575</v>
      </c>
      <c r="DO304" s="1">
        <v>1275.75</v>
      </c>
      <c r="DP304" s="1">
        <v>1874.25</v>
      </c>
      <c r="DQ304" s="19"/>
      <c r="DR304" s="19"/>
      <c r="DW304" s="1">
        <v>0.25</v>
      </c>
      <c r="DX304" s="1">
        <v>0.2</v>
      </c>
      <c r="DY304" s="1">
        <v>0.3</v>
      </c>
      <c r="DZ304" s="1">
        <v>0.25</v>
      </c>
      <c r="EA304" s="1">
        <v>0.2</v>
      </c>
      <c r="EB304" s="1">
        <v>0.3</v>
      </c>
      <c r="EC304" s="1">
        <v>0.5</v>
      </c>
      <c r="ED304" s="1">
        <v>0.4</v>
      </c>
      <c r="EE304" s="1">
        <v>0.6</v>
      </c>
      <c r="EF304" s="1">
        <v>0.3</v>
      </c>
      <c r="EG304" s="1">
        <v>0.2</v>
      </c>
      <c r="EH304" s="1">
        <v>0.4</v>
      </c>
      <c r="EL304" s="1">
        <v>365</v>
      </c>
      <c r="EM304" s="1">
        <v>328</v>
      </c>
      <c r="EN304" s="1">
        <v>402</v>
      </c>
      <c r="EO304" s="11"/>
      <c r="EP304" s="11"/>
      <c r="EQ304" s="11"/>
      <c r="ER304" s="1">
        <v>365</v>
      </c>
      <c r="ES304" s="1">
        <v>328</v>
      </c>
      <c r="ET304" s="1">
        <v>402</v>
      </c>
      <c r="EU304" s="1">
        <v>144.44444444444446</v>
      </c>
      <c r="EV304" s="19">
        <v>130</v>
      </c>
      <c r="EW304" s="19">
        <v>158.88888888888891</v>
      </c>
      <c r="EX304" s="19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>
        <v>9.8989898989898997</v>
      </c>
      <c r="FK304" s="8">
        <v>3.5353535353535364</v>
      </c>
      <c r="FL304" s="1">
        <v>16.262626262626263</v>
      </c>
      <c r="FO304" s="1">
        <v>67</v>
      </c>
      <c r="FP304" s="1">
        <v>67</v>
      </c>
      <c r="FQ304" s="1">
        <v>67</v>
      </c>
      <c r="FR304" s="13" t="s">
        <v>806</v>
      </c>
      <c r="FS304" s="13" t="s">
        <v>806</v>
      </c>
      <c r="FT304" s="13" t="s">
        <v>806</v>
      </c>
      <c r="FU304" s="13"/>
      <c r="FV304" s="13" t="s">
        <v>806</v>
      </c>
      <c r="FW304" s="13" t="s">
        <v>806</v>
      </c>
      <c r="FX304" s="13" t="s">
        <v>806</v>
      </c>
      <c r="FY304" s="13" t="s">
        <v>806</v>
      </c>
      <c r="FZ304" s="13" t="s">
        <v>806</v>
      </c>
      <c r="GA304" s="13" t="s">
        <v>806</v>
      </c>
      <c r="GB304" s="13" t="s">
        <v>806</v>
      </c>
      <c r="GE304" s="13" t="s">
        <v>806</v>
      </c>
      <c r="GF304" s="13" t="s">
        <v>806</v>
      </c>
      <c r="GH304" s="13" t="s">
        <v>806</v>
      </c>
    </row>
    <row r="305" spans="1:190" ht="12.75" customHeight="1" x14ac:dyDescent="0.25">
      <c r="A305" s="1" t="s">
        <v>150</v>
      </c>
      <c r="B305" s="1" t="s">
        <v>744</v>
      </c>
      <c r="C305" s="1" t="s">
        <v>804</v>
      </c>
      <c r="D305" s="1" t="s">
        <v>705</v>
      </c>
      <c r="E305" s="1" t="s">
        <v>139</v>
      </c>
      <c r="F305" s="1">
        <v>0</v>
      </c>
      <c r="G305" s="1">
        <v>2050</v>
      </c>
      <c r="H305" s="1">
        <v>0</v>
      </c>
      <c r="I305" s="1">
        <v>1</v>
      </c>
      <c r="J305" s="1">
        <v>0</v>
      </c>
      <c r="K30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387.82800000000003</v>
      </c>
      <c r="L30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1193.6531249999991</v>
      </c>
      <c r="M30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1711.1902500000001</v>
      </c>
      <c r="N305" s="19">
        <v>1193.6531249999994</v>
      </c>
      <c r="O305" s="19">
        <v>387.82800000000003</v>
      </c>
      <c r="P305" s="19">
        <v>1711.1902500000001</v>
      </c>
      <c r="Q305" s="19">
        <v>0</v>
      </c>
      <c r="R305" s="19">
        <v>0</v>
      </c>
      <c r="S305" s="19">
        <v>404.83800000000002</v>
      </c>
      <c r="T305" s="19">
        <v>1193.6531249999994</v>
      </c>
      <c r="U305" s="19">
        <v>387.82800000000003</v>
      </c>
      <c r="V305" s="19">
        <v>1711.1902500000001</v>
      </c>
      <c r="W305" s="19">
        <v>0</v>
      </c>
      <c r="X305" s="19">
        <v>0</v>
      </c>
      <c r="Y305" s="19">
        <v>404.83800000000002</v>
      </c>
      <c r="Z305" s="19">
        <v>1193.6531249999994</v>
      </c>
      <c r="AA305" s="19">
        <v>387.82800000000003</v>
      </c>
      <c r="AB305" s="19">
        <v>1711.1902500000001</v>
      </c>
      <c r="AC305" s="19">
        <v>0</v>
      </c>
      <c r="AD305" s="19">
        <v>0</v>
      </c>
      <c r="AE305" s="19">
        <v>404.83800000000002</v>
      </c>
      <c r="AF305" s="19">
        <v>1193.6531249999994</v>
      </c>
      <c r="AG305" s="19">
        <v>387.82800000000003</v>
      </c>
      <c r="AH305" s="19">
        <v>1711.1902500000001</v>
      </c>
      <c r="AI305" s="19">
        <v>0</v>
      </c>
      <c r="AJ305" s="19">
        <v>0</v>
      </c>
      <c r="AK305" s="19">
        <v>404.83800000000002</v>
      </c>
      <c r="AL305" s="19">
        <v>1193.6531249999994</v>
      </c>
      <c r="AM305" s="19">
        <v>387.82800000000003</v>
      </c>
      <c r="AN305" s="19">
        <v>1711.1902500000001</v>
      </c>
      <c r="AO305" s="19">
        <v>0</v>
      </c>
      <c r="AP305" s="19">
        <v>0</v>
      </c>
      <c r="AQ305" s="19">
        <v>404.83800000000002</v>
      </c>
      <c r="AR305" s="19">
        <v>1193.6531249999994</v>
      </c>
      <c r="AS305" s="19">
        <v>387.82800000000003</v>
      </c>
      <c r="AT305" s="19">
        <v>1711.1902500000001</v>
      </c>
      <c r="AU305" s="19">
        <v>0</v>
      </c>
      <c r="AV305" s="19">
        <v>0</v>
      </c>
      <c r="AW305" s="19">
        <v>404.83800000000002</v>
      </c>
      <c r="AX305" s="19">
        <v>1193.6531249999994</v>
      </c>
      <c r="AY305" s="19">
        <v>387.82800000000003</v>
      </c>
      <c r="AZ305" s="19">
        <v>1711.1902500000001</v>
      </c>
      <c r="BA305" s="19">
        <v>0</v>
      </c>
      <c r="BB305" s="19">
        <v>0</v>
      </c>
      <c r="BC305" s="19">
        <v>404.83800000000002</v>
      </c>
      <c r="BD305" s="19">
        <v>1193.6531249999994</v>
      </c>
      <c r="BE305" s="19">
        <v>387.82800000000003</v>
      </c>
      <c r="BF305" s="19">
        <v>1711.1902500000001</v>
      </c>
      <c r="BG305" s="19">
        <v>0</v>
      </c>
      <c r="BH305" s="19">
        <v>0</v>
      </c>
      <c r="BI305" s="19">
        <v>404.83800000000002</v>
      </c>
      <c r="BJ305" s="19">
        <v>1193.6531249999994</v>
      </c>
      <c r="BK305" s="19">
        <v>387.82800000000003</v>
      </c>
      <c r="BL305" s="19">
        <v>1711.1902500000001</v>
      </c>
      <c r="BM305" s="19">
        <v>0</v>
      </c>
      <c r="BN305" s="19">
        <v>0</v>
      </c>
      <c r="BO305" s="19">
        <v>404.83800000000002</v>
      </c>
      <c r="BP305" s="19"/>
      <c r="BQ30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404.83800000000002</v>
      </c>
      <c r="BT305" s="11">
        <f>Tabelle5897112140[[#This Row],[Mindestauslastung min]]*Tabelle5897112140[[#This Row],[installierte Leistung MW min]]</f>
        <v>63.787500000000001</v>
      </c>
      <c r="BU305" s="11">
        <f>Tabelle5897112140[[#This Row],[Mindestauslastung durch]]*Tabelle5897112140[[#This Row],[installierte Leistung MW durch]]</f>
        <v>78.75</v>
      </c>
      <c r="BV305" s="11">
        <f>Tabelle5897112140[[#This Row],[Mindestauslastung max]]*Tabelle5897112140[[#This Row],[installierte Leistung MW max]]</f>
        <v>93.712500000000006</v>
      </c>
      <c r="BW305" s="9">
        <v>0.05</v>
      </c>
      <c r="BX305" s="9">
        <v>0.05</v>
      </c>
      <c r="BY305" s="9">
        <v>0.05</v>
      </c>
      <c r="BZ305" s="9"/>
      <c r="CA305" s="9">
        <v>0.75787499999999985</v>
      </c>
      <c r="CB305" s="9">
        <v>0.30399999999999999</v>
      </c>
      <c r="CC305" s="9">
        <v>0.91299999999999992</v>
      </c>
      <c r="CD305" s="9">
        <v>0.75787499999999985</v>
      </c>
      <c r="CE305" s="9">
        <v>0.30399999999999999</v>
      </c>
      <c r="CF305" s="9">
        <v>0.91299999999999992</v>
      </c>
      <c r="CG305" s="9">
        <v>0.75787499999999985</v>
      </c>
      <c r="CH305" s="9">
        <v>0.30399999999999999</v>
      </c>
      <c r="CI305" s="9">
        <v>0.91299999999999992</v>
      </c>
      <c r="CJ305" s="9">
        <v>0.75787499999999985</v>
      </c>
      <c r="CK305" s="9">
        <v>0.30399999999999999</v>
      </c>
      <c r="CL305" s="9">
        <v>0.91299999999999992</v>
      </c>
      <c r="CM305" s="9">
        <v>0.75787499999999985</v>
      </c>
      <c r="CN305" s="9">
        <v>0.30399999999999999</v>
      </c>
      <c r="CO305" s="9">
        <v>0.91299999999999992</v>
      </c>
      <c r="CP305" s="9">
        <v>0.75787499999999985</v>
      </c>
      <c r="CQ305" s="9">
        <v>0.30399999999999999</v>
      </c>
      <c r="CR305" s="9">
        <v>0.91299999999999992</v>
      </c>
      <c r="CS305" s="9">
        <v>0.75787499999999985</v>
      </c>
      <c r="CT305" s="9">
        <v>0.30399999999999999</v>
      </c>
      <c r="CU305" s="9">
        <v>0.91299999999999992</v>
      </c>
      <c r="CV305" s="9">
        <v>0.75787499999999985</v>
      </c>
      <c r="CW305" s="9">
        <v>0.30399999999999999</v>
      </c>
      <c r="CX305" s="9">
        <v>0.91299999999999992</v>
      </c>
      <c r="CY305" s="9">
        <v>0.75787499999999985</v>
      </c>
      <c r="CZ305" s="9">
        <v>0.30399999999999999</v>
      </c>
      <c r="DA305" s="9">
        <v>0.91299999999999992</v>
      </c>
      <c r="DB305" s="9">
        <f>MIN(Tabelle5897112140[[#This Row],[Durchschnittsauslastung durch Sommer WTT]:[Durchschnittsauslastung max Winter SFN]])</f>
        <v>0.30399999999999999</v>
      </c>
      <c r="DC30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5" s="9">
        <f>MAX(Tabelle5897112140[[#This Row],[Durchschnittsauslastung durch Sommer WTT]:[Durchschnittsauslastung max Winter SFN]])</f>
        <v>0.91299999999999992</v>
      </c>
      <c r="DE305" s="40">
        <f>Tabelle5897112140[[#This Row],[Durchschnittsauslastung min]]*Tabelle5897112140[[#This Row],[installierte Leistung MW min]]</f>
        <v>387.82799999999997</v>
      </c>
      <c r="DF305" s="40">
        <f>Tabelle5897112140[[#This Row],[Durchschnittsauslastung durch]]*Tabelle5897112140[[#This Row],[installierte Leistung MW durch]]</f>
        <v>1193.6531249999998</v>
      </c>
      <c r="DG305" s="40">
        <f>Tabelle5897112140[[#This Row],[Durchschnittsauslastung max]]*Tabelle5897112140[[#This Row],[installierte Leistung MW max]]</f>
        <v>1711.1902499999999</v>
      </c>
      <c r="DH305" s="46">
        <f>Tabelle5897112140[[#This Row],[Maximalauslastung min]]*Tabelle5897112140[[#This Row],[installierte Leistung MW min]]</f>
        <v>0</v>
      </c>
      <c r="DI305" s="46">
        <f>Tabelle5897112140[[#This Row],[Maximalauslastung durch]]*Tabelle5897112140[[#This Row],[installierte Leistung MW durch]]</f>
        <v>22.049999999999997</v>
      </c>
      <c r="DJ305" s="19">
        <f>Tabelle5897112140[[#This Row],[Maximalauslastung max]]*Tabelle5897112140[[#This Row],[installierte Leistung MW durch]]</f>
        <v>53.550000000000004</v>
      </c>
      <c r="DK305" s="9">
        <v>0</v>
      </c>
      <c r="DL305" s="9">
        <v>1.3999999999999999E-2</v>
      </c>
      <c r="DM305" s="9">
        <v>3.4000000000000002E-2</v>
      </c>
      <c r="DN305" s="1">
        <v>1575</v>
      </c>
      <c r="DO305" s="1">
        <v>1275.75</v>
      </c>
      <c r="DP305" s="1">
        <v>1874.25</v>
      </c>
      <c r="DQ305" s="19"/>
      <c r="DR305" s="19"/>
      <c r="DW305" s="1">
        <v>0.25</v>
      </c>
      <c r="DX305" s="1">
        <v>0.2</v>
      </c>
      <c r="DY305" s="1">
        <v>0.3</v>
      </c>
      <c r="DZ305" s="1">
        <v>0.25</v>
      </c>
      <c r="EA305" s="1">
        <v>0.2</v>
      </c>
      <c r="EB305" s="1">
        <v>0.3</v>
      </c>
      <c r="EC305" s="1">
        <v>0.5</v>
      </c>
      <c r="ED305" s="1">
        <v>0.4</v>
      </c>
      <c r="EE305" s="1">
        <v>0.6</v>
      </c>
      <c r="EF305" s="1">
        <v>0.3</v>
      </c>
      <c r="EG305" s="1">
        <v>0.2</v>
      </c>
      <c r="EH305" s="1">
        <v>0.4</v>
      </c>
      <c r="EL305" s="1">
        <v>365</v>
      </c>
      <c r="EM305" s="1">
        <v>328</v>
      </c>
      <c r="EN305" s="1">
        <v>402</v>
      </c>
      <c r="EO305" s="11"/>
      <c r="EP305" s="11"/>
      <c r="EQ305" s="11"/>
      <c r="ER305" s="1">
        <v>365</v>
      </c>
      <c r="ES305" s="1">
        <v>328</v>
      </c>
      <c r="ET305" s="1">
        <v>402</v>
      </c>
      <c r="EU305" s="1">
        <v>144.44444444444446</v>
      </c>
      <c r="EV305" s="19">
        <v>130</v>
      </c>
      <c r="EW305" s="19">
        <v>158.88888888888891</v>
      </c>
      <c r="EX305" s="19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>
        <v>9.8989898989898997</v>
      </c>
      <c r="FK305" s="8">
        <v>3.5353535353535364</v>
      </c>
      <c r="FL305" s="1">
        <v>16.262626262626263</v>
      </c>
      <c r="FO305" s="1">
        <v>67</v>
      </c>
      <c r="FP305" s="1">
        <v>67</v>
      </c>
      <c r="FQ305" s="1">
        <v>67</v>
      </c>
      <c r="FR305" s="13" t="s">
        <v>806</v>
      </c>
      <c r="FS305" s="13" t="s">
        <v>806</v>
      </c>
      <c r="FT305" s="13" t="s">
        <v>806</v>
      </c>
      <c r="FU305" s="13"/>
      <c r="FV305" s="13" t="s">
        <v>806</v>
      </c>
      <c r="FW305" s="13" t="s">
        <v>806</v>
      </c>
      <c r="FX305" s="13" t="s">
        <v>806</v>
      </c>
      <c r="FY305" s="13" t="s">
        <v>806</v>
      </c>
      <c r="FZ305" s="13" t="s">
        <v>806</v>
      </c>
      <c r="GA305" s="13" t="s">
        <v>806</v>
      </c>
      <c r="GB305" s="13" t="s">
        <v>806</v>
      </c>
      <c r="GE305" s="13" t="s">
        <v>806</v>
      </c>
      <c r="GF305" s="13" t="s">
        <v>806</v>
      </c>
      <c r="GH305" s="13" t="s">
        <v>806</v>
      </c>
    </row>
    <row r="306" spans="1:190" ht="12.75" customHeight="1" x14ac:dyDescent="0.25">
      <c r="A306" s="1" t="s">
        <v>135</v>
      </c>
      <c r="B306" s="1" t="s">
        <v>745</v>
      </c>
      <c r="C306" s="1" t="s">
        <v>804</v>
      </c>
      <c r="D306" s="1" t="s">
        <v>709</v>
      </c>
      <c r="E306" s="1" t="s">
        <v>139</v>
      </c>
      <c r="F306" s="1">
        <v>0</v>
      </c>
      <c r="G306" s="1">
        <v>2015</v>
      </c>
      <c r="H306" s="1">
        <v>1</v>
      </c>
      <c r="I306" s="1">
        <v>0</v>
      </c>
      <c r="J306" s="1">
        <v>0</v>
      </c>
      <c r="K30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126.846</v>
      </c>
      <c r="L30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3330.1666666666665</v>
      </c>
      <c r="M30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5813.34</v>
      </c>
      <c r="N306" s="19">
        <v>2943.5</v>
      </c>
      <c r="O306" s="19">
        <v>126.846</v>
      </c>
      <c r="P306" s="19">
        <v>4918.9799999999996</v>
      </c>
      <c r="Q306" s="19">
        <v>753.99999999999966</v>
      </c>
      <c r="R306" s="19">
        <v>0</v>
      </c>
      <c r="S306" s="19">
        <v>4114.0559999999996</v>
      </c>
      <c r="T306" s="19">
        <v>2943.5</v>
      </c>
      <c r="U306" s="19">
        <v>126.846</v>
      </c>
      <c r="V306" s="19">
        <v>4918.9799999999996</v>
      </c>
      <c r="W306" s="19">
        <v>753.99999999999966</v>
      </c>
      <c r="X306" s="19">
        <v>0</v>
      </c>
      <c r="Y306" s="19">
        <v>4114.0559999999996</v>
      </c>
      <c r="Z306" s="19">
        <v>2943.5</v>
      </c>
      <c r="AA306" s="19">
        <v>126.846</v>
      </c>
      <c r="AB306" s="19">
        <v>4918.9799999999996</v>
      </c>
      <c r="AC306" s="19">
        <v>753.99999999999966</v>
      </c>
      <c r="AD306" s="19">
        <v>0</v>
      </c>
      <c r="AE306" s="19">
        <v>4114.0559999999996</v>
      </c>
      <c r="AF306" s="19">
        <v>3523.5</v>
      </c>
      <c r="AG306" s="19">
        <v>126.846</v>
      </c>
      <c r="AH306" s="19">
        <v>5813.34</v>
      </c>
      <c r="AI306" s="19">
        <v>174.00000000000011</v>
      </c>
      <c r="AJ306" s="19">
        <v>0</v>
      </c>
      <c r="AK306" s="19">
        <v>4114.0559999999996</v>
      </c>
      <c r="AL306" s="19">
        <v>3523.5</v>
      </c>
      <c r="AM306" s="19">
        <v>126.846</v>
      </c>
      <c r="AN306" s="19">
        <v>5813.34</v>
      </c>
      <c r="AO306" s="19">
        <v>174.00000000000011</v>
      </c>
      <c r="AP306" s="19">
        <v>0</v>
      </c>
      <c r="AQ306" s="19">
        <v>4114.0559999999996</v>
      </c>
      <c r="AR306" s="19">
        <v>3523.5</v>
      </c>
      <c r="AS306" s="19">
        <v>126.846</v>
      </c>
      <c r="AT306" s="19">
        <v>5813.34</v>
      </c>
      <c r="AU306" s="19">
        <v>174.00000000000011</v>
      </c>
      <c r="AV306" s="19">
        <v>0</v>
      </c>
      <c r="AW306" s="19">
        <v>4114.0559999999996</v>
      </c>
      <c r="AX306" s="19">
        <v>3523.5</v>
      </c>
      <c r="AY306" s="19">
        <v>126.846</v>
      </c>
      <c r="AZ306" s="19">
        <v>5813.34</v>
      </c>
      <c r="BA306" s="19">
        <v>174.00000000000011</v>
      </c>
      <c r="BB306" s="19">
        <v>0</v>
      </c>
      <c r="BC306" s="19">
        <v>4114.0559999999996</v>
      </c>
      <c r="BD306" s="19">
        <v>3523.5</v>
      </c>
      <c r="BE306" s="19">
        <v>126.846</v>
      </c>
      <c r="BF306" s="19">
        <v>5813.34</v>
      </c>
      <c r="BG306" s="19">
        <v>174.00000000000011</v>
      </c>
      <c r="BH306" s="19">
        <v>0</v>
      </c>
      <c r="BI306" s="19">
        <v>4114.0559999999996</v>
      </c>
      <c r="BJ306" s="19">
        <v>3523.5</v>
      </c>
      <c r="BK306" s="19">
        <v>126.846</v>
      </c>
      <c r="BL306" s="19">
        <v>5813.34</v>
      </c>
      <c r="BM306" s="19">
        <v>174.00000000000011</v>
      </c>
      <c r="BN306" s="19">
        <v>0</v>
      </c>
      <c r="BO306" s="19">
        <v>4114.0559999999996</v>
      </c>
      <c r="BP306" s="19"/>
      <c r="BQ30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367.33333333333326</v>
      </c>
      <c r="BS30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4114.0559999999996</v>
      </c>
      <c r="BT306" s="11">
        <f>Tabelle5897112140[[#This Row],[Mindestauslastung min]]*Tabelle5897112140[[#This Row],[installierte Leistung MW min]]</f>
        <v>1057.05</v>
      </c>
      <c r="BU306" s="11">
        <f>Tabelle5897112140[[#This Row],[Mindestauslastung durch]]*Tabelle5897112140[[#This Row],[installierte Leistung MW durch]]</f>
        <v>1087.5</v>
      </c>
      <c r="BV306" s="11">
        <f>Tabelle5897112140[[#This Row],[Mindestauslastung max]]*Tabelle5897112140[[#This Row],[installierte Leistung MW max]]</f>
        <v>1117.95</v>
      </c>
      <c r="BW306" s="9">
        <v>0.05</v>
      </c>
      <c r="BX306" s="9">
        <v>0.05</v>
      </c>
      <c r="BY306" s="9">
        <v>0.05</v>
      </c>
      <c r="BZ306" s="9"/>
      <c r="CA306" s="9">
        <v>0.13533333333333339</v>
      </c>
      <c r="CB306" s="9">
        <v>6.0000000000000001E-3</v>
      </c>
      <c r="CC306" s="9">
        <v>0.22</v>
      </c>
      <c r="CD306" s="9">
        <v>0.13533333333333339</v>
      </c>
      <c r="CE306" s="9">
        <v>6.0000000000000001E-3</v>
      </c>
      <c r="CF306" s="9">
        <v>0.22</v>
      </c>
      <c r="CG306" s="9">
        <v>0.13533333333333339</v>
      </c>
      <c r="CH306" s="9">
        <v>6.0000000000000001E-3</v>
      </c>
      <c r="CI306" s="9">
        <v>0.22</v>
      </c>
      <c r="CJ306" s="9">
        <v>0.16200000000000001</v>
      </c>
      <c r="CK306" s="9">
        <v>6.0000000000000001E-3</v>
      </c>
      <c r="CL306" s="9">
        <v>0.26</v>
      </c>
      <c r="CM306" s="9">
        <v>0.16200000000000001</v>
      </c>
      <c r="CN306" s="9">
        <v>6.0000000000000001E-3</v>
      </c>
      <c r="CO306" s="9">
        <v>0.26</v>
      </c>
      <c r="CP306" s="9">
        <v>0.16200000000000001</v>
      </c>
      <c r="CQ306" s="9">
        <v>6.0000000000000001E-3</v>
      </c>
      <c r="CR306" s="9">
        <v>0.26</v>
      </c>
      <c r="CS306" s="9">
        <v>0.16200000000000001</v>
      </c>
      <c r="CT306" s="9">
        <v>6.0000000000000001E-3</v>
      </c>
      <c r="CU306" s="9">
        <v>0.26</v>
      </c>
      <c r="CV306" s="9">
        <v>0.16200000000000001</v>
      </c>
      <c r="CW306" s="9">
        <v>6.0000000000000001E-3</v>
      </c>
      <c r="CX306" s="9">
        <v>0.26</v>
      </c>
      <c r="CY306" s="9">
        <v>0.16200000000000001</v>
      </c>
      <c r="CZ306" s="9">
        <v>6.0000000000000001E-3</v>
      </c>
      <c r="DA306" s="9">
        <v>0.26</v>
      </c>
      <c r="DB306" s="9">
        <f>MIN(Tabelle5897112140[[#This Row],[Durchschnittsauslastung durch Sommer WTT]:[Durchschnittsauslastung max Winter SFN]])</f>
        <v>6.0000000000000001E-3</v>
      </c>
      <c r="DC30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6" s="9">
        <f>MAX(Tabelle5897112140[[#This Row],[Durchschnittsauslastung durch Sommer WTT]:[Durchschnittsauslastung max Winter SFN]])</f>
        <v>0.26</v>
      </c>
      <c r="DE306" s="40">
        <f>Tabelle5897112140[[#This Row],[Durchschnittsauslastung min]]*Tabelle5897112140[[#This Row],[installierte Leistung MW min]]</f>
        <v>126.846</v>
      </c>
      <c r="DF306" s="40">
        <f>Tabelle5897112140[[#This Row],[Durchschnittsauslastung durch]]*Tabelle5897112140[[#This Row],[installierte Leistung MW durch]]</f>
        <v>3330.1666666666665</v>
      </c>
      <c r="DG306" s="40">
        <f>Tabelle5897112140[[#This Row],[Durchschnittsauslastung max]]*Tabelle5897112140[[#This Row],[installierte Leistung MW max]]</f>
        <v>5813.34</v>
      </c>
      <c r="DH306" s="46">
        <f>Tabelle5897112140[[#This Row],[Maximalauslastung min]]*Tabelle5897112140[[#This Row],[installierte Leistung MW min]]</f>
        <v>9513.4500000000007</v>
      </c>
      <c r="DI306" s="46">
        <f>Tabelle5897112140[[#This Row],[Maximalauslastung durch]]*Tabelle5897112140[[#This Row],[installierte Leistung MW durch]]</f>
        <v>10875</v>
      </c>
      <c r="DJ306" s="19">
        <f>Tabelle5897112140[[#This Row],[Maximalauslastung max]]*Tabelle5897112140[[#This Row],[installierte Leistung MW durch]]</f>
        <v>11962.500000000002</v>
      </c>
      <c r="DK306" s="9">
        <v>0.45</v>
      </c>
      <c r="DL306" s="9">
        <v>0.5</v>
      </c>
      <c r="DM306" s="9">
        <v>0.55000000000000004</v>
      </c>
      <c r="DN306" s="1">
        <v>21750</v>
      </c>
      <c r="DO306" s="1">
        <v>21141</v>
      </c>
      <c r="DP306" s="1">
        <v>22359</v>
      </c>
      <c r="DQ306" s="19"/>
      <c r="DR306" s="19"/>
      <c r="DW306" s="1">
        <v>4</v>
      </c>
      <c r="DX306" s="1">
        <v>3.2</v>
      </c>
      <c r="DY306" s="1">
        <v>4.8</v>
      </c>
      <c r="DZ306" s="1">
        <v>8</v>
      </c>
      <c r="EA306" s="1">
        <v>6.4</v>
      </c>
      <c r="EB306" s="1">
        <v>9.6</v>
      </c>
      <c r="EC306" s="1">
        <v>24</v>
      </c>
      <c r="ED306" s="1">
        <v>24</v>
      </c>
      <c r="EE306" s="1">
        <v>24</v>
      </c>
      <c r="EF306" s="1">
        <v>7.5</v>
      </c>
      <c r="EG306" s="1">
        <v>4.4000000000000004</v>
      </c>
      <c r="EH306" s="1">
        <v>10.6</v>
      </c>
      <c r="EL306" s="1">
        <v>365</v>
      </c>
      <c r="EM306" s="1">
        <v>328</v>
      </c>
      <c r="EN306" s="1">
        <v>402</v>
      </c>
      <c r="EO306" s="11"/>
      <c r="EP306" s="11"/>
      <c r="EQ306" s="11"/>
      <c r="ER306" s="1">
        <v>365</v>
      </c>
      <c r="ES306" s="1">
        <v>328</v>
      </c>
      <c r="ET306" s="1">
        <v>402</v>
      </c>
      <c r="EU306" s="1">
        <v>144.44444444444446</v>
      </c>
      <c r="EV306" s="19">
        <v>130</v>
      </c>
      <c r="EW306" s="19">
        <v>158.88888888888891</v>
      </c>
      <c r="EX306" s="19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>
        <v>9.8989898989898997</v>
      </c>
      <c r="FK306" s="8">
        <v>3.5353535353535364</v>
      </c>
      <c r="FL306" s="1">
        <v>16.262626262626263</v>
      </c>
      <c r="FO306" s="1">
        <v>67</v>
      </c>
      <c r="FP306" s="1">
        <v>67</v>
      </c>
      <c r="FQ306" s="1">
        <v>67</v>
      </c>
      <c r="FR306" s="13" t="s">
        <v>806</v>
      </c>
      <c r="FS306" s="13" t="s">
        <v>806</v>
      </c>
      <c r="FT306" s="13" t="s">
        <v>806</v>
      </c>
      <c r="FU306" s="13"/>
      <c r="FV306" s="13" t="s">
        <v>806</v>
      </c>
      <c r="FW306" s="13" t="s">
        <v>806</v>
      </c>
      <c r="FX306" s="13" t="s">
        <v>806</v>
      </c>
      <c r="FY306" s="13" t="s">
        <v>806</v>
      </c>
      <c r="FZ306" s="13" t="s">
        <v>806</v>
      </c>
      <c r="GA306" s="13" t="s">
        <v>806</v>
      </c>
      <c r="GB306" s="13" t="s">
        <v>806</v>
      </c>
      <c r="GE306" s="13" t="s">
        <v>806</v>
      </c>
      <c r="GF306" s="13" t="s">
        <v>806</v>
      </c>
      <c r="GH306" s="13" t="s">
        <v>806</v>
      </c>
    </row>
    <row r="307" spans="1:190" ht="12.75" customHeight="1" x14ac:dyDescent="0.25">
      <c r="A307" s="1" t="s">
        <v>135</v>
      </c>
      <c r="B307" s="1" t="s">
        <v>745</v>
      </c>
      <c r="C307" s="1" t="s">
        <v>804</v>
      </c>
      <c r="D307" s="1" t="s">
        <v>709</v>
      </c>
      <c r="E307" s="1" t="s">
        <v>139</v>
      </c>
      <c r="F307" s="1">
        <v>0</v>
      </c>
      <c r="G307" s="1">
        <v>2020</v>
      </c>
      <c r="H307" s="1">
        <v>1</v>
      </c>
      <c r="I307" s="1">
        <v>0</v>
      </c>
      <c r="J307" s="1">
        <v>0</v>
      </c>
      <c r="K30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128.11446000000001</v>
      </c>
      <c r="L30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3363.4683333333337</v>
      </c>
      <c r="M30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5871.4733999999999</v>
      </c>
      <c r="N307" s="19">
        <v>2972.9349999999999</v>
      </c>
      <c r="O307" s="19">
        <v>128.11446000000001</v>
      </c>
      <c r="P307" s="19">
        <v>4968.1697999999997</v>
      </c>
      <c r="Q307" s="19">
        <v>761.53999999999962</v>
      </c>
      <c r="R307" s="19">
        <v>0</v>
      </c>
      <c r="S307" s="19">
        <v>4155.1965599999994</v>
      </c>
      <c r="T307" s="19">
        <v>2972.9349999999999</v>
      </c>
      <c r="U307" s="19">
        <v>128.11446000000001</v>
      </c>
      <c r="V307" s="19">
        <v>4968.1697999999997</v>
      </c>
      <c r="W307" s="19">
        <v>761.53999999999962</v>
      </c>
      <c r="X307" s="19">
        <v>0</v>
      </c>
      <c r="Y307" s="19">
        <v>4155.1965599999994</v>
      </c>
      <c r="Z307" s="19">
        <v>2972.9349999999999</v>
      </c>
      <c r="AA307" s="19">
        <v>128.11446000000001</v>
      </c>
      <c r="AB307" s="19">
        <v>4968.1697999999997</v>
      </c>
      <c r="AC307" s="19">
        <v>761.53999999999962</v>
      </c>
      <c r="AD307" s="19">
        <v>0</v>
      </c>
      <c r="AE307" s="19">
        <v>4155.1965599999994</v>
      </c>
      <c r="AF307" s="19">
        <v>3558.7350000000001</v>
      </c>
      <c r="AG307" s="19">
        <v>128.11446000000001</v>
      </c>
      <c r="AH307" s="19">
        <v>5871.4733999999999</v>
      </c>
      <c r="AI307" s="19">
        <v>175.74000000000012</v>
      </c>
      <c r="AJ307" s="19">
        <v>0</v>
      </c>
      <c r="AK307" s="19">
        <v>4155.1965599999994</v>
      </c>
      <c r="AL307" s="19">
        <v>3558.7350000000001</v>
      </c>
      <c r="AM307" s="19">
        <v>128.11446000000001</v>
      </c>
      <c r="AN307" s="19">
        <v>5871.4733999999999</v>
      </c>
      <c r="AO307" s="19">
        <v>175.74000000000012</v>
      </c>
      <c r="AP307" s="19">
        <v>0</v>
      </c>
      <c r="AQ307" s="19">
        <v>4155.1965599999994</v>
      </c>
      <c r="AR307" s="19">
        <v>3558.7350000000001</v>
      </c>
      <c r="AS307" s="19">
        <v>128.11446000000001</v>
      </c>
      <c r="AT307" s="19">
        <v>5871.4733999999999</v>
      </c>
      <c r="AU307" s="19">
        <v>175.74000000000012</v>
      </c>
      <c r="AV307" s="19">
        <v>0</v>
      </c>
      <c r="AW307" s="19">
        <v>4155.1965599999994</v>
      </c>
      <c r="AX307" s="19">
        <v>3558.7350000000001</v>
      </c>
      <c r="AY307" s="19">
        <v>128.11446000000001</v>
      </c>
      <c r="AZ307" s="19">
        <v>5871.4733999999999</v>
      </c>
      <c r="BA307" s="19">
        <v>175.74000000000012</v>
      </c>
      <c r="BB307" s="19">
        <v>0</v>
      </c>
      <c r="BC307" s="19">
        <v>4155.1965599999994</v>
      </c>
      <c r="BD307" s="19">
        <v>3558.7350000000001</v>
      </c>
      <c r="BE307" s="19">
        <v>128.11446000000001</v>
      </c>
      <c r="BF307" s="19">
        <v>5871.4733999999999</v>
      </c>
      <c r="BG307" s="19">
        <v>175.74000000000012</v>
      </c>
      <c r="BH307" s="19">
        <v>0</v>
      </c>
      <c r="BI307" s="19">
        <v>4155.1965599999994</v>
      </c>
      <c r="BJ307" s="19">
        <v>3558.7350000000001</v>
      </c>
      <c r="BK307" s="19">
        <v>128.11446000000001</v>
      </c>
      <c r="BL307" s="19">
        <v>5871.4733999999999</v>
      </c>
      <c r="BM307" s="19">
        <v>175.74000000000012</v>
      </c>
      <c r="BN307" s="19">
        <v>0</v>
      </c>
      <c r="BO307" s="19">
        <v>4155.1965599999994</v>
      </c>
      <c r="BP307" s="19"/>
      <c r="BQ30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371.00666666666672</v>
      </c>
      <c r="BS30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4155.1965599999994</v>
      </c>
      <c r="BT307" s="11">
        <f>Tabelle5897112140[[#This Row],[Mindestauslastung min]]*Tabelle5897112140[[#This Row],[installierte Leistung MW min]]</f>
        <v>1067.6205</v>
      </c>
      <c r="BU307" s="11">
        <f>Tabelle5897112140[[#This Row],[Mindestauslastung durch]]*Tabelle5897112140[[#This Row],[installierte Leistung MW durch]]</f>
        <v>1098.375</v>
      </c>
      <c r="BV307" s="11">
        <f>Tabelle5897112140[[#This Row],[Mindestauslastung max]]*Tabelle5897112140[[#This Row],[installierte Leistung MW max]]</f>
        <v>1129.1295</v>
      </c>
      <c r="BW307" s="9">
        <v>0.05</v>
      </c>
      <c r="BX307" s="9">
        <v>0.05</v>
      </c>
      <c r="BY307" s="9">
        <v>0.05</v>
      </c>
      <c r="BZ307" s="9"/>
      <c r="CA307" s="9">
        <v>0.13533333333333339</v>
      </c>
      <c r="CB307" s="9">
        <v>6.0000000000000001E-3</v>
      </c>
      <c r="CC307" s="9">
        <v>0.22</v>
      </c>
      <c r="CD307" s="9">
        <v>0.13533333333333339</v>
      </c>
      <c r="CE307" s="9">
        <v>6.0000000000000001E-3</v>
      </c>
      <c r="CF307" s="9">
        <v>0.22</v>
      </c>
      <c r="CG307" s="9">
        <v>0.13533333333333339</v>
      </c>
      <c r="CH307" s="9">
        <v>6.0000000000000001E-3</v>
      </c>
      <c r="CI307" s="9">
        <v>0.22</v>
      </c>
      <c r="CJ307" s="9">
        <v>0.16200000000000001</v>
      </c>
      <c r="CK307" s="9">
        <v>6.0000000000000001E-3</v>
      </c>
      <c r="CL307" s="9">
        <v>0.26</v>
      </c>
      <c r="CM307" s="9">
        <v>0.16200000000000001</v>
      </c>
      <c r="CN307" s="9">
        <v>6.0000000000000001E-3</v>
      </c>
      <c r="CO307" s="9">
        <v>0.26</v>
      </c>
      <c r="CP307" s="9">
        <v>0.16200000000000001</v>
      </c>
      <c r="CQ307" s="9">
        <v>6.0000000000000001E-3</v>
      </c>
      <c r="CR307" s="9">
        <v>0.26</v>
      </c>
      <c r="CS307" s="9">
        <v>0.16200000000000001</v>
      </c>
      <c r="CT307" s="9">
        <v>6.0000000000000001E-3</v>
      </c>
      <c r="CU307" s="9">
        <v>0.26</v>
      </c>
      <c r="CV307" s="9">
        <v>0.16200000000000001</v>
      </c>
      <c r="CW307" s="9">
        <v>6.0000000000000001E-3</v>
      </c>
      <c r="CX307" s="9">
        <v>0.26</v>
      </c>
      <c r="CY307" s="9">
        <v>0.16200000000000001</v>
      </c>
      <c r="CZ307" s="9">
        <v>6.0000000000000001E-3</v>
      </c>
      <c r="DA307" s="9">
        <v>0.26</v>
      </c>
      <c r="DB307" s="9">
        <f>MIN(Tabelle5897112140[[#This Row],[Durchschnittsauslastung durch Sommer WTT]:[Durchschnittsauslastung max Winter SFN]])</f>
        <v>6.0000000000000001E-3</v>
      </c>
      <c r="DC30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7" s="9">
        <f>MAX(Tabelle5897112140[[#This Row],[Durchschnittsauslastung durch Sommer WTT]:[Durchschnittsauslastung max Winter SFN]])</f>
        <v>0.26</v>
      </c>
      <c r="DE307" s="40">
        <f>Tabelle5897112140[[#This Row],[Durchschnittsauslastung min]]*Tabelle5897112140[[#This Row],[installierte Leistung MW min]]</f>
        <v>128.11446000000001</v>
      </c>
      <c r="DF307" s="40">
        <f>Tabelle5897112140[[#This Row],[Durchschnittsauslastung durch]]*Tabelle5897112140[[#This Row],[installierte Leistung MW durch]]</f>
        <v>3363.4683333333332</v>
      </c>
      <c r="DG307" s="40">
        <f>Tabelle5897112140[[#This Row],[Durchschnittsauslastung max]]*Tabelle5897112140[[#This Row],[installierte Leistung MW max]]</f>
        <v>5871.4733999999999</v>
      </c>
      <c r="DH307" s="46">
        <f>Tabelle5897112140[[#This Row],[Maximalauslastung min]]*Tabelle5897112140[[#This Row],[installierte Leistung MW min]]</f>
        <v>3202.8615</v>
      </c>
      <c r="DI307" s="46">
        <f>Tabelle5897112140[[#This Row],[Maximalauslastung durch]]*Tabelle5897112140[[#This Row],[installierte Leistung MW durch]]</f>
        <v>3734.4750000000004</v>
      </c>
      <c r="DJ307" s="19">
        <f>Tabelle5897112140[[#This Row],[Maximalauslastung max]]*Tabelle5897112140[[#This Row],[installierte Leistung MW durch]]</f>
        <v>4173.8249999999998</v>
      </c>
      <c r="DK307" s="9">
        <v>0.15</v>
      </c>
      <c r="DL307" s="9">
        <v>0.17</v>
      </c>
      <c r="DM307" s="9">
        <v>0.19</v>
      </c>
      <c r="DN307" s="1">
        <v>21967.5</v>
      </c>
      <c r="DO307" s="1">
        <v>21352.41</v>
      </c>
      <c r="DP307" s="1">
        <v>22582.59</v>
      </c>
      <c r="DQ307" s="19"/>
      <c r="DR307" s="19"/>
      <c r="DW307" s="1">
        <v>4</v>
      </c>
      <c r="DX307" s="1">
        <v>3.2</v>
      </c>
      <c r="DY307" s="1">
        <v>4.8</v>
      </c>
      <c r="DZ307" s="1">
        <v>8</v>
      </c>
      <c r="EA307" s="1">
        <v>6.4</v>
      </c>
      <c r="EB307" s="1">
        <v>9.6</v>
      </c>
      <c r="EC307" s="1">
        <v>24</v>
      </c>
      <c r="ED307" s="1">
        <v>24</v>
      </c>
      <c r="EE307" s="1">
        <v>24</v>
      </c>
      <c r="EF307" s="1">
        <v>7.5</v>
      </c>
      <c r="EG307" s="1">
        <v>4.4000000000000004</v>
      </c>
      <c r="EH307" s="1">
        <v>10.6</v>
      </c>
      <c r="EL307" s="1">
        <v>365</v>
      </c>
      <c r="EM307" s="1">
        <v>328</v>
      </c>
      <c r="EN307" s="1">
        <v>402</v>
      </c>
      <c r="EO307" s="11"/>
      <c r="EP307" s="11"/>
      <c r="EQ307" s="11"/>
      <c r="ER307" s="1">
        <v>365</v>
      </c>
      <c r="ES307" s="1">
        <v>328</v>
      </c>
      <c r="ET307" s="1">
        <v>402</v>
      </c>
      <c r="EU307" s="1">
        <v>144.44444444444446</v>
      </c>
      <c r="EV307" s="19">
        <v>130</v>
      </c>
      <c r="EW307" s="19">
        <v>158.88888888888891</v>
      </c>
      <c r="EX307" s="19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>
        <v>9.8989898989898997</v>
      </c>
      <c r="FK307" s="8">
        <v>3.5353535353535364</v>
      </c>
      <c r="FL307" s="1">
        <v>16.262626262626263</v>
      </c>
      <c r="FO307" s="1">
        <v>67</v>
      </c>
      <c r="FP307" s="1">
        <v>67</v>
      </c>
      <c r="FQ307" s="1">
        <v>67</v>
      </c>
      <c r="FR307" s="13" t="s">
        <v>806</v>
      </c>
      <c r="FS307" s="13" t="s">
        <v>806</v>
      </c>
      <c r="FT307" s="13" t="s">
        <v>806</v>
      </c>
      <c r="FU307" s="13"/>
      <c r="FV307" s="13" t="s">
        <v>806</v>
      </c>
      <c r="FW307" s="13" t="s">
        <v>806</v>
      </c>
      <c r="FX307" s="13" t="s">
        <v>806</v>
      </c>
      <c r="FY307" s="13" t="s">
        <v>806</v>
      </c>
      <c r="FZ307" s="13" t="s">
        <v>806</v>
      </c>
      <c r="GA307" s="13" t="s">
        <v>806</v>
      </c>
      <c r="GB307" s="13" t="s">
        <v>806</v>
      </c>
      <c r="GE307" s="13" t="s">
        <v>806</v>
      </c>
      <c r="GF307" s="13" t="s">
        <v>806</v>
      </c>
      <c r="GH307" s="13" t="s">
        <v>806</v>
      </c>
    </row>
    <row r="308" spans="1:190" ht="12.75" customHeight="1" x14ac:dyDescent="0.25">
      <c r="A308" s="1" t="s">
        <v>135</v>
      </c>
      <c r="B308" s="1" t="s">
        <v>745</v>
      </c>
      <c r="C308" s="1" t="s">
        <v>804</v>
      </c>
      <c r="D308" s="1" t="s">
        <v>709</v>
      </c>
      <c r="E308" s="1" t="s">
        <v>139</v>
      </c>
      <c r="F308" s="1">
        <v>0</v>
      </c>
      <c r="G308" s="1">
        <v>2025</v>
      </c>
      <c r="H308" s="1">
        <v>1</v>
      </c>
      <c r="I308" s="1">
        <v>0</v>
      </c>
      <c r="J308" s="1">
        <v>0</v>
      </c>
      <c r="K30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130.65138000000002</v>
      </c>
      <c r="L30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3430.0716666666672</v>
      </c>
      <c r="M30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5987.7402000000002</v>
      </c>
      <c r="N308" s="19">
        <v>3031.8050000000003</v>
      </c>
      <c r="O308" s="19">
        <v>130.65138000000002</v>
      </c>
      <c r="P308" s="19">
        <v>5066.5493999999999</v>
      </c>
      <c r="Q308" s="19">
        <v>776.61999999999966</v>
      </c>
      <c r="R308" s="19">
        <v>0</v>
      </c>
      <c r="S308" s="19">
        <v>4237.47768</v>
      </c>
      <c r="T308" s="19">
        <v>3031.8050000000003</v>
      </c>
      <c r="U308" s="19">
        <v>130.65138000000002</v>
      </c>
      <c r="V308" s="19">
        <v>5066.5493999999999</v>
      </c>
      <c r="W308" s="19">
        <v>776.61999999999966</v>
      </c>
      <c r="X308" s="19">
        <v>0</v>
      </c>
      <c r="Y308" s="19">
        <v>4237.47768</v>
      </c>
      <c r="Z308" s="19">
        <v>3031.8050000000003</v>
      </c>
      <c r="AA308" s="19">
        <v>130.65138000000002</v>
      </c>
      <c r="AB308" s="19">
        <v>5066.5493999999999</v>
      </c>
      <c r="AC308" s="19">
        <v>776.61999999999966</v>
      </c>
      <c r="AD308" s="19">
        <v>0</v>
      </c>
      <c r="AE308" s="19">
        <v>4237.47768</v>
      </c>
      <c r="AF308" s="19">
        <v>3629.2049999999999</v>
      </c>
      <c r="AG308" s="19">
        <v>130.65138000000002</v>
      </c>
      <c r="AH308" s="19">
        <v>5987.7402000000002</v>
      </c>
      <c r="AI308" s="19">
        <v>179.22000000000011</v>
      </c>
      <c r="AJ308" s="19">
        <v>0</v>
      </c>
      <c r="AK308" s="19">
        <v>4237.47768</v>
      </c>
      <c r="AL308" s="19">
        <v>3629.2049999999999</v>
      </c>
      <c r="AM308" s="19">
        <v>130.65138000000002</v>
      </c>
      <c r="AN308" s="19">
        <v>5987.7402000000002</v>
      </c>
      <c r="AO308" s="19">
        <v>179.22000000000011</v>
      </c>
      <c r="AP308" s="19">
        <v>0</v>
      </c>
      <c r="AQ308" s="19">
        <v>4237.47768</v>
      </c>
      <c r="AR308" s="19">
        <v>3629.2049999999999</v>
      </c>
      <c r="AS308" s="19">
        <v>130.65138000000002</v>
      </c>
      <c r="AT308" s="19">
        <v>5987.7402000000002</v>
      </c>
      <c r="AU308" s="19">
        <v>179.22000000000011</v>
      </c>
      <c r="AV308" s="19">
        <v>0</v>
      </c>
      <c r="AW308" s="19">
        <v>4237.47768</v>
      </c>
      <c r="AX308" s="19">
        <v>3629.2049999999999</v>
      </c>
      <c r="AY308" s="19">
        <v>130.65138000000002</v>
      </c>
      <c r="AZ308" s="19">
        <v>5987.7402000000002</v>
      </c>
      <c r="BA308" s="19">
        <v>179.22000000000011</v>
      </c>
      <c r="BB308" s="19">
        <v>0</v>
      </c>
      <c r="BC308" s="19">
        <v>4237.47768</v>
      </c>
      <c r="BD308" s="19">
        <v>3629.2049999999999</v>
      </c>
      <c r="BE308" s="19">
        <v>130.65138000000002</v>
      </c>
      <c r="BF308" s="19">
        <v>5987.7402000000002</v>
      </c>
      <c r="BG308" s="19">
        <v>179.22000000000011</v>
      </c>
      <c r="BH308" s="19">
        <v>0</v>
      </c>
      <c r="BI308" s="19">
        <v>4237.47768</v>
      </c>
      <c r="BJ308" s="19">
        <v>3629.2049999999999</v>
      </c>
      <c r="BK308" s="19">
        <v>130.65138000000002</v>
      </c>
      <c r="BL308" s="19">
        <v>5987.7402000000002</v>
      </c>
      <c r="BM308" s="19">
        <v>179.22000000000011</v>
      </c>
      <c r="BN308" s="19">
        <v>0</v>
      </c>
      <c r="BO308" s="19">
        <v>4237.47768</v>
      </c>
      <c r="BP308" s="19"/>
      <c r="BQ30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378.35333333333335</v>
      </c>
      <c r="BS30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4237.47768</v>
      </c>
      <c r="BT308" s="11">
        <f>Tabelle5897112140[[#This Row],[Mindestauslastung min]]*Tabelle5897112140[[#This Row],[installierte Leistung MW min]]</f>
        <v>1088.7615000000001</v>
      </c>
      <c r="BU308" s="11">
        <f>Tabelle5897112140[[#This Row],[Mindestauslastung durch]]*Tabelle5897112140[[#This Row],[installierte Leistung MW durch]]</f>
        <v>1120.125</v>
      </c>
      <c r="BV308" s="11">
        <f>Tabelle5897112140[[#This Row],[Mindestauslastung max]]*Tabelle5897112140[[#This Row],[installierte Leistung MW max]]</f>
        <v>1151.4885000000002</v>
      </c>
      <c r="BW308" s="9">
        <v>0.05</v>
      </c>
      <c r="BX308" s="9">
        <v>0.05</v>
      </c>
      <c r="BY308" s="9">
        <v>0.05</v>
      </c>
      <c r="BZ308" s="9"/>
      <c r="CA308" s="9">
        <v>0.13533333333333339</v>
      </c>
      <c r="CB308" s="9">
        <v>6.0000000000000001E-3</v>
      </c>
      <c r="CC308" s="9">
        <v>0.22</v>
      </c>
      <c r="CD308" s="9">
        <v>0.13533333333333339</v>
      </c>
      <c r="CE308" s="9">
        <v>6.0000000000000001E-3</v>
      </c>
      <c r="CF308" s="9">
        <v>0.22</v>
      </c>
      <c r="CG308" s="9">
        <v>0.13533333333333339</v>
      </c>
      <c r="CH308" s="9">
        <v>6.0000000000000001E-3</v>
      </c>
      <c r="CI308" s="9">
        <v>0.22</v>
      </c>
      <c r="CJ308" s="9">
        <v>0.16200000000000001</v>
      </c>
      <c r="CK308" s="9">
        <v>6.0000000000000001E-3</v>
      </c>
      <c r="CL308" s="9">
        <v>0.26</v>
      </c>
      <c r="CM308" s="9">
        <v>0.16200000000000001</v>
      </c>
      <c r="CN308" s="9">
        <v>6.0000000000000001E-3</v>
      </c>
      <c r="CO308" s="9">
        <v>0.26</v>
      </c>
      <c r="CP308" s="9">
        <v>0.16200000000000001</v>
      </c>
      <c r="CQ308" s="9">
        <v>6.0000000000000001E-3</v>
      </c>
      <c r="CR308" s="9">
        <v>0.26</v>
      </c>
      <c r="CS308" s="9">
        <v>0.16200000000000001</v>
      </c>
      <c r="CT308" s="9">
        <v>6.0000000000000001E-3</v>
      </c>
      <c r="CU308" s="9">
        <v>0.26</v>
      </c>
      <c r="CV308" s="9">
        <v>0.16200000000000001</v>
      </c>
      <c r="CW308" s="9">
        <v>6.0000000000000001E-3</v>
      </c>
      <c r="CX308" s="9">
        <v>0.26</v>
      </c>
      <c r="CY308" s="9">
        <v>0.16200000000000001</v>
      </c>
      <c r="CZ308" s="9">
        <v>6.0000000000000001E-3</v>
      </c>
      <c r="DA308" s="9">
        <v>0.26</v>
      </c>
      <c r="DB308" s="9">
        <f>MIN(Tabelle5897112140[[#This Row],[Durchschnittsauslastung durch Sommer WTT]:[Durchschnittsauslastung max Winter SFN]])</f>
        <v>6.0000000000000001E-3</v>
      </c>
      <c r="DC30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8" s="9">
        <f>MAX(Tabelle5897112140[[#This Row],[Durchschnittsauslastung durch Sommer WTT]:[Durchschnittsauslastung max Winter SFN]])</f>
        <v>0.26</v>
      </c>
      <c r="DE308" s="40">
        <f>Tabelle5897112140[[#This Row],[Durchschnittsauslastung min]]*Tabelle5897112140[[#This Row],[installierte Leistung MW min]]</f>
        <v>130.65137999999999</v>
      </c>
      <c r="DF308" s="40">
        <f>Tabelle5897112140[[#This Row],[Durchschnittsauslastung durch]]*Tabelle5897112140[[#This Row],[installierte Leistung MW durch]]</f>
        <v>3430.0716666666667</v>
      </c>
      <c r="DG308" s="40">
        <f>Tabelle5897112140[[#This Row],[Durchschnittsauslastung max]]*Tabelle5897112140[[#This Row],[installierte Leistung MW max]]</f>
        <v>5987.7402000000002</v>
      </c>
      <c r="DH308" s="46">
        <f>Tabelle5897112140[[#This Row],[Maximalauslastung min]]*Tabelle5897112140[[#This Row],[installierte Leistung MW min]]</f>
        <v>3266.2844999999998</v>
      </c>
      <c r="DI308" s="46">
        <f>Tabelle5897112140[[#This Row],[Maximalauslastung durch]]*Tabelle5897112140[[#This Row],[installierte Leistung MW durch]]</f>
        <v>3808.4250000000002</v>
      </c>
      <c r="DJ308" s="19">
        <f>Tabelle5897112140[[#This Row],[Maximalauslastung max]]*Tabelle5897112140[[#This Row],[installierte Leistung MW durch]]</f>
        <v>4256.4750000000004</v>
      </c>
      <c r="DK308" s="9">
        <v>0.15</v>
      </c>
      <c r="DL308" s="9">
        <v>0.17</v>
      </c>
      <c r="DM308" s="9">
        <v>0.19</v>
      </c>
      <c r="DN308" s="1">
        <v>22402.5</v>
      </c>
      <c r="DO308" s="1">
        <v>21775.23</v>
      </c>
      <c r="DP308" s="1">
        <v>23029.77</v>
      </c>
      <c r="DQ308" s="19"/>
      <c r="DR308" s="19"/>
      <c r="DW308" s="1">
        <v>4</v>
      </c>
      <c r="DX308" s="1">
        <v>3.2</v>
      </c>
      <c r="DY308" s="1">
        <v>4.8</v>
      </c>
      <c r="DZ308" s="1">
        <v>8</v>
      </c>
      <c r="EA308" s="1">
        <v>6.4</v>
      </c>
      <c r="EB308" s="1">
        <v>9.6</v>
      </c>
      <c r="EC308" s="1">
        <v>24</v>
      </c>
      <c r="ED308" s="1">
        <v>24</v>
      </c>
      <c r="EE308" s="1">
        <v>24</v>
      </c>
      <c r="EF308" s="1">
        <v>7.5</v>
      </c>
      <c r="EG308" s="1">
        <v>4.4000000000000004</v>
      </c>
      <c r="EH308" s="1">
        <v>10.6</v>
      </c>
      <c r="EL308" s="1">
        <v>365</v>
      </c>
      <c r="EM308" s="1">
        <v>328</v>
      </c>
      <c r="EN308" s="1">
        <v>402</v>
      </c>
      <c r="EO308" s="11"/>
      <c r="EP308" s="11"/>
      <c r="EQ308" s="11"/>
      <c r="ER308" s="1">
        <v>365</v>
      </c>
      <c r="ES308" s="1">
        <v>328</v>
      </c>
      <c r="ET308" s="1">
        <v>402</v>
      </c>
      <c r="EU308" s="1">
        <v>144.44444444444446</v>
      </c>
      <c r="EV308" s="19">
        <v>130</v>
      </c>
      <c r="EW308" s="19">
        <v>158.88888888888891</v>
      </c>
      <c r="EX308" s="19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>
        <v>9.8989898989898997</v>
      </c>
      <c r="FK308" s="8">
        <v>3.5353535353535364</v>
      </c>
      <c r="FL308" s="1">
        <v>16.262626262626263</v>
      </c>
      <c r="FO308" s="1">
        <v>67</v>
      </c>
      <c r="FP308" s="1">
        <v>67</v>
      </c>
      <c r="FQ308" s="1">
        <v>67</v>
      </c>
      <c r="FR308" s="13" t="s">
        <v>806</v>
      </c>
      <c r="FS308" s="13" t="s">
        <v>806</v>
      </c>
      <c r="FT308" s="13" t="s">
        <v>806</v>
      </c>
      <c r="FU308" s="13"/>
      <c r="FV308" s="13" t="s">
        <v>806</v>
      </c>
      <c r="FW308" s="13" t="s">
        <v>806</v>
      </c>
      <c r="FX308" s="13" t="s">
        <v>806</v>
      </c>
      <c r="FY308" s="13" t="s">
        <v>806</v>
      </c>
      <c r="FZ308" s="13" t="s">
        <v>806</v>
      </c>
      <c r="GA308" s="13" t="s">
        <v>806</v>
      </c>
      <c r="GB308" s="13" t="s">
        <v>806</v>
      </c>
      <c r="GE308" s="13" t="s">
        <v>806</v>
      </c>
      <c r="GF308" s="13" t="s">
        <v>806</v>
      </c>
      <c r="GH308" s="13" t="s">
        <v>806</v>
      </c>
    </row>
    <row r="309" spans="1:190" ht="12.75" customHeight="1" x14ac:dyDescent="0.25">
      <c r="A309" s="1" t="s">
        <v>135</v>
      </c>
      <c r="B309" s="1" t="s">
        <v>745</v>
      </c>
      <c r="C309" s="1" t="s">
        <v>804</v>
      </c>
      <c r="D309" s="1" t="s">
        <v>709</v>
      </c>
      <c r="E309" s="1" t="s">
        <v>139</v>
      </c>
      <c r="F309" s="1">
        <v>0</v>
      </c>
      <c r="G309" s="1">
        <v>2030</v>
      </c>
      <c r="H309" s="1">
        <v>1</v>
      </c>
      <c r="I309" s="1">
        <v>0</v>
      </c>
      <c r="J309" s="1">
        <v>0</v>
      </c>
      <c r="K30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131.91984000000002</v>
      </c>
      <c r="L30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3463.373333333333</v>
      </c>
      <c r="M30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6045.8736000000008</v>
      </c>
      <c r="N309" s="19">
        <v>3061.2400000000002</v>
      </c>
      <c r="O309" s="19">
        <v>131.91984000000002</v>
      </c>
      <c r="P309" s="19">
        <v>5115.7392</v>
      </c>
      <c r="Q309" s="19">
        <v>784.15999999999963</v>
      </c>
      <c r="R309" s="19">
        <v>0</v>
      </c>
      <c r="S309" s="19">
        <v>4278.6182399999998</v>
      </c>
      <c r="T309" s="19">
        <v>3061.2400000000002</v>
      </c>
      <c r="U309" s="19">
        <v>131.91984000000002</v>
      </c>
      <c r="V309" s="19">
        <v>5115.7392</v>
      </c>
      <c r="W309" s="19">
        <v>784.15999999999963</v>
      </c>
      <c r="X309" s="19">
        <v>0</v>
      </c>
      <c r="Y309" s="19">
        <v>4278.6182399999998</v>
      </c>
      <c r="Z309" s="19">
        <v>3061.2400000000002</v>
      </c>
      <c r="AA309" s="19">
        <v>131.91984000000002</v>
      </c>
      <c r="AB309" s="19">
        <v>5115.7392</v>
      </c>
      <c r="AC309" s="19">
        <v>784.15999999999963</v>
      </c>
      <c r="AD309" s="19">
        <v>0</v>
      </c>
      <c r="AE309" s="19">
        <v>4278.6182399999998</v>
      </c>
      <c r="AF309" s="19">
        <v>3664.44</v>
      </c>
      <c r="AG309" s="19">
        <v>131.91984000000002</v>
      </c>
      <c r="AH309" s="19">
        <v>6045.8736000000008</v>
      </c>
      <c r="AI309" s="19">
        <v>180.96000000000012</v>
      </c>
      <c r="AJ309" s="19">
        <v>0</v>
      </c>
      <c r="AK309" s="19">
        <v>4278.6182399999998</v>
      </c>
      <c r="AL309" s="19">
        <v>3664.44</v>
      </c>
      <c r="AM309" s="19">
        <v>131.91984000000002</v>
      </c>
      <c r="AN309" s="19">
        <v>6045.8736000000008</v>
      </c>
      <c r="AO309" s="19">
        <v>180.96000000000012</v>
      </c>
      <c r="AP309" s="19">
        <v>0</v>
      </c>
      <c r="AQ309" s="19">
        <v>4278.6182399999998</v>
      </c>
      <c r="AR309" s="19">
        <v>3664.44</v>
      </c>
      <c r="AS309" s="19">
        <v>131.91984000000002</v>
      </c>
      <c r="AT309" s="19">
        <v>6045.8736000000008</v>
      </c>
      <c r="AU309" s="19">
        <v>180.96000000000012</v>
      </c>
      <c r="AV309" s="19">
        <v>0</v>
      </c>
      <c r="AW309" s="19">
        <v>4278.6182399999998</v>
      </c>
      <c r="AX309" s="19">
        <v>3664.44</v>
      </c>
      <c r="AY309" s="19">
        <v>131.91984000000002</v>
      </c>
      <c r="AZ309" s="19">
        <v>6045.8736000000008</v>
      </c>
      <c r="BA309" s="19">
        <v>180.96000000000012</v>
      </c>
      <c r="BB309" s="19">
        <v>0</v>
      </c>
      <c r="BC309" s="19">
        <v>4278.6182399999998</v>
      </c>
      <c r="BD309" s="19">
        <v>3664.44</v>
      </c>
      <c r="BE309" s="19">
        <v>131.91984000000002</v>
      </c>
      <c r="BF309" s="19">
        <v>6045.8736000000008</v>
      </c>
      <c r="BG309" s="19">
        <v>180.96000000000012</v>
      </c>
      <c r="BH309" s="19">
        <v>0</v>
      </c>
      <c r="BI309" s="19">
        <v>4278.6182399999998</v>
      </c>
      <c r="BJ309" s="19">
        <v>3664.44</v>
      </c>
      <c r="BK309" s="19">
        <v>131.91984000000002</v>
      </c>
      <c r="BL309" s="19">
        <v>6045.8736000000008</v>
      </c>
      <c r="BM309" s="19">
        <v>180.96000000000012</v>
      </c>
      <c r="BN309" s="19">
        <v>0</v>
      </c>
      <c r="BO309" s="19">
        <v>4278.6182399999998</v>
      </c>
      <c r="BP309" s="19"/>
      <c r="BQ30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382.02666666666653</v>
      </c>
      <c r="BS30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4278.6182399999998</v>
      </c>
      <c r="BT309" s="11">
        <f>Tabelle5897112140[[#This Row],[Mindestauslastung min]]*Tabelle5897112140[[#This Row],[installierte Leistung MW min]]</f>
        <v>1099.3320000000001</v>
      </c>
      <c r="BU309" s="11">
        <f>Tabelle5897112140[[#This Row],[Mindestauslastung durch]]*Tabelle5897112140[[#This Row],[installierte Leistung MW durch]]</f>
        <v>1131</v>
      </c>
      <c r="BV309" s="11">
        <f>Tabelle5897112140[[#This Row],[Mindestauslastung max]]*Tabelle5897112140[[#This Row],[installierte Leistung MW max]]</f>
        <v>1162.6680000000001</v>
      </c>
      <c r="BW309" s="9">
        <v>0.05</v>
      </c>
      <c r="BX309" s="9">
        <v>0.05</v>
      </c>
      <c r="BY309" s="9">
        <v>0.05</v>
      </c>
      <c r="BZ309" s="9"/>
      <c r="CA309" s="9">
        <v>0.13533333333333339</v>
      </c>
      <c r="CB309" s="9">
        <v>6.0000000000000001E-3</v>
      </c>
      <c r="CC309" s="9">
        <v>0.22</v>
      </c>
      <c r="CD309" s="9">
        <v>0.13533333333333339</v>
      </c>
      <c r="CE309" s="9">
        <v>6.0000000000000001E-3</v>
      </c>
      <c r="CF309" s="9">
        <v>0.22</v>
      </c>
      <c r="CG309" s="9">
        <v>0.13533333333333339</v>
      </c>
      <c r="CH309" s="9">
        <v>6.0000000000000001E-3</v>
      </c>
      <c r="CI309" s="9">
        <v>0.22</v>
      </c>
      <c r="CJ309" s="9">
        <v>0.16200000000000001</v>
      </c>
      <c r="CK309" s="9">
        <v>6.0000000000000001E-3</v>
      </c>
      <c r="CL309" s="9">
        <v>0.26</v>
      </c>
      <c r="CM309" s="9">
        <v>0.16200000000000001</v>
      </c>
      <c r="CN309" s="9">
        <v>6.0000000000000001E-3</v>
      </c>
      <c r="CO309" s="9">
        <v>0.26</v>
      </c>
      <c r="CP309" s="9">
        <v>0.16200000000000001</v>
      </c>
      <c r="CQ309" s="9">
        <v>6.0000000000000001E-3</v>
      </c>
      <c r="CR309" s="9">
        <v>0.26</v>
      </c>
      <c r="CS309" s="9">
        <v>0.16200000000000001</v>
      </c>
      <c r="CT309" s="9">
        <v>6.0000000000000001E-3</v>
      </c>
      <c r="CU309" s="9">
        <v>0.26</v>
      </c>
      <c r="CV309" s="9">
        <v>0.16200000000000001</v>
      </c>
      <c r="CW309" s="9">
        <v>6.0000000000000001E-3</v>
      </c>
      <c r="CX309" s="9">
        <v>0.26</v>
      </c>
      <c r="CY309" s="9">
        <v>0.16200000000000001</v>
      </c>
      <c r="CZ309" s="9">
        <v>6.0000000000000001E-3</v>
      </c>
      <c r="DA309" s="9">
        <v>0.26</v>
      </c>
      <c r="DB309" s="9">
        <f>MIN(Tabelle5897112140[[#This Row],[Durchschnittsauslastung durch Sommer WTT]:[Durchschnittsauslastung max Winter SFN]])</f>
        <v>6.0000000000000001E-3</v>
      </c>
      <c r="DC30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9" s="9">
        <f>MAX(Tabelle5897112140[[#This Row],[Durchschnittsauslastung durch Sommer WTT]:[Durchschnittsauslastung max Winter SFN]])</f>
        <v>0.26</v>
      </c>
      <c r="DE309" s="40">
        <f>Tabelle5897112140[[#This Row],[Durchschnittsauslastung min]]*Tabelle5897112140[[#This Row],[installierte Leistung MW min]]</f>
        <v>131.91983999999999</v>
      </c>
      <c r="DF309" s="40">
        <f>Tabelle5897112140[[#This Row],[Durchschnittsauslastung durch]]*Tabelle5897112140[[#This Row],[installierte Leistung MW durch]]</f>
        <v>3463.3733333333334</v>
      </c>
      <c r="DG309" s="40">
        <f>Tabelle5897112140[[#This Row],[Durchschnittsauslastung max]]*Tabelle5897112140[[#This Row],[installierte Leistung MW max]]</f>
        <v>6045.8736000000008</v>
      </c>
      <c r="DH309" s="46">
        <f>Tabelle5897112140[[#This Row],[Maximalauslastung min]]*Tabelle5897112140[[#This Row],[installierte Leistung MW min]]</f>
        <v>3297.9959999999996</v>
      </c>
      <c r="DI309" s="46">
        <f>Tabelle5897112140[[#This Row],[Maximalauslastung durch]]*Tabelle5897112140[[#This Row],[installierte Leistung MW durch]]</f>
        <v>3845.4</v>
      </c>
      <c r="DJ309" s="19">
        <f>Tabelle5897112140[[#This Row],[Maximalauslastung max]]*Tabelle5897112140[[#This Row],[installierte Leistung MW durch]]</f>
        <v>4297.8</v>
      </c>
      <c r="DK309" s="9">
        <v>0.15</v>
      </c>
      <c r="DL309" s="9">
        <v>0.17</v>
      </c>
      <c r="DM309" s="9">
        <v>0.19</v>
      </c>
      <c r="DN309" s="1">
        <v>22620</v>
      </c>
      <c r="DO309" s="1">
        <v>21986.639999999999</v>
      </c>
      <c r="DP309" s="1">
        <v>23253.360000000001</v>
      </c>
      <c r="DQ309" s="19"/>
      <c r="DR309" s="19"/>
      <c r="DW309" s="1">
        <v>4</v>
      </c>
      <c r="DX309" s="1">
        <v>3.2</v>
      </c>
      <c r="DY309" s="1">
        <v>4.8</v>
      </c>
      <c r="DZ309" s="1">
        <v>8</v>
      </c>
      <c r="EA309" s="1">
        <v>6.4</v>
      </c>
      <c r="EB309" s="1">
        <v>9.6</v>
      </c>
      <c r="EC309" s="1">
        <v>24</v>
      </c>
      <c r="ED309" s="1">
        <v>24</v>
      </c>
      <c r="EE309" s="1">
        <v>24</v>
      </c>
      <c r="EF309" s="1">
        <v>7.5</v>
      </c>
      <c r="EG309" s="1">
        <v>4.4000000000000004</v>
      </c>
      <c r="EH309" s="1">
        <v>10.6</v>
      </c>
      <c r="EL309" s="1">
        <v>365</v>
      </c>
      <c r="EM309" s="1">
        <v>328</v>
      </c>
      <c r="EN309" s="1">
        <v>402</v>
      </c>
      <c r="EO309" s="11"/>
      <c r="EP309" s="11"/>
      <c r="EQ309" s="11"/>
      <c r="ER309" s="1">
        <v>365</v>
      </c>
      <c r="ES309" s="1">
        <v>328</v>
      </c>
      <c r="ET309" s="1">
        <v>402</v>
      </c>
      <c r="EU309" s="1">
        <v>144.44444444444446</v>
      </c>
      <c r="EV309" s="19">
        <v>130</v>
      </c>
      <c r="EW309" s="19">
        <v>158.88888888888891</v>
      </c>
      <c r="EX309" s="19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>
        <v>9.8989898989898997</v>
      </c>
      <c r="FK309" s="8">
        <v>3.5353535353535364</v>
      </c>
      <c r="FL309" s="1">
        <v>16.262626262626263</v>
      </c>
      <c r="FO309" s="1">
        <v>67</v>
      </c>
      <c r="FP309" s="1">
        <v>67</v>
      </c>
      <c r="FQ309" s="1">
        <v>67</v>
      </c>
      <c r="FR309" s="13" t="s">
        <v>806</v>
      </c>
      <c r="FS309" s="13" t="s">
        <v>806</v>
      </c>
      <c r="FT309" s="13" t="s">
        <v>806</v>
      </c>
      <c r="FU309" s="13"/>
      <c r="FV309" s="13" t="s">
        <v>806</v>
      </c>
      <c r="FW309" s="13" t="s">
        <v>806</v>
      </c>
      <c r="FX309" s="13" t="s">
        <v>806</v>
      </c>
      <c r="FY309" s="13" t="s">
        <v>806</v>
      </c>
      <c r="FZ309" s="13" t="s">
        <v>806</v>
      </c>
      <c r="GA309" s="13" t="s">
        <v>806</v>
      </c>
      <c r="GB309" s="13" t="s">
        <v>806</v>
      </c>
      <c r="GE309" s="13" t="s">
        <v>806</v>
      </c>
      <c r="GF309" s="13" t="s">
        <v>806</v>
      </c>
      <c r="GH309" s="13" t="s">
        <v>806</v>
      </c>
    </row>
    <row r="310" spans="1:190" ht="12.75" customHeight="1" x14ac:dyDescent="0.25">
      <c r="A310" s="1" t="s">
        <v>135</v>
      </c>
      <c r="B310" s="1" t="s">
        <v>745</v>
      </c>
      <c r="C310" s="1" t="s">
        <v>804</v>
      </c>
      <c r="D310" s="1" t="s">
        <v>709</v>
      </c>
      <c r="E310" s="1" t="s">
        <v>139</v>
      </c>
      <c r="F310" s="1">
        <v>0</v>
      </c>
      <c r="G310" s="1">
        <v>2035</v>
      </c>
      <c r="H310" s="1">
        <v>1</v>
      </c>
      <c r="I310" s="1">
        <v>0</v>
      </c>
      <c r="J310" s="1">
        <v>0</v>
      </c>
      <c r="K3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114.1614</v>
      </c>
      <c r="L3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2997.1500000000005</v>
      </c>
      <c r="M3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5232.0060000000003</v>
      </c>
      <c r="N310" s="19">
        <v>2649.15</v>
      </c>
      <c r="O310" s="19">
        <v>114.1614</v>
      </c>
      <c r="P310" s="19">
        <v>4427.0819999999994</v>
      </c>
      <c r="Q310" s="19">
        <v>678.59999999999968</v>
      </c>
      <c r="R310" s="19">
        <v>0</v>
      </c>
      <c r="S310" s="19">
        <v>3702.6503999999995</v>
      </c>
      <c r="T310" s="19">
        <v>2649.15</v>
      </c>
      <c r="U310" s="19">
        <v>114.1614</v>
      </c>
      <c r="V310" s="19">
        <v>4427.0819999999994</v>
      </c>
      <c r="W310" s="19">
        <v>678.59999999999968</v>
      </c>
      <c r="X310" s="19">
        <v>0</v>
      </c>
      <c r="Y310" s="19">
        <v>3702.6503999999995</v>
      </c>
      <c r="Z310" s="19">
        <v>2649.15</v>
      </c>
      <c r="AA310" s="19">
        <v>114.1614</v>
      </c>
      <c r="AB310" s="19">
        <v>4427.0819999999994</v>
      </c>
      <c r="AC310" s="19">
        <v>678.59999999999968</v>
      </c>
      <c r="AD310" s="19">
        <v>0</v>
      </c>
      <c r="AE310" s="19">
        <v>3702.6503999999995</v>
      </c>
      <c r="AF310" s="19">
        <v>3171.15</v>
      </c>
      <c r="AG310" s="19">
        <v>114.1614</v>
      </c>
      <c r="AH310" s="19">
        <v>5232.0060000000003</v>
      </c>
      <c r="AI310" s="19">
        <v>156.60000000000011</v>
      </c>
      <c r="AJ310" s="19">
        <v>0</v>
      </c>
      <c r="AK310" s="19">
        <v>3702.6503999999995</v>
      </c>
      <c r="AL310" s="19">
        <v>3171.15</v>
      </c>
      <c r="AM310" s="19">
        <v>114.1614</v>
      </c>
      <c r="AN310" s="19">
        <v>5232.0060000000003</v>
      </c>
      <c r="AO310" s="19">
        <v>156.60000000000011</v>
      </c>
      <c r="AP310" s="19">
        <v>0</v>
      </c>
      <c r="AQ310" s="19">
        <v>3702.6503999999995</v>
      </c>
      <c r="AR310" s="19">
        <v>3171.15</v>
      </c>
      <c r="AS310" s="19">
        <v>114.1614</v>
      </c>
      <c r="AT310" s="19">
        <v>5232.0060000000003</v>
      </c>
      <c r="AU310" s="19">
        <v>156.60000000000011</v>
      </c>
      <c r="AV310" s="19">
        <v>0</v>
      </c>
      <c r="AW310" s="19">
        <v>3702.6503999999995</v>
      </c>
      <c r="AX310" s="19">
        <v>3171.15</v>
      </c>
      <c r="AY310" s="19">
        <v>114.1614</v>
      </c>
      <c r="AZ310" s="19">
        <v>5232.0060000000003</v>
      </c>
      <c r="BA310" s="19">
        <v>156.60000000000011</v>
      </c>
      <c r="BB310" s="19">
        <v>0</v>
      </c>
      <c r="BC310" s="19">
        <v>3702.6503999999995</v>
      </c>
      <c r="BD310" s="19">
        <v>3171.15</v>
      </c>
      <c r="BE310" s="19">
        <v>114.1614</v>
      </c>
      <c r="BF310" s="19">
        <v>5232.0060000000003</v>
      </c>
      <c r="BG310" s="19">
        <v>156.60000000000011</v>
      </c>
      <c r="BH310" s="19">
        <v>0</v>
      </c>
      <c r="BI310" s="19">
        <v>3702.6503999999995</v>
      </c>
      <c r="BJ310" s="19">
        <v>3171.15</v>
      </c>
      <c r="BK310" s="19">
        <v>114.1614</v>
      </c>
      <c r="BL310" s="19">
        <v>5232.0060000000003</v>
      </c>
      <c r="BM310" s="19">
        <v>156.60000000000011</v>
      </c>
      <c r="BN310" s="19">
        <v>0</v>
      </c>
      <c r="BO310" s="19">
        <v>3702.6503999999995</v>
      </c>
      <c r="BP310" s="19"/>
      <c r="BQ3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330.59999999999985</v>
      </c>
      <c r="BS3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3702.6503999999995</v>
      </c>
      <c r="BT310" s="11">
        <f>Tabelle5897112140[[#This Row],[Mindestauslastung min]]*Tabelle5897112140[[#This Row],[installierte Leistung MW min]]</f>
        <v>951.34500000000014</v>
      </c>
      <c r="BU310" s="11">
        <f>Tabelle5897112140[[#This Row],[Mindestauslastung durch]]*Tabelle5897112140[[#This Row],[installierte Leistung MW durch]]</f>
        <v>978.75</v>
      </c>
      <c r="BV310" s="11">
        <f>Tabelle5897112140[[#This Row],[Mindestauslastung max]]*Tabelle5897112140[[#This Row],[installierte Leistung MW max]]</f>
        <v>1006.155</v>
      </c>
      <c r="BW310" s="9">
        <v>0.05</v>
      </c>
      <c r="BX310" s="9">
        <v>0.05</v>
      </c>
      <c r="BY310" s="9">
        <v>0.05</v>
      </c>
      <c r="BZ310" s="9"/>
      <c r="CA310" s="9">
        <v>0.13533333333333339</v>
      </c>
      <c r="CB310" s="9">
        <v>6.0000000000000001E-3</v>
      </c>
      <c r="CC310" s="9">
        <v>0.22</v>
      </c>
      <c r="CD310" s="9">
        <v>0.13533333333333339</v>
      </c>
      <c r="CE310" s="9">
        <v>6.0000000000000001E-3</v>
      </c>
      <c r="CF310" s="9">
        <v>0.22</v>
      </c>
      <c r="CG310" s="9">
        <v>0.13533333333333339</v>
      </c>
      <c r="CH310" s="9">
        <v>6.0000000000000001E-3</v>
      </c>
      <c r="CI310" s="9">
        <v>0.22</v>
      </c>
      <c r="CJ310" s="9">
        <v>0.16200000000000001</v>
      </c>
      <c r="CK310" s="9">
        <v>6.0000000000000001E-3</v>
      </c>
      <c r="CL310" s="9">
        <v>0.26</v>
      </c>
      <c r="CM310" s="9">
        <v>0.16200000000000001</v>
      </c>
      <c r="CN310" s="9">
        <v>6.0000000000000001E-3</v>
      </c>
      <c r="CO310" s="9">
        <v>0.26</v>
      </c>
      <c r="CP310" s="9">
        <v>0.16200000000000001</v>
      </c>
      <c r="CQ310" s="9">
        <v>6.0000000000000001E-3</v>
      </c>
      <c r="CR310" s="9">
        <v>0.26</v>
      </c>
      <c r="CS310" s="9">
        <v>0.16200000000000001</v>
      </c>
      <c r="CT310" s="9">
        <v>6.0000000000000001E-3</v>
      </c>
      <c r="CU310" s="9">
        <v>0.26</v>
      </c>
      <c r="CV310" s="9">
        <v>0.16200000000000001</v>
      </c>
      <c r="CW310" s="9">
        <v>6.0000000000000001E-3</v>
      </c>
      <c r="CX310" s="9">
        <v>0.26</v>
      </c>
      <c r="CY310" s="9">
        <v>0.16200000000000001</v>
      </c>
      <c r="CZ310" s="9">
        <v>6.0000000000000001E-3</v>
      </c>
      <c r="DA310" s="9">
        <v>0.26</v>
      </c>
      <c r="DB310" s="9">
        <f>MIN(Tabelle5897112140[[#This Row],[Durchschnittsauslastung durch Sommer WTT]:[Durchschnittsauslastung max Winter SFN]])</f>
        <v>6.0000000000000001E-3</v>
      </c>
      <c r="DC3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0" s="9">
        <f>MAX(Tabelle5897112140[[#This Row],[Durchschnittsauslastung durch Sommer WTT]:[Durchschnittsauslastung max Winter SFN]])</f>
        <v>0.26</v>
      </c>
      <c r="DE310" s="40">
        <f>Tabelle5897112140[[#This Row],[Durchschnittsauslastung min]]*Tabelle5897112140[[#This Row],[installierte Leistung MW min]]</f>
        <v>114.16140000000001</v>
      </c>
      <c r="DF310" s="40">
        <f>Tabelle5897112140[[#This Row],[Durchschnittsauslastung durch]]*Tabelle5897112140[[#This Row],[installierte Leistung MW durch]]</f>
        <v>2997.15</v>
      </c>
      <c r="DG310" s="40">
        <f>Tabelle5897112140[[#This Row],[Durchschnittsauslastung max]]*Tabelle5897112140[[#This Row],[installierte Leistung MW max]]</f>
        <v>5232.0059999999994</v>
      </c>
      <c r="DH310" s="46">
        <f>Tabelle5897112140[[#This Row],[Maximalauslastung min]]*Tabelle5897112140[[#This Row],[installierte Leistung MW min]]</f>
        <v>2854.0350000000003</v>
      </c>
      <c r="DI310" s="46">
        <f>Tabelle5897112140[[#This Row],[Maximalauslastung durch]]*Tabelle5897112140[[#This Row],[installierte Leistung MW durch]]</f>
        <v>3327.7500000000005</v>
      </c>
      <c r="DJ310" s="19">
        <f>Tabelle5897112140[[#This Row],[Maximalauslastung max]]*Tabelle5897112140[[#This Row],[installierte Leistung MW durch]]</f>
        <v>3719.25</v>
      </c>
      <c r="DK310" s="9">
        <v>0.15</v>
      </c>
      <c r="DL310" s="9">
        <v>0.17</v>
      </c>
      <c r="DM310" s="9">
        <v>0.19</v>
      </c>
      <c r="DN310" s="1">
        <v>19575</v>
      </c>
      <c r="DO310" s="1">
        <v>19026.900000000001</v>
      </c>
      <c r="DP310" s="1">
        <v>20123.099999999999</v>
      </c>
      <c r="DQ310" s="19"/>
      <c r="DR310" s="19"/>
      <c r="DW310" s="1">
        <v>4</v>
      </c>
      <c r="DX310" s="1">
        <v>3.2</v>
      </c>
      <c r="DY310" s="1">
        <v>4.8</v>
      </c>
      <c r="DZ310" s="1">
        <v>8</v>
      </c>
      <c r="EA310" s="1">
        <v>6.4</v>
      </c>
      <c r="EB310" s="1">
        <v>9.6</v>
      </c>
      <c r="EC310" s="1">
        <v>24</v>
      </c>
      <c r="ED310" s="1">
        <v>24</v>
      </c>
      <c r="EE310" s="1">
        <v>24</v>
      </c>
      <c r="EF310" s="1">
        <v>7.5</v>
      </c>
      <c r="EG310" s="1">
        <v>4.4000000000000004</v>
      </c>
      <c r="EH310" s="1">
        <v>10.6</v>
      </c>
      <c r="EL310" s="1">
        <v>365</v>
      </c>
      <c r="EM310" s="1">
        <v>328</v>
      </c>
      <c r="EN310" s="1">
        <v>402</v>
      </c>
      <c r="EO310" s="11"/>
      <c r="EP310" s="11"/>
      <c r="EQ310" s="11"/>
      <c r="ER310" s="1">
        <v>365</v>
      </c>
      <c r="ES310" s="1">
        <v>328</v>
      </c>
      <c r="ET310" s="1">
        <v>402</v>
      </c>
      <c r="EU310" s="1">
        <v>144.44444444444446</v>
      </c>
      <c r="EV310" s="19">
        <v>130</v>
      </c>
      <c r="EW310" s="19">
        <v>158.88888888888891</v>
      </c>
      <c r="EX310" s="19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>
        <v>9.8989898989898997</v>
      </c>
      <c r="FK310" s="8">
        <v>3.5353535353535364</v>
      </c>
      <c r="FL310" s="1">
        <v>16.262626262626263</v>
      </c>
      <c r="FO310" s="1">
        <v>67</v>
      </c>
      <c r="FP310" s="1">
        <v>67</v>
      </c>
      <c r="FQ310" s="1">
        <v>67</v>
      </c>
      <c r="FR310" s="13" t="s">
        <v>806</v>
      </c>
      <c r="FS310" s="13" t="s">
        <v>806</v>
      </c>
      <c r="FT310" s="13" t="s">
        <v>806</v>
      </c>
      <c r="FU310" s="13"/>
      <c r="FV310" s="13" t="s">
        <v>806</v>
      </c>
      <c r="FW310" s="13" t="s">
        <v>806</v>
      </c>
      <c r="FX310" s="13" t="s">
        <v>806</v>
      </c>
      <c r="FY310" s="13" t="s">
        <v>806</v>
      </c>
      <c r="FZ310" s="13" t="s">
        <v>806</v>
      </c>
      <c r="GA310" s="13" t="s">
        <v>806</v>
      </c>
      <c r="GB310" s="13" t="s">
        <v>806</v>
      </c>
      <c r="GE310" s="13" t="s">
        <v>806</v>
      </c>
      <c r="GF310" s="13" t="s">
        <v>806</v>
      </c>
      <c r="GH310" s="13" t="s">
        <v>806</v>
      </c>
    </row>
    <row r="311" spans="1:190" ht="12.75" customHeight="1" x14ac:dyDescent="0.25">
      <c r="A311" s="1" t="s">
        <v>135</v>
      </c>
      <c r="B311" s="1" t="s">
        <v>745</v>
      </c>
      <c r="C311" s="1" t="s">
        <v>804</v>
      </c>
      <c r="D311" s="1" t="s">
        <v>709</v>
      </c>
      <c r="E311" s="1" t="s">
        <v>139</v>
      </c>
      <c r="F311" s="1">
        <v>0</v>
      </c>
      <c r="G311" s="1">
        <v>2040</v>
      </c>
      <c r="H311" s="1">
        <v>1</v>
      </c>
      <c r="I311" s="1">
        <v>0</v>
      </c>
      <c r="J311" s="1">
        <v>0</v>
      </c>
      <c r="K3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97.671420000000012</v>
      </c>
      <c r="L3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2564.2283333333339</v>
      </c>
      <c r="M3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4476.2718000000004</v>
      </c>
      <c r="N311" s="19">
        <v>2266.4949999999999</v>
      </c>
      <c r="O311" s="19">
        <v>97.671420000000012</v>
      </c>
      <c r="P311" s="19">
        <v>3787.6145999999999</v>
      </c>
      <c r="Q311" s="19">
        <v>580.5799999999997</v>
      </c>
      <c r="R311" s="19">
        <v>0</v>
      </c>
      <c r="S311" s="19">
        <v>3167.8231199999996</v>
      </c>
      <c r="T311" s="19">
        <v>2266.4949999999999</v>
      </c>
      <c r="U311" s="19">
        <v>97.671420000000012</v>
      </c>
      <c r="V311" s="19">
        <v>3787.6145999999999</v>
      </c>
      <c r="W311" s="19">
        <v>580.5799999999997</v>
      </c>
      <c r="X311" s="19">
        <v>0</v>
      </c>
      <c r="Y311" s="19">
        <v>3167.8231199999996</v>
      </c>
      <c r="Z311" s="19">
        <v>2266.4949999999999</v>
      </c>
      <c r="AA311" s="19">
        <v>97.671420000000012</v>
      </c>
      <c r="AB311" s="19">
        <v>3787.6145999999999</v>
      </c>
      <c r="AC311" s="19">
        <v>580.5799999999997</v>
      </c>
      <c r="AD311" s="19">
        <v>0</v>
      </c>
      <c r="AE311" s="19">
        <v>3167.8231199999996</v>
      </c>
      <c r="AF311" s="19">
        <v>2713.0950000000003</v>
      </c>
      <c r="AG311" s="19">
        <v>97.671420000000012</v>
      </c>
      <c r="AH311" s="19">
        <v>4476.2718000000004</v>
      </c>
      <c r="AI311" s="19">
        <v>133.9800000000001</v>
      </c>
      <c r="AJ311" s="19">
        <v>0</v>
      </c>
      <c r="AK311" s="19">
        <v>3167.8231199999996</v>
      </c>
      <c r="AL311" s="19">
        <v>2713.0950000000003</v>
      </c>
      <c r="AM311" s="19">
        <v>97.671420000000012</v>
      </c>
      <c r="AN311" s="19">
        <v>4476.2718000000004</v>
      </c>
      <c r="AO311" s="19">
        <v>133.9800000000001</v>
      </c>
      <c r="AP311" s="19">
        <v>0</v>
      </c>
      <c r="AQ311" s="19">
        <v>3167.8231199999996</v>
      </c>
      <c r="AR311" s="19">
        <v>2713.0950000000003</v>
      </c>
      <c r="AS311" s="19">
        <v>97.671420000000012</v>
      </c>
      <c r="AT311" s="19">
        <v>4476.2718000000004</v>
      </c>
      <c r="AU311" s="19">
        <v>133.9800000000001</v>
      </c>
      <c r="AV311" s="19">
        <v>0</v>
      </c>
      <c r="AW311" s="19">
        <v>3167.8231199999996</v>
      </c>
      <c r="AX311" s="19">
        <v>2713.0950000000003</v>
      </c>
      <c r="AY311" s="19">
        <v>97.671420000000012</v>
      </c>
      <c r="AZ311" s="19">
        <v>4476.2718000000004</v>
      </c>
      <c r="BA311" s="19">
        <v>133.9800000000001</v>
      </c>
      <c r="BB311" s="19">
        <v>0</v>
      </c>
      <c r="BC311" s="19">
        <v>3167.8231199999996</v>
      </c>
      <c r="BD311" s="19">
        <v>2713.0950000000003</v>
      </c>
      <c r="BE311" s="19">
        <v>97.671420000000012</v>
      </c>
      <c r="BF311" s="19">
        <v>4476.2718000000004</v>
      </c>
      <c r="BG311" s="19">
        <v>133.9800000000001</v>
      </c>
      <c r="BH311" s="19">
        <v>0</v>
      </c>
      <c r="BI311" s="19">
        <v>3167.8231199999996</v>
      </c>
      <c r="BJ311" s="19">
        <v>2713.0950000000003</v>
      </c>
      <c r="BK311" s="19">
        <v>97.671420000000012</v>
      </c>
      <c r="BL311" s="19">
        <v>4476.2718000000004</v>
      </c>
      <c r="BM311" s="19">
        <v>133.9800000000001</v>
      </c>
      <c r="BN311" s="19">
        <v>0</v>
      </c>
      <c r="BO311" s="19">
        <v>3167.8231199999996</v>
      </c>
      <c r="BP311" s="19"/>
      <c r="BQ3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282.84666666666658</v>
      </c>
      <c r="BS3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3167.8231199999996</v>
      </c>
      <c r="BT311" s="11">
        <f>Tabelle5897112140[[#This Row],[Mindestauslastung min]]*Tabelle5897112140[[#This Row],[installierte Leistung MW min]]</f>
        <v>813.92849999999999</v>
      </c>
      <c r="BU311" s="11">
        <f>Tabelle5897112140[[#This Row],[Mindestauslastung durch]]*Tabelle5897112140[[#This Row],[installierte Leistung MW durch]]</f>
        <v>837.375</v>
      </c>
      <c r="BV311" s="11">
        <f>Tabelle5897112140[[#This Row],[Mindestauslastung max]]*Tabelle5897112140[[#This Row],[installierte Leistung MW max]]</f>
        <v>860.82150000000001</v>
      </c>
      <c r="BW311" s="9">
        <v>0.05</v>
      </c>
      <c r="BX311" s="9">
        <v>0.05</v>
      </c>
      <c r="BY311" s="9">
        <v>0.05</v>
      </c>
      <c r="BZ311" s="9"/>
      <c r="CA311" s="9">
        <v>0.13533333333333339</v>
      </c>
      <c r="CB311" s="9">
        <v>6.0000000000000001E-3</v>
      </c>
      <c r="CC311" s="9">
        <v>0.22</v>
      </c>
      <c r="CD311" s="9">
        <v>0.13533333333333339</v>
      </c>
      <c r="CE311" s="9">
        <v>6.0000000000000001E-3</v>
      </c>
      <c r="CF311" s="9">
        <v>0.22</v>
      </c>
      <c r="CG311" s="9">
        <v>0.13533333333333339</v>
      </c>
      <c r="CH311" s="9">
        <v>6.0000000000000001E-3</v>
      </c>
      <c r="CI311" s="9">
        <v>0.22</v>
      </c>
      <c r="CJ311" s="9">
        <v>0.16200000000000001</v>
      </c>
      <c r="CK311" s="9">
        <v>6.0000000000000001E-3</v>
      </c>
      <c r="CL311" s="9">
        <v>0.26</v>
      </c>
      <c r="CM311" s="9">
        <v>0.16200000000000001</v>
      </c>
      <c r="CN311" s="9">
        <v>6.0000000000000001E-3</v>
      </c>
      <c r="CO311" s="9">
        <v>0.26</v>
      </c>
      <c r="CP311" s="9">
        <v>0.16200000000000001</v>
      </c>
      <c r="CQ311" s="9">
        <v>6.0000000000000001E-3</v>
      </c>
      <c r="CR311" s="9">
        <v>0.26</v>
      </c>
      <c r="CS311" s="9">
        <v>0.16200000000000001</v>
      </c>
      <c r="CT311" s="9">
        <v>6.0000000000000001E-3</v>
      </c>
      <c r="CU311" s="9">
        <v>0.26</v>
      </c>
      <c r="CV311" s="9">
        <v>0.16200000000000001</v>
      </c>
      <c r="CW311" s="9">
        <v>6.0000000000000001E-3</v>
      </c>
      <c r="CX311" s="9">
        <v>0.26</v>
      </c>
      <c r="CY311" s="9">
        <v>0.16200000000000001</v>
      </c>
      <c r="CZ311" s="9">
        <v>6.0000000000000001E-3</v>
      </c>
      <c r="DA311" s="9">
        <v>0.26</v>
      </c>
      <c r="DB311" s="9">
        <f>MIN(Tabelle5897112140[[#This Row],[Durchschnittsauslastung durch Sommer WTT]:[Durchschnittsauslastung max Winter SFN]])</f>
        <v>6.0000000000000001E-3</v>
      </c>
      <c r="DC3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1" s="9">
        <f>MAX(Tabelle5897112140[[#This Row],[Durchschnittsauslastung durch Sommer WTT]:[Durchschnittsauslastung max Winter SFN]])</f>
        <v>0.26</v>
      </c>
      <c r="DE311" s="40">
        <f>Tabelle5897112140[[#This Row],[Durchschnittsauslastung min]]*Tabelle5897112140[[#This Row],[installierte Leistung MW min]]</f>
        <v>97.671419999999998</v>
      </c>
      <c r="DF311" s="40">
        <f>Tabelle5897112140[[#This Row],[Durchschnittsauslastung durch]]*Tabelle5897112140[[#This Row],[installierte Leistung MW durch]]</f>
        <v>2564.2283333333335</v>
      </c>
      <c r="DG311" s="40">
        <f>Tabelle5897112140[[#This Row],[Durchschnittsauslastung max]]*Tabelle5897112140[[#This Row],[installierte Leistung MW max]]</f>
        <v>4476.2718000000004</v>
      </c>
      <c r="DH311" s="46">
        <f>Tabelle5897112140[[#This Row],[Maximalauslastung min]]*Tabelle5897112140[[#This Row],[installierte Leistung MW min]]</f>
        <v>2441.7855</v>
      </c>
      <c r="DI311" s="46">
        <f>Tabelle5897112140[[#This Row],[Maximalauslastung durch]]*Tabelle5897112140[[#This Row],[installierte Leistung MW durch]]</f>
        <v>2847.0750000000003</v>
      </c>
      <c r="DJ311" s="19">
        <f>Tabelle5897112140[[#This Row],[Maximalauslastung max]]*Tabelle5897112140[[#This Row],[installierte Leistung MW durch]]</f>
        <v>3182.0250000000001</v>
      </c>
      <c r="DK311" s="9">
        <v>0.15</v>
      </c>
      <c r="DL311" s="9">
        <v>0.17</v>
      </c>
      <c r="DM311" s="9">
        <v>0.19</v>
      </c>
      <c r="DN311" s="1">
        <v>16747.5</v>
      </c>
      <c r="DO311" s="1">
        <v>16278.57</v>
      </c>
      <c r="DP311" s="1">
        <v>17216.43</v>
      </c>
      <c r="DQ311" s="19"/>
      <c r="DR311" s="19"/>
      <c r="DW311" s="1">
        <v>4</v>
      </c>
      <c r="DX311" s="1">
        <v>3.2</v>
      </c>
      <c r="DY311" s="1">
        <v>4.8</v>
      </c>
      <c r="DZ311" s="1">
        <v>8</v>
      </c>
      <c r="EA311" s="1">
        <v>6.4</v>
      </c>
      <c r="EB311" s="1">
        <v>9.6</v>
      </c>
      <c r="EC311" s="1">
        <v>24</v>
      </c>
      <c r="ED311" s="1">
        <v>24</v>
      </c>
      <c r="EE311" s="1">
        <v>24</v>
      </c>
      <c r="EF311" s="1">
        <v>7.5</v>
      </c>
      <c r="EG311" s="1">
        <v>4.4000000000000004</v>
      </c>
      <c r="EH311" s="1">
        <v>10.6</v>
      </c>
      <c r="EL311" s="1">
        <v>365</v>
      </c>
      <c r="EM311" s="1">
        <v>328</v>
      </c>
      <c r="EN311" s="1">
        <v>402</v>
      </c>
      <c r="EO311" s="11"/>
      <c r="EP311" s="11"/>
      <c r="EQ311" s="11"/>
      <c r="ER311" s="1">
        <v>365</v>
      </c>
      <c r="ES311" s="1">
        <v>328</v>
      </c>
      <c r="ET311" s="1">
        <v>402</v>
      </c>
      <c r="EU311" s="1">
        <v>144.44444444444446</v>
      </c>
      <c r="EV311" s="19">
        <v>130</v>
      </c>
      <c r="EW311" s="19">
        <v>158.88888888888891</v>
      </c>
      <c r="EX311" s="19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>
        <v>9.8989898989898997</v>
      </c>
      <c r="FK311" s="8">
        <v>3.5353535353535364</v>
      </c>
      <c r="FL311" s="1">
        <v>16.262626262626263</v>
      </c>
      <c r="FO311" s="1">
        <v>67</v>
      </c>
      <c r="FP311" s="1">
        <v>67</v>
      </c>
      <c r="FQ311" s="1">
        <v>67</v>
      </c>
      <c r="FR311" s="13" t="s">
        <v>806</v>
      </c>
      <c r="FS311" s="13" t="s">
        <v>806</v>
      </c>
      <c r="FT311" s="13" t="s">
        <v>806</v>
      </c>
      <c r="FU311" s="13"/>
      <c r="FV311" s="13" t="s">
        <v>806</v>
      </c>
      <c r="FW311" s="13" t="s">
        <v>806</v>
      </c>
      <c r="FX311" s="13" t="s">
        <v>806</v>
      </c>
      <c r="FY311" s="13" t="s">
        <v>806</v>
      </c>
      <c r="FZ311" s="13" t="s">
        <v>806</v>
      </c>
      <c r="GA311" s="13" t="s">
        <v>806</v>
      </c>
      <c r="GB311" s="13" t="s">
        <v>806</v>
      </c>
      <c r="GE311" s="13" t="s">
        <v>806</v>
      </c>
      <c r="GF311" s="13" t="s">
        <v>806</v>
      </c>
      <c r="GH311" s="13" t="s">
        <v>806</v>
      </c>
    </row>
    <row r="312" spans="1:190" ht="12.75" customHeight="1" x14ac:dyDescent="0.25">
      <c r="A312" s="1" t="s">
        <v>135</v>
      </c>
      <c r="B312" s="1" t="s">
        <v>745</v>
      </c>
      <c r="C312" s="1" t="s">
        <v>804</v>
      </c>
      <c r="D312" s="1" t="s">
        <v>709</v>
      </c>
      <c r="E312" s="1" t="s">
        <v>139</v>
      </c>
      <c r="F312" s="1">
        <v>0</v>
      </c>
      <c r="G312" s="1">
        <v>2045</v>
      </c>
      <c r="H312" s="1">
        <v>1</v>
      </c>
      <c r="I312" s="1">
        <v>0</v>
      </c>
      <c r="J312" s="1">
        <v>0</v>
      </c>
      <c r="K3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84.986820000000009</v>
      </c>
      <c r="L3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2231.211666666667</v>
      </c>
      <c r="M3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3894.9378000000002</v>
      </c>
      <c r="N312" s="19">
        <v>1972.1450000000002</v>
      </c>
      <c r="O312" s="19">
        <v>84.986820000000009</v>
      </c>
      <c r="P312" s="19">
        <v>3295.7165999999997</v>
      </c>
      <c r="Q312" s="19">
        <v>505.17999999999978</v>
      </c>
      <c r="R312" s="19">
        <v>0</v>
      </c>
      <c r="S312" s="19">
        <v>2756.41752</v>
      </c>
      <c r="T312" s="19">
        <v>1972.1450000000002</v>
      </c>
      <c r="U312" s="19">
        <v>84.986820000000009</v>
      </c>
      <c r="V312" s="19">
        <v>3295.7165999999997</v>
      </c>
      <c r="W312" s="19">
        <v>505.17999999999978</v>
      </c>
      <c r="X312" s="19">
        <v>0</v>
      </c>
      <c r="Y312" s="19">
        <v>2756.41752</v>
      </c>
      <c r="Z312" s="19">
        <v>1972.1450000000002</v>
      </c>
      <c r="AA312" s="19">
        <v>84.986820000000009</v>
      </c>
      <c r="AB312" s="19">
        <v>3295.7165999999997</v>
      </c>
      <c r="AC312" s="19">
        <v>505.17999999999978</v>
      </c>
      <c r="AD312" s="19">
        <v>0</v>
      </c>
      <c r="AE312" s="19">
        <v>2756.41752</v>
      </c>
      <c r="AF312" s="19">
        <v>2360.7450000000003</v>
      </c>
      <c r="AG312" s="19">
        <v>84.986820000000009</v>
      </c>
      <c r="AH312" s="19">
        <v>3894.9378000000002</v>
      </c>
      <c r="AI312" s="19">
        <v>116.58000000000008</v>
      </c>
      <c r="AJ312" s="19">
        <v>0</v>
      </c>
      <c r="AK312" s="19">
        <v>2756.41752</v>
      </c>
      <c r="AL312" s="19">
        <v>2360.7450000000003</v>
      </c>
      <c r="AM312" s="19">
        <v>84.986820000000009</v>
      </c>
      <c r="AN312" s="19">
        <v>3894.9378000000002</v>
      </c>
      <c r="AO312" s="19">
        <v>116.58000000000008</v>
      </c>
      <c r="AP312" s="19">
        <v>0</v>
      </c>
      <c r="AQ312" s="19">
        <v>2756.41752</v>
      </c>
      <c r="AR312" s="19">
        <v>2360.7450000000003</v>
      </c>
      <c r="AS312" s="19">
        <v>84.986820000000009</v>
      </c>
      <c r="AT312" s="19">
        <v>3894.9378000000002</v>
      </c>
      <c r="AU312" s="19">
        <v>116.58000000000008</v>
      </c>
      <c r="AV312" s="19">
        <v>0</v>
      </c>
      <c r="AW312" s="19">
        <v>2756.41752</v>
      </c>
      <c r="AX312" s="19">
        <v>2360.7450000000003</v>
      </c>
      <c r="AY312" s="19">
        <v>84.986820000000009</v>
      </c>
      <c r="AZ312" s="19">
        <v>3894.9378000000002</v>
      </c>
      <c r="BA312" s="19">
        <v>116.58000000000008</v>
      </c>
      <c r="BB312" s="19">
        <v>0</v>
      </c>
      <c r="BC312" s="19">
        <v>2756.41752</v>
      </c>
      <c r="BD312" s="19">
        <v>2360.7450000000003</v>
      </c>
      <c r="BE312" s="19">
        <v>84.986820000000009</v>
      </c>
      <c r="BF312" s="19">
        <v>3894.9378000000002</v>
      </c>
      <c r="BG312" s="19">
        <v>116.58000000000008</v>
      </c>
      <c r="BH312" s="19">
        <v>0</v>
      </c>
      <c r="BI312" s="19">
        <v>2756.41752</v>
      </c>
      <c r="BJ312" s="19">
        <v>2360.7450000000003</v>
      </c>
      <c r="BK312" s="19">
        <v>84.986820000000009</v>
      </c>
      <c r="BL312" s="19">
        <v>3894.9378000000002</v>
      </c>
      <c r="BM312" s="19">
        <v>116.58000000000008</v>
      </c>
      <c r="BN312" s="19">
        <v>0</v>
      </c>
      <c r="BO312" s="19">
        <v>2756.41752</v>
      </c>
      <c r="BP312" s="19"/>
      <c r="BQ3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246.11333333333334</v>
      </c>
      <c r="BS3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2756.41752</v>
      </c>
      <c r="BT312" s="11">
        <f>Tabelle5897112140[[#This Row],[Mindestauslastung min]]*Tabelle5897112140[[#This Row],[installierte Leistung MW min]]</f>
        <v>708.22350000000006</v>
      </c>
      <c r="BU312" s="11">
        <f>Tabelle5897112140[[#This Row],[Mindestauslastung durch]]*Tabelle5897112140[[#This Row],[installierte Leistung MW durch]]</f>
        <v>728.625</v>
      </c>
      <c r="BV312" s="11">
        <f>Tabelle5897112140[[#This Row],[Mindestauslastung max]]*Tabelle5897112140[[#This Row],[installierte Leistung MW max]]</f>
        <v>749.02650000000006</v>
      </c>
      <c r="BW312" s="9">
        <v>0.05</v>
      </c>
      <c r="BX312" s="9">
        <v>0.05</v>
      </c>
      <c r="BY312" s="9">
        <v>0.05</v>
      </c>
      <c r="BZ312" s="9"/>
      <c r="CA312" s="9">
        <v>0.13533333333333339</v>
      </c>
      <c r="CB312" s="9">
        <v>6.0000000000000001E-3</v>
      </c>
      <c r="CC312" s="9">
        <v>0.22</v>
      </c>
      <c r="CD312" s="9">
        <v>0.13533333333333339</v>
      </c>
      <c r="CE312" s="9">
        <v>6.0000000000000001E-3</v>
      </c>
      <c r="CF312" s="9">
        <v>0.22</v>
      </c>
      <c r="CG312" s="9">
        <v>0.13533333333333339</v>
      </c>
      <c r="CH312" s="9">
        <v>6.0000000000000001E-3</v>
      </c>
      <c r="CI312" s="9">
        <v>0.22</v>
      </c>
      <c r="CJ312" s="9">
        <v>0.16200000000000001</v>
      </c>
      <c r="CK312" s="9">
        <v>6.0000000000000001E-3</v>
      </c>
      <c r="CL312" s="9">
        <v>0.26</v>
      </c>
      <c r="CM312" s="9">
        <v>0.16200000000000001</v>
      </c>
      <c r="CN312" s="9">
        <v>6.0000000000000001E-3</v>
      </c>
      <c r="CO312" s="9">
        <v>0.26</v>
      </c>
      <c r="CP312" s="9">
        <v>0.16200000000000001</v>
      </c>
      <c r="CQ312" s="9">
        <v>6.0000000000000001E-3</v>
      </c>
      <c r="CR312" s="9">
        <v>0.26</v>
      </c>
      <c r="CS312" s="9">
        <v>0.16200000000000001</v>
      </c>
      <c r="CT312" s="9">
        <v>6.0000000000000001E-3</v>
      </c>
      <c r="CU312" s="9">
        <v>0.26</v>
      </c>
      <c r="CV312" s="9">
        <v>0.16200000000000001</v>
      </c>
      <c r="CW312" s="9">
        <v>6.0000000000000001E-3</v>
      </c>
      <c r="CX312" s="9">
        <v>0.26</v>
      </c>
      <c r="CY312" s="9">
        <v>0.16200000000000001</v>
      </c>
      <c r="CZ312" s="9">
        <v>6.0000000000000001E-3</v>
      </c>
      <c r="DA312" s="9">
        <v>0.26</v>
      </c>
      <c r="DB312" s="9">
        <f>MIN(Tabelle5897112140[[#This Row],[Durchschnittsauslastung durch Sommer WTT]:[Durchschnittsauslastung max Winter SFN]])</f>
        <v>6.0000000000000001E-3</v>
      </c>
      <c r="DC3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2" s="9">
        <f>MAX(Tabelle5897112140[[#This Row],[Durchschnittsauslastung durch Sommer WTT]:[Durchschnittsauslastung max Winter SFN]])</f>
        <v>0.26</v>
      </c>
      <c r="DE312" s="40">
        <f>Tabelle5897112140[[#This Row],[Durchschnittsauslastung min]]*Tabelle5897112140[[#This Row],[installierte Leistung MW min]]</f>
        <v>84.986819999999994</v>
      </c>
      <c r="DF312" s="40">
        <f>Tabelle5897112140[[#This Row],[Durchschnittsauslastung durch]]*Tabelle5897112140[[#This Row],[installierte Leistung MW durch]]</f>
        <v>2231.2116666666666</v>
      </c>
      <c r="DG312" s="40">
        <f>Tabelle5897112140[[#This Row],[Durchschnittsauslastung max]]*Tabelle5897112140[[#This Row],[installierte Leistung MW max]]</f>
        <v>3894.9378000000002</v>
      </c>
      <c r="DH312" s="46">
        <f>Tabelle5897112140[[#This Row],[Maximalauslastung min]]*Tabelle5897112140[[#This Row],[installierte Leistung MW min]]</f>
        <v>2124.6704999999997</v>
      </c>
      <c r="DI312" s="46">
        <f>Tabelle5897112140[[#This Row],[Maximalauslastung durch]]*Tabelle5897112140[[#This Row],[installierte Leistung MW durch]]</f>
        <v>2477.3250000000003</v>
      </c>
      <c r="DJ312" s="19">
        <f>Tabelle5897112140[[#This Row],[Maximalauslastung max]]*Tabelle5897112140[[#This Row],[installierte Leistung MW durch]]</f>
        <v>2768.7750000000001</v>
      </c>
      <c r="DK312" s="9">
        <v>0.15</v>
      </c>
      <c r="DL312" s="9">
        <v>0.17</v>
      </c>
      <c r="DM312" s="9">
        <v>0.19</v>
      </c>
      <c r="DN312" s="1">
        <v>14572.5</v>
      </c>
      <c r="DO312" s="1">
        <v>14164.47</v>
      </c>
      <c r="DP312" s="1">
        <v>14980.53</v>
      </c>
      <c r="DQ312" s="19"/>
      <c r="DR312" s="19"/>
      <c r="DW312" s="1">
        <v>4</v>
      </c>
      <c r="DX312" s="1">
        <v>3.2</v>
      </c>
      <c r="DY312" s="1">
        <v>4.8</v>
      </c>
      <c r="DZ312" s="1">
        <v>8</v>
      </c>
      <c r="EA312" s="1">
        <v>6.4</v>
      </c>
      <c r="EB312" s="1">
        <v>9.6</v>
      </c>
      <c r="EC312" s="1">
        <v>24</v>
      </c>
      <c r="ED312" s="1">
        <v>24</v>
      </c>
      <c r="EE312" s="1">
        <v>24</v>
      </c>
      <c r="EF312" s="1">
        <v>7.5</v>
      </c>
      <c r="EG312" s="1">
        <v>4.4000000000000004</v>
      </c>
      <c r="EH312" s="1">
        <v>10.6</v>
      </c>
      <c r="EL312" s="1">
        <v>365</v>
      </c>
      <c r="EM312" s="1">
        <v>328</v>
      </c>
      <c r="EN312" s="1">
        <v>402</v>
      </c>
      <c r="EO312" s="11"/>
      <c r="EP312" s="11"/>
      <c r="EQ312" s="11"/>
      <c r="ER312" s="1">
        <v>365</v>
      </c>
      <c r="ES312" s="1">
        <v>328</v>
      </c>
      <c r="ET312" s="1">
        <v>402</v>
      </c>
      <c r="EU312" s="1">
        <v>144.44444444444446</v>
      </c>
      <c r="EV312" s="19">
        <v>130</v>
      </c>
      <c r="EW312" s="19">
        <v>158.88888888888891</v>
      </c>
      <c r="EX312" s="19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>
        <v>9.8989898989898997</v>
      </c>
      <c r="FK312" s="8">
        <v>3.5353535353535364</v>
      </c>
      <c r="FL312" s="1">
        <v>16.262626262626263</v>
      </c>
      <c r="FO312" s="1">
        <v>67</v>
      </c>
      <c r="FP312" s="1">
        <v>67</v>
      </c>
      <c r="FQ312" s="1">
        <v>67</v>
      </c>
      <c r="FR312" s="13" t="s">
        <v>806</v>
      </c>
      <c r="FS312" s="13" t="s">
        <v>806</v>
      </c>
      <c r="FT312" s="13" t="s">
        <v>806</v>
      </c>
      <c r="FU312" s="13"/>
      <c r="FV312" s="13" t="s">
        <v>806</v>
      </c>
      <c r="FW312" s="13" t="s">
        <v>806</v>
      </c>
      <c r="FX312" s="13" t="s">
        <v>806</v>
      </c>
      <c r="FY312" s="13" t="s">
        <v>806</v>
      </c>
      <c r="FZ312" s="13" t="s">
        <v>806</v>
      </c>
      <c r="GA312" s="13" t="s">
        <v>806</v>
      </c>
      <c r="GB312" s="13" t="s">
        <v>806</v>
      </c>
      <c r="GE312" s="13" t="s">
        <v>806</v>
      </c>
      <c r="GF312" s="13" t="s">
        <v>806</v>
      </c>
      <c r="GH312" s="13" t="s">
        <v>806</v>
      </c>
    </row>
    <row r="313" spans="1:190" ht="12.75" customHeight="1" x14ac:dyDescent="0.25">
      <c r="A313" s="1" t="s">
        <v>135</v>
      </c>
      <c r="B313" s="1" t="s">
        <v>745</v>
      </c>
      <c r="C313" s="1" t="s">
        <v>804</v>
      </c>
      <c r="D313" s="1" t="s">
        <v>709</v>
      </c>
      <c r="E313" s="1" t="s">
        <v>139</v>
      </c>
      <c r="F313" s="1">
        <v>0</v>
      </c>
      <c r="G313" s="1">
        <v>2050</v>
      </c>
      <c r="H313" s="1">
        <v>1</v>
      </c>
      <c r="I313" s="1">
        <v>0</v>
      </c>
      <c r="J313" s="1">
        <v>0</v>
      </c>
      <c r="K3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73.570679999999996</v>
      </c>
      <c r="L3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1931.4966666666664</v>
      </c>
      <c r="M3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3371.7372</v>
      </c>
      <c r="N313" s="19">
        <v>1707.2299999999998</v>
      </c>
      <c r="O313" s="19">
        <v>73.570679999999996</v>
      </c>
      <c r="P313" s="19">
        <v>2853.0083999999997</v>
      </c>
      <c r="Q313" s="19">
        <v>437.31999999999977</v>
      </c>
      <c r="R313" s="19">
        <v>0</v>
      </c>
      <c r="S313" s="19">
        <v>2386.1524799999997</v>
      </c>
      <c r="T313" s="19">
        <v>1707.2299999999998</v>
      </c>
      <c r="U313" s="19">
        <v>73.570679999999996</v>
      </c>
      <c r="V313" s="19">
        <v>2853.0083999999997</v>
      </c>
      <c r="W313" s="19">
        <v>437.31999999999977</v>
      </c>
      <c r="X313" s="19">
        <v>0</v>
      </c>
      <c r="Y313" s="19">
        <v>2386.1524799999997</v>
      </c>
      <c r="Z313" s="19">
        <v>1707.2299999999998</v>
      </c>
      <c r="AA313" s="19">
        <v>73.570679999999996</v>
      </c>
      <c r="AB313" s="19">
        <v>2853.0083999999997</v>
      </c>
      <c r="AC313" s="19">
        <v>437.31999999999977</v>
      </c>
      <c r="AD313" s="19">
        <v>0</v>
      </c>
      <c r="AE313" s="19">
        <v>2386.1524799999997</v>
      </c>
      <c r="AF313" s="19">
        <v>2043.6299999999999</v>
      </c>
      <c r="AG313" s="19">
        <v>73.570679999999996</v>
      </c>
      <c r="AH313" s="19">
        <v>3371.7372</v>
      </c>
      <c r="AI313" s="19">
        <v>100.92000000000006</v>
      </c>
      <c r="AJ313" s="19">
        <v>0</v>
      </c>
      <c r="AK313" s="19">
        <v>2386.1524799999997</v>
      </c>
      <c r="AL313" s="19">
        <v>2043.6299999999999</v>
      </c>
      <c r="AM313" s="19">
        <v>73.570679999999996</v>
      </c>
      <c r="AN313" s="19">
        <v>3371.7372</v>
      </c>
      <c r="AO313" s="19">
        <v>100.92000000000006</v>
      </c>
      <c r="AP313" s="19">
        <v>0</v>
      </c>
      <c r="AQ313" s="19">
        <v>2386.1524799999997</v>
      </c>
      <c r="AR313" s="19">
        <v>2043.6299999999999</v>
      </c>
      <c r="AS313" s="19">
        <v>73.570679999999996</v>
      </c>
      <c r="AT313" s="19">
        <v>3371.7372</v>
      </c>
      <c r="AU313" s="19">
        <v>100.92000000000006</v>
      </c>
      <c r="AV313" s="19">
        <v>0</v>
      </c>
      <c r="AW313" s="19">
        <v>2386.1524799999997</v>
      </c>
      <c r="AX313" s="19">
        <v>2043.6299999999999</v>
      </c>
      <c r="AY313" s="19">
        <v>73.570679999999996</v>
      </c>
      <c r="AZ313" s="19">
        <v>3371.7372</v>
      </c>
      <c r="BA313" s="19">
        <v>100.92000000000006</v>
      </c>
      <c r="BB313" s="19">
        <v>0</v>
      </c>
      <c r="BC313" s="19">
        <v>2386.1524799999997</v>
      </c>
      <c r="BD313" s="19">
        <v>2043.6299999999999</v>
      </c>
      <c r="BE313" s="19">
        <v>73.570679999999996</v>
      </c>
      <c r="BF313" s="19">
        <v>3371.7372</v>
      </c>
      <c r="BG313" s="19">
        <v>100.92000000000006</v>
      </c>
      <c r="BH313" s="19">
        <v>0</v>
      </c>
      <c r="BI313" s="19">
        <v>2386.1524799999997</v>
      </c>
      <c r="BJ313" s="19">
        <v>2043.6299999999999</v>
      </c>
      <c r="BK313" s="19">
        <v>73.570679999999996</v>
      </c>
      <c r="BL313" s="19">
        <v>3371.7372</v>
      </c>
      <c r="BM313" s="19">
        <v>100.92000000000006</v>
      </c>
      <c r="BN313" s="19">
        <v>0</v>
      </c>
      <c r="BO313" s="19">
        <v>2386.1524799999997</v>
      </c>
      <c r="BP313" s="19"/>
      <c r="BQ3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213.05333333333331</v>
      </c>
      <c r="BS3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2386.1524799999997</v>
      </c>
      <c r="BT313" s="11">
        <f>Tabelle5897112140[[#This Row],[Mindestauslastung min]]*Tabelle5897112140[[#This Row],[installierte Leistung MW min]]</f>
        <v>613.08900000000006</v>
      </c>
      <c r="BU313" s="11">
        <f>Tabelle5897112140[[#This Row],[Mindestauslastung durch]]*Tabelle5897112140[[#This Row],[installierte Leistung MW durch]]</f>
        <v>630.75</v>
      </c>
      <c r="BV313" s="11">
        <f>Tabelle5897112140[[#This Row],[Mindestauslastung max]]*Tabelle5897112140[[#This Row],[installierte Leistung MW max]]</f>
        <v>648.41100000000006</v>
      </c>
      <c r="BW313" s="9">
        <v>0.05</v>
      </c>
      <c r="BX313" s="9">
        <v>0.05</v>
      </c>
      <c r="BY313" s="9">
        <v>0.05</v>
      </c>
      <c r="BZ313" s="9"/>
      <c r="CA313" s="9">
        <v>0.13533333333333339</v>
      </c>
      <c r="CB313" s="9">
        <v>6.0000000000000001E-3</v>
      </c>
      <c r="CC313" s="9">
        <v>0.22</v>
      </c>
      <c r="CD313" s="9">
        <v>0.13533333333333339</v>
      </c>
      <c r="CE313" s="9">
        <v>6.0000000000000001E-3</v>
      </c>
      <c r="CF313" s="9">
        <v>0.22</v>
      </c>
      <c r="CG313" s="9">
        <v>0.13533333333333339</v>
      </c>
      <c r="CH313" s="9">
        <v>6.0000000000000001E-3</v>
      </c>
      <c r="CI313" s="9">
        <v>0.22</v>
      </c>
      <c r="CJ313" s="9">
        <v>0.16200000000000001</v>
      </c>
      <c r="CK313" s="9">
        <v>6.0000000000000001E-3</v>
      </c>
      <c r="CL313" s="9">
        <v>0.26</v>
      </c>
      <c r="CM313" s="9">
        <v>0.16200000000000001</v>
      </c>
      <c r="CN313" s="9">
        <v>6.0000000000000001E-3</v>
      </c>
      <c r="CO313" s="9">
        <v>0.26</v>
      </c>
      <c r="CP313" s="9">
        <v>0.16200000000000001</v>
      </c>
      <c r="CQ313" s="9">
        <v>6.0000000000000001E-3</v>
      </c>
      <c r="CR313" s="9">
        <v>0.26</v>
      </c>
      <c r="CS313" s="9">
        <v>0.16200000000000001</v>
      </c>
      <c r="CT313" s="9">
        <v>6.0000000000000001E-3</v>
      </c>
      <c r="CU313" s="9">
        <v>0.26</v>
      </c>
      <c r="CV313" s="9">
        <v>0.16200000000000001</v>
      </c>
      <c r="CW313" s="9">
        <v>6.0000000000000001E-3</v>
      </c>
      <c r="CX313" s="9">
        <v>0.26</v>
      </c>
      <c r="CY313" s="9">
        <v>0.16200000000000001</v>
      </c>
      <c r="CZ313" s="9">
        <v>6.0000000000000001E-3</v>
      </c>
      <c r="DA313" s="9">
        <v>0.26</v>
      </c>
      <c r="DB313" s="9">
        <f>MIN(Tabelle5897112140[[#This Row],[Durchschnittsauslastung durch Sommer WTT]:[Durchschnittsauslastung max Winter SFN]])</f>
        <v>6.0000000000000001E-3</v>
      </c>
      <c r="DC3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3" s="9">
        <f>MAX(Tabelle5897112140[[#This Row],[Durchschnittsauslastung durch Sommer WTT]:[Durchschnittsauslastung max Winter SFN]])</f>
        <v>0.26</v>
      </c>
      <c r="DE313" s="40">
        <f>Tabelle5897112140[[#This Row],[Durchschnittsauslastung min]]*Tabelle5897112140[[#This Row],[installierte Leistung MW min]]</f>
        <v>73.57068000000001</v>
      </c>
      <c r="DF313" s="40">
        <f>Tabelle5897112140[[#This Row],[Durchschnittsauslastung durch]]*Tabelle5897112140[[#This Row],[installierte Leistung MW durch]]</f>
        <v>1931.4966666666667</v>
      </c>
      <c r="DG313" s="40">
        <f>Tabelle5897112140[[#This Row],[Durchschnittsauslastung max]]*Tabelle5897112140[[#This Row],[installierte Leistung MW max]]</f>
        <v>3371.7372</v>
      </c>
      <c r="DH313" s="46">
        <f>Tabelle5897112140[[#This Row],[Maximalauslastung min]]*Tabelle5897112140[[#This Row],[installierte Leistung MW min]]</f>
        <v>1839.2670000000001</v>
      </c>
      <c r="DI313" s="46">
        <f>Tabelle5897112140[[#This Row],[Maximalauslastung durch]]*Tabelle5897112140[[#This Row],[installierte Leistung MW durch]]</f>
        <v>2144.5500000000002</v>
      </c>
      <c r="DJ313" s="19">
        <f>Tabelle5897112140[[#This Row],[Maximalauslastung max]]*Tabelle5897112140[[#This Row],[installierte Leistung MW durch]]</f>
        <v>2396.85</v>
      </c>
      <c r="DK313" s="9">
        <v>0.15</v>
      </c>
      <c r="DL313" s="9">
        <v>0.17</v>
      </c>
      <c r="DM313" s="9">
        <v>0.19</v>
      </c>
      <c r="DN313" s="1">
        <v>12615</v>
      </c>
      <c r="DO313" s="1">
        <v>12261.78</v>
      </c>
      <c r="DP313" s="1">
        <v>12968.22</v>
      </c>
      <c r="DQ313" s="19"/>
      <c r="DR313" s="19"/>
      <c r="DW313" s="1">
        <v>4</v>
      </c>
      <c r="DX313" s="1">
        <v>3.2</v>
      </c>
      <c r="DY313" s="1">
        <v>4.8</v>
      </c>
      <c r="DZ313" s="1">
        <v>8</v>
      </c>
      <c r="EA313" s="1">
        <v>6.4</v>
      </c>
      <c r="EB313" s="1">
        <v>9.6</v>
      </c>
      <c r="EC313" s="1">
        <v>24</v>
      </c>
      <c r="ED313" s="1">
        <v>24</v>
      </c>
      <c r="EE313" s="1">
        <v>24</v>
      </c>
      <c r="EF313" s="1">
        <v>7.5</v>
      </c>
      <c r="EG313" s="1">
        <v>4.4000000000000004</v>
      </c>
      <c r="EH313" s="1">
        <v>10.6</v>
      </c>
      <c r="EL313" s="1">
        <v>365</v>
      </c>
      <c r="EM313" s="1">
        <v>328</v>
      </c>
      <c r="EN313" s="1">
        <v>402</v>
      </c>
      <c r="EO313" s="11"/>
      <c r="EP313" s="11"/>
      <c r="EQ313" s="11"/>
      <c r="ER313" s="1">
        <v>365</v>
      </c>
      <c r="ES313" s="1">
        <v>328</v>
      </c>
      <c r="ET313" s="1">
        <v>402</v>
      </c>
      <c r="EU313" s="1">
        <v>144.44444444444446</v>
      </c>
      <c r="EV313" s="19">
        <v>130</v>
      </c>
      <c r="EW313" s="19">
        <v>158.88888888888891</v>
      </c>
      <c r="EX313" s="19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>
        <v>9.8989898989898997</v>
      </c>
      <c r="FK313" s="8">
        <v>3.5353535353535364</v>
      </c>
      <c r="FL313" s="1">
        <v>16.262626262626263</v>
      </c>
      <c r="FO313" s="1">
        <v>67</v>
      </c>
      <c r="FP313" s="1">
        <v>67</v>
      </c>
      <c r="FQ313" s="1">
        <v>67</v>
      </c>
      <c r="FR313" s="13" t="s">
        <v>806</v>
      </c>
      <c r="FS313" s="13" t="s">
        <v>806</v>
      </c>
      <c r="FT313" s="13" t="s">
        <v>806</v>
      </c>
      <c r="FU313" s="13"/>
      <c r="FV313" s="13" t="s">
        <v>806</v>
      </c>
      <c r="FW313" s="13" t="s">
        <v>806</v>
      </c>
      <c r="FX313" s="13" t="s">
        <v>806</v>
      </c>
      <c r="FY313" s="13" t="s">
        <v>806</v>
      </c>
      <c r="FZ313" s="13" t="s">
        <v>806</v>
      </c>
      <c r="GA313" s="13" t="s">
        <v>806</v>
      </c>
      <c r="GB313" s="13" t="s">
        <v>806</v>
      </c>
      <c r="GE313" s="13" t="s">
        <v>806</v>
      </c>
      <c r="GF313" s="13" t="s">
        <v>806</v>
      </c>
      <c r="GH313" s="13" t="s">
        <v>806</v>
      </c>
    </row>
    <row r="314" spans="1:190" ht="12.75" customHeight="1" x14ac:dyDescent="0.25">
      <c r="A314" s="1" t="s">
        <v>129</v>
      </c>
      <c r="B314" s="1" t="s">
        <v>746</v>
      </c>
      <c r="C314" s="1" t="s">
        <v>804</v>
      </c>
      <c r="D314" s="1" t="s">
        <v>706</v>
      </c>
      <c r="E314" s="1" t="s">
        <v>139</v>
      </c>
      <c r="F314" s="1">
        <v>0</v>
      </c>
      <c r="G314" s="1">
        <v>2015</v>
      </c>
      <c r="H314" s="1">
        <v>0</v>
      </c>
      <c r="I314" s="1">
        <v>0</v>
      </c>
      <c r="J314" s="1">
        <v>1</v>
      </c>
      <c r="K3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16.537249999999869</v>
      </c>
      <c r="M3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265.14399999999989</v>
      </c>
      <c r="N314" s="19">
        <v>16.537249999999869</v>
      </c>
      <c r="O314" s="19">
        <v>0</v>
      </c>
      <c r="P314" s="19">
        <v>265.14399999999989</v>
      </c>
      <c r="Q314" s="19">
        <v>380.35674999999998</v>
      </c>
      <c r="R314" s="19">
        <v>0</v>
      </c>
      <c r="S314" s="19">
        <v>2121.152</v>
      </c>
      <c r="T314" s="19">
        <v>16.537249999999869</v>
      </c>
      <c r="U314" s="19">
        <v>0</v>
      </c>
      <c r="V314" s="19">
        <v>265.14399999999989</v>
      </c>
      <c r="W314" s="19">
        <v>380.35674999999998</v>
      </c>
      <c r="X314" s="19">
        <v>0</v>
      </c>
      <c r="Y314" s="19">
        <v>2121.152</v>
      </c>
      <c r="Z314" s="19">
        <v>16.537249999999869</v>
      </c>
      <c r="AA314" s="19">
        <v>0</v>
      </c>
      <c r="AB314" s="19">
        <v>265.14399999999989</v>
      </c>
      <c r="AC314" s="19">
        <v>380.35674999999998</v>
      </c>
      <c r="AD314" s="19">
        <v>0</v>
      </c>
      <c r="AE314" s="19">
        <v>2121.152</v>
      </c>
      <c r="AF314" s="19">
        <v>16.537249999999869</v>
      </c>
      <c r="AG314" s="19">
        <v>0</v>
      </c>
      <c r="AH314" s="19">
        <v>265.14399999999989</v>
      </c>
      <c r="AI314" s="19">
        <v>380.35674999999998</v>
      </c>
      <c r="AJ314" s="19">
        <v>0</v>
      </c>
      <c r="AK314" s="19">
        <v>2121.152</v>
      </c>
      <c r="AL314" s="19">
        <v>16.537249999999869</v>
      </c>
      <c r="AM314" s="19">
        <v>0</v>
      </c>
      <c r="AN314" s="19">
        <v>265.14399999999989</v>
      </c>
      <c r="AO314" s="19">
        <v>380.35674999999998</v>
      </c>
      <c r="AP314" s="19">
        <v>0</v>
      </c>
      <c r="AQ314" s="19">
        <v>2121.152</v>
      </c>
      <c r="AR314" s="19">
        <v>16.537249999999869</v>
      </c>
      <c r="AS314" s="19">
        <v>0</v>
      </c>
      <c r="AT314" s="19">
        <v>265.14399999999989</v>
      </c>
      <c r="AU314" s="19">
        <v>380.35674999999998</v>
      </c>
      <c r="AV314" s="19">
        <v>0</v>
      </c>
      <c r="AW314" s="19">
        <v>2121.152</v>
      </c>
      <c r="AX314" s="19">
        <v>16.537249999999869</v>
      </c>
      <c r="AY314" s="19">
        <v>0</v>
      </c>
      <c r="AZ314" s="19">
        <v>265.14399999999989</v>
      </c>
      <c r="BA314" s="19">
        <v>380.35674999999998</v>
      </c>
      <c r="BB314" s="19">
        <v>0</v>
      </c>
      <c r="BC314" s="19">
        <v>2121.152</v>
      </c>
      <c r="BD314" s="19">
        <v>16.537249999999869</v>
      </c>
      <c r="BE314" s="19">
        <v>0</v>
      </c>
      <c r="BF314" s="19">
        <v>265.14399999999989</v>
      </c>
      <c r="BG314" s="19">
        <v>380.35674999999998</v>
      </c>
      <c r="BH314" s="19">
        <v>0</v>
      </c>
      <c r="BI314" s="19">
        <v>2121.152</v>
      </c>
      <c r="BJ314" s="19">
        <v>16.537249999999869</v>
      </c>
      <c r="BK314" s="19">
        <v>0</v>
      </c>
      <c r="BL314" s="19">
        <v>265.14399999999989</v>
      </c>
      <c r="BM314" s="19">
        <v>380.35674999999998</v>
      </c>
      <c r="BN314" s="19">
        <v>0</v>
      </c>
      <c r="BO314" s="19">
        <v>2121.152</v>
      </c>
      <c r="BP314" s="19"/>
      <c r="BQ3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380.35674999999998</v>
      </c>
      <c r="BS3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2121.152</v>
      </c>
      <c r="BT314" s="11">
        <f>Tabelle5897112140[[#This Row],[Mindestauslastung min]]*Tabelle5897112140[[#This Row],[installierte Leistung MW min]]</f>
        <v>528.096</v>
      </c>
      <c r="BU314" s="11">
        <f>Tabelle5897112140[[#This Row],[Mindestauslastung durch]]*Tabelle5897112140[[#This Row],[installierte Leistung MW durch]]</f>
        <v>529.19200000000001</v>
      </c>
      <c r="BV314" s="11">
        <f>Tabelle5897112140[[#This Row],[Mindestauslastung max]]*Tabelle5897112140[[#This Row],[installierte Leistung MW max]]</f>
        <v>530.28800000000001</v>
      </c>
      <c r="BW314" s="9">
        <v>8.0000000000000002E-3</v>
      </c>
      <c r="BX314" s="9">
        <v>8.0000000000000002E-3</v>
      </c>
      <c r="BY314" s="9">
        <v>8.0000000000000002E-3</v>
      </c>
      <c r="BZ314" s="9"/>
      <c r="CA314" s="9">
        <v>8.2499999999999987E-3</v>
      </c>
      <c r="CB314" s="9">
        <v>2E-3</v>
      </c>
      <c r="CC314" s="9">
        <v>1.2E-2</v>
      </c>
      <c r="CD314" s="9">
        <v>8.2499999999999987E-3</v>
      </c>
      <c r="CE314" s="9">
        <v>2E-3</v>
      </c>
      <c r="CF314" s="9">
        <v>1.2E-2</v>
      </c>
      <c r="CG314" s="9">
        <v>8.2499999999999987E-3</v>
      </c>
      <c r="CH314" s="9">
        <v>2E-3</v>
      </c>
      <c r="CI314" s="9">
        <v>1.2E-2</v>
      </c>
      <c r="CJ314" s="9">
        <v>8.2499999999999987E-3</v>
      </c>
      <c r="CK314" s="9">
        <v>2E-3</v>
      </c>
      <c r="CL314" s="9">
        <v>1.2E-2</v>
      </c>
      <c r="CM314" s="9">
        <v>8.2499999999999987E-3</v>
      </c>
      <c r="CN314" s="9">
        <v>2E-3</v>
      </c>
      <c r="CO314" s="9">
        <v>1.2E-2</v>
      </c>
      <c r="CP314" s="9">
        <v>8.2499999999999987E-3</v>
      </c>
      <c r="CQ314" s="9">
        <v>2E-3</v>
      </c>
      <c r="CR314" s="9">
        <v>1.2E-2</v>
      </c>
      <c r="CS314" s="9">
        <v>8.2499999999999987E-3</v>
      </c>
      <c r="CT314" s="9">
        <v>2E-3</v>
      </c>
      <c r="CU314" s="9">
        <v>1.2E-2</v>
      </c>
      <c r="CV314" s="9">
        <v>8.2499999999999987E-3</v>
      </c>
      <c r="CW314" s="9">
        <v>2E-3</v>
      </c>
      <c r="CX314" s="9">
        <v>1.2E-2</v>
      </c>
      <c r="CY314" s="9">
        <v>8.2499999999999987E-3</v>
      </c>
      <c r="CZ314" s="9">
        <v>2E-3</v>
      </c>
      <c r="DA314" s="9">
        <v>1.2E-2</v>
      </c>
      <c r="DB314" s="9">
        <f>MIN(Tabelle5897112140[[#This Row],[Durchschnittsauslastung durch Sommer WTT]:[Durchschnittsauslastung max Winter SFN]])</f>
        <v>2E-3</v>
      </c>
      <c r="DC3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4" s="9">
        <f>MAX(Tabelle5897112140[[#This Row],[Durchschnittsauslastung durch Sommer WTT]:[Durchschnittsauslastung max Winter SFN]])</f>
        <v>1.2E-2</v>
      </c>
      <c r="DE314" s="40">
        <f>Tabelle5897112140[[#This Row],[Durchschnittsauslastung min]]*Tabelle5897112140[[#This Row],[installierte Leistung MW min]]</f>
        <v>132.024</v>
      </c>
      <c r="DF314" s="40">
        <f>Tabelle5897112140[[#This Row],[Durchschnittsauslastung durch]]*Tabelle5897112140[[#This Row],[installierte Leistung MW durch]]</f>
        <v>545.72924999999987</v>
      </c>
      <c r="DG314" s="40">
        <f>Tabelle5897112140[[#This Row],[Durchschnittsauslastung max]]*Tabelle5897112140[[#This Row],[installierte Leistung MW max]]</f>
        <v>795.43200000000002</v>
      </c>
      <c r="DH314" s="46">
        <f>Tabelle5897112140[[#This Row],[Maximalauslastung min]]*Tabelle5897112140[[#This Row],[installierte Leistung MW min]]</f>
        <v>0</v>
      </c>
      <c r="DI314" s="46">
        <f>Tabelle5897112140[[#This Row],[Maximalauslastung durch]]*Tabelle5897112140[[#This Row],[installierte Leistung MW durch]]</f>
        <v>926.0859999999999</v>
      </c>
      <c r="DJ314" s="19">
        <f>Tabelle5897112140[[#This Row],[Maximalauslastung max]]*Tabelle5897112140[[#This Row],[installierte Leistung MW durch]]</f>
        <v>2249.0660000000003</v>
      </c>
      <c r="DK314" s="9">
        <v>0</v>
      </c>
      <c r="DL314" s="9">
        <v>1.3999999999999999E-2</v>
      </c>
      <c r="DM314" s="9">
        <v>3.4000000000000002E-2</v>
      </c>
      <c r="DN314" s="1">
        <v>66149</v>
      </c>
      <c r="DO314" s="1">
        <v>66012</v>
      </c>
      <c r="DP314" s="1">
        <v>66286</v>
      </c>
      <c r="DQ314" s="19"/>
      <c r="DR314" s="19"/>
      <c r="DW314" s="1">
        <v>1.75</v>
      </c>
      <c r="DX314" s="1">
        <v>1.1499999999999999</v>
      </c>
      <c r="DY314" s="1">
        <v>2.35</v>
      </c>
      <c r="DZ314" s="1">
        <v>1.75</v>
      </c>
      <c r="EA314" s="1">
        <v>0.5</v>
      </c>
      <c r="EB314" s="1">
        <v>3</v>
      </c>
      <c r="EC314" s="1">
        <v>3.5</v>
      </c>
      <c r="ED314" s="1">
        <v>2.2999999999999998</v>
      </c>
      <c r="EE314" s="1">
        <v>4.7</v>
      </c>
      <c r="EF314" s="1">
        <v>3.5</v>
      </c>
      <c r="EG314" s="1">
        <v>3.5</v>
      </c>
      <c r="EH314" s="1">
        <v>3.5</v>
      </c>
      <c r="EL314" s="1">
        <v>220</v>
      </c>
      <c r="EM314" s="1">
        <v>198</v>
      </c>
      <c r="EN314" s="1">
        <v>242</v>
      </c>
      <c r="EO314" s="11"/>
      <c r="EP314" s="11"/>
      <c r="EQ314" s="11"/>
      <c r="ER314" s="1">
        <v>220</v>
      </c>
      <c r="ES314" s="1">
        <v>198</v>
      </c>
      <c r="ET314" s="1">
        <v>242</v>
      </c>
      <c r="EU314" s="1">
        <v>91.818181818181827</v>
      </c>
      <c r="EV314" s="19">
        <v>82.626262626262644</v>
      </c>
      <c r="EW314" s="19">
        <v>101.01010101010101</v>
      </c>
      <c r="EX314" s="19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>
        <v>747.47474747474746</v>
      </c>
      <c r="FK314" s="8">
        <v>740</v>
      </c>
      <c r="FL314" s="1">
        <v>754.94949494949492</v>
      </c>
      <c r="FO314" s="1">
        <v>67</v>
      </c>
      <c r="FP314" s="1">
        <v>67</v>
      </c>
      <c r="FQ314" s="1">
        <v>67</v>
      </c>
      <c r="FR314" s="13" t="s">
        <v>806</v>
      </c>
      <c r="FS314" s="13" t="s">
        <v>806</v>
      </c>
      <c r="FT314" s="13" t="s">
        <v>806</v>
      </c>
      <c r="FU314" s="13"/>
      <c r="FV314" s="13" t="s">
        <v>806</v>
      </c>
      <c r="FW314" s="13" t="s">
        <v>806</v>
      </c>
      <c r="FX314" s="13" t="s">
        <v>806</v>
      </c>
      <c r="FY314" s="13" t="s">
        <v>806</v>
      </c>
      <c r="FZ314" s="13" t="s">
        <v>806</v>
      </c>
      <c r="GA314" s="13" t="s">
        <v>806</v>
      </c>
      <c r="GB314" s="13" t="s">
        <v>806</v>
      </c>
      <c r="GE314" s="13" t="s">
        <v>806</v>
      </c>
      <c r="GF314" s="13" t="s">
        <v>806</v>
      </c>
      <c r="GH314" s="13" t="s">
        <v>806</v>
      </c>
    </row>
    <row r="315" spans="1:190" ht="12.75" customHeight="1" x14ac:dyDescent="0.25">
      <c r="A315" s="1" t="s">
        <v>129</v>
      </c>
      <c r="B315" s="1" t="s">
        <v>746</v>
      </c>
      <c r="C315" s="1" t="s">
        <v>804</v>
      </c>
      <c r="D315" s="1" t="s">
        <v>706</v>
      </c>
      <c r="E315" s="1" t="s">
        <v>139</v>
      </c>
      <c r="F315" s="1">
        <v>0</v>
      </c>
      <c r="G315" s="1">
        <v>2020</v>
      </c>
      <c r="H315" s="1">
        <v>0</v>
      </c>
      <c r="I315" s="1">
        <v>0</v>
      </c>
      <c r="J315" s="1">
        <v>1</v>
      </c>
      <c r="K3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14.387407499999885</v>
      </c>
      <c r="M3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230.6752799999999</v>
      </c>
      <c r="N315" s="19">
        <v>14.387407499999886</v>
      </c>
      <c r="O315" s="19">
        <v>0</v>
      </c>
      <c r="P315" s="19">
        <v>230.6752799999999</v>
      </c>
      <c r="Q315" s="19">
        <v>330.91037249999999</v>
      </c>
      <c r="R315" s="19">
        <v>0</v>
      </c>
      <c r="S315" s="19">
        <v>1845.4022400000001</v>
      </c>
      <c r="T315" s="19">
        <v>14.387407499999886</v>
      </c>
      <c r="U315" s="19">
        <v>0</v>
      </c>
      <c r="V315" s="19">
        <v>230.6752799999999</v>
      </c>
      <c r="W315" s="19">
        <v>330.91037249999999</v>
      </c>
      <c r="X315" s="19">
        <v>0</v>
      </c>
      <c r="Y315" s="19">
        <v>1845.4022400000001</v>
      </c>
      <c r="Z315" s="19">
        <v>14.387407499999886</v>
      </c>
      <c r="AA315" s="19">
        <v>0</v>
      </c>
      <c r="AB315" s="19">
        <v>230.6752799999999</v>
      </c>
      <c r="AC315" s="19">
        <v>330.91037249999999</v>
      </c>
      <c r="AD315" s="19">
        <v>0</v>
      </c>
      <c r="AE315" s="19">
        <v>1845.4022400000001</v>
      </c>
      <c r="AF315" s="19">
        <v>14.387407499999886</v>
      </c>
      <c r="AG315" s="19">
        <v>0</v>
      </c>
      <c r="AH315" s="19">
        <v>230.6752799999999</v>
      </c>
      <c r="AI315" s="19">
        <v>330.91037249999999</v>
      </c>
      <c r="AJ315" s="19">
        <v>0</v>
      </c>
      <c r="AK315" s="19">
        <v>1845.4022400000001</v>
      </c>
      <c r="AL315" s="19">
        <v>14.387407499999886</v>
      </c>
      <c r="AM315" s="19">
        <v>0</v>
      </c>
      <c r="AN315" s="19">
        <v>230.6752799999999</v>
      </c>
      <c r="AO315" s="19">
        <v>330.91037249999999</v>
      </c>
      <c r="AP315" s="19">
        <v>0</v>
      </c>
      <c r="AQ315" s="19">
        <v>1845.4022400000001</v>
      </c>
      <c r="AR315" s="19">
        <v>14.387407499999886</v>
      </c>
      <c r="AS315" s="19">
        <v>0</v>
      </c>
      <c r="AT315" s="19">
        <v>230.6752799999999</v>
      </c>
      <c r="AU315" s="19">
        <v>330.91037249999999</v>
      </c>
      <c r="AV315" s="19">
        <v>0</v>
      </c>
      <c r="AW315" s="19">
        <v>1845.4022400000001</v>
      </c>
      <c r="AX315" s="19">
        <v>14.387407499999886</v>
      </c>
      <c r="AY315" s="19">
        <v>0</v>
      </c>
      <c r="AZ315" s="19">
        <v>230.6752799999999</v>
      </c>
      <c r="BA315" s="19">
        <v>330.91037249999999</v>
      </c>
      <c r="BB315" s="19">
        <v>0</v>
      </c>
      <c r="BC315" s="19">
        <v>1845.4022400000001</v>
      </c>
      <c r="BD315" s="19">
        <v>14.387407499999886</v>
      </c>
      <c r="BE315" s="19">
        <v>0</v>
      </c>
      <c r="BF315" s="19">
        <v>230.6752799999999</v>
      </c>
      <c r="BG315" s="19">
        <v>330.91037249999999</v>
      </c>
      <c r="BH315" s="19">
        <v>0</v>
      </c>
      <c r="BI315" s="19">
        <v>1845.4022400000001</v>
      </c>
      <c r="BJ315" s="19">
        <v>14.387407499999886</v>
      </c>
      <c r="BK315" s="19">
        <v>0</v>
      </c>
      <c r="BL315" s="19">
        <v>230.6752799999999</v>
      </c>
      <c r="BM315" s="19">
        <v>330.91037249999999</v>
      </c>
      <c r="BN315" s="19">
        <v>0</v>
      </c>
      <c r="BO315" s="19">
        <v>1845.4022400000001</v>
      </c>
      <c r="BP315" s="19"/>
      <c r="BQ3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330.91037249999999</v>
      </c>
      <c r="BS3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1845.4022400000001</v>
      </c>
      <c r="BT315" s="11">
        <f>Tabelle5897112140[[#This Row],[Mindestauslastung min]]*Tabelle5897112140[[#This Row],[installierte Leistung MW min]]</f>
        <v>0</v>
      </c>
      <c r="BU315" s="11">
        <f>Tabelle5897112140[[#This Row],[Mindestauslastung durch]]*Tabelle5897112140[[#This Row],[installierte Leistung MW durch]]</f>
        <v>0</v>
      </c>
      <c r="BV315" s="11">
        <f>Tabelle5897112140[[#This Row],[Mindestauslastung max]]*Tabelle5897112140[[#This Row],[installierte Leistung MW max]]</f>
        <v>0</v>
      </c>
      <c r="BW315" s="9">
        <v>0</v>
      </c>
      <c r="BX315" s="9">
        <v>0</v>
      </c>
      <c r="BY315" s="9">
        <v>0</v>
      </c>
      <c r="BZ315" s="9"/>
      <c r="CA315" s="9">
        <v>8.2499999999999987E-3</v>
      </c>
      <c r="CB315" s="9">
        <v>2E-3</v>
      </c>
      <c r="CC315" s="9">
        <v>1.2E-2</v>
      </c>
      <c r="CD315" s="9">
        <v>8.2499999999999987E-3</v>
      </c>
      <c r="CE315" s="9">
        <v>2E-3</v>
      </c>
      <c r="CF315" s="9">
        <v>1.2E-2</v>
      </c>
      <c r="CG315" s="9">
        <v>8.2499999999999987E-3</v>
      </c>
      <c r="CH315" s="9">
        <v>2E-3</v>
      </c>
      <c r="CI315" s="9">
        <v>1.2E-2</v>
      </c>
      <c r="CJ315" s="9">
        <v>8.2499999999999987E-3</v>
      </c>
      <c r="CK315" s="9">
        <v>2E-3</v>
      </c>
      <c r="CL315" s="9">
        <v>1.2E-2</v>
      </c>
      <c r="CM315" s="9">
        <v>8.2499999999999987E-3</v>
      </c>
      <c r="CN315" s="9">
        <v>2E-3</v>
      </c>
      <c r="CO315" s="9">
        <v>1.2E-2</v>
      </c>
      <c r="CP315" s="9">
        <v>8.2499999999999987E-3</v>
      </c>
      <c r="CQ315" s="9">
        <v>2E-3</v>
      </c>
      <c r="CR315" s="9">
        <v>1.2E-2</v>
      </c>
      <c r="CS315" s="9">
        <v>8.2499999999999987E-3</v>
      </c>
      <c r="CT315" s="9">
        <v>2E-3</v>
      </c>
      <c r="CU315" s="9">
        <v>1.2E-2</v>
      </c>
      <c r="CV315" s="9">
        <v>8.2499999999999987E-3</v>
      </c>
      <c r="CW315" s="9">
        <v>2E-3</v>
      </c>
      <c r="CX315" s="9">
        <v>1.2E-2</v>
      </c>
      <c r="CY315" s="9">
        <v>8.2499999999999987E-3</v>
      </c>
      <c r="CZ315" s="9">
        <v>2E-3</v>
      </c>
      <c r="DA315" s="9">
        <v>1.2E-2</v>
      </c>
      <c r="DB315" s="9">
        <f>MIN(Tabelle5897112140[[#This Row],[Durchschnittsauslastung durch Sommer WTT]:[Durchschnittsauslastung max Winter SFN]])</f>
        <v>2E-3</v>
      </c>
      <c r="DC3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5" s="9">
        <f>MAX(Tabelle5897112140[[#This Row],[Durchschnittsauslastung durch Sommer WTT]:[Durchschnittsauslastung max Winter SFN]])</f>
        <v>1.2E-2</v>
      </c>
      <c r="DE315" s="40">
        <f>Tabelle5897112140[[#This Row],[Durchschnittsauslastung min]]*Tabelle5897112140[[#This Row],[installierte Leistung MW min]]</f>
        <v>114.86088000000001</v>
      </c>
      <c r="DF315" s="40">
        <f>Tabelle5897112140[[#This Row],[Durchschnittsauslastung durch]]*Tabelle5897112140[[#This Row],[installierte Leistung MW durch]]</f>
        <v>474.78444749999989</v>
      </c>
      <c r="DG315" s="40">
        <f>Tabelle5897112140[[#This Row],[Durchschnittsauslastung max]]*Tabelle5897112140[[#This Row],[installierte Leistung MW max]]</f>
        <v>692.02584000000002</v>
      </c>
      <c r="DH315" s="46">
        <f>Tabelle5897112140[[#This Row],[Maximalauslastung min]]*Tabelle5897112140[[#This Row],[installierte Leistung MW min]]</f>
        <v>39627.003599999996</v>
      </c>
      <c r="DI315" s="46">
        <f>Tabelle5897112140[[#This Row],[Maximalauslastung durch]]*Tabelle5897112140[[#This Row],[installierte Leistung MW durch]]</f>
        <v>43162.222499999996</v>
      </c>
      <c r="DJ315" s="19">
        <f>Tabelle5897112140[[#This Row],[Maximalauslastung max]]*Tabelle5897112140[[#This Row],[installierte Leistung MW durch]]</f>
        <v>46615.200300000004</v>
      </c>
      <c r="DK315" s="9">
        <v>0.69</v>
      </c>
      <c r="DL315" s="9">
        <v>0.75</v>
      </c>
      <c r="DM315" s="9">
        <v>0.81</v>
      </c>
      <c r="DN315" s="1">
        <v>57549.63</v>
      </c>
      <c r="DO315" s="1">
        <v>57430.44</v>
      </c>
      <c r="DP315" s="1">
        <v>57668.82</v>
      </c>
      <c r="DQ315" s="19"/>
      <c r="DR315" s="19"/>
      <c r="DW315" s="1">
        <v>1.75</v>
      </c>
      <c r="DX315" s="1">
        <v>1.1499999999999999</v>
      </c>
      <c r="DY315" s="1">
        <v>2.35</v>
      </c>
      <c r="DZ315" s="1">
        <v>1.75</v>
      </c>
      <c r="EA315" s="1">
        <v>0.5</v>
      </c>
      <c r="EB315" s="1">
        <v>3</v>
      </c>
      <c r="EC315" s="1">
        <v>3.5</v>
      </c>
      <c r="ED315" s="1">
        <v>2.2999999999999998</v>
      </c>
      <c r="EE315" s="1">
        <v>4.7</v>
      </c>
      <c r="EF315" s="1">
        <v>3.5</v>
      </c>
      <c r="EG315" s="1">
        <v>3.5</v>
      </c>
      <c r="EH315" s="1">
        <v>3.5</v>
      </c>
      <c r="EL315" s="1">
        <v>220</v>
      </c>
      <c r="EM315" s="1">
        <v>198</v>
      </c>
      <c r="EN315" s="1">
        <v>242</v>
      </c>
      <c r="EO315" s="11"/>
      <c r="EP315" s="11"/>
      <c r="EQ315" s="11"/>
      <c r="ER315" s="1">
        <v>220</v>
      </c>
      <c r="ES315" s="1">
        <v>198</v>
      </c>
      <c r="ET315" s="1">
        <v>242</v>
      </c>
      <c r="EU315" s="1">
        <v>91.818181818181827</v>
      </c>
      <c r="EV315" s="19">
        <v>82.626262626262644</v>
      </c>
      <c r="EW315" s="19">
        <v>101.01010101010101</v>
      </c>
      <c r="EX315" s="19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>
        <v>747.47474747474746</v>
      </c>
      <c r="FK315" s="8">
        <v>740</v>
      </c>
      <c r="FL315" s="1">
        <v>754.94949494949492</v>
      </c>
      <c r="FO315" s="1">
        <v>67</v>
      </c>
      <c r="FP315" s="1">
        <v>67</v>
      </c>
      <c r="FQ315" s="1">
        <v>67</v>
      </c>
      <c r="FR315" s="13" t="s">
        <v>806</v>
      </c>
      <c r="FS315" s="13" t="s">
        <v>806</v>
      </c>
      <c r="FT315" s="13" t="s">
        <v>806</v>
      </c>
      <c r="FU315" s="13"/>
      <c r="FV315" s="13" t="s">
        <v>806</v>
      </c>
      <c r="FW315" s="13" t="s">
        <v>806</v>
      </c>
      <c r="FX315" s="13" t="s">
        <v>806</v>
      </c>
      <c r="FY315" s="13" t="s">
        <v>806</v>
      </c>
      <c r="FZ315" s="13" t="s">
        <v>806</v>
      </c>
      <c r="GA315" s="13" t="s">
        <v>806</v>
      </c>
      <c r="GB315" s="13" t="s">
        <v>806</v>
      </c>
      <c r="GE315" s="13" t="s">
        <v>806</v>
      </c>
      <c r="GF315" s="13" t="s">
        <v>806</v>
      </c>
      <c r="GH315" s="13" t="s">
        <v>806</v>
      </c>
    </row>
    <row r="316" spans="1:190" ht="12.75" customHeight="1" x14ac:dyDescent="0.25">
      <c r="A316" s="1" t="s">
        <v>129</v>
      </c>
      <c r="B316" s="1" t="s">
        <v>746</v>
      </c>
      <c r="C316" s="1" t="s">
        <v>804</v>
      </c>
      <c r="D316" s="1" t="s">
        <v>706</v>
      </c>
      <c r="E316" s="1" t="s">
        <v>139</v>
      </c>
      <c r="F316" s="1">
        <v>0</v>
      </c>
      <c r="G316" s="1">
        <v>2025</v>
      </c>
      <c r="H316" s="1">
        <v>0</v>
      </c>
      <c r="I316" s="1">
        <v>0</v>
      </c>
      <c r="J316" s="1">
        <v>1</v>
      </c>
      <c r="K3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12.402937499999901</v>
      </c>
      <c r="M3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198.85799999999992</v>
      </c>
      <c r="N316" s="19">
        <v>12.402937499999901</v>
      </c>
      <c r="O316" s="19">
        <v>0</v>
      </c>
      <c r="P316" s="19">
        <v>198.85799999999992</v>
      </c>
      <c r="Q316" s="19">
        <v>285.2675625</v>
      </c>
      <c r="R316" s="19">
        <v>0</v>
      </c>
      <c r="S316" s="19">
        <v>1590.864</v>
      </c>
      <c r="T316" s="19">
        <v>12.402937499999901</v>
      </c>
      <c r="U316" s="19">
        <v>0</v>
      </c>
      <c r="V316" s="19">
        <v>198.85799999999992</v>
      </c>
      <c r="W316" s="19">
        <v>285.2675625</v>
      </c>
      <c r="X316" s="19">
        <v>0</v>
      </c>
      <c r="Y316" s="19">
        <v>1590.864</v>
      </c>
      <c r="Z316" s="19">
        <v>12.402937499999901</v>
      </c>
      <c r="AA316" s="19">
        <v>0</v>
      </c>
      <c r="AB316" s="19">
        <v>198.85799999999992</v>
      </c>
      <c r="AC316" s="19">
        <v>285.2675625</v>
      </c>
      <c r="AD316" s="19">
        <v>0</v>
      </c>
      <c r="AE316" s="19">
        <v>1590.864</v>
      </c>
      <c r="AF316" s="19">
        <v>12.402937499999901</v>
      </c>
      <c r="AG316" s="19">
        <v>0</v>
      </c>
      <c r="AH316" s="19">
        <v>198.85799999999992</v>
      </c>
      <c r="AI316" s="19">
        <v>285.2675625</v>
      </c>
      <c r="AJ316" s="19">
        <v>0</v>
      </c>
      <c r="AK316" s="19">
        <v>1590.864</v>
      </c>
      <c r="AL316" s="19">
        <v>12.402937499999901</v>
      </c>
      <c r="AM316" s="19">
        <v>0</v>
      </c>
      <c r="AN316" s="19">
        <v>198.85799999999992</v>
      </c>
      <c r="AO316" s="19">
        <v>285.2675625</v>
      </c>
      <c r="AP316" s="19">
        <v>0</v>
      </c>
      <c r="AQ316" s="19">
        <v>1590.864</v>
      </c>
      <c r="AR316" s="19">
        <v>12.402937499999901</v>
      </c>
      <c r="AS316" s="19">
        <v>0</v>
      </c>
      <c r="AT316" s="19">
        <v>198.85799999999992</v>
      </c>
      <c r="AU316" s="19">
        <v>285.2675625</v>
      </c>
      <c r="AV316" s="19">
        <v>0</v>
      </c>
      <c r="AW316" s="19">
        <v>1590.864</v>
      </c>
      <c r="AX316" s="19">
        <v>12.402937499999901</v>
      </c>
      <c r="AY316" s="19">
        <v>0</v>
      </c>
      <c r="AZ316" s="19">
        <v>198.85799999999992</v>
      </c>
      <c r="BA316" s="19">
        <v>285.2675625</v>
      </c>
      <c r="BB316" s="19">
        <v>0</v>
      </c>
      <c r="BC316" s="19">
        <v>1590.864</v>
      </c>
      <c r="BD316" s="19">
        <v>12.402937499999901</v>
      </c>
      <c r="BE316" s="19">
        <v>0</v>
      </c>
      <c r="BF316" s="19">
        <v>198.85799999999992</v>
      </c>
      <c r="BG316" s="19">
        <v>285.2675625</v>
      </c>
      <c r="BH316" s="19">
        <v>0</v>
      </c>
      <c r="BI316" s="19">
        <v>1590.864</v>
      </c>
      <c r="BJ316" s="19">
        <v>12.402937499999901</v>
      </c>
      <c r="BK316" s="19">
        <v>0</v>
      </c>
      <c r="BL316" s="19">
        <v>198.85799999999992</v>
      </c>
      <c r="BM316" s="19">
        <v>285.2675625</v>
      </c>
      <c r="BN316" s="19">
        <v>0</v>
      </c>
      <c r="BO316" s="19">
        <v>1590.864</v>
      </c>
      <c r="BP316" s="19"/>
      <c r="BQ3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285.2675625</v>
      </c>
      <c r="BS3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1590.864</v>
      </c>
      <c r="BT316" s="11">
        <f>Tabelle5897112140[[#This Row],[Mindestauslastung min]]*Tabelle5897112140[[#This Row],[installierte Leistung MW min]]</f>
        <v>0</v>
      </c>
      <c r="BU316" s="11">
        <f>Tabelle5897112140[[#This Row],[Mindestauslastung durch]]*Tabelle5897112140[[#This Row],[installierte Leistung MW durch]]</f>
        <v>0</v>
      </c>
      <c r="BV316" s="11">
        <f>Tabelle5897112140[[#This Row],[Mindestauslastung max]]*Tabelle5897112140[[#This Row],[installierte Leistung MW max]]</f>
        <v>0</v>
      </c>
      <c r="BW316" s="9">
        <v>0</v>
      </c>
      <c r="BX316" s="9">
        <v>0</v>
      </c>
      <c r="BY316" s="9">
        <v>0</v>
      </c>
      <c r="BZ316" s="9"/>
      <c r="CA316" s="9">
        <v>8.2499999999999987E-3</v>
      </c>
      <c r="CB316" s="9">
        <v>2E-3</v>
      </c>
      <c r="CC316" s="9">
        <v>1.2E-2</v>
      </c>
      <c r="CD316" s="9">
        <v>8.2499999999999987E-3</v>
      </c>
      <c r="CE316" s="9">
        <v>2E-3</v>
      </c>
      <c r="CF316" s="9">
        <v>1.2E-2</v>
      </c>
      <c r="CG316" s="9">
        <v>8.2499999999999987E-3</v>
      </c>
      <c r="CH316" s="9">
        <v>2E-3</v>
      </c>
      <c r="CI316" s="9">
        <v>1.2E-2</v>
      </c>
      <c r="CJ316" s="9">
        <v>8.2499999999999987E-3</v>
      </c>
      <c r="CK316" s="9">
        <v>2E-3</v>
      </c>
      <c r="CL316" s="9">
        <v>1.2E-2</v>
      </c>
      <c r="CM316" s="9">
        <v>8.2499999999999987E-3</v>
      </c>
      <c r="CN316" s="9">
        <v>2E-3</v>
      </c>
      <c r="CO316" s="9">
        <v>1.2E-2</v>
      </c>
      <c r="CP316" s="9">
        <v>8.2499999999999987E-3</v>
      </c>
      <c r="CQ316" s="9">
        <v>2E-3</v>
      </c>
      <c r="CR316" s="9">
        <v>1.2E-2</v>
      </c>
      <c r="CS316" s="9">
        <v>8.2499999999999987E-3</v>
      </c>
      <c r="CT316" s="9">
        <v>2E-3</v>
      </c>
      <c r="CU316" s="9">
        <v>1.2E-2</v>
      </c>
      <c r="CV316" s="9">
        <v>8.2499999999999987E-3</v>
      </c>
      <c r="CW316" s="9">
        <v>2E-3</v>
      </c>
      <c r="CX316" s="9">
        <v>1.2E-2</v>
      </c>
      <c r="CY316" s="9">
        <v>8.2499999999999987E-3</v>
      </c>
      <c r="CZ316" s="9">
        <v>2E-3</v>
      </c>
      <c r="DA316" s="9">
        <v>1.2E-2</v>
      </c>
      <c r="DB316" s="9">
        <f>MIN(Tabelle5897112140[[#This Row],[Durchschnittsauslastung durch Sommer WTT]:[Durchschnittsauslastung max Winter SFN]])</f>
        <v>2E-3</v>
      </c>
      <c r="DC3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6" s="9">
        <f>MAX(Tabelle5897112140[[#This Row],[Durchschnittsauslastung durch Sommer WTT]:[Durchschnittsauslastung max Winter SFN]])</f>
        <v>1.2E-2</v>
      </c>
      <c r="DE316" s="40">
        <f>Tabelle5897112140[[#This Row],[Durchschnittsauslastung min]]*Tabelle5897112140[[#This Row],[installierte Leistung MW min]]</f>
        <v>99.018000000000001</v>
      </c>
      <c r="DF316" s="40">
        <f>Tabelle5897112140[[#This Row],[Durchschnittsauslastung durch]]*Tabelle5897112140[[#This Row],[installierte Leistung MW durch]]</f>
        <v>409.29693749999996</v>
      </c>
      <c r="DG316" s="40">
        <f>Tabelle5897112140[[#This Row],[Durchschnittsauslastung max]]*Tabelle5897112140[[#This Row],[installierte Leistung MW max]]</f>
        <v>596.57400000000007</v>
      </c>
      <c r="DH316" s="46">
        <f>Tabelle5897112140[[#This Row],[Maximalauslastung min]]*Tabelle5897112140[[#This Row],[installierte Leistung MW min]]</f>
        <v>34161.21</v>
      </c>
      <c r="DI316" s="46">
        <f>Tabelle5897112140[[#This Row],[Maximalauslastung durch]]*Tabelle5897112140[[#This Row],[installierte Leistung MW durch]]</f>
        <v>37208.8125</v>
      </c>
      <c r="DJ316" s="19">
        <f>Tabelle5897112140[[#This Row],[Maximalauslastung max]]*Tabelle5897112140[[#This Row],[installierte Leistung MW durch]]</f>
        <v>40185.517500000002</v>
      </c>
      <c r="DK316" s="9">
        <v>0.69</v>
      </c>
      <c r="DL316" s="9">
        <v>0.75</v>
      </c>
      <c r="DM316" s="9">
        <v>0.81</v>
      </c>
      <c r="DN316" s="1">
        <v>49611.75</v>
      </c>
      <c r="DO316" s="1">
        <v>49509</v>
      </c>
      <c r="DP316" s="1">
        <v>49714.5</v>
      </c>
      <c r="DQ316" s="19"/>
      <c r="DR316" s="19"/>
      <c r="DW316" s="1">
        <v>1.75</v>
      </c>
      <c r="DX316" s="1">
        <v>1.1499999999999999</v>
      </c>
      <c r="DY316" s="1">
        <v>2.35</v>
      </c>
      <c r="DZ316" s="1">
        <v>1.75</v>
      </c>
      <c r="EA316" s="1">
        <v>0.5</v>
      </c>
      <c r="EB316" s="1">
        <v>3</v>
      </c>
      <c r="EC316" s="1">
        <v>3.5</v>
      </c>
      <c r="ED316" s="1">
        <v>2.2999999999999998</v>
      </c>
      <c r="EE316" s="1">
        <v>4.7</v>
      </c>
      <c r="EF316" s="1">
        <v>3.5</v>
      </c>
      <c r="EG316" s="1">
        <v>3.5</v>
      </c>
      <c r="EH316" s="1">
        <v>3.5</v>
      </c>
      <c r="EL316" s="1">
        <v>220</v>
      </c>
      <c r="EM316" s="1">
        <v>198</v>
      </c>
      <c r="EN316" s="1">
        <v>242</v>
      </c>
      <c r="EO316" s="11"/>
      <c r="EP316" s="11"/>
      <c r="EQ316" s="11"/>
      <c r="ER316" s="1">
        <v>220</v>
      </c>
      <c r="ES316" s="1">
        <v>198</v>
      </c>
      <c r="ET316" s="1">
        <v>242</v>
      </c>
      <c r="EU316" s="1">
        <v>91.818181818181827</v>
      </c>
      <c r="EV316" s="19">
        <v>82.626262626262644</v>
      </c>
      <c r="EW316" s="19">
        <v>101.01010101010101</v>
      </c>
      <c r="EX316" s="19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>
        <v>747.47474747474746</v>
      </c>
      <c r="FK316" s="8">
        <v>740</v>
      </c>
      <c r="FL316" s="1">
        <v>754.94949494949492</v>
      </c>
      <c r="FO316" s="1">
        <v>67</v>
      </c>
      <c r="FP316" s="1">
        <v>67</v>
      </c>
      <c r="FQ316" s="1">
        <v>67</v>
      </c>
      <c r="FR316" s="13" t="s">
        <v>806</v>
      </c>
      <c r="FS316" s="13" t="s">
        <v>806</v>
      </c>
      <c r="FT316" s="13" t="s">
        <v>806</v>
      </c>
      <c r="FU316" s="13"/>
      <c r="FV316" s="13" t="s">
        <v>806</v>
      </c>
      <c r="FW316" s="13" t="s">
        <v>806</v>
      </c>
      <c r="FX316" s="13" t="s">
        <v>806</v>
      </c>
      <c r="FY316" s="13" t="s">
        <v>806</v>
      </c>
      <c r="FZ316" s="13" t="s">
        <v>806</v>
      </c>
      <c r="GA316" s="13" t="s">
        <v>806</v>
      </c>
      <c r="GB316" s="13" t="s">
        <v>806</v>
      </c>
      <c r="GE316" s="13" t="s">
        <v>806</v>
      </c>
      <c r="GF316" s="13" t="s">
        <v>806</v>
      </c>
      <c r="GH316" s="13" t="s">
        <v>806</v>
      </c>
    </row>
    <row r="317" spans="1:190" ht="12.75" customHeight="1" x14ac:dyDescent="0.25">
      <c r="A317" s="1" t="s">
        <v>129</v>
      </c>
      <c r="B317" s="1" t="s">
        <v>746</v>
      </c>
      <c r="C317" s="1" t="s">
        <v>804</v>
      </c>
      <c r="D317" s="1" t="s">
        <v>706</v>
      </c>
      <c r="E317" s="1" t="s">
        <v>139</v>
      </c>
      <c r="F317" s="1">
        <v>0</v>
      </c>
      <c r="G317" s="1">
        <v>2030</v>
      </c>
      <c r="H317" s="1">
        <v>0</v>
      </c>
      <c r="I317" s="1">
        <v>0</v>
      </c>
      <c r="J317" s="1">
        <v>1</v>
      </c>
      <c r="K3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10.749212499999915</v>
      </c>
      <c r="M3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172.34359999999992</v>
      </c>
      <c r="N317" s="19">
        <v>10.749212499999915</v>
      </c>
      <c r="O317" s="19">
        <v>0</v>
      </c>
      <c r="P317" s="19">
        <v>172.34359999999992</v>
      </c>
      <c r="Q317" s="19">
        <v>247.2318875</v>
      </c>
      <c r="R317" s="19">
        <v>0</v>
      </c>
      <c r="S317" s="19">
        <v>1378.7488000000001</v>
      </c>
      <c r="T317" s="19">
        <v>10.749212499999915</v>
      </c>
      <c r="U317" s="19">
        <v>0</v>
      </c>
      <c r="V317" s="19">
        <v>172.34359999999992</v>
      </c>
      <c r="W317" s="19">
        <v>247.2318875</v>
      </c>
      <c r="X317" s="19">
        <v>0</v>
      </c>
      <c r="Y317" s="19">
        <v>1378.7488000000001</v>
      </c>
      <c r="Z317" s="19">
        <v>10.749212499999915</v>
      </c>
      <c r="AA317" s="19">
        <v>0</v>
      </c>
      <c r="AB317" s="19">
        <v>172.34359999999992</v>
      </c>
      <c r="AC317" s="19">
        <v>247.2318875</v>
      </c>
      <c r="AD317" s="19">
        <v>0</v>
      </c>
      <c r="AE317" s="19">
        <v>1378.7488000000001</v>
      </c>
      <c r="AF317" s="19">
        <v>10.749212499999915</v>
      </c>
      <c r="AG317" s="19">
        <v>0</v>
      </c>
      <c r="AH317" s="19">
        <v>172.34359999999992</v>
      </c>
      <c r="AI317" s="19">
        <v>247.2318875</v>
      </c>
      <c r="AJ317" s="19">
        <v>0</v>
      </c>
      <c r="AK317" s="19">
        <v>1378.7488000000001</v>
      </c>
      <c r="AL317" s="19">
        <v>10.749212499999915</v>
      </c>
      <c r="AM317" s="19">
        <v>0</v>
      </c>
      <c r="AN317" s="19">
        <v>172.34359999999992</v>
      </c>
      <c r="AO317" s="19">
        <v>247.2318875</v>
      </c>
      <c r="AP317" s="19">
        <v>0</v>
      </c>
      <c r="AQ317" s="19">
        <v>1378.7488000000001</v>
      </c>
      <c r="AR317" s="19">
        <v>10.749212499999915</v>
      </c>
      <c r="AS317" s="19">
        <v>0</v>
      </c>
      <c r="AT317" s="19">
        <v>172.34359999999992</v>
      </c>
      <c r="AU317" s="19">
        <v>247.2318875</v>
      </c>
      <c r="AV317" s="19">
        <v>0</v>
      </c>
      <c r="AW317" s="19">
        <v>1378.7488000000001</v>
      </c>
      <c r="AX317" s="19">
        <v>10.749212499999915</v>
      </c>
      <c r="AY317" s="19">
        <v>0</v>
      </c>
      <c r="AZ317" s="19">
        <v>172.34359999999992</v>
      </c>
      <c r="BA317" s="19">
        <v>247.2318875</v>
      </c>
      <c r="BB317" s="19">
        <v>0</v>
      </c>
      <c r="BC317" s="19">
        <v>1378.7488000000001</v>
      </c>
      <c r="BD317" s="19">
        <v>10.749212499999915</v>
      </c>
      <c r="BE317" s="19">
        <v>0</v>
      </c>
      <c r="BF317" s="19">
        <v>172.34359999999992</v>
      </c>
      <c r="BG317" s="19">
        <v>247.2318875</v>
      </c>
      <c r="BH317" s="19">
        <v>0</v>
      </c>
      <c r="BI317" s="19">
        <v>1378.7488000000001</v>
      </c>
      <c r="BJ317" s="19">
        <v>10.749212499999915</v>
      </c>
      <c r="BK317" s="19">
        <v>0</v>
      </c>
      <c r="BL317" s="19">
        <v>172.34359999999992</v>
      </c>
      <c r="BM317" s="19">
        <v>247.2318875</v>
      </c>
      <c r="BN317" s="19">
        <v>0</v>
      </c>
      <c r="BO317" s="19">
        <v>1378.7488000000001</v>
      </c>
      <c r="BP317" s="19"/>
      <c r="BQ3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247.23188750000003</v>
      </c>
      <c r="BS3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1378.7488000000001</v>
      </c>
      <c r="BT317" s="11">
        <f>Tabelle5897112140[[#This Row],[Mindestauslastung min]]*Tabelle5897112140[[#This Row],[installierte Leistung MW min]]</f>
        <v>0</v>
      </c>
      <c r="BU317" s="11">
        <f>Tabelle5897112140[[#This Row],[Mindestauslastung durch]]*Tabelle5897112140[[#This Row],[installierte Leistung MW durch]]</f>
        <v>0</v>
      </c>
      <c r="BV317" s="11">
        <f>Tabelle5897112140[[#This Row],[Mindestauslastung max]]*Tabelle5897112140[[#This Row],[installierte Leistung MW max]]</f>
        <v>0</v>
      </c>
      <c r="BW317" s="9">
        <v>0</v>
      </c>
      <c r="BX317" s="9">
        <v>0</v>
      </c>
      <c r="BY317" s="9">
        <v>0</v>
      </c>
      <c r="BZ317" s="9"/>
      <c r="CA317" s="9">
        <v>8.2499999999999987E-3</v>
      </c>
      <c r="CB317" s="9">
        <v>2E-3</v>
      </c>
      <c r="CC317" s="9">
        <v>1.2E-2</v>
      </c>
      <c r="CD317" s="9">
        <v>8.2499999999999987E-3</v>
      </c>
      <c r="CE317" s="9">
        <v>2E-3</v>
      </c>
      <c r="CF317" s="9">
        <v>1.2E-2</v>
      </c>
      <c r="CG317" s="9">
        <v>8.2499999999999987E-3</v>
      </c>
      <c r="CH317" s="9">
        <v>2E-3</v>
      </c>
      <c r="CI317" s="9">
        <v>1.2E-2</v>
      </c>
      <c r="CJ317" s="9">
        <v>8.2499999999999987E-3</v>
      </c>
      <c r="CK317" s="9">
        <v>2E-3</v>
      </c>
      <c r="CL317" s="9">
        <v>1.2E-2</v>
      </c>
      <c r="CM317" s="9">
        <v>8.2499999999999987E-3</v>
      </c>
      <c r="CN317" s="9">
        <v>2E-3</v>
      </c>
      <c r="CO317" s="9">
        <v>1.2E-2</v>
      </c>
      <c r="CP317" s="9">
        <v>8.2499999999999987E-3</v>
      </c>
      <c r="CQ317" s="9">
        <v>2E-3</v>
      </c>
      <c r="CR317" s="9">
        <v>1.2E-2</v>
      </c>
      <c r="CS317" s="9">
        <v>8.2499999999999987E-3</v>
      </c>
      <c r="CT317" s="9">
        <v>2E-3</v>
      </c>
      <c r="CU317" s="9">
        <v>1.2E-2</v>
      </c>
      <c r="CV317" s="9">
        <v>8.2499999999999987E-3</v>
      </c>
      <c r="CW317" s="9">
        <v>2E-3</v>
      </c>
      <c r="CX317" s="9">
        <v>1.2E-2</v>
      </c>
      <c r="CY317" s="9">
        <v>8.2499999999999987E-3</v>
      </c>
      <c r="CZ317" s="9">
        <v>2E-3</v>
      </c>
      <c r="DA317" s="9">
        <v>1.2E-2</v>
      </c>
      <c r="DB317" s="9">
        <f>MIN(Tabelle5897112140[[#This Row],[Durchschnittsauslastung durch Sommer WTT]:[Durchschnittsauslastung max Winter SFN]])</f>
        <v>2E-3</v>
      </c>
      <c r="DC3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7" s="9">
        <f>MAX(Tabelle5897112140[[#This Row],[Durchschnittsauslastung durch Sommer WTT]:[Durchschnittsauslastung max Winter SFN]])</f>
        <v>1.2E-2</v>
      </c>
      <c r="DE317" s="40">
        <f>Tabelle5897112140[[#This Row],[Durchschnittsauslastung min]]*Tabelle5897112140[[#This Row],[installierte Leistung MW min]]</f>
        <v>85.815600000000003</v>
      </c>
      <c r="DF317" s="40">
        <f>Tabelle5897112140[[#This Row],[Durchschnittsauslastung durch]]*Tabelle5897112140[[#This Row],[installierte Leistung MW durch]]</f>
        <v>354.72401249999996</v>
      </c>
      <c r="DG317" s="40">
        <f>Tabelle5897112140[[#This Row],[Durchschnittsauslastung max]]*Tabelle5897112140[[#This Row],[installierte Leistung MW max]]</f>
        <v>517.0308</v>
      </c>
      <c r="DH317" s="46">
        <f>Tabelle5897112140[[#This Row],[Maximalauslastung min]]*Tabelle5897112140[[#This Row],[installierte Leistung MW min]]</f>
        <v>29606.382000000001</v>
      </c>
      <c r="DI317" s="46">
        <f>Tabelle5897112140[[#This Row],[Maximalauslastung durch]]*Tabelle5897112140[[#This Row],[installierte Leistung MW durch]]</f>
        <v>32247.637499999997</v>
      </c>
      <c r="DJ317" s="19">
        <f>Tabelle5897112140[[#This Row],[Maximalauslastung max]]*Tabelle5897112140[[#This Row],[installierte Leistung MW durch]]</f>
        <v>34827.448499999999</v>
      </c>
      <c r="DK317" s="9">
        <v>0.69</v>
      </c>
      <c r="DL317" s="9">
        <v>0.75</v>
      </c>
      <c r="DM317" s="9">
        <v>0.81</v>
      </c>
      <c r="DN317" s="1">
        <v>42996.85</v>
      </c>
      <c r="DO317" s="1">
        <v>42907.8</v>
      </c>
      <c r="DP317" s="1">
        <v>43085.9</v>
      </c>
      <c r="DQ317" s="19"/>
      <c r="DR317" s="19"/>
      <c r="DW317" s="1">
        <v>1.75</v>
      </c>
      <c r="DX317" s="1">
        <v>1.1499999999999999</v>
      </c>
      <c r="DY317" s="1">
        <v>2.35</v>
      </c>
      <c r="DZ317" s="1">
        <v>1.75</v>
      </c>
      <c r="EA317" s="1">
        <v>0.5</v>
      </c>
      <c r="EB317" s="1">
        <v>3</v>
      </c>
      <c r="EC317" s="1">
        <v>3.5</v>
      </c>
      <c r="ED317" s="1">
        <v>2.2999999999999998</v>
      </c>
      <c r="EE317" s="1">
        <v>4.7</v>
      </c>
      <c r="EF317" s="1">
        <v>3.5</v>
      </c>
      <c r="EG317" s="1">
        <v>3.5</v>
      </c>
      <c r="EH317" s="1">
        <v>3.5</v>
      </c>
      <c r="EL317" s="1">
        <v>220</v>
      </c>
      <c r="EM317" s="1">
        <v>198</v>
      </c>
      <c r="EN317" s="1">
        <v>242</v>
      </c>
      <c r="EO317" s="11"/>
      <c r="EP317" s="11"/>
      <c r="EQ317" s="11"/>
      <c r="ER317" s="1">
        <v>220</v>
      </c>
      <c r="ES317" s="1">
        <v>198</v>
      </c>
      <c r="ET317" s="1">
        <v>242</v>
      </c>
      <c r="EU317" s="1">
        <v>91.818181818181827</v>
      </c>
      <c r="EV317" s="19">
        <v>82.626262626262644</v>
      </c>
      <c r="EW317" s="19">
        <v>101.01010101010101</v>
      </c>
      <c r="EX317" s="19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>
        <v>747.47474747474746</v>
      </c>
      <c r="FK317" s="8">
        <v>740</v>
      </c>
      <c r="FL317" s="1">
        <v>754.94949494949492</v>
      </c>
      <c r="FO317" s="1">
        <v>67</v>
      </c>
      <c r="FP317" s="1">
        <v>67</v>
      </c>
      <c r="FQ317" s="1">
        <v>67</v>
      </c>
      <c r="FR317" s="13" t="s">
        <v>806</v>
      </c>
      <c r="FS317" s="13" t="s">
        <v>806</v>
      </c>
      <c r="FT317" s="13" t="s">
        <v>806</v>
      </c>
      <c r="FU317" s="13"/>
      <c r="FV317" s="13" t="s">
        <v>806</v>
      </c>
      <c r="FW317" s="13" t="s">
        <v>806</v>
      </c>
      <c r="FX317" s="13" t="s">
        <v>806</v>
      </c>
      <c r="FY317" s="13" t="s">
        <v>806</v>
      </c>
      <c r="FZ317" s="13" t="s">
        <v>806</v>
      </c>
      <c r="GA317" s="13" t="s">
        <v>806</v>
      </c>
      <c r="GB317" s="13" t="s">
        <v>806</v>
      </c>
      <c r="GE317" s="13" t="s">
        <v>806</v>
      </c>
      <c r="GF317" s="13" t="s">
        <v>806</v>
      </c>
      <c r="GH317" s="13" t="s">
        <v>806</v>
      </c>
    </row>
    <row r="318" spans="1:190" ht="12.75" customHeight="1" x14ac:dyDescent="0.25">
      <c r="A318" s="1" t="s">
        <v>129</v>
      </c>
      <c r="B318" s="1" t="s">
        <v>746</v>
      </c>
      <c r="C318" s="1" t="s">
        <v>804</v>
      </c>
      <c r="D318" s="1" t="s">
        <v>706</v>
      </c>
      <c r="E318" s="1" t="s">
        <v>139</v>
      </c>
      <c r="F318" s="1">
        <v>0</v>
      </c>
      <c r="G318" s="1">
        <v>2035</v>
      </c>
      <c r="H318" s="1">
        <v>0</v>
      </c>
      <c r="I318" s="1">
        <v>0</v>
      </c>
      <c r="J318" s="1">
        <v>1</v>
      </c>
      <c r="K3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10.253094999999918</v>
      </c>
      <c r="M3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164.38927999999993</v>
      </c>
      <c r="N318" s="19">
        <v>10.253094999999918</v>
      </c>
      <c r="O318" s="19">
        <v>0</v>
      </c>
      <c r="P318" s="19">
        <v>164.38927999999993</v>
      </c>
      <c r="Q318" s="19">
        <v>235.82118499999999</v>
      </c>
      <c r="R318" s="19">
        <v>0</v>
      </c>
      <c r="S318" s="19">
        <v>1315.1142400000001</v>
      </c>
      <c r="T318" s="19">
        <v>10.253094999999918</v>
      </c>
      <c r="U318" s="19">
        <v>0</v>
      </c>
      <c r="V318" s="19">
        <v>164.38927999999993</v>
      </c>
      <c r="W318" s="19">
        <v>235.82118499999999</v>
      </c>
      <c r="X318" s="19">
        <v>0</v>
      </c>
      <c r="Y318" s="19">
        <v>1315.1142400000001</v>
      </c>
      <c r="Z318" s="19">
        <v>10.253094999999918</v>
      </c>
      <c r="AA318" s="19">
        <v>0</v>
      </c>
      <c r="AB318" s="19">
        <v>164.38927999999993</v>
      </c>
      <c r="AC318" s="19">
        <v>235.82118499999999</v>
      </c>
      <c r="AD318" s="19">
        <v>0</v>
      </c>
      <c r="AE318" s="19">
        <v>1315.1142400000001</v>
      </c>
      <c r="AF318" s="19">
        <v>10.253094999999918</v>
      </c>
      <c r="AG318" s="19">
        <v>0</v>
      </c>
      <c r="AH318" s="19">
        <v>164.38927999999993</v>
      </c>
      <c r="AI318" s="19">
        <v>235.82118499999999</v>
      </c>
      <c r="AJ318" s="19">
        <v>0</v>
      </c>
      <c r="AK318" s="19">
        <v>1315.1142400000001</v>
      </c>
      <c r="AL318" s="19">
        <v>10.253094999999918</v>
      </c>
      <c r="AM318" s="19">
        <v>0</v>
      </c>
      <c r="AN318" s="19">
        <v>164.38927999999993</v>
      </c>
      <c r="AO318" s="19">
        <v>235.82118499999999</v>
      </c>
      <c r="AP318" s="19">
        <v>0</v>
      </c>
      <c r="AQ318" s="19">
        <v>1315.1142400000001</v>
      </c>
      <c r="AR318" s="19">
        <v>10.253094999999918</v>
      </c>
      <c r="AS318" s="19">
        <v>0</v>
      </c>
      <c r="AT318" s="19">
        <v>164.38927999999993</v>
      </c>
      <c r="AU318" s="19">
        <v>235.82118499999999</v>
      </c>
      <c r="AV318" s="19">
        <v>0</v>
      </c>
      <c r="AW318" s="19">
        <v>1315.1142400000001</v>
      </c>
      <c r="AX318" s="19">
        <v>10.253094999999918</v>
      </c>
      <c r="AY318" s="19">
        <v>0</v>
      </c>
      <c r="AZ318" s="19">
        <v>164.38927999999993</v>
      </c>
      <c r="BA318" s="19">
        <v>235.82118499999999</v>
      </c>
      <c r="BB318" s="19">
        <v>0</v>
      </c>
      <c r="BC318" s="19">
        <v>1315.1142400000001</v>
      </c>
      <c r="BD318" s="19">
        <v>10.253094999999918</v>
      </c>
      <c r="BE318" s="19">
        <v>0</v>
      </c>
      <c r="BF318" s="19">
        <v>164.38927999999993</v>
      </c>
      <c r="BG318" s="19">
        <v>235.82118499999999</v>
      </c>
      <c r="BH318" s="19">
        <v>0</v>
      </c>
      <c r="BI318" s="19">
        <v>1315.1142400000001</v>
      </c>
      <c r="BJ318" s="19">
        <v>10.253094999999918</v>
      </c>
      <c r="BK318" s="19">
        <v>0</v>
      </c>
      <c r="BL318" s="19">
        <v>164.38927999999993</v>
      </c>
      <c r="BM318" s="19">
        <v>235.82118499999999</v>
      </c>
      <c r="BN318" s="19">
        <v>0</v>
      </c>
      <c r="BO318" s="19">
        <v>1315.1142400000001</v>
      </c>
      <c r="BP318" s="19"/>
      <c r="BQ3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235.82118499999999</v>
      </c>
      <c r="BS3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1315.1142400000001</v>
      </c>
      <c r="BT318" s="11">
        <f>Tabelle5897112140[[#This Row],[Mindestauslastung min]]*Tabelle5897112140[[#This Row],[installierte Leistung MW min]]</f>
        <v>0</v>
      </c>
      <c r="BU318" s="11">
        <f>Tabelle5897112140[[#This Row],[Mindestauslastung durch]]*Tabelle5897112140[[#This Row],[installierte Leistung MW durch]]</f>
        <v>0</v>
      </c>
      <c r="BV318" s="11">
        <f>Tabelle5897112140[[#This Row],[Mindestauslastung max]]*Tabelle5897112140[[#This Row],[installierte Leistung MW max]]</f>
        <v>0</v>
      </c>
      <c r="BW318" s="9">
        <v>0</v>
      </c>
      <c r="BX318" s="9">
        <v>0</v>
      </c>
      <c r="BY318" s="9">
        <v>0</v>
      </c>
      <c r="BZ318" s="9"/>
      <c r="CA318" s="9">
        <v>8.2499999999999987E-3</v>
      </c>
      <c r="CB318" s="9">
        <v>2E-3</v>
      </c>
      <c r="CC318" s="9">
        <v>1.2E-2</v>
      </c>
      <c r="CD318" s="9">
        <v>8.2499999999999987E-3</v>
      </c>
      <c r="CE318" s="9">
        <v>2E-3</v>
      </c>
      <c r="CF318" s="9">
        <v>1.2E-2</v>
      </c>
      <c r="CG318" s="9">
        <v>8.2499999999999987E-3</v>
      </c>
      <c r="CH318" s="9">
        <v>2E-3</v>
      </c>
      <c r="CI318" s="9">
        <v>1.2E-2</v>
      </c>
      <c r="CJ318" s="9">
        <v>8.2499999999999987E-3</v>
      </c>
      <c r="CK318" s="9">
        <v>2E-3</v>
      </c>
      <c r="CL318" s="9">
        <v>1.2E-2</v>
      </c>
      <c r="CM318" s="9">
        <v>8.2499999999999987E-3</v>
      </c>
      <c r="CN318" s="9">
        <v>2E-3</v>
      </c>
      <c r="CO318" s="9">
        <v>1.2E-2</v>
      </c>
      <c r="CP318" s="9">
        <v>8.2499999999999987E-3</v>
      </c>
      <c r="CQ318" s="9">
        <v>2E-3</v>
      </c>
      <c r="CR318" s="9">
        <v>1.2E-2</v>
      </c>
      <c r="CS318" s="9">
        <v>8.2499999999999987E-3</v>
      </c>
      <c r="CT318" s="9">
        <v>2E-3</v>
      </c>
      <c r="CU318" s="9">
        <v>1.2E-2</v>
      </c>
      <c r="CV318" s="9">
        <v>8.2499999999999987E-3</v>
      </c>
      <c r="CW318" s="9">
        <v>2E-3</v>
      </c>
      <c r="CX318" s="9">
        <v>1.2E-2</v>
      </c>
      <c r="CY318" s="9">
        <v>8.2499999999999987E-3</v>
      </c>
      <c r="CZ318" s="9">
        <v>2E-3</v>
      </c>
      <c r="DA318" s="9">
        <v>1.2E-2</v>
      </c>
      <c r="DB318" s="9">
        <f>MIN(Tabelle5897112140[[#This Row],[Durchschnittsauslastung durch Sommer WTT]:[Durchschnittsauslastung max Winter SFN]])</f>
        <v>2E-3</v>
      </c>
      <c r="DC3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8" s="9">
        <f>MAX(Tabelle5897112140[[#This Row],[Durchschnittsauslastung durch Sommer WTT]:[Durchschnittsauslastung max Winter SFN]])</f>
        <v>1.2E-2</v>
      </c>
      <c r="DE318" s="40">
        <f>Tabelle5897112140[[#This Row],[Durchschnittsauslastung min]]*Tabelle5897112140[[#This Row],[installierte Leistung MW min]]</f>
        <v>81.854880000000009</v>
      </c>
      <c r="DF318" s="40">
        <f>Tabelle5897112140[[#This Row],[Durchschnittsauslastung durch]]*Tabelle5897112140[[#This Row],[installierte Leistung MW durch]]</f>
        <v>338.35213499999992</v>
      </c>
      <c r="DG318" s="40">
        <f>Tabelle5897112140[[#This Row],[Durchschnittsauslastung max]]*Tabelle5897112140[[#This Row],[installierte Leistung MW max]]</f>
        <v>493.16784000000001</v>
      </c>
      <c r="DH318" s="46">
        <f>Tabelle5897112140[[#This Row],[Maximalauslastung min]]*Tabelle5897112140[[#This Row],[installierte Leistung MW min]]</f>
        <v>28239.9336</v>
      </c>
      <c r="DI318" s="46">
        <f>Tabelle5897112140[[#This Row],[Maximalauslastung durch]]*Tabelle5897112140[[#This Row],[installierte Leistung MW durch]]</f>
        <v>30759.284999999996</v>
      </c>
      <c r="DJ318" s="19">
        <f>Tabelle5897112140[[#This Row],[Maximalauslastung max]]*Tabelle5897112140[[#This Row],[installierte Leistung MW durch]]</f>
        <v>33220.027800000003</v>
      </c>
      <c r="DK318" s="9">
        <v>0.69</v>
      </c>
      <c r="DL318" s="9">
        <v>0.75</v>
      </c>
      <c r="DM318" s="9">
        <v>0.81</v>
      </c>
      <c r="DN318" s="1">
        <v>41012.379999999997</v>
      </c>
      <c r="DO318" s="1">
        <v>40927.440000000002</v>
      </c>
      <c r="DP318" s="1">
        <v>41097.32</v>
      </c>
      <c r="DQ318" s="19"/>
      <c r="DR318" s="19"/>
      <c r="DW318" s="1">
        <v>1.75</v>
      </c>
      <c r="DX318" s="1">
        <v>1.1499999999999999</v>
      </c>
      <c r="DY318" s="1">
        <v>2.35</v>
      </c>
      <c r="DZ318" s="1">
        <v>1.75</v>
      </c>
      <c r="EA318" s="1">
        <v>0.5</v>
      </c>
      <c r="EB318" s="1">
        <v>3</v>
      </c>
      <c r="EC318" s="1">
        <v>3.5</v>
      </c>
      <c r="ED318" s="1">
        <v>2.2999999999999998</v>
      </c>
      <c r="EE318" s="1">
        <v>4.7</v>
      </c>
      <c r="EF318" s="1">
        <v>3.5</v>
      </c>
      <c r="EG318" s="1">
        <v>3.5</v>
      </c>
      <c r="EH318" s="1">
        <v>3.5</v>
      </c>
      <c r="EL318" s="1">
        <v>220</v>
      </c>
      <c r="EM318" s="1">
        <v>198</v>
      </c>
      <c r="EN318" s="1">
        <v>242</v>
      </c>
      <c r="EO318" s="11"/>
      <c r="EP318" s="11"/>
      <c r="EQ318" s="11"/>
      <c r="ER318" s="1">
        <v>220</v>
      </c>
      <c r="ES318" s="1">
        <v>198</v>
      </c>
      <c r="ET318" s="1">
        <v>242</v>
      </c>
      <c r="EU318" s="1">
        <v>91.818181818181827</v>
      </c>
      <c r="EV318" s="19">
        <v>82.626262626262644</v>
      </c>
      <c r="EW318" s="19">
        <v>101.01010101010101</v>
      </c>
      <c r="EX318" s="19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>
        <v>747.47474747474746</v>
      </c>
      <c r="FK318" s="8">
        <v>740</v>
      </c>
      <c r="FL318" s="1">
        <v>754.94949494949492</v>
      </c>
      <c r="FO318" s="1">
        <v>67</v>
      </c>
      <c r="FP318" s="1">
        <v>67</v>
      </c>
      <c r="FQ318" s="1">
        <v>67</v>
      </c>
      <c r="FR318" s="13" t="s">
        <v>806</v>
      </c>
      <c r="FS318" s="13" t="s">
        <v>806</v>
      </c>
      <c r="FT318" s="13" t="s">
        <v>806</v>
      </c>
      <c r="FU318" s="13"/>
      <c r="FV318" s="13" t="s">
        <v>806</v>
      </c>
      <c r="FW318" s="13" t="s">
        <v>806</v>
      </c>
      <c r="FX318" s="13" t="s">
        <v>806</v>
      </c>
      <c r="FY318" s="13" t="s">
        <v>806</v>
      </c>
      <c r="FZ318" s="13" t="s">
        <v>806</v>
      </c>
      <c r="GA318" s="13" t="s">
        <v>806</v>
      </c>
      <c r="GB318" s="13" t="s">
        <v>806</v>
      </c>
      <c r="GE318" s="13" t="s">
        <v>806</v>
      </c>
      <c r="GF318" s="13" t="s">
        <v>806</v>
      </c>
      <c r="GH318" s="13" t="s">
        <v>806</v>
      </c>
    </row>
    <row r="319" spans="1:190" ht="12.75" customHeight="1" x14ac:dyDescent="0.25">
      <c r="A319" s="1" t="s">
        <v>129</v>
      </c>
      <c r="B319" s="1" t="s">
        <v>746</v>
      </c>
      <c r="C319" s="1" t="s">
        <v>804</v>
      </c>
      <c r="D319" s="1" t="s">
        <v>706</v>
      </c>
      <c r="E319" s="1" t="s">
        <v>139</v>
      </c>
      <c r="F319" s="1">
        <v>0</v>
      </c>
      <c r="G319" s="1">
        <v>2040</v>
      </c>
      <c r="H319" s="1">
        <v>0</v>
      </c>
      <c r="I319" s="1">
        <v>0</v>
      </c>
      <c r="J319" s="1">
        <v>1</v>
      </c>
      <c r="K3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9.5916049999999231</v>
      </c>
      <c r="M3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153.78351999999992</v>
      </c>
      <c r="N319" s="19">
        <v>9.5916049999999231</v>
      </c>
      <c r="O319" s="19">
        <v>0</v>
      </c>
      <c r="P319" s="19">
        <v>153.78351999999992</v>
      </c>
      <c r="Q319" s="19">
        <v>220.60691499999996</v>
      </c>
      <c r="R319" s="19">
        <v>0</v>
      </c>
      <c r="S319" s="19">
        <v>1230.2681599999999</v>
      </c>
      <c r="T319" s="19">
        <v>9.5916049999999231</v>
      </c>
      <c r="U319" s="19">
        <v>0</v>
      </c>
      <c r="V319" s="19">
        <v>153.78351999999992</v>
      </c>
      <c r="W319" s="19">
        <v>220.60691499999996</v>
      </c>
      <c r="X319" s="19">
        <v>0</v>
      </c>
      <c r="Y319" s="19">
        <v>1230.2681599999999</v>
      </c>
      <c r="Z319" s="19">
        <v>9.5916049999999231</v>
      </c>
      <c r="AA319" s="19">
        <v>0</v>
      </c>
      <c r="AB319" s="19">
        <v>153.78351999999992</v>
      </c>
      <c r="AC319" s="19">
        <v>220.60691499999996</v>
      </c>
      <c r="AD319" s="19">
        <v>0</v>
      </c>
      <c r="AE319" s="19">
        <v>1230.2681599999999</v>
      </c>
      <c r="AF319" s="19">
        <v>9.5916049999999231</v>
      </c>
      <c r="AG319" s="19">
        <v>0</v>
      </c>
      <c r="AH319" s="19">
        <v>153.78351999999992</v>
      </c>
      <c r="AI319" s="19">
        <v>220.60691499999996</v>
      </c>
      <c r="AJ319" s="19">
        <v>0</v>
      </c>
      <c r="AK319" s="19">
        <v>1230.2681599999999</v>
      </c>
      <c r="AL319" s="19">
        <v>9.5916049999999231</v>
      </c>
      <c r="AM319" s="19">
        <v>0</v>
      </c>
      <c r="AN319" s="19">
        <v>153.78351999999992</v>
      </c>
      <c r="AO319" s="19">
        <v>220.60691499999996</v>
      </c>
      <c r="AP319" s="19">
        <v>0</v>
      </c>
      <c r="AQ319" s="19">
        <v>1230.2681599999999</v>
      </c>
      <c r="AR319" s="19">
        <v>9.5916049999999231</v>
      </c>
      <c r="AS319" s="19">
        <v>0</v>
      </c>
      <c r="AT319" s="19">
        <v>153.78351999999992</v>
      </c>
      <c r="AU319" s="19">
        <v>220.60691499999996</v>
      </c>
      <c r="AV319" s="19">
        <v>0</v>
      </c>
      <c r="AW319" s="19">
        <v>1230.2681599999999</v>
      </c>
      <c r="AX319" s="19">
        <v>9.5916049999999231</v>
      </c>
      <c r="AY319" s="19">
        <v>0</v>
      </c>
      <c r="AZ319" s="19">
        <v>153.78351999999992</v>
      </c>
      <c r="BA319" s="19">
        <v>220.60691499999996</v>
      </c>
      <c r="BB319" s="19">
        <v>0</v>
      </c>
      <c r="BC319" s="19">
        <v>1230.2681599999999</v>
      </c>
      <c r="BD319" s="19">
        <v>9.5916049999999231</v>
      </c>
      <c r="BE319" s="19">
        <v>0</v>
      </c>
      <c r="BF319" s="19">
        <v>153.78351999999992</v>
      </c>
      <c r="BG319" s="19">
        <v>220.60691499999996</v>
      </c>
      <c r="BH319" s="19">
        <v>0</v>
      </c>
      <c r="BI319" s="19">
        <v>1230.2681599999999</v>
      </c>
      <c r="BJ319" s="19">
        <v>9.5916049999999231</v>
      </c>
      <c r="BK319" s="19">
        <v>0</v>
      </c>
      <c r="BL319" s="19">
        <v>153.78351999999992</v>
      </c>
      <c r="BM319" s="19">
        <v>220.60691499999996</v>
      </c>
      <c r="BN319" s="19">
        <v>0</v>
      </c>
      <c r="BO319" s="19">
        <v>1230.2681599999999</v>
      </c>
      <c r="BP319" s="19"/>
      <c r="BQ3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220.6069149999999</v>
      </c>
      <c r="BS3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1230.2681599999999</v>
      </c>
      <c r="BT319" s="11">
        <f>Tabelle5897112140[[#This Row],[Mindestauslastung min]]*Tabelle5897112140[[#This Row],[installierte Leistung MW min]]</f>
        <v>0</v>
      </c>
      <c r="BU319" s="11">
        <f>Tabelle5897112140[[#This Row],[Mindestauslastung durch]]*Tabelle5897112140[[#This Row],[installierte Leistung MW durch]]</f>
        <v>0</v>
      </c>
      <c r="BV319" s="11">
        <f>Tabelle5897112140[[#This Row],[Mindestauslastung max]]*Tabelle5897112140[[#This Row],[installierte Leistung MW max]]</f>
        <v>0</v>
      </c>
      <c r="BW319" s="9">
        <v>0</v>
      </c>
      <c r="BX319" s="9">
        <v>0</v>
      </c>
      <c r="BY319" s="9">
        <v>0</v>
      </c>
      <c r="BZ319" s="9"/>
      <c r="CA319" s="9">
        <v>8.2499999999999987E-3</v>
      </c>
      <c r="CB319" s="9">
        <v>2E-3</v>
      </c>
      <c r="CC319" s="9">
        <v>1.2E-2</v>
      </c>
      <c r="CD319" s="9">
        <v>8.2499999999999987E-3</v>
      </c>
      <c r="CE319" s="9">
        <v>2E-3</v>
      </c>
      <c r="CF319" s="9">
        <v>1.2E-2</v>
      </c>
      <c r="CG319" s="9">
        <v>8.2499999999999987E-3</v>
      </c>
      <c r="CH319" s="9">
        <v>2E-3</v>
      </c>
      <c r="CI319" s="9">
        <v>1.2E-2</v>
      </c>
      <c r="CJ319" s="9">
        <v>8.2499999999999987E-3</v>
      </c>
      <c r="CK319" s="9">
        <v>2E-3</v>
      </c>
      <c r="CL319" s="9">
        <v>1.2E-2</v>
      </c>
      <c r="CM319" s="9">
        <v>8.2499999999999987E-3</v>
      </c>
      <c r="CN319" s="9">
        <v>2E-3</v>
      </c>
      <c r="CO319" s="9">
        <v>1.2E-2</v>
      </c>
      <c r="CP319" s="9">
        <v>8.2499999999999987E-3</v>
      </c>
      <c r="CQ319" s="9">
        <v>2E-3</v>
      </c>
      <c r="CR319" s="9">
        <v>1.2E-2</v>
      </c>
      <c r="CS319" s="9">
        <v>8.2499999999999987E-3</v>
      </c>
      <c r="CT319" s="9">
        <v>2E-3</v>
      </c>
      <c r="CU319" s="9">
        <v>1.2E-2</v>
      </c>
      <c r="CV319" s="9">
        <v>8.2499999999999987E-3</v>
      </c>
      <c r="CW319" s="9">
        <v>2E-3</v>
      </c>
      <c r="CX319" s="9">
        <v>1.2E-2</v>
      </c>
      <c r="CY319" s="9">
        <v>8.2499999999999987E-3</v>
      </c>
      <c r="CZ319" s="9">
        <v>2E-3</v>
      </c>
      <c r="DA319" s="9">
        <v>1.2E-2</v>
      </c>
      <c r="DB319" s="9">
        <f>MIN(Tabelle5897112140[[#This Row],[Durchschnittsauslastung durch Sommer WTT]:[Durchschnittsauslastung max Winter SFN]])</f>
        <v>2E-3</v>
      </c>
      <c r="DC3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9" s="9">
        <f>MAX(Tabelle5897112140[[#This Row],[Durchschnittsauslastung durch Sommer WTT]:[Durchschnittsauslastung max Winter SFN]])</f>
        <v>1.2E-2</v>
      </c>
      <c r="DE319" s="40">
        <f>Tabelle5897112140[[#This Row],[Durchschnittsauslastung min]]*Tabelle5897112140[[#This Row],[installierte Leistung MW min]]</f>
        <v>76.573920000000001</v>
      </c>
      <c r="DF319" s="40">
        <f>Tabelle5897112140[[#This Row],[Durchschnittsauslastung durch]]*Tabelle5897112140[[#This Row],[installierte Leistung MW durch]]</f>
        <v>316.52296499999994</v>
      </c>
      <c r="DG319" s="40">
        <f>Tabelle5897112140[[#This Row],[Durchschnittsauslastung max]]*Tabelle5897112140[[#This Row],[installierte Leistung MW max]]</f>
        <v>461.35055999999997</v>
      </c>
      <c r="DH319" s="46">
        <f>Tabelle5897112140[[#This Row],[Maximalauslastung min]]*Tabelle5897112140[[#This Row],[installierte Leistung MW min]]</f>
        <v>26418.002399999998</v>
      </c>
      <c r="DI319" s="46">
        <f>Tabelle5897112140[[#This Row],[Maximalauslastung durch]]*Tabelle5897112140[[#This Row],[installierte Leistung MW durch]]</f>
        <v>28774.814999999999</v>
      </c>
      <c r="DJ319" s="19">
        <f>Tabelle5897112140[[#This Row],[Maximalauslastung max]]*Tabelle5897112140[[#This Row],[installierte Leistung MW durch]]</f>
        <v>31076.800200000001</v>
      </c>
      <c r="DK319" s="9">
        <v>0.69</v>
      </c>
      <c r="DL319" s="9">
        <v>0.75</v>
      </c>
      <c r="DM319" s="9">
        <v>0.81</v>
      </c>
      <c r="DN319" s="1">
        <v>38366.42</v>
      </c>
      <c r="DO319" s="1">
        <v>38286.959999999999</v>
      </c>
      <c r="DP319" s="1">
        <v>38445.879999999997</v>
      </c>
      <c r="DQ319" s="19"/>
      <c r="DR319" s="19"/>
      <c r="DW319" s="1">
        <v>1.75</v>
      </c>
      <c r="DX319" s="1">
        <v>1.1499999999999999</v>
      </c>
      <c r="DY319" s="1">
        <v>2.35</v>
      </c>
      <c r="DZ319" s="1">
        <v>1.75</v>
      </c>
      <c r="EA319" s="1">
        <v>0.5</v>
      </c>
      <c r="EB319" s="1">
        <v>3</v>
      </c>
      <c r="EC319" s="1">
        <v>3.5</v>
      </c>
      <c r="ED319" s="1">
        <v>2.2999999999999998</v>
      </c>
      <c r="EE319" s="1">
        <v>4.7</v>
      </c>
      <c r="EF319" s="1">
        <v>3.5</v>
      </c>
      <c r="EG319" s="1">
        <v>3.5</v>
      </c>
      <c r="EH319" s="1">
        <v>3.5</v>
      </c>
      <c r="EL319" s="1">
        <v>220</v>
      </c>
      <c r="EM319" s="1">
        <v>198</v>
      </c>
      <c r="EN319" s="1">
        <v>242</v>
      </c>
      <c r="EO319" s="11"/>
      <c r="EP319" s="11"/>
      <c r="EQ319" s="11"/>
      <c r="ER319" s="1">
        <v>220</v>
      </c>
      <c r="ES319" s="1">
        <v>198</v>
      </c>
      <c r="ET319" s="1">
        <v>242</v>
      </c>
      <c r="EU319" s="1">
        <v>91.818181818181827</v>
      </c>
      <c r="EV319" s="19">
        <v>82.626262626262644</v>
      </c>
      <c r="EW319" s="19">
        <v>101.01010101010101</v>
      </c>
      <c r="EX319" s="19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>
        <v>747.47474747474746</v>
      </c>
      <c r="FK319" s="8">
        <v>740</v>
      </c>
      <c r="FL319" s="1">
        <v>754.94949494949492</v>
      </c>
      <c r="FO319" s="1">
        <v>67</v>
      </c>
      <c r="FP319" s="1">
        <v>67</v>
      </c>
      <c r="FQ319" s="1">
        <v>67</v>
      </c>
      <c r="FR319" s="13" t="s">
        <v>806</v>
      </c>
      <c r="FS319" s="13" t="s">
        <v>806</v>
      </c>
      <c r="FT319" s="13" t="s">
        <v>806</v>
      </c>
      <c r="FU319" s="13"/>
      <c r="FV319" s="13" t="s">
        <v>806</v>
      </c>
      <c r="FW319" s="13" t="s">
        <v>806</v>
      </c>
      <c r="FX319" s="13" t="s">
        <v>806</v>
      </c>
      <c r="FY319" s="13" t="s">
        <v>806</v>
      </c>
      <c r="FZ319" s="13" t="s">
        <v>806</v>
      </c>
      <c r="GA319" s="13" t="s">
        <v>806</v>
      </c>
      <c r="GB319" s="13" t="s">
        <v>806</v>
      </c>
      <c r="GE319" s="13" t="s">
        <v>806</v>
      </c>
      <c r="GF319" s="13" t="s">
        <v>806</v>
      </c>
      <c r="GH319" s="13" t="s">
        <v>806</v>
      </c>
    </row>
    <row r="320" spans="1:190" ht="12.75" customHeight="1" x14ac:dyDescent="0.25">
      <c r="A320" s="1" t="s">
        <v>129</v>
      </c>
      <c r="B320" s="1" t="s">
        <v>746</v>
      </c>
      <c r="C320" s="1" t="s">
        <v>804</v>
      </c>
      <c r="D320" s="1" t="s">
        <v>706</v>
      </c>
      <c r="E320" s="1" t="s">
        <v>139</v>
      </c>
      <c r="F320" s="1">
        <v>0</v>
      </c>
      <c r="G320" s="1">
        <v>2045</v>
      </c>
      <c r="H320" s="1">
        <v>0</v>
      </c>
      <c r="I320" s="1">
        <v>0</v>
      </c>
      <c r="J320" s="1">
        <v>1</v>
      </c>
      <c r="K3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9.095487499999928</v>
      </c>
      <c r="M3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145.82919999999996</v>
      </c>
      <c r="N320" s="19">
        <v>9.095487499999928</v>
      </c>
      <c r="O320" s="19">
        <v>0</v>
      </c>
      <c r="P320" s="19">
        <v>145.82919999999996</v>
      </c>
      <c r="Q320" s="19">
        <v>209.1962125</v>
      </c>
      <c r="R320" s="19">
        <v>0</v>
      </c>
      <c r="S320" s="19">
        <v>1166.6336000000001</v>
      </c>
      <c r="T320" s="19">
        <v>9.095487499999928</v>
      </c>
      <c r="U320" s="19">
        <v>0</v>
      </c>
      <c r="V320" s="19">
        <v>145.82919999999996</v>
      </c>
      <c r="W320" s="19">
        <v>209.1962125</v>
      </c>
      <c r="X320" s="19">
        <v>0</v>
      </c>
      <c r="Y320" s="19">
        <v>1166.6336000000001</v>
      </c>
      <c r="Z320" s="19">
        <v>9.095487499999928</v>
      </c>
      <c r="AA320" s="19">
        <v>0</v>
      </c>
      <c r="AB320" s="19">
        <v>145.82919999999996</v>
      </c>
      <c r="AC320" s="19">
        <v>209.1962125</v>
      </c>
      <c r="AD320" s="19">
        <v>0</v>
      </c>
      <c r="AE320" s="19">
        <v>1166.6336000000001</v>
      </c>
      <c r="AF320" s="19">
        <v>9.095487499999928</v>
      </c>
      <c r="AG320" s="19">
        <v>0</v>
      </c>
      <c r="AH320" s="19">
        <v>145.82919999999996</v>
      </c>
      <c r="AI320" s="19">
        <v>209.1962125</v>
      </c>
      <c r="AJ320" s="19">
        <v>0</v>
      </c>
      <c r="AK320" s="19">
        <v>1166.6336000000001</v>
      </c>
      <c r="AL320" s="19">
        <v>9.095487499999928</v>
      </c>
      <c r="AM320" s="19">
        <v>0</v>
      </c>
      <c r="AN320" s="19">
        <v>145.82919999999996</v>
      </c>
      <c r="AO320" s="19">
        <v>209.1962125</v>
      </c>
      <c r="AP320" s="19">
        <v>0</v>
      </c>
      <c r="AQ320" s="19">
        <v>1166.6336000000001</v>
      </c>
      <c r="AR320" s="19">
        <v>9.095487499999928</v>
      </c>
      <c r="AS320" s="19">
        <v>0</v>
      </c>
      <c r="AT320" s="19">
        <v>145.82919999999996</v>
      </c>
      <c r="AU320" s="19">
        <v>209.1962125</v>
      </c>
      <c r="AV320" s="19">
        <v>0</v>
      </c>
      <c r="AW320" s="19">
        <v>1166.6336000000001</v>
      </c>
      <c r="AX320" s="19">
        <v>9.095487499999928</v>
      </c>
      <c r="AY320" s="19">
        <v>0</v>
      </c>
      <c r="AZ320" s="19">
        <v>145.82919999999996</v>
      </c>
      <c r="BA320" s="19">
        <v>209.1962125</v>
      </c>
      <c r="BB320" s="19">
        <v>0</v>
      </c>
      <c r="BC320" s="19">
        <v>1166.6336000000001</v>
      </c>
      <c r="BD320" s="19">
        <v>9.095487499999928</v>
      </c>
      <c r="BE320" s="19">
        <v>0</v>
      </c>
      <c r="BF320" s="19">
        <v>145.82919999999996</v>
      </c>
      <c r="BG320" s="19">
        <v>209.1962125</v>
      </c>
      <c r="BH320" s="19">
        <v>0</v>
      </c>
      <c r="BI320" s="19">
        <v>1166.6336000000001</v>
      </c>
      <c r="BJ320" s="19">
        <v>9.095487499999928</v>
      </c>
      <c r="BK320" s="19">
        <v>0</v>
      </c>
      <c r="BL320" s="19">
        <v>145.82919999999996</v>
      </c>
      <c r="BM320" s="19">
        <v>209.1962125</v>
      </c>
      <c r="BN320" s="19">
        <v>0</v>
      </c>
      <c r="BO320" s="19">
        <v>1166.6336000000001</v>
      </c>
      <c r="BP320" s="19"/>
      <c r="BQ3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209.1962125</v>
      </c>
      <c r="BS3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1166.6336000000001</v>
      </c>
      <c r="BT320" s="11">
        <f>Tabelle5897112140[[#This Row],[Mindestauslastung min]]*Tabelle5897112140[[#This Row],[installierte Leistung MW min]]</f>
        <v>0</v>
      </c>
      <c r="BU320" s="11">
        <f>Tabelle5897112140[[#This Row],[Mindestauslastung durch]]*Tabelle5897112140[[#This Row],[installierte Leistung MW durch]]</f>
        <v>0</v>
      </c>
      <c r="BV320" s="11">
        <f>Tabelle5897112140[[#This Row],[Mindestauslastung max]]*Tabelle5897112140[[#This Row],[installierte Leistung MW max]]</f>
        <v>0</v>
      </c>
      <c r="BW320" s="9">
        <v>0</v>
      </c>
      <c r="BX320" s="9">
        <v>0</v>
      </c>
      <c r="BY320" s="9">
        <v>0</v>
      </c>
      <c r="BZ320" s="9"/>
      <c r="CA320" s="9">
        <v>8.2499999999999987E-3</v>
      </c>
      <c r="CB320" s="9">
        <v>2E-3</v>
      </c>
      <c r="CC320" s="9">
        <v>1.2E-2</v>
      </c>
      <c r="CD320" s="9">
        <v>8.2499999999999987E-3</v>
      </c>
      <c r="CE320" s="9">
        <v>2E-3</v>
      </c>
      <c r="CF320" s="9">
        <v>1.2E-2</v>
      </c>
      <c r="CG320" s="9">
        <v>8.2499999999999987E-3</v>
      </c>
      <c r="CH320" s="9">
        <v>2E-3</v>
      </c>
      <c r="CI320" s="9">
        <v>1.2E-2</v>
      </c>
      <c r="CJ320" s="9">
        <v>8.2499999999999987E-3</v>
      </c>
      <c r="CK320" s="9">
        <v>2E-3</v>
      </c>
      <c r="CL320" s="9">
        <v>1.2E-2</v>
      </c>
      <c r="CM320" s="9">
        <v>8.2499999999999987E-3</v>
      </c>
      <c r="CN320" s="9">
        <v>2E-3</v>
      </c>
      <c r="CO320" s="9">
        <v>1.2E-2</v>
      </c>
      <c r="CP320" s="9">
        <v>8.2499999999999987E-3</v>
      </c>
      <c r="CQ320" s="9">
        <v>2E-3</v>
      </c>
      <c r="CR320" s="9">
        <v>1.2E-2</v>
      </c>
      <c r="CS320" s="9">
        <v>8.2499999999999987E-3</v>
      </c>
      <c r="CT320" s="9">
        <v>2E-3</v>
      </c>
      <c r="CU320" s="9">
        <v>1.2E-2</v>
      </c>
      <c r="CV320" s="9">
        <v>8.2499999999999987E-3</v>
      </c>
      <c r="CW320" s="9">
        <v>2E-3</v>
      </c>
      <c r="CX320" s="9">
        <v>1.2E-2</v>
      </c>
      <c r="CY320" s="9">
        <v>8.2499999999999987E-3</v>
      </c>
      <c r="CZ320" s="9">
        <v>2E-3</v>
      </c>
      <c r="DA320" s="9">
        <v>1.2E-2</v>
      </c>
      <c r="DB320" s="9">
        <f>MIN(Tabelle5897112140[[#This Row],[Durchschnittsauslastung durch Sommer WTT]:[Durchschnittsauslastung max Winter SFN]])</f>
        <v>2E-3</v>
      </c>
      <c r="DC3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20" s="9">
        <f>MAX(Tabelle5897112140[[#This Row],[Durchschnittsauslastung durch Sommer WTT]:[Durchschnittsauslastung max Winter SFN]])</f>
        <v>1.2E-2</v>
      </c>
      <c r="DE320" s="40">
        <f>Tabelle5897112140[[#This Row],[Durchschnittsauslastung min]]*Tabelle5897112140[[#This Row],[installierte Leistung MW min]]</f>
        <v>72.613199999999992</v>
      </c>
      <c r="DF320" s="40">
        <f>Tabelle5897112140[[#This Row],[Durchschnittsauslastung durch]]*Tabelle5897112140[[#This Row],[installierte Leistung MW durch]]</f>
        <v>300.1510874999999</v>
      </c>
      <c r="DG320" s="40">
        <f>Tabelle5897112140[[#This Row],[Durchschnittsauslastung max]]*Tabelle5897112140[[#This Row],[installierte Leistung MW max]]</f>
        <v>437.48760000000004</v>
      </c>
      <c r="DH320" s="46">
        <f>Tabelle5897112140[[#This Row],[Maximalauslastung min]]*Tabelle5897112140[[#This Row],[installierte Leistung MW min]]</f>
        <v>25051.553999999996</v>
      </c>
      <c r="DI320" s="46">
        <f>Tabelle5897112140[[#This Row],[Maximalauslastung durch]]*Tabelle5897112140[[#This Row],[installierte Leistung MW durch]]</f>
        <v>27286.462499999998</v>
      </c>
      <c r="DJ320" s="19">
        <f>Tabelle5897112140[[#This Row],[Maximalauslastung max]]*Tabelle5897112140[[#This Row],[installierte Leistung MW durch]]</f>
        <v>29469.379499999999</v>
      </c>
      <c r="DK320" s="9">
        <v>0.69</v>
      </c>
      <c r="DL320" s="9">
        <v>0.75</v>
      </c>
      <c r="DM320" s="9">
        <v>0.81</v>
      </c>
      <c r="DN320" s="1">
        <v>36381.949999999997</v>
      </c>
      <c r="DO320" s="1">
        <v>36306.6</v>
      </c>
      <c r="DP320" s="1">
        <v>36457.300000000003</v>
      </c>
      <c r="DQ320" s="19"/>
      <c r="DR320" s="19"/>
      <c r="DW320" s="1">
        <v>1.75</v>
      </c>
      <c r="DX320" s="1">
        <v>1.1499999999999999</v>
      </c>
      <c r="DY320" s="1">
        <v>2.35</v>
      </c>
      <c r="DZ320" s="1">
        <v>1.75</v>
      </c>
      <c r="EA320" s="1">
        <v>0.5</v>
      </c>
      <c r="EB320" s="1">
        <v>3</v>
      </c>
      <c r="EC320" s="1">
        <v>3.5</v>
      </c>
      <c r="ED320" s="1">
        <v>2.2999999999999998</v>
      </c>
      <c r="EE320" s="1">
        <v>4.7</v>
      </c>
      <c r="EF320" s="1">
        <v>3.5</v>
      </c>
      <c r="EG320" s="1">
        <v>3.5</v>
      </c>
      <c r="EH320" s="1">
        <v>3.5</v>
      </c>
      <c r="EL320" s="1">
        <v>220</v>
      </c>
      <c r="EM320" s="1">
        <v>198</v>
      </c>
      <c r="EN320" s="1">
        <v>242</v>
      </c>
      <c r="EO320" s="11"/>
      <c r="EP320" s="11"/>
      <c r="EQ320" s="11"/>
      <c r="ER320" s="1">
        <v>220</v>
      </c>
      <c r="ES320" s="1">
        <v>198</v>
      </c>
      <c r="ET320" s="1">
        <v>242</v>
      </c>
      <c r="EU320" s="1">
        <v>91.818181818181827</v>
      </c>
      <c r="EV320" s="19">
        <v>82.626262626262644</v>
      </c>
      <c r="EW320" s="19">
        <v>101.01010101010101</v>
      </c>
      <c r="EX320" s="19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>
        <v>747.47474747474746</v>
      </c>
      <c r="FK320" s="8">
        <v>740</v>
      </c>
      <c r="FL320" s="1">
        <v>754.94949494949492</v>
      </c>
      <c r="FO320" s="1">
        <v>67</v>
      </c>
      <c r="FP320" s="1">
        <v>67</v>
      </c>
      <c r="FQ320" s="1">
        <v>67</v>
      </c>
      <c r="FR320" s="13" t="s">
        <v>806</v>
      </c>
      <c r="FS320" s="13" t="s">
        <v>806</v>
      </c>
      <c r="FT320" s="13" t="s">
        <v>806</v>
      </c>
      <c r="FU320" s="13"/>
      <c r="FV320" s="13" t="s">
        <v>806</v>
      </c>
      <c r="FW320" s="13" t="s">
        <v>806</v>
      </c>
      <c r="FX320" s="13" t="s">
        <v>806</v>
      </c>
      <c r="FY320" s="13" t="s">
        <v>806</v>
      </c>
      <c r="FZ320" s="13" t="s">
        <v>806</v>
      </c>
      <c r="GA320" s="13" t="s">
        <v>806</v>
      </c>
      <c r="GB320" s="13" t="s">
        <v>806</v>
      </c>
      <c r="GE320" s="13" t="s">
        <v>806</v>
      </c>
      <c r="GF320" s="13" t="s">
        <v>806</v>
      </c>
      <c r="GH320" s="13" t="s">
        <v>806</v>
      </c>
    </row>
    <row r="321" spans="1:190" ht="12.75" customHeight="1" x14ac:dyDescent="0.25">
      <c r="A321" s="1" t="s">
        <v>129</v>
      </c>
      <c r="B321" s="1" t="s">
        <v>746</v>
      </c>
      <c r="C321" s="1" t="s">
        <v>804</v>
      </c>
      <c r="D321" s="1" t="s">
        <v>706</v>
      </c>
      <c r="E321" s="1" t="s">
        <v>139</v>
      </c>
      <c r="F321" s="1">
        <v>0</v>
      </c>
      <c r="G321" s="1">
        <v>2050</v>
      </c>
      <c r="H321" s="1">
        <v>0</v>
      </c>
      <c r="I321" s="1">
        <v>0</v>
      </c>
      <c r="J321" s="1">
        <v>1</v>
      </c>
      <c r="K3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8.4339974999999328</v>
      </c>
      <c r="M3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135.22343999999995</v>
      </c>
      <c r="N321" s="19">
        <v>8.4339974999999328</v>
      </c>
      <c r="O321" s="19">
        <v>0</v>
      </c>
      <c r="P321" s="19">
        <v>135.22343999999995</v>
      </c>
      <c r="Q321" s="19">
        <v>193.9819425</v>
      </c>
      <c r="R321" s="19">
        <v>0</v>
      </c>
      <c r="S321" s="19">
        <v>1081.7875200000001</v>
      </c>
      <c r="T321" s="19">
        <v>8.4339974999999328</v>
      </c>
      <c r="U321" s="19">
        <v>0</v>
      </c>
      <c r="V321" s="19">
        <v>135.22343999999995</v>
      </c>
      <c r="W321" s="19">
        <v>193.9819425</v>
      </c>
      <c r="X321" s="19">
        <v>0</v>
      </c>
      <c r="Y321" s="19">
        <v>1081.7875200000001</v>
      </c>
      <c r="Z321" s="19">
        <v>8.4339974999999328</v>
      </c>
      <c r="AA321" s="19">
        <v>0</v>
      </c>
      <c r="AB321" s="19">
        <v>135.22343999999995</v>
      </c>
      <c r="AC321" s="19">
        <v>193.9819425</v>
      </c>
      <c r="AD321" s="19">
        <v>0</v>
      </c>
      <c r="AE321" s="19">
        <v>1081.7875200000001</v>
      </c>
      <c r="AF321" s="19">
        <v>8.4339974999999328</v>
      </c>
      <c r="AG321" s="19">
        <v>0</v>
      </c>
      <c r="AH321" s="19">
        <v>135.22343999999995</v>
      </c>
      <c r="AI321" s="19">
        <v>193.9819425</v>
      </c>
      <c r="AJ321" s="19">
        <v>0</v>
      </c>
      <c r="AK321" s="19">
        <v>1081.7875200000001</v>
      </c>
      <c r="AL321" s="19">
        <v>8.4339974999999328</v>
      </c>
      <c r="AM321" s="19">
        <v>0</v>
      </c>
      <c r="AN321" s="19">
        <v>135.22343999999995</v>
      </c>
      <c r="AO321" s="19">
        <v>193.9819425</v>
      </c>
      <c r="AP321" s="19">
        <v>0</v>
      </c>
      <c r="AQ321" s="19">
        <v>1081.7875200000001</v>
      </c>
      <c r="AR321" s="19">
        <v>8.4339974999999328</v>
      </c>
      <c r="AS321" s="19">
        <v>0</v>
      </c>
      <c r="AT321" s="19">
        <v>135.22343999999995</v>
      </c>
      <c r="AU321" s="19">
        <v>193.9819425</v>
      </c>
      <c r="AV321" s="19">
        <v>0</v>
      </c>
      <c r="AW321" s="19">
        <v>1081.7875200000001</v>
      </c>
      <c r="AX321" s="19">
        <v>8.4339974999999328</v>
      </c>
      <c r="AY321" s="19">
        <v>0</v>
      </c>
      <c r="AZ321" s="19">
        <v>135.22343999999995</v>
      </c>
      <c r="BA321" s="19">
        <v>193.9819425</v>
      </c>
      <c r="BB321" s="19">
        <v>0</v>
      </c>
      <c r="BC321" s="19">
        <v>1081.7875200000001</v>
      </c>
      <c r="BD321" s="19">
        <v>8.4339974999999328</v>
      </c>
      <c r="BE321" s="19">
        <v>0</v>
      </c>
      <c r="BF321" s="19">
        <v>135.22343999999995</v>
      </c>
      <c r="BG321" s="19">
        <v>193.9819425</v>
      </c>
      <c r="BH321" s="19">
        <v>0</v>
      </c>
      <c r="BI321" s="19">
        <v>1081.7875200000001</v>
      </c>
      <c r="BJ321" s="19">
        <v>8.4339974999999328</v>
      </c>
      <c r="BK321" s="19">
        <v>0</v>
      </c>
      <c r="BL321" s="19">
        <v>135.22343999999995</v>
      </c>
      <c r="BM321" s="19">
        <v>193.9819425</v>
      </c>
      <c r="BN321" s="19">
        <v>0</v>
      </c>
      <c r="BO321" s="19">
        <v>1081.7875200000001</v>
      </c>
      <c r="BP321" s="19"/>
      <c r="BQ3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193.98194250000003</v>
      </c>
      <c r="BS3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1081.7875200000001</v>
      </c>
      <c r="BT321" s="11">
        <f>Tabelle5897112140[[#This Row],[Mindestauslastung min]]*Tabelle5897112140[[#This Row],[installierte Leistung MW min]]</f>
        <v>0</v>
      </c>
      <c r="BU321" s="11">
        <f>Tabelle5897112140[[#This Row],[Mindestauslastung durch]]*Tabelle5897112140[[#This Row],[installierte Leistung MW durch]]</f>
        <v>0</v>
      </c>
      <c r="BV321" s="11">
        <f>Tabelle5897112140[[#This Row],[Mindestauslastung max]]*Tabelle5897112140[[#This Row],[installierte Leistung MW max]]</f>
        <v>0</v>
      </c>
      <c r="BW321" s="9">
        <v>0</v>
      </c>
      <c r="BX321" s="9">
        <v>0</v>
      </c>
      <c r="BY321" s="9">
        <v>0</v>
      </c>
      <c r="BZ321" s="9"/>
      <c r="CA321" s="9">
        <v>8.2499999999999987E-3</v>
      </c>
      <c r="CB321" s="9">
        <v>2E-3</v>
      </c>
      <c r="CC321" s="9">
        <v>1.2E-2</v>
      </c>
      <c r="CD321" s="9">
        <v>8.2499999999999987E-3</v>
      </c>
      <c r="CE321" s="9">
        <v>2E-3</v>
      </c>
      <c r="CF321" s="9">
        <v>1.2E-2</v>
      </c>
      <c r="CG321" s="9">
        <v>8.2499999999999987E-3</v>
      </c>
      <c r="CH321" s="9">
        <v>2E-3</v>
      </c>
      <c r="CI321" s="9">
        <v>1.2E-2</v>
      </c>
      <c r="CJ321" s="9">
        <v>8.2499999999999987E-3</v>
      </c>
      <c r="CK321" s="9">
        <v>2E-3</v>
      </c>
      <c r="CL321" s="9">
        <v>1.2E-2</v>
      </c>
      <c r="CM321" s="9">
        <v>8.2499999999999987E-3</v>
      </c>
      <c r="CN321" s="9">
        <v>2E-3</v>
      </c>
      <c r="CO321" s="9">
        <v>1.2E-2</v>
      </c>
      <c r="CP321" s="9">
        <v>8.2499999999999987E-3</v>
      </c>
      <c r="CQ321" s="9">
        <v>2E-3</v>
      </c>
      <c r="CR321" s="9">
        <v>1.2E-2</v>
      </c>
      <c r="CS321" s="9">
        <v>8.2499999999999987E-3</v>
      </c>
      <c r="CT321" s="9">
        <v>2E-3</v>
      </c>
      <c r="CU321" s="9">
        <v>1.2E-2</v>
      </c>
      <c r="CV321" s="9">
        <v>8.2499999999999987E-3</v>
      </c>
      <c r="CW321" s="9">
        <v>2E-3</v>
      </c>
      <c r="CX321" s="9">
        <v>1.2E-2</v>
      </c>
      <c r="CY321" s="9">
        <v>8.2499999999999987E-3</v>
      </c>
      <c r="CZ321" s="9">
        <v>2E-3</v>
      </c>
      <c r="DA321" s="9">
        <v>1.2E-2</v>
      </c>
      <c r="DB321" s="9">
        <f>MIN(Tabelle5897112140[[#This Row],[Durchschnittsauslastung durch Sommer WTT]:[Durchschnittsauslastung max Winter SFN]])</f>
        <v>2E-3</v>
      </c>
      <c r="DC3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21" s="9">
        <f>MAX(Tabelle5897112140[[#This Row],[Durchschnittsauslastung durch Sommer WTT]:[Durchschnittsauslastung max Winter SFN]])</f>
        <v>1.2E-2</v>
      </c>
      <c r="DE321" s="40">
        <f>Tabelle5897112140[[#This Row],[Durchschnittsauslastung min]]*Tabelle5897112140[[#This Row],[installierte Leistung MW min]]</f>
        <v>67.332240000000013</v>
      </c>
      <c r="DF321" s="40">
        <f>Tabelle5897112140[[#This Row],[Durchschnittsauslastung durch]]*Tabelle5897112140[[#This Row],[installierte Leistung MW durch]]</f>
        <v>278.32191749999993</v>
      </c>
      <c r="DG321" s="40">
        <f>Tabelle5897112140[[#This Row],[Durchschnittsauslastung max]]*Tabelle5897112140[[#This Row],[installierte Leistung MW max]]</f>
        <v>405.67032</v>
      </c>
      <c r="DH321" s="46">
        <f>Tabelle5897112140[[#This Row],[Maximalauslastung min]]*Tabelle5897112140[[#This Row],[installierte Leistung MW min]]</f>
        <v>23229.622800000001</v>
      </c>
      <c r="DI321" s="46">
        <f>Tabelle5897112140[[#This Row],[Maximalauslastung durch]]*Tabelle5897112140[[#This Row],[installierte Leistung MW durch]]</f>
        <v>25301.9925</v>
      </c>
      <c r="DJ321" s="19">
        <f>Tabelle5897112140[[#This Row],[Maximalauslastung max]]*Tabelle5897112140[[#This Row],[installierte Leistung MW durch]]</f>
        <v>27326.151900000001</v>
      </c>
      <c r="DK321" s="9">
        <v>0.69</v>
      </c>
      <c r="DL321" s="9">
        <v>0.75</v>
      </c>
      <c r="DM321" s="9">
        <v>0.81</v>
      </c>
      <c r="DN321" s="1">
        <v>33735.99</v>
      </c>
      <c r="DO321" s="1">
        <v>33666.120000000003</v>
      </c>
      <c r="DP321" s="1">
        <v>33805.86</v>
      </c>
      <c r="DQ321" s="19"/>
      <c r="DR321" s="19"/>
      <c r="DW321" s="1">
        <v>1.75</v>
      </c>
      <c r="DX321" s="1">
        <v>1.1499999999999999</v>
      </c>
      <c r="DY321" s="1">
        <v>2.35</v>
      </c>
      <c r="DZ321" s="1">
        <v>1.75</v>
      </c>
      <c r="EA321" s="1">
        <v>0.5</v>
      </c>
      <c r="EB321" s="1">
        <v>3</v>
      </c>
      <c r="EC321" s="1">
        <v>3.5</v>
      </c>
      <c r="ED321" s="1">
        <v>2.2999999999999998</v>
      </c>
      <c r="EE321" s="1">
        <v>4.7</v>
      </c>
      <c r="EF321" s="1">
        <v>3.5</v>
      </c>
      <c r="EG321" s="1">
        <v>3.5</v>
      </c>
      <c r="EH321" s="1">
        <v>3.5</v>
      </c>
      <c r="EL321" s="1">
        <v>220</v>
      </c>
      <c r="EM321" s="1">
        <v>198</v>
      </c>
      <c r="EN321" s="1">
        <v>242</v>
      </c>
      <c r="EO321" s="11"/>
      <c r="EP321" s="11"/>
      <c r="EQ321" s="11"/>
      <c r="ER321" s="1">
        <v>220</v>
      </c>
      <c r="ES321" s="1">
        <v>198</v>
      </c>
      <c r="ET321" s="1">
        <v>242</v>
      </c>
      <c r="EU321" s="1">
        <v>91.818181818181827</v>
      </c>
      <c r="EV321" s="19">
        <v>82.626262626262644</v>
      </c>
      <c r="EW321" s="19">
        <v>101.01010101010101</v>
      </c>
      <c r="EX321" s="19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>
        <v>747.47474747474746</v>
      </c>
      <c r="FK321" s="8">
        <v>740</v>
      </c>
      <c r="FL321" s="1">
        <v>754.94949494949492</v>
      </c>
      <c r="FO321" s="1">
        <v>67</v>
      </c>
      <c r="FP321" s="1">
        <v>67</v>
      </c>
      <c r="FQ321" s="1">
        <v>67</v>
      </c>
      <c r="FR321" s="13" t="s">
        <v>806</v>
      </c>
      <c r="FS321" s="13" t="s">
        <v>806</v>
      </c>
      <c r="FT321" s="13" t="s">
        <v>806</v>
      </c>
      <c r="FU321" s="13"/>
      <c r="FV321" s="13" t="s">
        <v>806</v>
      </c>
      <c r="FW321" s="13" t="s">
        <v>806</v>
      </c>
      <c r="FX321" s="13" t="s">
        <v>806</v>
      </c>
      <c r="FY321" s="13" t="s">
        <v>806</v>
      </c>
      <c r="FZ321" s="13" t="s">
        <v>806</v>
      </c>
      <c r="GA321" s="13" t="s">
        <v>806</v>
      </c>
      <c r="GB321" s="13" t="s">
        <v>806</v>
      </c>
      <c r="GE321" s="13" t="s">
        <v>806</v>
      </c>
      <c r="GF321" s="13" t="s">
        <v>806</v>
      </c>
      <c r="GH321" s="13" t="s">
        <v>806</v>
      </c>
    </row>
    <row r="322" spans="1:190" ht="12.75" customHeight="1" x14ac:dyDescent="0.25">
      <c r="A322" s="1" t="s">
        <v>134</v>
      </c>
      <c r="B322" s="1" t="s">
        <v>748</v>
      </c>
      <c r="C322" s="1" t="s">
        <v>804</v>
      </c>
      <c r="D322" s="1" t="s">
        <v>707</v>
      </c>
      <c r="E322" s="1" t="s">
        <v>139</v>
      </c>
      <c r="F322" s="1">
        <v>0</v>
      </c>
      <c r="G322" s="1">
        <v>2015</v>
      </c>
      <c r="H322" s="1">
        <v>1</v>
      </c>
      <c r="I322" s="1">
        <v>0</v>
      </c>
      <c r="J322" s="1">
        <v>0</v>
      </c>
      <c r="K3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288.99</v>
      </c>
      <c r="L3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947.15555555555568</v>
      </c>
      <c r="M3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1964.82</v>
      </c>
      <c r="N322" s="19">
        <v>447.76666666666671</v>
      </c>
      <c r="O322" s="19">
        <v>288.99</v>
      </c>
      <c r="P322" s="19">
        <v>579.37</v>
      </c>
      <c r="Q322" s="19">
        <v>1067.2333333333329</v>
      </c>
      <c r="R322" s="19">
        <v>699.66</v>
      </c>
      <c r="S322" s="19">
        <v>1561.78</v>
      </c>
      <c r="T322" s="19">
        <v>447.76666666666671</v>
      </c>
      <c r="U322" s="19">
        <v>288.99</v>
      </c>
      <c r="V322" s="19">
        <v>579.37</v>
      </c>
      <c r="W322" s="19">
        <v>1067.2333333333329</v>
      </c>
      <c r="X322" s="19">
        <v>699.66</v>
      </c>
      <c r="Y322" s="19">
        <v>1561.78</v>
      </c>
      <c r="Z322" s="19">
        <v>447.76666666666671</v>
      </c>
      <c r="AA322" s="19">
        <v>288.99</v>
      </c>
      <c r="AB322" s="19">
        <v>579.37</v>
      </c>
      <c r="AC322" s="19">
        <v>1067.2333333333329</v>
      </c>
      <c r="AD322" s="19">
        <v>699.66</v>
      </c>
      <c r="AE322" s="19">
        <v>1561.78</v>
      </c>
      <c r="AF322" s="19">
        <v>877.85833333333346</v>
      </c>
      <c r="AG322" s="19">
        <v>577.98</v>
      </c>
      <c r="AH322" s="19">
        <v>1133.55</v>
      </c>
      <c r="AI322" s="19">
        <v>637.14166666666665</v>
      </c>
      <c r="AJ322" s="19">
        <v>365.04</v>
      </c>
      <c r="AK322" s="19">
        <v>1083.17</v>
      </c>
      <c r="AL322" s="19">
        <v>877.85833333333346</v>
      </c>
      <c r="AM322" s="19">
        <v>577.98</v>
      </c>
      <c r="AN322" s="19">
        <v>1133.55</v>
      </c>
      <c r="AO322" s="19">
        <v>637.14166666666665</v>
      </c>
      <c r="AP322" s="19">
        <v>365.04</v>
      </c>
      <c r="AQ322" s="19">
        <v>1083.17</v>
      </c>
      <c r="AR322" s="19">
        <v>877.85833333333346</v>
      </c>
      <c r="AS322" s="19">
        <v>577.98</v>
      </c>
      <c r="AT322" s="19">
        <v>1133.55</v>
      </c>
      <c r="AU322" s="19">
        <v>637.14166666666665</v>
      </c>
      <c r="AV322" s="19">
        <v>365.04</v>
      </c>
      <c r="AW322" s="19">
        <v>1083.17</v>
      </c>
      <c r="AX322" s="19">
        <v>1515.8416666666669</v>
      </c>
      <c r="AY322" s="19">
        <v>988.65</v>
      </c>
      <c r="AZ322" s="19">
        <v>1964.82</v>
      </c>
      <c r="BA322" s="19">
        <v>0</v>
      </c>
      <c r="BB322" s="19">
        <v>0</v>
      </c>
      <c r="BC322" s="19">
        <v>403.04</v>
      </c>
      <c r="BD322" s="19">
        <v>1515.8416666666669</v>
      </c>
      <c r="BE322" s="19">
        <v>988.65</v>
      </c>
      <c r="BF322" s="19">
        <v>1964.82</v>
      </c>
      <c r="BG322" s="19">
        <v>0</v>
      </c>
      <c r="BH322" s="19">
        <v>0</v>
      </c>
      <c r="BI322" s="19">
        <v>403.04</v>
      </c>
      <c r="BJ322" s="19">
        <v>1515.8416666666669</v>
      </c>
      <c r="BK322" s="19">
        <v>988.65</v>
      </c>
      <c r="BL322" s="19">
        <v>1964.82</v>
      </c>
      <c r="BM322" s="19">
        <v>0</v>
      </c>
      <c r="BN322" s="19">
        <v>0</v>
      </c>
      <c r="BO322" s="19">
        <v>403.04</v>
      </c>
      <c r="BP322" s="19"/>
      <c r="BQ3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568.12499999999977</v>
      </c>
      <c r="BS3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1561.78</v>
      </c>
      <c r="BT322" s="11">
        <f>Tabelle5897112140[[#This Row],[Mindestauslastung min]]*Tabelle5897112140[[#This Row],[installierte Leistung MW min]]</f>
        <v>76.05</v>
      </c>
      <c r="BU322" s="11">
        <f>Tabelle5897112140[[#This Row],[Mindestauslastung durch]]*Tabelle5897112140[[#This Row],[installierte Leistung MW durch]]</f>
        <v>101</v>
      </c>
      <c r="BV322" s="11">
        <f>Tabelle5897112140[[#This Row],[Mindestauslastung max]]*Tabelle5897112140[[#This Row],[installierte Leistung MW max]]</f>
        <v>125.95</v>
      </c>
      <c r="BW322" s="9">
        <v>0.05</v>
      </c>
      <c r="BX322" s="9">
        <v>0.05</v>
      </c>
      <c r="BY322" s="9">
        <v>0.05</v>
      </c>
      <c r="BZ322" s="9"/>
      <c r="CA322" s="9">
        <v>0.22166666666666671</v>
      </c>
      <c r="CB322" s="9">
        <v>0.19</v>
      </c>
      <c r="CC322" s="9">
        <v>0.23</v>
      </c>
      <c r="CD322" s="9">
        <v>0.22166666666666671</v>
      </c>
      <c r="CE322" s="9">
        <v>0.19</v>
      </c>
      <c r="CF322" s="9">
        <v>0.23</v>
      </c>
      <c r="CG322" s="9">
        <v>0.22166666666666671</v>
      </c>
      <c r="CH322" s="9">
        <v>0.19</v>
      </c>
      <c r="CI322" s="9">
        <v>0.23</v>
      </c>
      <c r="CJ322" s="9">
        <v>0.43458333333333338</v>
      </c>
      <c r="CK322" s="9">
        <v>0.38</v>
      </c>
      <c r="CL322" s="9">
        <v>0.45</v>
      </c>
      <c r="CM322" s="9">
        <v>0.43458333333333338</v>
      </c>
      <c r="CN322" s="9">
        <v>0.38</v>
      </c>
      <c r="CO322" s="9">
        <v>0.45</v>
      </c>
      <c r="CP322" s="9">
        <v>0.43458333333333338</v>
      </c>
      <c r="CQ322" s="9">
        <v>0.38</v>
      </c>
      <c r="CR322" s="9">
        <v>0.45</v>
      </c>
      <c r="CS322" s="9">
        <v>0.75041666666666673</v>
      </c>
      <c r="CT322" s="9">
        <v>0.65</v>
      </c>
      <c r="CU322" s="9">
        <v>0.78</v>
      </c>
      <c r="CV322" s="9">
        <v>0.75041666666666673</v>
      </c>
      <c r="CW322" s="9">
        <v>0.65</v>
      </c>
      <c r="CX322" s="9">
        <v>0.78</v>
      </c>
      <c r="CY322" s="9">
        <v>0.75041666666666673</v>
      </c>
      <c r="CZ322" s="9">
        <v>0.65</v>
      </c>
      <c r="DA322" s="9">
        <v>0.78</v>
      </c>
      <c r="DB322" s="9">
        <f>MIN(Tabelle5897112140[[#This Row],[Durchschnittsauslastung durch Sommer WTT]:[Durchschnittsauslastung max Winter SFN]])</f>
        <v>0.19</v>
      </c>
      <c r="DC3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2" s="9">
        <f>MAX(Tabelle5897112140[[#This Row],[Durchschnittsauslastung durch Sommer WTT]:[Durchschnittsauslastung max Winter SFN]])</f>
        <v>0.78</v>
      </c>
      <c r="DE322" s="40">
        <f>Tabelle5897112140[[#This Row],[Durchschnittsauslastung min]]*Tabelle5897112140[[#This Row],[installierte Leistung MW min]]</f>
        <v>288.99</v>
      </c>
      <c r="DF322" s="40">
        <f>Tabelle5897112140[[#This Row],[Durchschnittsauslastung durch]]*Tabelle5897112140[[#This Row],[installierte Leistung MW durch]]</f>
        <v>947.15555555555568</v>
      </c>
      <c r="DG322" s="40">
        <f>Tabelle5897112140[[#This Row],[Durchschnittsauslastung max]]*Tabelle5897112140[[#This Row],[installierte Leistung MW max]]</f>
        <v>1964.8200000000002</v>
      </c>
      <c r="DH322" s="46">
        <f>Tabelle5897112140[[#This Row],[Maximalauslastung min]]*Tabelle5897112140[[#This Row],[installierte Leistung MW min]]</f>
        <v>1049.49</v>
      </c>
      <c r="DI322" s="46">
        <f>Tabelle5897112140[[#This Row],[Maximalauslastung durch]]*Tabelle5897112140[[#This Row],[installierte Leistung MW durch]]</f>
        <v>1515</v>
      </c>
      <c r="DJ322" s="19">
        <f>Tabelle5897112140[[#This Row],[Maximalauslastung max]]*Tabelle5897112140[[#This Row],[installierte Leistung MW durch]]</f>
        <v>1636.2</v>
      </c>
      <c r="DK322" s="9">
        <v>0.69</v>
      </c>
      <c r="DL322" s="9">
        <v>0.75</v>
      </c>
      <c r="DM322" s="9">
        <v>0.81</v>
      </c>
      <c r="DN322" s="1">
        <v>2020</v>
      </c>
      <c r="DO322" s="1">
        <v>1521</v>
      </c>
      <c r="DP322" s="1">
        <v>2519</v>
      </c>
      <c r="DQ322" s="19"/>
      <c r="DR322" s="19"/>
      <c r="DW322" s="1">
        <v>1.5</v>
      </c>
      <c r="DX322" s="1">
        <v>1</v>
      </c>
      <c r="DY322" s="1">
        <v>2</v>
      </c>
      <c r="DZ322" s="1">
        <v>1.5</v>
      </c>
      <c r="EA322" s="1">
        <v>1</v>
      </c>
      <c r="EB322" s="1">
        <v>2</v>
      </c>
      <c r="EC322" s="1">
        <v>3</v>
      </c>
      <c r="ED322" s="1">
        <v>2.4</v>
      </c>
      <c r="EE322" s="1">
        <v>3.6</v>
      </c>
      <c r="EF322" s="1">
        <v>2.5</v>
      </c>
      <c r="EG322" s="1">
        <v>1.4</v>
      </c>
      <c r="EH322" s="1">
        <v>3.6</v>
      </c>
      <c r="EL322" s="1">
        <v>639</v>
      </c>
      <c r="EM322" s="1">
        <v>575</v>
      </c>
      <c r="EN322" s="1">
        <v>703</v>
      </c>
      <c r="EO322" s="11"/>
      <c r="EP322" s="11"/>
      <c r="EQ322" s="11"/>
      <c r="ER322" s="1">
        <v>639</v>
      </c>
      <c r="ES322" s="1">
        <v>575</v>
      </c>
      <c r="ET322" s="1">
        <v>703</v>
      </c>
      <c r="EU322" s="1">
        <v>0</v>
      </c>
      <c r="EV322" s="19">
        <v>0</v>
      </c>
      <c r="EW322" s="19">
        <v>0</v>
      </c>
      <c r="EX322" s="19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>
        <v>90.303030303030312</v>
      </c>
      <c r="FK322" s="8">
        <v>45.151515151515156</v>
      </c>
      <c r="FL322" s="1">
        <v>135.45454545454544</v>
      </c>
      <c r="FO322" s="1">
        <v>67</v>
      </c>
      <c r="FP322" s="1">
        <v>67</v>
      </c>
      <c r="FQ322" s="1">
        <v>67</v>
      </c>
      <c r="FR322" s="13" t="s">
        <v>806</v>
      </c>
      <c r="FS322" s="13" t="s">
        <v>806</v>
      </c>
      <c r="FT322" s="13" t="s">
        <v>806</v>
      </c>
      <c r="FU322" s="13"/>
      <c r="FV322" s="13" t="s">
        <v>806</v>
      </c>
      <c r="FW322" s="13" t="s">
        <v>806</v>
      </c>
      <c r="FX322" s="13" t="s">
        <v>806</v>
      </c>
      <c r="FY322" s="13" t="s">
        <v>806</v>
      </c>
      <c r="FZ322" s="13" t="s">
        <v>806</v>
      </c>
      <c r="GA322" s="13" t="s">
        <v>806</v>
      </c>
      <c r="GB322" s="13" t="s">
        <v>806</v>
      </c>
      <c r="GE322" s="13" t="s">
        <v>806</v>
      </c>
      <c r="GF322" s="13" t="s">
        <v>806</v>
      </c>
      <c r="GH322" s="13" t="s">
        <v>806</v>
      </c>
    </row>
    <row r="323" spans="1:190" ht="12.75" customHeight="1" x14ac:dyDescent="0.25">
      <c r="A323" s="1" t="s">
        <v>134</v>
      </c>
      <c r="B323" s="1" t="s">
        <v>748</v>
      </c>
      <c r="C323" s="1" t="s">
        <v>804</v>
      </c>
      <c r="D323" s="1" t="s">
        <v>707</v>
      </c>
      <c r="E323" s="1" t="s">
        <v>139</v>
      </c>
      <c r="F323" s="1">
        <v>0</v>
      </c>
      <c r="G323" s="1">
        <v>2020</v>
      </c>
      <c r="H323" s="1">
        <v>1</v>
      </c>
      <c r="I323" s="1">
        <v>0</v>
      </c>
      <c r="J323" s="1">
        <v>0</v>
      </c>
      <c r="K3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413.25569999999999</v>
      </c>
      <c r="L3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1354.4324444444444</v>
      </c>
      <c r="M3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2809.6925999999999</v>
      </c>
      <c r="N323" s="19">
        <v>640.30633333333333</v>
      </c>
      <c r="O323" s="19">
        <v>413.25569999999999</v>
      </c>
      <c r="P323" s="19">
        <v>828.4991</v>
      </c>
      <c r="Q323" s="19">
        <v>1526.1436666666659</v>
      </c>
      <c r="R323" s="19">
        <v>1000.5137999999999</v>
      </c>
      <c r="S323" s="19">
        <v>2233.3453999999997</v>
      </c>
      <c r="T323" s="19">
        <v>640.30633333333333</v>
      </c>
      <c r="U323" s="19">
        <v>413.25569999999999</v>
      </c>
      <c r="V323" s="19">
        <v>828.4991</v>
      </c>
      <c r="W323" s="19">
        <v>1526.1436666666659</v>
      </c>
      <c r="X323" s="19">
        <v>1000.5137999999999</v>
      </c>
      <c r="Y323" s="19">
        <v>2233.3453999999997</v>
      </c>
      <c r="Z323" s="19">
        <v>640.30633333333333</v>
      </c>
      <c r="AA323" s="19">
        <v>413.25569999999999</v>
      </c>
      <c r="AB323" s="19">
        <v>828.4991</v>
      </c>
      <c r="AC323" s="19">
        <v>1526.1436666666659</v>
      </c>
      <c r="AD323" s="19">
        <v>1000.5137999999999</v>
      </c>
      <c r="AE323" s="19">
        <v>2233.3453999999997</v>
      </c>
      <c r="AF323" s="19">
        <v>1255.3374166666667</v>
      </c>
      <c r="AG323" s="19">
        <v>826.51139999999998</v>
      </c>
      <c r="AH323" s="19">
        <v>1620.9764999999998</v>
      </c>
      <c r="AI323" s="19">
        <v>911.1125833333333</v>
      </c>
      <c r="AJ323" s="19">
        <v>522.00720000000001</v>
      </c>
      <c r="AK323" s="19">
        <v>1548.9331</v>
      </c>
      <c r="AL323" s="19">
        <v>1255.3374166666667</v>
      </c>
      <c r="AM323" s="19">
        <v>826.51139999999998</v>
      </c>
      <c r="AN323" s="19">
        <v>1620.9764999999998</v>
      </c>
      <c r="AO323" s="19">
        <v>911.1125833333333</v>
      </c>
      <c r="AP323" s="19">
        <v>522.00720000000001</v>
      </c>
      <c r="AQ323" s="19">
        <v>1548.9331</v>
      </c>
      <c r="AR323" s="19">
        <v>1255.3374166666667</v>
      </c>
      <c r="AS323" s="19">
        <v>826.51139999999998</v>
      </c>
      <c r="AT323" s="19">
        <v>1620.9764999999998</v>
      </c>
      <c r="AU323" s="19">
        <v>911.1125833333333</v>
      </c>
      <c r="AV323" s="19">
        <v>522.00720000000001</v>
      </c>
      <c r="AW323" s="19">
        <v>1548.9331</v>
      </c>
      <c r="AX323" s="19">
        <v>2167.6535833333337</v>
      </c>
      <c r="AY323" s="19">
        <v>1413.7694999999999</v>
      </c>
      <c r="AZ323" s="19">
        <v>2809.6925999999999</v>
      </c>
      <c r="BA323" s="19">
        <v>0</v>
      </c>
      <c r="BB323" s="19">
        <v>0</v>
      </c>
      <c r="BC323" s="19">
        <v>576.34720000000004</v>
      </c>
      <c r="BD323" s="19">
        <v>2167.6535833333337</v>
      </c>
      <c r="BE323" s="19">
        <v>1413.7694999999999</v>
      </c>
      <c r="BF323" s="19">
        <v>2809.6925999999999</v>
      </c>
      <c r="BG323" s="19">
        <v>0</v>
      </c>
      <c r="BH323" s="19">
        <v>0</v>
      </c>
      <c r="BI323" s="19">
        <v>576.34720000000004</v>
      </c>
      <c r="BJ323" s="19">
        <v>2167.6535833333337</v>
      </c>
      <c r="BK323" s="19">
        <v>1413.7694999999999</v>
      </c>
      <c r="BL323" s="19">
        <v>2809.6925999999999</v>
      </c>
      <c r="BM323" s="19">
        <v>0</v>
      </c>
      <c r="BN323" s="19">
        <v>0</v>
      </c>
      <c r="BO323" s="19">
        <v>576.34720000000004</v>
      </c>
      <c r="BP323" s="19"/>
      <c r="BQ3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812.41874999999982</v>
      </c>
      <c r="BS3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2233.3453999999997</v>
      </c>
      <c r="BT323" s="11">
        <f>Tabelle5897112140[[#This Row],[Mindestauslastung min]]*Tabelle5897112140[[#This Row],[installierte Leistung MW min]]</f>
        <v>108.75150000000002</v>
      </c>
      <c r="BU323" s="11">
        <f>Tabelle5897112140[[#This Row],[Mindestauslastung durch]]*Tabelle5897112140[[#This Row],[installierte Leistung MW durch]]</f>
        <v>144.43</v>
      </c>
      <c r="BV323" s="11">
        <f>Tabelle5897112140[[#This Row],[Mindestauslastung max]]*Tabelle5897112140[[#This Row],[installierte Leistung MW max]]</f>
        <v>180.10850000000002</v>
      </c>
      <c r="BW323" s="9">
        <v>0.05</v>
      </c>
      <c r="BX323" s="9">
        <v>0.05</v>
      </c>
      <c r="BY323" s="9">
        <v>0.05</v>
      </c>
      <c r="BZ323" s="9"/>
      <c r="CA323" s="9">
        <v>0.22166666666666671</v>
      </c>
      <c r="CB323" s="9">
        <v>0.19</v>
      </c>
      <c r="CC323" s="9">
        <v>0.23</v>
      </c>
      <c r="CD323" s="9">
        <v>0.22166666666666671</v>
      </c>
      <c r="CE323" s="9">
        <v>0.19</v>
      </c>
      <c r="CF323" s="9">
        <v>0.23</v>
      </c>
      <c r="CG323" s="9">
        <v>0.22166666666666671</v>
      </c>
      <c r="CH323" s="9">
        <v>0.19</v>
      </c>
      <c r="CI323" s="9">
        <v>0.23</v>
      </c>
      <c r="CJ323" s="9">
        <v>0.43458333333333338</v>
      </c>
      <c r="CK323" s="9">
        <v>0.38</v>
      </c>
      <c r="CL323" s="9">
        <v>0.45</v>
      </c>
      <c r="CM323" s="9">
        <v>0.43458333333333338</v>
      </c>
      <c r="CN323" s="9">
        <v>0.38</v>
      </c>
      <c r="CO323" s="9">
        <v>0.45</v>
      </c>
      <c r="CP323" s="9">
        <v>0.43458333333333338</v>
      </c>
      <c r="CQ323" s="9">
        <v>0.38</v>
      </c>
      <c r="CR323" s="9">
        <v>0.45</v>
      </c>
      <c r="CS323" s="9">
        <v>0.75041666666666673</v>
      </c>
      <c r="CT323" s="9">
        <v>0.65</v>
      </c>
      <c r="CU323" s="9">
        <v>0.78</v>
      </c>
      <c r="CV323" s="9">
        <v>0.75041666666666673</v>
      </c>
      <c r="CW323" s="9">
        <v>0.65</v>
      </c>
      <c r="CX323" s="9">
        <v>0.78</v>
      </c>
      <c r="CY323" s="9">
        <v>0.75041666666666673</v>
      </c>
      <c r="CZ323" s="9">
        <v>0.65</v>
      </c>
      <c r="DA323" s="9">
        <v>0.78</v>
      </c>
      <c r="DB323" s="9">
        <f>MIN(Tabelle5897112140[[#This Row],[Durchschnittsauslastung durch Sommer WTT]:[Durchschnittsauslastung max Winter SFN]])</f>
        <v>0.19</v>
      </c>
      <c r="DC3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3" s="9">
        <f>MAX(Tabelle5897112140[[#This Row],[Durchschnittsauslastung durch Sommer WTT]:[Durchschnittsauslastung max Winter SFN]])</f>
        <v>0.78</v>
      </c>
      <c r="DE323" s="40">
        <f>Tabelle5897112140[[#This Row],[Durchschnittsauslastung min]]*Tabelle5897112140[[#This Row],[installierte Leistung MW min]]</f>
        <v>413.25570000000005</v>
      </c>
      <c r="DF323" s="40">
        <f>Tabelle5897112140[[#This Row],[Durchschnittsauslastung durch]]*Tabelle5897112140[[#This Row],[installierte Leistung MW durch]]</f>
        <v>1354.4324444444446</v>
      </c>
      <c r="DG323" s="40">
        <f>Tabelle5897112140[[#This Row],[Durchschnittsauslastung max]]*Tabelle5897112140[[#This Row],[installierte Leistung MW max]]</f>
        <v>2809.6926000000003</v>
      </c>
      <c r="DH323" s="46">
        <f>Tabelle5897112140[[#This Row],[Maximalauslastung min]]*Tabelle5897112140[[#This Row],[installierte Leistung MW min]]</f>
        <v>6.5250899999999969</v>
      </c>
      <c r="DI323" s="46">
        <f>Tabelle5897112140[[#This Row],[Maximalauslastung durch]]*Tabelle5897112140[[#This Row],[installierte Leistung MW durch]]</f>
        <v>66.437799999999996</v>
      </c>
      <c r="DJ323" s="19">
        <f>Tabelle5897112140[[#This Row],[Maximalauslastung max]]*Tabelle5897112140[[#This Row],[installierte Leistung MW durch]]</f>
        <v>124.20979999999999</v>
      </c>
      <c r="DK323" s="9">
        <v>2.9999999999999983E-3</v>
      </c>
      <c r="DL323" s="9">
        <v>2.3E-2</v>
      </c>
      <c r="DM323" s="9">
        <v>4.2999999999999997E-2</v>
      </c>
      <c r="DN323" s="1">
        <v>2888.6</v>
      </c>
      <c r="DO323" s="1">
        <v>2175.0300000000002</v>
      </c>
      <c r="DP323" s="1">
        <v>3602.17</v>
      </c>
      <c r="DQ323" s="19"/>
      <c r="DR323" s="19"/>
      <c r="DW323" s="1">
        <v>1.5</v>
      </c>
      <c r="DX323" s="1">
        <v>1</v>
      </c>
      <c r="DY323" s="1">
        <v>2</v>
      </c>
      <c r="DZ323" s="1">
        <v>1.5</v>
      </c>
      <c r="EA323" s="1">
        <v>1</v>
      </c>
      <c r="EB323" s="1">
        <v>2</v>
      </c>
      <c r="EC323" s="1">
        <v>3</v>
      </c>
      <c r="ED323" s="1">
        <v>2.4</v>
      </c>
      <c r="EE323" s="1">
        <v>3.6</v>
      </c>
      <c r="EF323" s="1">
        <v>2.5</v>
      </c>
      <c r="EG323" s="1">
        <v>1.4</v>
      </c>
      <c r="EH323" s="1">
        <v>3.6</v>
      </c>
      <c r="EL323" s="1">
        <v>639</v>
      </c>
      <c r="EM323" s="1">
        <v>575</v>
      </c>
      <c r="EN323" s="1">
        <v>703</v>
      </c>
      <c r="EO323" s="11"/>
      <c r="EP323" s="11"/>
      <c r="EQ323" s="11"/>
      <c r="ER323" s="1">
        <v>639</v>
      </c>
      <c r="ES323" s="1">
        <v>575</v>
      </c>
      <c r="ET323" s="1">
        <v>703</v>
      </c>
      <c r="EU323" s="1">
        <v>0</v>
      </c>
      <c r="EV323" s="19">
        <v>0</v>
      </c>
      <c r="EW323" s="19">
        <v>0</v>
      </c>
      <c r="EX323" s="19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>
        <v>90.303030303030312</v>
      </c>
      <c r="FK323" s="8">
        <v>45.151515151515156</v>
      </c>
      <c r="FL323" s="1">
        <v>135.45454545454544</v>
      </c>
      <c r="FO323" s="1">
        <v>67</v>
      </c>
      <c r="FP323" s="1">
        <v>67</v>
      </c>
      <c r="FQ323" s="1">
        <v>67</v>
      </c>
      <c r="FR323" s="13" t="s">
        <v>806</v>
      </c>
      <c r="FS323" s="13" t="s">
        <v>806</v>
      </c>
      <c r="FT323" s="13" t="s">
        <v>806</v>
      </c>
      <c r="FU323" s="13"/>
      <c r="FV323" s="13" t="s">
        <v>806</v>
      </c>
      <c r="FW323" s="13" t="s">
        <v>806</v>
      </c>
      <c r="FX323" s="13" t="s">
        <v>806</v>
      </c>
      <c r="FY323" s="13" t="s">
        <v>806</v>
      </c>
      <c r="FZ323" s="13" t="s">
        <v>806</v>
      </c>
      <c r="GA323" s="13" t="s">
        <v>806</v>
      </c>
      <c r="GB323" s="13" t="s">
        <v>806</v>
      </c>
      <c r="GE323" s="13" t="s">
        <v>806</v>
      </c>
      <c r="GF323" s="13" t="s">
        <v>806</v>
      </c>
      <c r="GH323" s="13" t="s">
        <v>806</v>
      </c>
    </row>
    <row r="324" spans="1:190" ht="12.75" customHeight="1" x14ac:dyDescent="0.25">
      <c r="A324" s="1" t="s">
        <v>134</v>
      </c>
      <c r="B324" s="1" t="s">
        <v>748</v>
      </c>
      <c r="C324" s="1" t="s">
        <v>804</v>
      </c>
      <c r="D324" s="1" t="s">
        <v>707</v>
      </c>
      <c r="E324" s="1" t="s">
        <v>139</v>
      </c>
      <c r="F324" s="1">
        <v>0</v>
      </c>
      <c r="G324" s="1">
        <v>2025</v>
      </c>
      <c r="H324" s="1">
        <v>1</v>
      </c>
      <c r="I324" s="1">
        <v>0</v>
      </c>
      <c r="J324" s="1">
        <v>0</v>
      </c>
      <c r="K3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436.37490000000003</v>
      </c>
      <c r="L3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1430.2048888888889</v>
      </c>
      <c r="M3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2966.8782000000001</v>
      </c>
      <c r="N324" s="19">
        <v>676.12766666666676</v>
      </c>
      <c r="O324" s="19">
        <v>436.37490000000003</v>
      </c>
      <c r="P324" s="19">
        <v>874.84870000000001</v>
      </c>
      <c r="Q324" s="19">
        <v>1611.5223333333327</v>
      </c>
      <c r="R324" s="19">
        <v>1056.4866</v>
      </c>
      <c r="S324" s="19">
        <v>2358.2878000000001</v>
      </c>
      <c r="T324" s="19">
        <v>676.12766666666676</v>
      </c>
      <c r="U324" s="19">
        <v>436.37490000000003</v>
      </c>
      <c r="V324" s="19">
        <v>874.84870000000001</v>
      </c>
      <c r="W324" s="19">
        <v>1611.5223333333327</v>
      </c>
      <c r="X324" s="19">
        <v>1056.4866</v>
      </c>
      <c r="Y324" s="19">
        <v>2358.2878000000001</v>
      </c>
      <c r="Z324" s="19">
        <v>676.12766666666676</v>
      </c>
      <c r="AA324" s="19">
        <v>436.37490000000003</v>
      </c>
      <c r="AB324" s="19">
        <v>874.84870000000001</v>
      </c>
      <c r="AC324" s="19">
        <v>1611.5223333333327</v>
      </c>
      <c r="AD324" s="19">
        <v>1056.4866</v>
      </c>
      <c r="AE324" s="19">
        <v>2358.2878000000001</v>
      </c>
      <c r="AF324" s="19">
        <v>1325.5660833333336</v>
      </c>
      <c r="AG324" s="19">
        <v>872.74980000000005</v>
      </c>
      <c r="AH324" s="19">
        <v>1711.6605</v>
      </c>
      <c r="AI324" s="19">
        <v>962.0839166666666</v>
      </c>
      <c r="AJ324" s="19">
        <v>551.21040000000005</v>
      </c>
      <c r="AK324" s="19">
        <v>1635.5867000000001</v>
      </c>
      <c r="AL324" s="19">
        <v>1325.5660833333336</v>
      </c>
      <c r="AM324" s="19">
        <v>872.74980000000005</v>
      </c>
      <c r="AN324" s="19">
        <v>1711.6605</v>
      </c>
      <c r="AO324" s="19">
        <v>962.0839166666666</v>
      </c>
      <c r="AP324" s="19">
        <v>551.21040000000005</v>
      </c>
      <c r="AQ324" s="19">
        <v>1635.5867000000001</v>
      </c>
      <c r="AR324" s="19">
        <v>1325.5660833333336</v>
      </c>
      <c r="AS324" s="19">
        <v>872.74980000000005</v>
      </c>
      <c r="AT324" s="19">
        <v>1711.6605</v>
      </c>
      <c r="AU324" s="19">
        <v>962.0839166666666</v>
      </c>
      <c r="AV324" s="19">
        <v>551.21040000000005</v>
      </c>
      <c r="AW324" s="19">
        <v>1635.5867000000001</v>
      </c>
      <c r="AX324" s="19">
        <v>2288.9209166666669</v>
      </c>
      <c r="AY324" s="19">
        <v>1492.8615</v>
      </c>
      <c r="AZ324" s="19">
        <v>2966.8782000000001</v>
      </c>
      <c r="BA324" s="19">
        <v>0</v>
      </c>
      <c r="BB324" s="19">
        <v>0</v>
      </c>
      <c r="BC324" s="19">
        <v>608.59040000000005</v>
      </c>
      <c r="BD324" s="19">
        <v>2288.9209166666669</v>
      </c>
      <c r="BE324" s="19">
        <v>1492.8615</v>
      </c>
      <c r="BF324" s="19">
        <v>2966.8782000000001</v>
      </c>
      <c r="BG324" s="19">
        <v>0</v>
      </c>
      <c r="BH324" s="19">
        <v>0</v>
      </c>
      <c r="BI324" s="19">
        <v>608.59040000000005</v>
      </c>
      <c r="BJ324" s="19">
        <v>2288.9209166666669</v>
      </c>
      <c r="BK324" s="19">
        <v>1492.8615</v>
      </c>
      <c r="BL324" s="19">
        <v>2966.8782000000001</v>
      </c>
      <c r="BM324" s="19">
        <v>0</v>
      </c>
      <c r="BN324" s="19">
        <v>0</v>
      </c>
      <c r="BO324" s="19">
        <v>608.59040000000005</v>
      </c>
      <c r="BP324" s="19"/>
      <c r="BQ3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857.86874999999975</v>
      </c>
      <c r="BS3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2358.2878000000001</v>
      </c>
      <c r="BT324" s="11">
        <f>Tabelle5897112140[[#This Row],[Mindestauslastung min]]*Tabelle5897112140[[#This Row],[installierte Leistung MW min]]</f>
        <v>114.83550000000001</v>
      </c>
      <c r="BU324" s="11">
        <f>Tabelle5897112140[[#This Row],[Mindestauslastung durch]]*Tabelle5897112140[[#This Row],[installierte Leistung MW durch]]</f>
        <v>152.51</v>
      </c>
      <c r="BV324" s="11">
        <f>Tabelle5897112140[[#This Row],[Mindestauslastung max]]*Tabelle5897112140[[#This Row],[installierte Leistung MW max]]</f>
        <v>190.18450000000001</v>
      </c>
      <c r="BW324" s="9">
        <v>0.05</v>
      </c>
      <c r="BX324" s="9">
        <v>0.05</v>
      </c>
      <c r="BY324" s="9">
        <v>0.05</v>
      </c>
      <c r="BZ324" s="9"/>
      <c r="CA324" s="9">
        <v>0.22166666666666671</v>
      </c>
      <c r="CB324" s="9">
        <v>0.19</v>
      </c>
      <c r="CC324" s="9">
        <v>0.23</v>
      </c>
      <c r="CD324" s="9">
        <v>0.22166666666666671</v>
      </c>
      <c r="CE324" s="9">
        <v>0.19</v>
      </c>
      <c r="CF324" s="9">
        <v>0.23</v>
      </c>
      <c r="CG324" s="9">
        <v>0.22166666666666671</v>
      </c>
      <c r="CH324" s="9">
        <v>0.19</v>
      </c>
      <c r="CI324" s="9">
        <v>0.23</v>
      </c>
      <c r="CJ324" s="9">
        <v>0.43458333333333338</v>
      </c>
      <c r="CK324" s="9">
        <v>0.38</v>
      </c>
      <c r="CL324" s="9">
        <v>0.45</v>
      </c>
      <c r="CM324" s="9">
        <v>0.43458333333333338</v>
      </c>
      <c r="CN324" s="9">
        <v>0.38</v>
      </c>
      <c r="CO324" s="9">
        <v>0.45</v>
      </c>
      <c r="CP324" s="9">
        <v>0.43458333333333338</v>
      </c>
      <c r="CQ324" s="9">
        <v>0.38</v>
      </c>
      <c r="CR324" s="9">
        <v>0.45</v>
      </c>
      <c r="CS324" s="9">
        <v>0.75041666666666673</v>
      </c>
      <c r="CT324" s="9">
        <v>0.65</v>
      </c>
      <c r="CU324" s="9">
        <v>0.78</v>
      </c>
      <c r="CV324" s="9">
        <v>0.75041666666666673</v>
      </c>
      <c r="CW324" s="9">
        <v>0.65</v>
      </c>
      <c r="CX324" s="9">
        <v>0.78</v>
      </c>
      <c r="CY324" s="9">
        <v>0.75041666666666673</v>
      </c>
      <c r="CZ324" s="9">
        <v>0.65</v>
      </c>
      <c r="DA324" s="9">
        <v>0.78</v>
      </c>
      <c r="DB324" s="9">
        <f>MIN(Tabelle5897112140[[#This Row],[Durchschnittsauslastung durch Sommer WTT]:[Durchschnittsauslastung max Winter SFN]])</f>
        <v>0.19</v>
      </c>
      <c r="DC3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4" s="9">
        <f>MAX(Tabelle5897112140[[#This Row],[Durchschnittsauslastung durch Sommer WTT]:[Durchschnittsauslastung max Winter SFN]])</f>
        <v>0.78</v>
      </c>
      <c r="DE324" s="40">
        <f>Tabelle5897112140[[#This Row],[Durchschnittsauslastung min]]*Tabelle5897112140[[#This Row],[installierte Leistung MW min]]</f>
        <v>436.37490000000003</v>
      </c>
      <c r="DF324" s="40">
        <f>Tabelle5897112140[[#This Row],[Durchschnittsauslastung durch]]*Tabelle5897112140[[#This Row],[installierte Leistung MW durch]]</f>
        <v>1430.2048888888889</v>
      </c>
      <c r="DG324" s="40">
        <f>Tabelle5897112140[[#This Row],[Durchschnittsauslastung max]]*Tabelle5897112140[[#This Row],[installierte Leistung MW max]]</f>
        <v>2966.8782000000001</v>
      </c>
      <c r="DH324" s="46">
        <f>Tabelle5897112140[[#This Row],[Maximalauslastung min]]*Tabelle5897112140[[#This Row],[installierte Leistung MW min]]</f>
        <v>6.8901299999999965</v>
      </c>
      <c r="DI324" s="46">
        <f>Tabelle5897112140[[#This Row],[Maximalauslastung durch]]*Tabelle5897112140[[#This Row],[installierte Leistung MW durch]]</f>
        <v>70.154599999999988</v>
      </c>
      <c r="DJ324" s="19">
        <f>Tabelle5897112140[[#This Row],[Maximalauslastung max]]*Tabelle5897112140[[#This Row],[installierte Leistung MW durch]]</f>
        <v>131.15859999999998</v>
      </c>
      <c r="DK324" s="9">
        <v>2.9999999999999983E-3</v>
      </c>
      <c r="DL324" s="9">
        <v>2.3E-2</v>
      </c>
      <c r="DM324" s="9">
        <v>4.2999999999999997E-2</v>
      </c>
      <c r="DN324" s="1">
        <v>3050.2</v>
      </c>
      <c r="DO324" s="1">
        <v>2296.71</v>
      </c>
      <c r="DP324" s="1">
        <v>3803.69</v>
      </c>
      <c r="DQ324" s="19"/>
      <c r="DR324" s="19"/>
      <c r="DW324" s="1">
        <v>1.5</v>
      </c>
      <c r="DX324" s="1">
        <v>1</v>
      </c>
      <c r="DY324" s="1">
        <v>2</v>
      </c>
      <c r="DZ324" s="1">
        <v>1.5</v>
      </c>
      <c r="EA324" s="1">
        <v>1</v>
      </c>
      <c r="EB324" s="1">
        <v>2</v>
      </c>
      <c r="EC324" s="1">
        <v>3</v>
      </c>
      <c r="ED324" s="1">
        <v>2.4</v>
      </c>
      <c r="EE324" s="1">
        <v>3.6</v>
      </c>
      <c r="EF324" s="1">
        <v>2.5</v>
      </c>
      <c r="EG324" s="1">
        <v>1.4</v>
      </c>
      <c r="EH324" s="1">
        <v>3.6</v>
      </c>
      <c r="EL324" s="1">
        <v>639</v>
      </c>
      <c r="EM324" s="1">
        <v>575</v>
      </c>
      <c r="EN324" s="1">
        <v>703</v>
      </c>
      <c r="EO324" s="11"/>
      <c r="EP324" s="11"/>
      <c r="EQ324" s="11"/>
      <c r="ER324" s="1">
        <v>639</v>
      </c>
      <c r="ES324" s="1">
        <v>575</v>
      </c>
      <c r="ET324" s="1">
        <v>703</v>
      </c>
      <c r="EU324" s="1">
        <v>0</v>
      </c>
      <c r="EV324" s="19">
        <v>0</v>
      </c>
      <c r="EW324" s="19">
        <v>0</v>
      </c>
      <c r="EX324" s="19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>
        <v>90.303030303030312</v>
      </c>
      <c r="FK324" s="8">
        <v>45.151515151515156</v>
      </c>
      <c r="FL324" s="1">
        <v>135.45454545454544</v>
      </c>
      <c r="FO324" s="1">
        <v>67</v>
      </c>
      <c r="FP324" s="1">
        <v>67</v>
      </c>
      <c r="FQ324" s="1">
        <v>67</v>
      </c>
      <c r="FR324" s="13" t="s">
        <v>806</v>
      </c>
      <c r="FS324" s="13" t="s">
        <v>806</v>
      </c>
      <c r="FT324" s="13" t="s">
        <v>806</v>
      </c>
      <c r="FU324" s="13"/>
      <c r="FV324" s="13" t="s">
        <v>806</v>
      </c>
      <c r="FW324" s="13" t="s">
        <v>806</v>
      </c>
      <c r="FX324" s="13" t="s">
        <v>806</v>
      </c>
      <c r="FY324" s="13" t="s">
        <v>806</v>
      </c>
      <c r="FZ324" s="13" t="s">
        <v>806</v>
      </c>
      <c r="GA324" s="13" t="s">
        <v>806</v>
      </c>
      <c r="GB324" s="13" t="s">
        <v>806</v>
      </c>
      <c r="GE324" s="13" t="s">
        <v>806</v>
      </c>
      <c r="GF324" s="13" t="s">
        <v>806</v>
      </c>
      <c r="GH324" s="13" t="s">
        <v>806</v>
      </c>
    </row>
    <row r="325" spans="1:190" ht="12.75" customHeight="1" x14ac:dyDescent="0.25">
      <c r="A325" s="1" t="s">
        <v>134</v>
      </c>
      <c r="B325" s="1" t="s">
        <v>748</v>
      </c>
      <c r="C325" s="1" t="s">
        <v>804</v>
      </c>
      <c r="D325" s="1" t="s">
        <v>707</v>
      </c>
      <c r="E325" s="1" t="s">
        <v>139</v>
      </c>
      <c r="F325" s="1">
        <v>0</v>
      </c>
      <c r="G325" s="1">
        <v>2030</v>
      </c>
      <c r="H325" s="1">
        <v>1</v>
      </c>
      <c r="I325" s="1">
        <v>0</v>
      </c>
      <c r="J325" s="1">
        <v>0</v>
      </c>
      <c r="K3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465.27390000000003</v>
      </c>
      <c r="L3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1524.9204444444447</v>
      </c>
      <c r="M3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3163.3602000000001</v>
      </c>
      <c r="N325" s="19">
        <v>720.9043333333334</v>
      </c>
      <c r="O325" s="19">
        <v>465.27390000000003</v>
      </c>
      <c r="P325" s="19">
        <v>932.78570000000002</v>
      </c>
      <c r="Q325" s="19">
        <v>1718.245666666666</v>
      </c>
      <c r="R325" s="19">
        <v>1126.4526000000001</v>
      </c>
      <c r="S325" s="19">
        <v>2514.4657999999999</v>
      </c>
      <c r="T325" s="19">
        <v>720.9043333333334</v>
      </c>
      <c r="U325" s="19">
        <v>465.27390000000003</v>
      </c>
      <c r="V325" s="19">
        <v>932.78570000000002</v>
      </c>
      <c r="W325" s="19">
        <v>1718.245666666666</v>
      </c>
      <c r="X325" s="19">
        <v>1126.4526000000001</v>
      </c>
      <c r="Y325" s="19">
        <v>2514.4657999999999</v>
      </c>
      <c r="Z325" s="19">
        <v>720.9043333333334</v>
      </c>
      <c r="AA325" s="19">
        <v>465.27390000000003</v>
      </c>
      <c r="AB325" s="19">
        <v>932.78570000000002</v>
      </c>
      <c r="AC325" s="19">
        <v>1718.245666666666</v>
      </c>
      <c r="AD325" s="19">
        <v>1126.4526000000001</v>
      </c>
      <c r="AE325" s="19">
        <v>2514.4657999999999</v>
      </c>
      <c r="AF325" s="19">
        <v>1413.351916666667</v>
      </c>
      <c r="AG325" s="19">
        <v>930.54780000000005</v>
      </c>
      <c r="AH325" s="19">
        <v>1825.0155</v>
      </c>
      <c r="AI325" s="19">
        <v>1025.7980833333334</v>
      </c>
      <c r="AJ325" s="19">
        <v>587.71440000000007</v>
      </c>
      <c r="AK325" s="19">
        <v>1743.9037000000003</v>
      </c>
      <c r="AL325" s="19">
        <v>1413.351916666667</v>
      </c>
      <c r="AM325" s="19">
        <v>930.54780000000005</v>
      </c>
      <c r="AN325" s="19">
        <v>1825.0155</v>
      </c>
      <c r="AO325" s="19">
        <v>1025.7980833333334</v>
      </c>
      <c r="AP325" s="19">
        <v>587.71440000000007</v>
      </c>
      <c r="AQ325" s="19">
        <v>1743.9037000000003</v>
      </c>
      <c r="AR325" s="19">
        <v>1413.351916666667</v>
      </c>
      <c r="AS325" s="19">
        <v>930.54780000000005</v>
      </c>
      <c r="AT325" s="19">
        <v>1825.0155</v>
      </c>
      <c r="AU325" s="19">
        <v>1025.7980833333334</v>
      </c>
      <c r="AV325" s="19">
        <v>587.71440000000007</v>
      </c>
      <c r="AW325" s="19">
        <v>1743.9037000000003</v>
      </c>
      <c r="AX325" s="19">
        <v>2440.5050833333339</v>
      </c>
      <c r="AY325" s="19">
        <v>1591.7265</v>
      </c>
      <c r="AZ325" s="19">
        <v>3163.3602000000001</v>
      </c>
      <c r="BA325" s="19">
        <v>0</v>
      </c>
      <c r="BB325" s="19">
        <v>0</v>
      </c>
      <c r="BC325" s="19">
        <v>648.89440000000002</v>
      </c>
      <c r="BD325" s="19">
        <v>2440.5050833333339</v>
      </c>
      <c r="BE325" s="19">
        <v>1591.7265</v>
      </c>
      <c r="BF325" s="19">
        <v>3163.3602000000001</v>
      </c>
      <c r="BG325" s="19">
        <v>0</v>
      </c>
      <c r="BH325" s="19">
        <v>0</v>
      </c>
      <c r="BI325" s="19">
        <v>648.89440000000002</v>
      </c>
      <c r="BJ325" s="19">
        <v>2440.5050833333339</v>
      </c>
      <c r="BK325" s="19">
        <v>1591.7265</v>
      </c>
      <c r="BL325" s="19">
        <v>3163.3602000000001</v>
      </c>
      <c r="BM325" s="19">
        <v>0</v>
      </c>
      <c r="BN325" s="19">
        <v>0</v>
      </c>
      <c r="BO325" s="19">
        <v>648.89440000000002</v>
      </c>
      <c r="BP325" s="19"/>
      <c r="BQ3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914.68124999999986</v>
      </c>
      <c r="BS3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2514.4657999999999</v>
      </c>
      <c r="BT325" s="11">
        <f>Tabelle5897112140[[#This Row],[Mindestauslastung min]]*Tabelle5897112140[[#This Row],[installierte Leistung MW min]]</f>
        <v>122.4405</v>
      </c>
      <c r="BU325" s="11">
        <f>Tabelle5897112140[[#This Row],[Mindestauslastung durch]]*Tabelle5897112140[[#This Row],[installierte Leistung MW durch]]</f>
        <v>162.61000000000001</v>
      </c>
      <c r="BV325" s="11">
        <f>Tabelle5897112140[[#This Row],[Mindestauslastung max]]*Tabelle5897112140[[#This Row],[installierte Leistung MW max]]</f>
        <v>202.77950000000001</v>
      </c>
      <c r="BW325" s="9">
        <v>0.05</v>
      </c>
      <c r="BX325" s="9">
        <v>0.05</v>
      </c>
      <c r="BY325" s="9">
        <v>0.05</v>
      </c>
      <c r="BZ325" s="9"/>
      <c r="CA325" s="9">
        <v>0.22166666666666671</v>
      </c>
      <c r="CB325" s="9">
        <v>0.19</v>
      </c>
      <c r="CC325" s="9">
        <v>0.23</v>
      </c>
      <c r="CD325" s="9">
        <v>0.22166666666666671</v>
      </c>
      <c r="CE325" s="9">
        <v>0.19</v>
      </c>
      <c r="CF325" s="9">
        <v>0.23</v>
      </c>
      <c r="CG325" s="9">
        <v>0.22166666666666671</v>
      </c>
      <c r="CH325" s="9">
        <v>0.19</v>
      </c>
      <c r="CI325" s="9">
        <v>0.23</v>
      </c>
      <c r="CJ325" s="9">
        <v>0.43458333333333338</v>
      </c>
      <c r="CK325" s="9">
        <v>0.38</v>
      </c>
      <c r="CL325" s="9">
        <v>0.45</v>
      </c>
      <c r="CM325" s="9">
        <v>0.43458333333333338</v>
      </c>
      <c r="CN325" s="9">
        <v>0.38</v>
      </c>
      <c r="CO325" s="9">
        <v>0.45</v>
      </c>
      <c r="CP325" s="9">
        <v>0.43458333333333338</v>
      </c>
      <c r="CQ325" s="9">
        <v>0.38</v>
      </c>
      <c r="CR325" s="9">
        <v>0.45</v>
      </c>
      <c r="CS325" s="9">
        <v>0.75041666666666673</v>
      </c>
      <c r="CT325" s="9">
        <v>0.65</v>
      </c>
      <c r="CU325" s="9">
        <v>0.78</v>
      </c>
      <c r="CV325" s="9">
        <v>0.75041666666666673</v>
      </c>
      <c r="CW325" s="9">
        <v>0.65</v>
      </c>
      <c r="CX325" s="9">
        <v>0.78</v>
      </c>
      <c r="CY325" s="9">
        <v>0.75041666666666673</v>
      </c>
      <c r="CZ325" s="9">
        <v>0.65</v>
      </c>
      <c r="DA325" s="9">
        <v>0.78</v>
      </c>
      <c r="DB325" s="9">
        <f>MIN(Tabelle5897112140[[#This Row],[Durchschnittsauslastung durch Sommer WTT]:[Durchschnittsauslastung max Winter SFN]])</f>
        <v>0.19</v>
      </c>
      <c r="DC3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5" s="9">
        <f>MAX(Tabelle5897112140[[#This Row],[Durchschnittsauslastung durch Sommer WTT]:[Durchschnittsauslastung max Winter SFN]])</f>
        <v>0.78</v>
      </c>
      <c r="DE325" s="40">
        <f>Tabelle5897112140[[#This Row],[Durchschnittsauslastung min]]*Tabelle5897112140[[#This Row],[installierte Leistung MW min]]</f>
        <v>465.27389999999997</v>
      </c>
      <c r="DF325" s="40">
        <f>Tabelle5897112140[[#This Row],[Durchschnittsauslastung durch]]*Tabelle5897112140[[#This Row],[installierte Leistung MW durch]]</f>
        <v>1524.9204444444447</v>
      </c>
      <c r="DG325" s="40">
        <f>Tabelle5897112140[[#This Row],[Durchschnittsauslastung max]]*Tabelle5897112140[[#This Row],[installierte Leistung MW max]]</f>
        <v>3163.3602000000001</v>
      </c>
      <c r="DH325" s="46">
        <f>Tabelle5897112140[[#This Row],[Maximalauslastung min]]*Tabelle5897112140[[#This Row],[installierte Leistung MW min]]</f>
        <v>7.3464299999999954</v>
      </c>
      <c r="DI325" s="46">
        <f>Tabelle5897112140[[#This Row],[Maximalauslastung durch]]*Tabelle5897112140[[#This Row],[installierte Leistung MW durch]]</f>
        <v>74.800599999999989</v>
      </c>
      <c r="DJ325" s="19">
        <f>Tabelle5897112140[[#This Row],[Maximalauslastung max]]*Tabelle5897112140[[#This Row],[installierte Leistung MW durch]]</f>
        <v>139.84459999999999</v>
      </c>
      <c r="DK325" s="9">
        <v>2.9999999999999983E-3</v>
      </c>
      <c r="DL325" s="9">
        <v>2.3E-2</v>
      </c>
      <c r="DM325" s="9">
        <v>4.2999999999999997E-2</v>
      </c>
      <c r="DN325" s="1">
        <v>3252.2</v>
      </c>
      <c r="DO325" s="1">
        <v>2448.81</v>
      </c>
      <c r="DP325" s="1">
        <v>4055.59</v>
      </c>
      <c r="DQ325" s="19"/>
      <c r="DR325" s="19"/>
      <c r="DW325" s="1">
        <v>1.5</v>
      </c>
      <c r="DX325" s="1">
        <v>1</v>
      </c>
      <c r="DY325" s="1">
        <v>2</v>
      </c>
      <c r="DZ325" s="1">
        <v>1.5</v>
      </c>
      <c r="EA325" s="1">
        <v>1</v>
      </c>
      <c r="EB325" s="1">
        <v>2</v>
      </c>
      <c r="EC325" s="1">
        <v>3</v>
      </c>
      <c r="ED325" s="1">
        <v>2.4</v>
      </c>
      <c r="EE325" s="1">
        <v>3.6</v>
      </c>
      <c r="EF325" s="1">
        <v>2.5</v>
      </c>
      <c r="EG325" s="1">
        <v>1.4</v>
      </c>
      <c r="EH325" s="1">
        <v>3.6</v>
      </c>
      <c r="EL325" s="1">
        <v>639</v>
      </c>
      <c r="EM325" s="1">
        <v>575</v>
      </c>
      <c r="EN325" s="1">
        <v>703</v>
      </c>
      <c r="EO325" s="11"/>
      <c r="EP325" s="11"/>
      <c r="EQ325" s="11"/>
      <c r="ER325" s="1">
        <v>639</v>
      </c>
      <c r="ES325" s="1">
        <v>575</v>
      </c>
      <c r="ET325" s="1">
        <v>703</v>
      </c>
      <c r="EU325" s="1">
        <v>0</v>
      </c>
      <c r="EV325" s="19">
        <v>0</v>
      </c>
      <c r="EW325" s="19">
        <v>0</v>
      </c>
      <c r="EX325" s="19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>
        <v>90.303030303030312</v>
      </c>
      <c r="FK325" s="8">
        <v>45.151515151515156</v>
      </c>
      <c r="FL325" s="1">
        <v>135.45454545454544</v>
      </c>
      <c r="FO325" s="1">
        <v>67</v>
      </c>
      <c r="FP325" s="1">
        <v>67</v>
      </c>
      <c r="FQ325" s="1">
        <v>67</v>
      </c>
      <c r="FR325" s="13" t="s">
        <v>806</v>
      </c>
      <c r="FS325" s="13" t="s">
        <v>806</v>
      </c>
      <c r="FT325" s="13" t="s">
        <v>806</v>
      </c>
      <c r="FU325" s="13"/>
      <c r="FV325" s="13" t="s">
        <v>806</v>
      </c>
      <c r="FW325" s="13" t="s">
        <v>806</v>
      </c>
      <c r="FX325" s="13" t="s">
        <v>806</v>
      </c>
      <c r="FY325" s="13" t="s">
        <v>806</v>
      </c>
      <c r="FZ325" s="13" t="s">
        <v>806</v>
      </c>
      <c r="GA325" s="13" t="s">
        <v>806</v>
      </c>
      <c r="GB325" s="13" t="s">
        <v>806</v>
      </c>
      <c r="GE325" s="13" t="s">
        <v>806</v>
      </c>
      <c r="GF325" s="13" t="s">
        <v>806</v>
      </c>
      <c r="GH325" s="13" t="s">
        <v>806</v>
      </c>
    </row>
    <row r="326" spans="1:190" ht="12.75" customHeight="1" x14ac:dyDescent="0.25">
      <c r="A326" s="1" t="s">
        <v>134</v>
      </c>
      <c r="B326" s="1" t="s">
        <v>748</v>
      </c>
      <c r="C326" s="1" t="s">
        <v>804</v>
      </c>
      <c r="D326" s="1" t="s">
        <v>707</v>
      </c>
      <c r="E326" s="1" t="s">
        <v>139</v>
      </c>
      <c r="F326" s="1">
        <v>0</v>
      </c>
      <c r="G326" s="1">
        <v>2035</v>
      </c>
      <c r="H326" s="1">
        <v>1</v>
      </c>
      <c r="I326" s="1">
        <v>0</v>
      </c>
      <c r="J326" s="1">
        <v>0</v>
      </c>
      <c r="K3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497.06279999999998</v>
      </c>
      <c r="L3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1629.1075555555556</v>
      </c>
      <c r="M3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3379.4903999999997</v>
      </c>
      <c r="N326" s="19">
        <v>770.1586666666667</v>
      </c>
      <c r="O326" s="19">
        <v>497.06279999999998</v>
      </c>
      <c r="P326" s="19">
        <v>996.51639999999998</v>
      </c>
      <c r="Q326" s="19">
        <v>1835.6413333333326</v>
      </c>
      <c r="R326" s="19">
        <v>1203.4151999999999</v>
      </c>
      <c r="S326" s="19">
        <v>2686.2615999999998</v>
      </c>
      <c r="T326" s="19">
        <v>770.1586666666667</v>
      </c>
      <c r="U326" s="19">
        <v>497.06279999999998</v>
      </c>
      <c r="V326" s="19">
        <v>996.51639999999998</v>
      </c>
      <c r="W326" s="19">
        <v>1835.6413333333326</v>
      </c>
      <c r="X326" s="19">
        <v>1203.4151999999999</v>
      </c>
      <c r="Y326" s="19">
        <v>2686.2615999999998</v>
      </c>
      <c r="Z326" s="19">
        <v>770.1586666666667</v>
      </c>
      <c r="AA326" s="19">
        <v>497.06279999999998</v>
      </c>
      <c r="AB326" s="19">
        <v>996.51639999999998</v>
      </c>
      <c r="AC326" s="19">
        <v>1835.6413333333326</v>
      </c>
      <c r="AD326" s="19">
        <v>1203.4151999999999</v>
      </c>
      <c r="AE326" s="19">
        <v>2686.2615999999998</v>
      </c>
      <c r="AF326" s="19">
        <v>1509.9163333333336</v>
      </c>
      <c r="AG326" s="19">
        <v>994.12559999999996</v>
      </c>
      <c r="AH326" s="19">
        <v>1949.7059999999999</v>
      </c>
      <c r="AI326" s="19">
        <v>1095.8836666666666</v>
      </c>
      <c r="AJ326" s="19">
        <v>627.86880000000008</v>
      </c>
      <c r="AK326" s="19">
        <v>1863.0524</v>
      </c>
      <c r="AL326" s="19">
        <v>1509.9163333333336</v>
      </c>
      <c r="AM326" s="19">
        <v>994.12559999999996</v>
      </c>
      <c r="AN326" s="19">
        <v>1949.7059999999999</v>
      </c>
      <c r="AO326" s="19">
        <v>1095.8836666666666</v>
      </c>
      <c r="AP326" s="19">
        <v>627.86880000000008</v>
      </c>
      <c r="AQ326" s="19">
        <v>1863.0524</v>
      </c>
      <c r="AR326" s="19">
        <v>1509.9163333333336</v>
      </c>
      <c r="AS326" s="19">
        <v>994.12559999999996</v>
      </c>
      <c r="AT326" s="19">
        <v>1949.7059999999999</v>
      </c>
      <c r="AU326" s="19">
        <v>1095.8836666666666</v>
      </c>
      <c r="AV326" s="19">
        <v>627.86880000000008</v>
      </c>
      <c r="AW326" s="19">
        <v>1863.0524</v>
      </c>
      <c r="AX326" s="19">
        <v>2607.2476666666671</v>
      </c>
      <c r="AY326" s="19">
        <v>1700.4779999999998</v>
      </c>
      <c r="AZ326" s="19">
        <v>3379.4903999999997</v>
      </c>
      <c r="BA326" s="19">
        <v>0</v>
      </c>
      <c r="BB326" s="19">
        <v>0</v>
      </c>
      <c r="BC326" s="19">
        <v>693.22879999999998</v>
      </c>
      <c r="BD326" s="19">
        <v>2607.2476666666671</v>
      </c>
      <c r="BE326" s="19">
        <v>1700.4779999999998</v>
      </c>
      <c r="BF326" s="19">
        <v>3379.4903999999997</v>
      </c>
      <c r="BG326" s="19">
        <v>0</v>
      </c>
      <c r="BH326" s="19">
        <v>0</v>
      </c>
      <c r="BI326" s="19">
        <v>693.22879999999998</v>
      </c>
      <c r="BJ326" s="19">
        <v>2607.2476666666671</v>
      </c>
      <c r="BK326" s="19">
        <v>1700.4779999999998</v>
      </c>
      <c r="BL326" s="19">
        <v>3379.4903999999997</v>
      </c>
      <c r="BM326" s="19">
        <v>0</v>
      </c>
      <c r="BN326" s="19">
        <v>0</v>
      </c>
      <c r="BO326" s="19">
        <v>693.22879999999998</v>
      </c>
      <c r="BP326" s="19"/>
      <c r="BQ3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977.17499999999973</v>
      </c>
      <c r="BS3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2686.2615999999998</v>
      </c>
      <c r="BT326" s="11">
        <f>Tabelle5897112140[[#This Row],[Mindestauslastung min]]*Tabelle5897112140[[#This Row],[installierte Leistung MW min]]</f>
        <v>130.80600000000001</v>
      </c>
      <c r="BU326" s="11">
        <f>Tabelle5897112140[[#This Row],[Mindestauslastung durch]]*Tabelle5897112140[[#This Row],[installierte Leistung MW durch]]</f>
        <v>173.72000000000003</v>
      </c>
      <c r="BV326" s="11">
        <f>Tabelle5897112140[[#This Row],[Mindestauslastung max]]*Tabelle5897112140[[#This Row],[installierte Leistung MW max]]</f>
        <v>216.63400000000001</v>
      </c>
      <c r="BW326" s="9">
        <v>0.05</v>
      </c>
      <c r="BX326" s="9">
        <v>0.05</v>
      </c>
      <c r="BY326" s="9">
        <v>0.05</v>
      </c>
      <c r="BZ326" s="9"/>
      <c r="CA326" s="9">
        <v>0.22166666666666671</v>
      </c>
      <c r="CB326" s="9">
        <v>0.19</v>
      </c>
      <c r="CC326" s="9">
        <v>0.23</v>
      </c>
      <c r="CD326" s="9">
        <v>0.22166666666666671</v>
      </c>
      <c r="CE326" s="9">
        <v>0.19</v>
      </c>
      <c r="CF326" s="9">
        <v>0.23</v>
      </c>
      <c r="CG326" s="9">
        <v>0.22166666666666671</v>
      </c>
      <c r="CH326" s="9">
        <v>0.19</v>
      </c>
      <c r="CI326" s="9">
        <v>0.23</v>
      </c>
      <c r="CJ326" s="9">
        <v>0.43458333333333338</v>
      </c>
      <c r="CK326" s="9">
        <v>0.38</v>
      </c>
      <c r="CL326" s="9">
        <v>0.45</v>
      </c>
      <c r="CM326" s="9">
        <v>0.43458333333333338</v>
      </c>
      <c r="CN326" s="9">
        <v>0.38</v>
      </c>
      <c r="CO326" s="9">
        <v>0.45</v>
      </c>
      <c r="CP326" s="9">
        <v>0.43458333333333338</v>
      </c>
      <c r="CQ326" s="9">
        <v>0.38</v>
      </c>
      <c r="CR326" s="9">
        <v>0.45</v>
      </c>
      <c r="CS326" s="9">
        <v>0.75041666666666673</v>
      </c>
      <c r="CT326" s="9">
        <v>0.65</v>
      </c>
      <c r="CU326" s="9">
        <v>0.78</v>
      </c>
      <c r="CV326" s="9">
        <v>0.75041666666666673</v>
      </c>
      <c r="CW326" s="9">
        <v>0.65</v>
      </c>
      <c r="CX326" s="9">
        <v>0.78</v>
      </c>
      <c r="CY326" s="9">
        <v>0.75041666666666673</v>
      </c>
      <c r="CZ326" s="9">
        <v>0.65</v>
      </c>
      <c r="DA326" s="9">
        <v>0.78</v>
      </c>
      <c r="DB326" s="9">
        <f>MIN(Tabelle5897112140[[#This Row],[Durchschnittsauslastung durch Sommer WTT]:[Durchschnittsauslastung max Winter SFN]])</f>
        <v>0.19</v>
      </c>
      <c r="DC3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6" s="9">
        <f>MAX(Tabelle5897112140[[#This Row],[Durchschnittsauslastung durch Sommer WTT]:[Durchschnittsauslastung max Winter SFN]])</f>
        <v>0.78</v>
      </c>
      <c r="DE326" s="40">
        <f>Tabelle5897112140[[#This Row],[Durchschnittsauslastung min]]*Tabelle5897112140[[#This Row],[installierte Leistung MW min]]</f>
        <v>497.06279999999998</v>
      </c>
      <c r="DF326" s="40">
        <f>Tabelle5897112140[[#This Row],[Durchschnittsauslastung durch]]*Tabelle5897112140[[#This Row],[installierte Leistung MW durch]]</f>
        <v>1629.1075555555558</v>
      </c>
      <c r="DG326" s="40">
        <f>Tabelle5897112140[[#This Row],[Durchschnittsauslastung max]]*Tabelle5897112140[[#This Row],[installierte Leistung MW max]]</f>
        <v>3379.4904000000001</v>
      </c>
      <c r="DH326" s="46">
        <f>Tabelle5897112140[[#This Row],[Maximalauslastung min]]*Tabelle5897112140[[#This Row],[installierte Leistung MW min]]</f>
        <v>7.8483599999999951</v>
      </c>
      <c r="DI326" s="46">
        <f>Tabelle5897112140[[#This Row],[Maximalauslastung durch]]*Tabelle5897112140[[#This Row],[installierte Leistung MW durch]]</f>
        <v>79.911199999999994</v>
      </c>
      <c r="DJ326" s="19">
        <f>Tabelle5897112140[[#This Row],[Maximalauslastung max]]*Tabelle5897112140[[#This Row],[installierte Leistung MW durch]]</f>
        <v>149.39919999999998</v>
      </c>
      <c r="DK326" s="9">
        <v>2.9999999999999983E-3</v>
      </c>
      <c r="DL326" s="9">
        <v>2.3E-2</v>
      </c>
      <c r="DM326" s="9">
        <v>4.2999999999999997E-2</v>
      </c>
      <c r="DN326" s="1">
        <v>3474.4</v>
      </c>
      <c r="DO326" s="1">
        <v>2616.12</v>
      </c>
      <c r="DP326" s="1">
        <v>4332.68</v>
      </c>
      <c r="DQ326" s="19"/>
      <c r="DR326" s="19"/>
      <c r="DW326" s="1">
        <v>1.5</v>
      </c>
      <c r="DX326" s="1">
        <v>1</v>
      </c>
      <c r="DY326" s="1">
        <v>2</v>
      </c>
      <c r="DZ326" s="1">
        <v>1.5</v>
      </c>
      <c r="EA326" s="1">
        <v>1</v>
      </c>
      <c r="EB326" s="1">
        <v>2</v>
      </c>
      <c r="EC326" s="1">
        <v>3</v>
      </c>
      <c r="ED326" s="1">
        <v>2.4</v>
      </c>
      <c r="EE326" s="1">
        <v>3.6</v>
      </c>
      <c r="EF326" s="1">
        <v>2.5</v>
      </c>
      <c r="EG326" s="1">
        <v>1.4</v>
      </c>
      <c r="EH326" s="1">
        <v>3.6</v>
      </c>
      <c r="EL326" s="1">
        <v>639</v>
      </c>
      <c r="EM326" s="1">
        <v>575</v>
      </c>
      <c r="EN326" s="1">
        <v>703</v>
      </c>
      <c r="EO326" s="11"/>
      <c r="EP326" s="11"/>
      <c r="EQ326" s="11"/>
      <c r="ER326" s="1">
        <v>639</v>
      </c>
      <c r="ES326" s="1">
        <v>575</v>
      </c>
      <c r="ET326" s="1">
        <v>703</v>
      </c>
      <c r="EU326" s="1">
        <v>0</v>
      </c>
      <c r="EV326" s="19">
        <v>0</v>
      </c>
      <c r="EW326" s="19">
        <v>0</v>
      </c>
      <c r="EX326" s="19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>
        <v>90.303030303030312</v>
      </c>
      <c r="FK326" s="8">
        <v>45.151515151515156</v>
      </c>
      <c r="FL326" s="1">
        <v>135.45454545454544</v>
      </c>
      <c r="FO326" s="1">
        <v>67</v>
      </c>
      <c r="FP326" s="1">
        <v>67</v>
      </c>
      <c r="FQ326" s="1">
        <v>67</v>
      </c>
      <c r="FR326" s="13" t="s">
        <v>806</v>
      </c>
      <c r="FS326" s="13" t="s">
        <v>806</v>
      </c>
      <c r="FT326" s="13" t="s">
        <v>806</v>
      </c>
      <c r="FU326" s="13"/>
      <c r="FV326" s="13" t="s">
        <v>806</v>
      </c>
      <c r="FW326" s="13" t="s">
        <v>806</v>
      </c>
      <c r="FX326" s="13" t="s">
        <v>806</v>
      </c>
      <c r="FY326" s="13" t="s">
        <v>806</v>
      </c>
      <c r="FZ326" s="13" t="s">
        <v>806</v>
      </c>
      <c r="GA326" s="13" t="s">
        <v>806</v>
      </c>
      <c r="GB326" s="13" t="s">
        <v>806</v>
      </c>
      <c r="GE326" s="13" t="s">
        <v>806</v>
      </c>
      <c r="GF326" s="13" t="s">
        <v>806</v>
      </c>
      <c r="GH326" s="13" t="s">
        <v>806</v>
      </c>
    </row>
    <row r="327" spans="1:190" ht="12.75" customHeight="1" x14ac:dyDescent="0.25">
      <c r="A327" s="1" t="s">
        <v>134</v>
      </c>
      <c r="B327" s="1" t="s">
        <v>748</v>
      </c>
      <c r="C327" s="1" t="s">
        <v>804</v>
      </c>
      <c r="D327" s="1" t="s">
        <v>707</v>
      </c>
      <c r="E327" s="1" t="s">
        <v>139</v>
      </c>
      <c r="F327" s="1">
        <v>0</v>
      </c>
      <c r="G327" s="1">
        <v>2040</v>
      </c>
      <c r="H327" s="1">
        <v>1</v>
      </c>
      <c r="I327" s="1">
        <v>0</v>
      </c>
      <c r="J327" s="1">
        <v>0</v>
      </c>
      <c r="K3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540.4113000000001</v>
      </c>
      <c r="L3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1771.1808888888893</v>
      </c>
      <c r="M3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3674.2134000000001</v>
      </c>
      <c r="N327" s="19">
        <v>837.32366666666678</v>
      </c>
      <c r="O327" s="19">
        <v>540.4113000000001</v>
      </c>
      <c r="P327" s="19">
        <v>1083.4219000000001</v>
      </c>
      <c r="Q327" s="19">
        <v>1995.7263333333326</v>
      </c>
      <c r="R327" s="19">
        <v>1308.3642</v>
      </c>
      <c r="S327" s="19">
        <v>2920.5286000000001</v>
      </c>
      <c r="T327" s="19">
        <v>837.32366666666678</v>
      </c>
      <c r="U327" s="19">
        <v>540.4113000000001</v>
      </c>
      <c r="V327" s="19">
        <v>1083.4219000000001</v>
      </c>
      <c r="W327" s="19">
        <v>1995.7263333333326</v>
      </c>
      <c r="X327" s="19">
        <v>1308.3642</v>
      </c>
      <c r="Y327" s="19">
        <v>2920.5286000000001</v>
      </c>
      <c r="Z327" s="19">
        <v>837.32366666666678</v>
      </c>
      <c r="AA327" s="19">
        <v>540.4113000000001</v>
      </c>
      <c r="AB327" s="19">
        <v>1083.4219000000001</v>
      </c>
      <c r="AC327" s="19">
        <v>1995.7263333333326</v>
      </c>
      <c r="AD327" s="19">
        <v>1308.3642</v>
      </c>
      <c r="AE327" s="19">
        <v>2920.5286000000001</v>
      </c>
      <c r="AF327" s="19">
        <v>1641.5950833333336</v>
      </c>
      <c r="AG327" s="19">
        <v>1080.8226000000002</v>
      </c>
      <c r="AH327" s="19">
        <v>2119.7384999999999</v>
      </c>
      <c r="AI327" s="19">
        <v>1191.4549166666668</v>
      </c>
      <c r="AJ327" s="19">
        <v>682.62480000000005</v>
      </c>
      <c r="AK327" s="19">
        <v>2025.5279000000003</v>
      </c>
      <c r="AL327" s="19">
        <v>1641.5950833333336</v>
      </c>
      <c r="AM327" s="19">
        <v>1080.8226000000002</v>
      </c>
      <c r="AN327" s="19">
        <v>2119.7384999999999</v>
      </c>
      <c r="AO327" s="19">
        <v>1191.4549166666668</v>
      </c>
      <c r="AP327" s="19">
        <v>682.62480000000005</v>
      </c>
      <c r="AQ327" s="19">
        <v>2025.5279000000003</v>
      </c>
      <c r="AR327" s="19">
        <v>1641.5950833333336</v>
      </c>
      <c r="AS327" s="19">
        <v>1080.8226000000002</v>
      </c>
      <c r="AT327" s="19">
        <v>2119.7384999999999</v>
      </c>
      <c r="AU327" s="19">
        <v>1191.4549166666668</v>
      </c>
      <c r="AV327" s="19">
        <v>682.62480000000005</v>
      </c>
      <c r="AW327" s="19">
        <v>2025.5279000000003</v>
      </c>
      <c r="AX327" s="19">
        <v>2834.6239166666674</v>
      </c>
      <c r="AY327" s="19">
        <v>1848.7755</v>
      </c>
      <c r="AZ327" s="19">
        <v>3674.2134000000001</v>
      </c>
      <c r="BA327" s="19">
        <v>0</v>
      </c>
      <c r="BB327" s="19">
        <v>0</v>
      </c>
      <c r="BC327" s="19">
        <v>753.68480000000011</v>
      </c>
      <c r="BD327" s="19">
        <v>2834.6239166666674</v>
      </c>
      <c r="BE327" s="19">
        <v>1848.7755</v>
      </c>
      <c r="BF327" s="19">
        <v>3674.2134000000001</v>
      </c>
      <c r="BG327" s="19">
        <v>0</v>
      </c>
      <c r="BH327" s="19">
        <v>0</v>
      </c>
      <c r="BI327" s="19">
        <v>753.68480000000011</v>
      </c>
      <c r="BJ327" s="19">
        <v>2834.6239166666674</v>
      </c>
      <c r="BK327" s="19">
        <v>1848.7755</v>
      </c>
      <c r="BL327" s="19">
        <v>3674.2134000000001</v>
      </c>
      <c r="BM327" s="19">
        <v>0</v>
      </c>
      <c r="BN327" s="19">
        <v>0</v>
      </c>
      <c r="BO327" s="19">
        <v>753.68480000000011</v>
      </c>
      <c r="BP327" s="19"/>
      <c r="BQ3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1062.39375</v>
      </c>
      <c r="BS3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2920.5286000000001</v>
      </c>
      <c r="BT327" s="11">
        <f>Tabelle5897112140[[#This Row],[Mindestauslastung min]]*Tabelle5897112140[[#This Row],[installierte Leistung MW min]]</f>
        <v>142.21350000000001</v>
      </c>
      <c r="BU327" s="11">
        <f>Tabelle5897112140[[#This Row],[Mindestauslastung durch]]*Tabelle5897112140[[#This Row],[installierte Leistung MW durch]]</f>
        <v>188.87</v>
      </c>
      <c r="BV327" s="11">
        <f>Tabelle5897112140[[#This Row],[Mindestauslastung max]]*Tabelle5897112140[[#This Row],[installierte Leistung MW max]]</f>
        <v>235.5265</v>
      </c>
      <c r="BW327" s="9">
        <v>0.05</v>
      </c>
      <c r="BX327" s="9">
        <v>0.05</v>
      </c>
      <c r="BY327" s="9">
        <v>0.05</v>
      </c>
      <c r="BZ327" s="9"/>
      <c r="CA327" s="9">
        <v>0.22166666666666671</v>
      </c>
      <c r="CB327" s="9">
        <v>0.19</v>
      </c>
      <c r="CC327" s="9">
        <v>0.23</v>
      </c>
      <c r="CD327" s="9">
        <v>0.22166666666666671</v>
      </c>
      <c r="CE327" s="9">
        <v>0.19</v>
      </c>
      <c r="CF327" s="9">
        <v>0.23</v>
      </c>
      <c r="CG327" s="9">
        <v>0.22166666666666671</v>
      </c>
      <c r="CH327" s="9">
        <v>0.19</v>
      </c>
      <c r="CI327" s="9">
        <v>0.23</v>
      </c>
      <c r="CJ327" s="9">
        <v>0.43458333333333338</v>
      </c>
      <c r="CK327" s="9">
        <v>0.38</v>
      </c>
      <c r="CL327" s="9">
        <v>0.45</v>
      </c>
      <c r="CM327" s="9">
        <v>0.43458333333333338</v>
      </c>
      <c r="CN327" s="9">
        <v>0.38</v>
      </c>
      <c r="CO327" s="9">
        <v>0.45</v>
      </c>
      <c r="CP327" s="9">
        <v>0.43458333333333338</v>
      </c>
      <c r="CQ327" s="9">
        <v>0.38</v>
      </c>
      <c r="CR327" s="9">
        <v>0.45</v>
      </c>
      <c r="CS327" s="9">
        <v>0.75041666666666673</v>
      </c>
      <c r="CT327" s="9">
        <v>0.65</v>
      </c>
      <c r="CU327" s="9">
        <v>0.78</v>
      </c>
      <c r="CV327" s="9">
        <v>0.75041666666666673</v>
      </c>
      <c r="CW327" s="9">
        <v>0.65</v>
      </c>
      <c r="CX327" s="9">
        <v>0.78</v>
      </c>
      <c r="CY327" s="9">
        <v>0.75041666666666673</v>
      </c>
      <c r="CZ327" s="9">
        <v>0.65</v>
      </c>
      <c r="DA327" s="9">
        <v>0.78</v>
      </c>
      <c r="DB327" s="9">
        <f>MIN(Tabelle5897112140[[#This Row],[Durchschnittsauslastung durch Sommer WTT]:[Durchschnittsauslastung max Winter SFN]])</f>
        <v>0.19</v>
      </c>
      <c r="DC3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7" s="9">
        <f>MAX(Tabelle5897112140[[#This Row],[Durchschnittsauslastung durch Sommer WTT]:[Durchschnittsauslastung max Winter SFN]])</f>
        <v>0.78</v>
      </c>
      <c r="DE327" s="40">
        <f>Tabelle5897112140[[#This Row],[Durchschnittsauslastung min]]*Tabelle5897112140[[#This Row],[installierte Leistung MW min]]</f>
        <v>540.41129999999998</v>
      </c>
      <c r="DF327" s="40">
        <f>Tabelle5897112140[[#This Row],[Durchschnittsauslastung durch]]*Tabelle5897112140[[#This Row],[installierte Leistung MW durch]]</f>
        <v>1771.1808888888893</v>
      </c>
      <c r="DG327" s="40">
        <f>Tabelle5897112140[[#This Row],[Durchschnittsauslastung max]]*Tabelle5897112140[[#This Row],[installierte Leistung MW max]]</f>
        <v>3674.2134000000001</v>
      </c>
      <c r="DH327" s="46">
        <f>Tabelle5897112140[[#This Row],[Maximalauslastung min]]*Tabelle5897112140[[#This Row],[installierte Leistung MW min]]</f>
        <v>8.532809999999996</v>
      </c>
      <c r="DI327" s="46">
        <f>Tabelle5897112140[[#This Row],[Maximalauslastung durch]]*Tabelle5897112140[[#This Row],[installierte Leistung MW durch]]</f>
        <v>86.880200000000002</v>
      </c>
      <c r="DJ327" s="19">
        <f>Tabelle5897112140[[#This Row],[Maximalauslastung max]]*Tabelle5897112140[[#This Row],[installierte Leistung MW durch]]</f>
        <v>162.4282</v>
      </c>
      <c r="DK327" s="9">
        <v>2.9999999999999983E-3</v>
      </c>
      <c r="DL327" s="9">
        <v>2.3E-2</v>
      </c>
      <c r="DM327" s="9">
        <v>4.2999999999999997E-2</v>
      </c>
      <c r="DN327" s="1">
        <v>3777.4</v>
      </c>
      <c r="DO327" s="1">
        <v>2844.27</v>
      </c>
      <c r="DP327" s="1">
        <v>4710.53</v>
      </c>
      <c r="DQ327" s="19"/>
      <c r="DR327" s="19"/>
      <c r="DW327" s="1">
        <v>1.5</v>
      </c>
      <c r="DX327" s="1">
        <v>1</v>
      </c>
      <c r="DY327" s="1">
        <v>2</v>
      </c>
      <c r="DZ327" s="1">
        <v>1.5</v>
      </c>
      <c r="EA327" s="1">
        <v>1</v>
      </c>
      <c r="EB327" s="1">
        <v>2</v>
      </c>
      <c r="EC327" s="1">
        <v>3</v>
      </c>
      <c r="ED327" s="1">
        <v>2.4</v>
      </c>
      <c r="EE327" s="1">
        <v>3.6</v>
      </c>
      <c r="EF327" s="1">
        <v>2.5</v>
      </c>
      <c r="EG327" s="1">
        <v>1.4</v>
      </c>
      <c r="EH327" s="1">
        <v>3.6</v>
      </c>
      <c r="EL327" s="1">
        <v>639</v>
      </c>
      <c r="EM327" s="1">
        <v>575</v>
      </c>
      <c r="EN327" s="1">
        <v>703</v>
      </c>
      <c r="EO327" s="11"/>
      <c r="EP327" s="11"/>
      <c r="EQ327" s="11"/>
      <c r="ER327" s="1">
        <v>639</v>
      </c>
      <c r="ES327" s="1">
        <v>575</v>
      </c>
      <c r="ET327" s="1">
        <v>703</v>
      </c>
      <c r="EU327" s="1">
        <v>0</v>
      </c>
      <c r="EV327" s="19">
        <v>0</v>
      </c>
      <c r="EW327" s="19">
        <v>0</v>
      </c>
      <c r="EX327" s="19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>
        <v>90.303030303030312</v>
      </c>
      <c r="FK327" s="8">
        <v>45.151515151515156</v>
      </c>
      <c r="FL327" s="1">
        <v>135.45454545454544</v>
      </c>
      <c r="FO327" s="1">
        <v>67</v>
      </c>
      <c r="FP327" s="1">
        <v>67</v>
      </c>
      <c r="FQ327" s="1">
        <v>67</v>
      </c>
      <c r="FR327" s="13" t="s">
        <v>806</v>
      </c>
      <c r="FS327" s="13" t="s">
        <v>806</v>
      </c>
      <c r="FT327" s="13" t="s">
        <v>806</v>
      </c>
      <c r="FU327" s="13"/>
      <c r="FV327" s="13" t="s">
        <v>806</v>
      </c>
      <c r="FW327" s="13" t="s">
        <v>806</v>
      </c>
      <c r="FX327" s="13" t="s">
        <v>806</v>
      </c>
      <c r="FY327" s="13" t="s">
        <v>806</v>
      </c>
      <c r="FZ327" s="13" t="s">
        <v>806</v>
      </c>
      <c r="GA327" s="13" t="s">
        <v>806</v>
      </c>
      <c r="GB327" s="13" t="s">
        <v>806</v>
      </c>
      <c r="GE327" s="13" t="s">
        <v>806</v>
      </c>
      <c r="GF327" s="13" t="s">
        <v>806</v>
      </c>
      <c r="GH327" s="13" t="s">
        <v>806</v>
      </c>
    </row>
    <row r="328" spans="1:190" ht="12.75" customHeight="1" x14ac:dyDescent="0.25">
      <c r="A328" s="1" t="s">
        <v>134</v>
      </c>
      <c r="B328" s="1" t="s">
        <v>748</v>
      </c>
      <c r="C328" s="1" t="s">
        <v>804</v>
      </c>
      <c r="D328" s="1" t="s">
        <v>707</v>
      </c>
      <c r="E328" s="1" t="s">
        <v>139</v>
      </c>
      <c r="F328" s="1">
        <v>0</v>
      </c>
      <c r="G328" s="1">
        <v>2045</v>
      </c>
      <c r="H328" s="1">
        <v>1</v>
      </c>
      <c r="I328" s="1">
        <v>0</v>
      </c>
      <c r="J328" s="1">
        <v>0</v>
      </c>
      <c r="K3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598.20929999999998</v>
      </c>
      <c r="L3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1960.6120000000001</v>
      </c>
      <c r="M3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4067.1773999999996</v>
      </c>
      <c r="N328" s="19">
        <v>926.87700000000007</v>
      </c>
      <c r="O328" s="19">
        <v>598.20929999999998</v>
      </c>
      <c r="P328" s="19">
        <v>1199.2958999999998</v>
      </c>
      <c r="Q328" s="19">
        <v>2209.1729999999989</v>
      </c>
      <c r="R328" s="19">
        <v>1448.2961999999998</v>
      </c>
      <c r="S328" s="19">
        <v>3232.8845999999999</v>
      </c>
      <c r="T328" s="19">
        <v>926.87700000000007</v>
      </c>
      <c r="U328" s="19">
        <v>598.20929999999998</v>
      </c>
      <c r="V328" s="19">
        <v>1199.2958999999998</v>
      </c>
      <c r="W328" s="19">
        <v>2209.1729999999989</v>
      </c>
      <c r="X328" s="19">
        <v>1448.2961999999998</v>
      </c>
      <c r="Y328" s="19">
        <v>3232.8845999999999</v>
      </c>
      <c r="Z328" s="19">
        <v>926.87700000000007</v>
      </c>
      <c r="AA328" s="19">
        <v>598.20929999999998</v>
      </c>
      <c r="AB328" s="19">
        <v>1199.2958999999998</v>
      </c>
      <c r="AC328" s="19">
        <v>2209.1729999999989</v>
      </c>
      <c r="AD328" s="19">
        <v>1448.2961999999998</v>
      </c>
      <c r="AE328" s="19">
        <v>3232.8845999999999</v>
      </c>
      <c r="AF328" s="19">
        <v>1817.1667500000001</v>
      </c>
      <c r="AG328" s="19">
        <v>1196.4186</v>
      </c>
      <c r="AH328" s="19">
        <v>2346.4484999999995</v>
      </c>
      <c r="AI328" s="19">
        <v>1318.8832499999999</v>
      </c>
      <c r="AJ328" s="19">
        <v>755.63279999999997</v>
      </c>
      <c r="AK328" s="19">
        <v>2242.1619000000001</v>
      </c>
      <c r="AL328" s="19">
        <v>1817.1667500000001</v>
      </c>
      <c r="AM328" s="19">
        <v>1196.4186</v>
      </c>
      <c r="AN328" s="19">
        <v>2346.4484999999995</v>
      </c>
      <c r="AO328" s="19">
        <v>1318.8832499999999</v>
      </c>
      <c r="AP328" s="19">
        <v>755.63279999999997</v>
      </c>
      <c r="AQ328" s="19">
        <v>2242.1619000000001</v>
      </c>
      <c r="AR328" s="19">
        <v>1817.1667500000001</v>
      </c>
      <c r="AS328" s="19">
        <v>1196.4186</v>
      </c>
      <c r="AT328" s="19">
        <v>2346.4484999999995</v>
      </c>
      <c r="AU328" s="19">
        <v>1318.8832499999999</v>
      </c>
      <c r="AV328" s="19">
        <v>755.63279999999997</v>
      </c>
      <c r="AW328" s="19">
        <v>2242.1619000000001</v>
      </c>
      <c r="AX328" s="19">
        <v>3137.7922500000004</v>
      </c>
      <c r="AY328" s="19">
        <v>2046.5054999999998</v>
      </c>
      <c r="AZ328" s="19">
        <v>4067.1773999999996</v>
      </c>
      <c r="BA328" s="19">
        <v>0</v>
      </c>
      <c r="BB328" s="19">
        <v>0</v>
      </c>
      <c r="BC328" s="19">
        <v>834.29279999999994</v>
      </c>
      <c r="BD328" s="19">
        <v>3137.7922500000004</v>
      </c>
      <c r="BE328" s="19">
        <v>2046.5054999999998</v>
      </c>
      <c r="BF328" s="19">
        <v>4067.1773999999996</v>
      </c>
      <c r="BG328" s="19">
        <v>0</v>
      </c>
      <c r="BH328" s="19">
        <v>0</v>
      </c>
      <c r="BI328" s="19">
        <v>834.29279999999994</v>
      </c>
      <c r="BJ328" s="19">
        <v>3137.7922500000004</v>
      </c>
      <c r="BK328" s="19">
        <v>2046.5054999999998</v>
      </c>
      <c r="BL328" s="19">
        <v>4067.1773999999996</v>
      </c>
      <c r="BM328" s="19">
        <v>0</v>
      </c>
      <c r="BN328" s="19">
        <v>0</v>
      </c>
      <c r="BO328" s="19">
        <v>834.29279999999994</v>
      </c>
      <c r="BP328" s="19"/>
      <c r="BQ3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1176.0187499999997</v>
      </c>
      <c r="BS3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3232.8845999999999</v>
      </c>
      <c r="BT328" s="11">
        <f>Tabelle5897112140[[#This Row],[Mindestauslastung min]]*Tabelle5897112140[[#This Row],[installierte Leistung MW min]]</f>
        <v>157.42349999999999</v>
      </c>
      <c r="BU328" s="11">
        <f>Tabelle5897112140[[#This Row],[Mindestauslastung durch]]*Tabelle5897112140[[#This Row],[installierte Leistung MW durch]]</f>
        <v>209.07</v>
      </c>
      <c r="BV328" s="11">
        <f>Tabelle5897112140[[#This Row],[Mindestauslastung max]]*Tabelle5897112140[[#This Row],[installierte Leistung MW max]]</f>
        <v>260.7165</v>
      </c>
      <c r="BW328" s="9">
        <v>0.05</v>
      </c>
      <c r="BX328" s="9">
        <v>0.05</v>
      </c>
      <c r="BY328" s="9">
        <v>0.05</v>
      </c>
      <c r="BZ328" s="9"/>
      <c r="CA328" s="9">
        <v>0.22166666666666671</v>
      </c>
      <c r="CB328" s="9">
        <v>0.19</v>
      </c>
      <c r="CC328" s="9">
        <v>0.23</v>
      </c>
      <c r="CD328" s="9">
        <v>0.22166666666666671</v>
      </c>
      <c r="CE328" s="9">
        <v>0.19</v>
      </c>
      <c r="CF328" s="9">
        <v>0.23</v>
      </c>
      <c r="CG328" s="9">
        <v>0.22166666666666671</v>
      </c>
      <c r="CH328" s="9">
        <v>0.19</v>
      </c>
      <c r="CI328" s="9">
        <v>0.23</v>
      </c>
      <c r="CJ328" s="9">
        <v>0.43458333333333338</v>
      </c>
      <c r="CK328" s="9">
        <v>0.38</v>
      </c>
      <c r="CL328" s="9">
        <v>0.45</v>
      </c>
      <c r="CM328" s="9">
        <v>0.43458333333333338</v>
      </c>
      <c r="CN328" s="9">
        <v>0.38</v>
      </c>
      <c r="CO328" s="9">
        <v>0.45</v>
      </c>
      <c r="CP328" s="9">
        <v>0.43458333333333338</v>
      </c>
      <c r="CQ328" s="9">
        <v>0.38</v>
      </c>
      <c r="CR328" s="9">
        <v>0.45</v>
      </c>
      <c r="CS328" s="9">
        <v>0.75041666666666673</v>
      </c>
      <c r="CT328" s="9">
        <v>0.65</v>
      </c>
      <c r="CU328" s="9">
        <v>0.78</v>
      </c>
      <c r="CV328" s="9">
        <v>0.75041666666666673</v>
      </c>
      <c r="CW328" s="9">
        <v>0.65</v>
      </c>
      <c r="CX328" s="9">
        <v>0.78</v>
      </c>
      <c r="CY328" s="9">
        <v>0.75041666666666673</v>
      </c>
      <c r="CZ328" s="9">
        <v>0.65</v>
      </c>
      <c r="DA328" s="9">
        <v>0.78</v>
      </c>
      <c r="DB328" s="9">
        <f>MIN(Tabelle5897112140[[#This Row],[Durchschnittsauslastung durch Sommer WTT]:[Durchschnittsauslastung max Winter SFN]])</f>
        <v>0.19</v>
      </c>
      <c r="DC3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8" s="9">
        <f>MAX(Tabelle5897112140[[#This Row],[Durchschnittsauslastung durch Sommer WTT]:[Durchschnittsauslastung max Winter SFN]])</f>
        <v>0.78</v>
      </c>
      <c r="DE328" s="40">
        <f>Tabelle5897112140[[#This Row],[Durchschnittsauslastung min]]*Tabelle5897112140[[#This Row],[installierte Leistung MW min]]</f>
        <v>598.20929999999998</v>
      </c>
      <c r="DF328" s="40">
        <f>Tabelle5897112140[[#This Row],[Durchschnittsauslastung durch]]*Tabelle5897112140[[#This Row],[installierte Leistung MW durch]]</f>
        <v>1960.6120000000001</v>
      </c>
      <c r="DG328" s="40">
        <f>Tabelle5897112140[[#This Row],[Durchschnittsauslastung max]]*Tabelle5897112140[[#This Row],[installierte Leistung MW max]]</f>
        <v>4067.1774</v>
      </c>
      <c r="DH328" s="46">
        <f>Tabelle5897112140[[#This Row],[Maximalauslastung min]]*Tabelle5897112140[[#This Row],[installierte Leistung MW min]]</f>
        <v>9.4454099999999936</v>
      </c>
      <c r="DI328" s="46">
        <f>Tabelle5897112140[[#This Row],[Maximalauslastung durch]]*Tabelle5897112140[[#This Row],[installierte Leistung MW durch]]</f>
        <v>96.172199999999989</v>
      </c>
      <c r="DJ328" s="19">
        <f>Tabelle5897112140[[#This Row],[Maximalauslastung max]]*Tabelle5897112140[[#This Row],[installierte Leistung MW durch]]</f>
        <v>179.80019999999996</v>
      </c>
      <c r="DK328" s="9">
        <v>2.9999999999999983E-3</v>
      </c>
      <c r="DL328" s="9">
        <v>2.3E-2</v>
      </c>
      <c r="DM328" s="9">
        <v>4.2999999999999997E-2</v>
      </c>
      <c r="DN328" s="1">
        <v>4181.3999999999996</v>
      </c>
      <c r="DO328" s="1">
        <v>3148.47</v>
      </c>
      <c r="DP328" s="1">
        <v>5214.33</v>
      </c>
      <c r="DQ328" s="19"/>
      <c r="DR328" s="19"/>
      <c r="DW328" s="1">
        <v>1.5</v>
      </c>
      <c r="DX328" s="1">
        <v>1</v>
      </c>
      <c r="DY328" s="1">
        <v>2</v>
      </c>
      <c r="DZ328" s="1">
        <v>1.5</v>
      </c>
      <c r="EA328" s="1">
        <v>1</v>
      </c>
      <c r="EB328" s="1">
        <v>2</v>
      </c>
      <c r="EC328" s="1">
        <v>3</v>
      </c>
      <c r="ED328" s="1">
        <v>2.4</v>
      </c>
      <c r="EE328" s="1">
        <v>3.6</v>
      </c>
      <c r="EF328" s="1">
        <v>2.5</v>
      </c>
      <c r="EG328" s="1">
        <v>1.4</v>
      </c>
      <c r="EH328" s="1">
        <v>3.6</v>
      </c>
      <c r="EL328" s="1">
        <v>639</v>
      </c>
      <c r="EM328" s="1">
        <v>575</v>
      </c>
      <c r="EN328" s="1">
        <v>703</v>
      </c>
      <c r="EO328" s="11"/>
      <c r="EP328" s="11"/>
      <c r="EQ328" s="11"/>
      <c r="ER328" s="1">
        <v>639</v>
      </c>
      <c r="ES328" s="1">
        <v>575</v>
      </c>
      <c r="ET328" s="1">
        <v>703</v>
      </c>
      <c r="EU328" s="1">
        <v>0</v>
      </c>
      <c r="EV328" s="19">
        <v>0</v>
      </c>
      <c r="EW328" s="19">
        <v>0</v>
      </c>
      <c r="EX328" s="19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>
        <v>90.303030303030312</v>
      </c>
      <c r="FK328" s="8">
        <v>45.151515151515156</v>
      </c>
      <c r="FL328" s="1">
        <v>135.45454545454544</v>
      </c>
      <c r="FO328" s="1">
        <v>67</v>
      </c>
      <c r="FP328" s="1">
        <v>67</v>
      </c>
      <c r="FQ328" s="1">
        <v>67</v>
      </c>
      <c r="FR328" s="13" t="s">
        <v>806</v>
      </c>
      <c r="FS328" s="13" t="s">
        <v>806</v>
      </c>
      <c r="FT328" s="13" t="s">
        <v>806</v>
      </c>
      <c r="FU328" s="13"/>
      <c r="FV328" s="13" t="s">
        <v>806</v>
      </c>
      <c r="FW328" s="13" t="s">
        <v>806</v>
      </c>
      <c r="FX328" s="13" t="s">
        <v>806</v>
      </c>
      <c r="FY328" s="13" t="s">
        <v>806</v>
      </c>
      <c r="FZ328" s="13" t="s">
        <v>806</v>
      </c>
      <c r="GA328" s="13" t="s">
        <v>806</v>
      </c>
      <c r="GB328" s="13" t="s">
        <v>806</v>
      </c>
      <c r="GE328" s="13" t="s">
        <v>806</v>
      </c>
      <c r="GF328" s="13" t="s">
        <v>806</v>
      </c>
      <c r="GH328" s="13" t="s">
        <v>806</v>
      </c>
    </row>
    <row r="329" spans="1:190" ht="12.75" customHeight="1" x14ac:dyDescent="0.25">
      <c r="A329" s="1" t="s">
        <v>134</v>
      </c>
      <c r="B329" s="1" t="s">
        <v>748</v>
      </c>
      <c r="C329" s="1" t="s">
        <v>804</v>
      </c>
      <c r="D329" s="1" t="s">
        <v>707</v>
      </c>
      <c r="E329" s="1" t="s">
        <v>139</v>
      </c>
      <c r="F329" s="1">
        <v>0</v>
      </c>
      <c r="G329" s="1">
        <v>2050</v>
      </c>
      <c r="H329" s="1">
        <v>1</v>
      </c>
      <c r="I329" s="1">
        <v>0</v>
      </c>
      <c r="J329" s="1">
        <v>0</v>
      </c>
      <c r="K3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670.45679999999993</v>
      </c>
      <c r="L3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2197.4008888888889</v>
      </c>
      <c r="M3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4558.3823999999995</v>
      </c>
      <c r="N329" s="19">
        <v>1038.8186666666668</v>
      </c>
      <c r="O329" s="19">
        <v>670.45679999999993</v>
      </c>
      <c r="P329" s="19">
        <v>1344.1383999999998</v>
      </c>
      <c r="Q329" s="19">
        <v>2475.9813333333323</v>
      </c>
      <c r="R329" s="19">
        <v>1623.2111999999997</v>
      </c>
      <c r="S329" s="19">
        <v>3623.3295999999996</v>
      </c>
      <c r="T329" s="19">
        <v>1038.8186666666668</v>
      </c>
      <c r="U329" s="19">
        <v>670.45679999999993</v>
      </c>
      <c r="V329" s="19">
        <v>1344.1383999999998</v>
      </c>
      <c r="W329" s="19">
        <v>2475.9813333333323</v>
      </c>
      <c r="X329" s="19">
        <v>1623.2111999999997</v>
      </c>
      <c r="Y329" s="19">
        <v>3623.3295999999996</v>
      </c>
      <c r="Z329" s="19">
        <v>1038.8186666666668</v>
      </c>
      <c r="AA329" s="19">
        <v>670.45679999999993</v>
      </c>
      <c r="AB329" s="19">
        <v>1344.1383999999998</v>
      </c>
      <c r="AC329" s="19">
        <v>2475.9813333333323</v>
      </c>
      <c r="AD329" s="19">
        <v>1623.2111999999997</v>
      </c>
      <c r="AE329" s="19">
        <v>3623.3295999999996</v>
      </c>
      <c r="AF329" s="19">
        <v>2036.6313333333335</v>
      </c>
      <c r="AG329" s="19">
        <v>1340.9135999999999</v>
      </c>
      <c r="AH329" s="19">
        <v>2629.8359999999998</v>
      </c>
      <c r="AI329" s="19">
        <v>1478.1686666666665</v>
      </c>
      <c r="AJ329" s="19">
        <v>846.89279999999997</v>
      </c>
      <c r="AK329" s="19">
        <v>2512.9544000000001</v>
      </c>
      <c r="AL329" s="19">
        <v>2036.6313333333335</v>
      </c>
      <c r="AM329" s="19">
        <v>1340.9135999999999</v>
      </c>
      <c r="AN329" s="19">
        <v>2629.8359999999998</v>
      </c>
      <c r="AO329" s="19">
        <v>1478.1686666666665</v>
      </c>
      <c r="AP329" s="19">
        <v>846.89279999999997</v>
      </c>
      <c r="AQ329" s="19">
        <v>2512.9544000000001</v>
      </c>
      <c r="AR329" s="19">
        <v>2036.6313333333335</v>
      </c>
      <c r="AS329" s="19">
        <v>1340.9135999999999</v>
      </c>
      <c r="AT329" s="19">
        <v>2629.8359999999998</v>
      </c>
      <c r="AU329" s="19">
        <v>1478.1686666666665</v>
      </c>
      <c r="AV329" s="19">
        <v>846.89279999999997</v>
      </c>
      <c r="AW329" s="19">
        <v>2512.9544000000001</v>
      </c>
      <c r="AX329" s="19">
        <v>3516.7526666666672</v>
      </c>
      <c r="AY329" s="19">
        <v>2293.6679999999997</v>
      </c>
      <c r="AZ329" s="19">
        <v>4558.3823999999995</v>
      </c>
      <c r="BA329" s="19">
        <v>0</v>
      </c>
      <c r="BB329" s="19">
        <v>0</v>
      </c>
      <c r="BC329" s="19">
        <v>935.05279999999993</v>
      </c>
      <c r="BD329" s="19">
        <v>3516.7526666666672</v>
      </c>
      <c r="BE329" s="19">
        <v>2293.6679999999997</v>
      </c>
      <c r="BF329" s="19">
        <v>4558.3823999999995</v>
      </c>
      <c r="BG329" s="19">
        <v>0</v>
      </c>
      <c r="BH329" s="19">
        <v>0</v>
      </c>
      <c r="BI329" s="19">
        <v>935.05279999999993</v>
      </c>
      <c r="BJ329" s="19">
        <v>3516.7526666666672</v>
      </c>
      <c r="BK329" s="19">
        <v>2293.6679999999997</v>
      </c>
      <c r="BL329" s="19">
        <v>4558.3823999999995</v>
      </c>
      <c r="BM329" s="19">
        <v>0</v>
      </c>
      <c r="BN329" s="19">
        <v>0</v>
      </c>
      <c r="BO329" s="19">
        <v>935.05279999999993</v>
      </c>
      <c r="BP329" s="19"/>
      <c r="BQ3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1318.0499999999997</v>
      </c>
      <c r="BS3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3623.3295999999996</v>
      </c>
      <c r="BT329" s="11">
        <f>Tabelle5897112140[[#This Row],[Mindestauslastung min]]*Tabelle5897112140[[#This Row],[installierte Leistung MW min]]</f>
        <v>176.43600000000001</v>
      </c>
      <c r="BU329" s="11">
        <f>Tabelle5897112140[[#This Row],[Mindestauslastung durch]]*Tabelle5897112140[[#This Row],[installierte Leistung MW durch]]</f>
        <v>234.32</v>
      </c>
      <c r="BV329" s="11">
        <f>Tabelle5897112140[[#This Row],[Mindestauslastung max]]*Tabelle5897112140[[#This Row],[installierte Leistung MW max]]</f>
        <v>292.20400000000001</v>
      </c>
      <c r="BW329" s="9">
        <v>0.05</v>
      </c>
      <c r="BX329" s="9">
        <v>0.05</v>
      </c>
      <c r="BY329" s="9">
        <v>0.05</v>
      </c>
      <c r="BZ329" s="9"/>
      <c r="CA329" s="9">
        <v>0.22166666666666671</v>
      </c>
      <c r="CB329" s="9">
        <v>0.19</v>
      </c>
      <c r="CC329" s="9">
        <v>0.23</v>
      </c>
      <c r="CD329" s="9">
        <v>0.22166666666666671</v>
      </c>
      <c r="CE329" s="9">
        <v>0.19</v>
      </c>
      <c r="CF329" s="9">
        <v>0.23</v>
      </c>
      <c r="CG329" s="9">
        <v>0.22166666666666671</v>
      </c>
      <c r="CH329" s="9">
        <v>0.19</v>
      </c>
      <c r="CI329" s="9">
        <v>0.23</v>
      </c>
      <c r="CJ329" s="9">
        <v>0.43458333333333338</v>
      </c>
      <c r="CK329" s="9">
        <v>0.38</v>
      </c>
      <c r="CL329" s="9">
        <v>0.45</v>
      </c>
      <c r="CM329" s="9">
        <v>0.43458333333333338</v>
      </c>
      <c r="CN329" s="9">
        <v>0.38</v>
      </c>
      <c r="CO329" s="9">
        <v>0.45</v>
      </c>
      <c r="CP329" s="9">
        <v>0.43458333333333338</v>
      </c>
      <c r="CQ329" s="9">
        <v>0.38</v>
      </c>
      <c r="CR329" s="9">
        <v>0.45</v>
      </c>
      <c r="CS329" s="9">
        <v>0.75041666666666673</v>
      </c>
      <c r="CT329" s="9">
        <v>0.65</v>
      </c>
      <c r="CU329" s="9">
        <v>0.78</v>
      </c>
      <c r="CV329" s="9">
        <v>0.75041666666666673</v>
      </c>
      <c r="CW329" s="9">
        <v>0.65</v>
      </c>
      <c r="CX329" s="9">
        <v>0.78</v>
      </c>
      <c r="CY329" s="9">
        <v>0.75041666666666673</v>
      </c>
      <c r="CZ329" s="9">
        <v>0.65</v>
      </c>
      <c r="DA329" s="9">
        <v>0.78</v>
      </c>
      <c r="DB329" s="9">
        <f>MIN(Tabelle5897112140[[#This Row],[Durchschnittsauslastung durch Sommer WTT]:[Durchschnittsauslastung max Winter SFN]])</f>
        <v>0.19</v>
      </c>
      <c r="DC3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9" s="9">
        <f>MAX(Tabelle5897112140[[#This Row],[Durchschnittsauslastung durch Sommer WTT]:[Durchschnittsauslastung max Winter SFN]])</f>
        <v>0.78</v>
      </c>
      <c r="DE329" s="40">
        <f>Tabelle5897112140[[#This Row],[Durchschnittsauslastung min]]*Tabelle5897112140[[#This Row],[installierte Leistung MW min]]</f>
        <v>670.45679999999993</v>
      </c>
      <c r="DF329" s="40">
        <f>Tabelle5897112140[[#This Row],[Durchschnittsauslastung durch]]*Tabelle5897112140[[#This Row],[installierte Leistung MW durch]]</f>
        <v>2197.4008888888889</v>
      </c>
      <c r="DG329" s="40">
        <f>Tabelle5897112140[[#This Row],[Durchschnittsauslastung max]]*Tabelle5897112140[[#This Row],[installierte Leistung MW max]]</f>
        <v>4558.3824000000004</v>
      </c>
      <c r="DH329" s="46">
        <f>Tabelle5897112140[[#This Row],[Maximalauslastung min]]*Tabelle5897112140[[#This Row],[installierte Leistung MW min]]</f>
        <v>10.586159999999994</v>
      </c>
      <c r="DI329" s="46">
        <f>Tabelle5897112140[[#This Row],[Maximalauslastung durch]]*Tabelle5897112140[[#This Row],[installierte Leistung MW durch]]</f>
        <v>107.78719999999998</v>
      </c>
      <c r="DJ329" s="19">
        <f>Tabelle5897112140[[#This Row],[Maximalauslastung max]]*Tabelle5897112140[[#This Row],[installierte Leistung MW durch]]</f>
        <v>201.51519999999996</v>
      </c>
      <c r="DK329" s="9">
        <v>2.9999999999999983E-3</v>
      </c>
      <c r="DL329" s="9">
        <v>2.3E-2</v>
      </c>
      <c r="DM329" s="9">
        <v>4.2999999999999997E-2</v>
      </c>
      <c r="DN329" s="1">
        <v>4686.3999999999996</v>
      </c>
      <c r="DO329" s="1">
        <v>3528.72</v>
      </c>
      <c r="DP329" s="1">
        <v>5844.08</v>
      </c>
      <c r="DQ329" s="19"/>
      <c r="DR329" s="19"/>
      <c r="DW329" s="1">
        <v>1.5</v>
      </c>
      <c r="DX329" s="1">
        <v>1</v>
      </c>
      <c r="DY329" s="1">
        <v>2</v>
      </c>
      <c r="DZ329" s="1">
        <v>1.5</v>
      </c>
      <c r="EA329" s="1">
        <v>1</v>
      </c>
      <c r="EB329" s="1">
        <v>2</v>
      </c>
      <c r="EC329" s="1">
        <v>3</v>
      </c>
      <c r="ED329" s="1">
        <v>2.4</v>
      </c>
      <c r="EE329" s="1">
        <v>3.6</v>
      </c>
      <c r="EF329" s="1">
        <v>2.5</v>
      </c>
      <c r="EG329" s="1">
        <v>1.4</v>
      </c>
      <c r="EH329" s="1">
        <v>3.6</v>
      </c>
      <c r="EL329" s="1">
        <v>639</v>
      </c>
      <c r="EM329" s="1">
        <v>575</v>
      </c>
      <c r="EN329" s="1">
        <v>703</v>
      </c>
      <c r="EO329" s="11"/>
      <c r="EP329" s="11"/>
      <c r="EQ329" s="11"/>
      <c r="ER329" s="1">
        <v>639</v>
      </c>
      <c r="ES329" s="1">
        <v>575</v>
      </c>
      <c r="ET329" s="1">
        <v>703</v>
      </c>
      <c r="EU329" s="1">
        <v>0</v>
      </c>
      <c r="EV329" s="19">
        <v>0</v>
      </c>
      <c r="EW329" s="19">
        <v>0</v>
      </c>
      <c r="EX329" s="19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>
        <v>90.303030303030312</v>
      </c>
      <c r="FK329" s="8">
        <v>45.151515151515156</v>
      </c>
      <c r="FL329" s="1">
        <v>135.45454545454544</v>
      </c>
      <c r="FO329" s="1">
        <v>67</v>
      </c>
      <c r="FP329" s="1">
        <v>67</v>
      </c>
      <c r="FQ329" s="1">
        <v>67</v>
      </c>
      <c r="FR329" s="13" t="s">
        <v>806</v>
      </c>
      <c r="FS329" s="13" t="s">
        <v>806</v>
      </c>
      <c r="FT329" s="13" t="s">
        <v>806</v>
      </c>
      <c r="FU329" s="13"/>
      <c r="FV329" s="13" t="s">
        <v>806</v>
      </c>
      <c r="FW329" s="13" t="s">
        <v>806</v>
      </c>
      <c r="FX329" s="13" t="s">
        <v>806</v>
      </c>
      <c r="FY329" s="13" t="s">
        <v>806</v>
      </c>
      <c r="FZ329" s="13" t="s">
        <v>806</v>
      </c>
      <c r="GA329" s="13" t="s">
        <v>806</v>
      </c>
      <c r="GB329" s="13" t="s">
        <v>806</v>
      </c>
      <c r="GE329" s="13" t="s">
        <v>806</v>
      </c>
      <c r="GF329" s="13" t="s">
        <v>806</v>
      </c>
      <c r="GH329" s="13" t="s">
        <v>806</v>
      </c>
    </row>
    <row r="330" spans="1:190" ht="12.75" customHeight="1" x14ac:dyDescent="0.25">
      <c r="A330" s="1" t="s">
        <v>130</v>
      </c>
      <c r="B330" s="1" t="s">
        <v>749</v>
      </c>
      <c r="C330" s="1" t="s">
        <v>804</v>
      </c>
      <c r="D330" s="1" t="s">
        <v>708</v>
      </c>
      <c r="E330" s="1" t="s">
        <v>139</v>
      </c>
      <c r="F330" s="1">
        <v>0</v>
      </c>
      <c r="G330" s="1">
        <v>2015</v>
      </c>
      <c r="H330" s="1">
        <v>0</v>
      </c>
      <c r="I330" s="1">
        <v>0</v>
      </c>
      <c r="J330" s="1">
        <v>1</v>
      </c>
      <c r="K3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143.65199999999999</v>
      </c>
      <c r="N330" s="19">
        <v>0</v>
      </c>
      <c r="O330" s="19">
        <v>0</v>
      </c>
      <c r="P330" s="19">
        <v>143.65199999999999</v>
      </c>
      <c r="Q330" s="19">
        <v>359.31599999999997</v>
      </c>
      <c r="R330" s="19">
        <v>0</v>
      </c>
      <c r="S330" s="19">
        <v>1436.52</v>
      </c>
      <c r="T330" s="19">
        <v>0</v>
      </c>
      <c r="U330" s="19">
        <v>0</v>
      </c>
      <c r="V330" s="19">
        <v>143.65199999999999</v>
      </c>
      <c r="W330" s="19">
        <v>359.31599999999997</v>
      </c>
      <c r="X330" s="19">
        <v>0</v>
      </c>
      <c r="Y330" s="19">
        <v>1436.52</v>
      </c>
      <c r="Z330" s="19">
        <v>0</v>
      </c>
      <c r="AA330" s="19">
        <v>0</v>
      </c>
      <c r="AB330" s="19">
        <v>143.65199999999999</v>
      </c>
      <c r="AC330" s="19">
        <v>359.31599999999997</v>
      </c>
      <c r="AD330" s="19">
        <v>0</v>
      </c>
      <c r="AE330" s="19">
        <v>1436.52</v>
      </c>
      <c r="AF330" s="19">
        <v>0</v>
      </c>
      <c r="AG330" s="19">
        <v>0</v>
      </c>
      <c r="AH330" s="19">
        <v>143.65199999999999</v>
      </c>
      <c r="AI330" s="19">
        <v>359.31599999999997</v>
      </c>
      <c r="AJ330" s="19">
        <v>0</v>
      </c>
      <c r="AK330" s="19">
        <v>1436.52</v>
      </c>
      <c r="AL330" s="19">
        <v>0</v>
      </c>
      <c r="AM330" s="19">
        <v>0</v>
      </c>
      <c r="AN330" s="19">
        <v>143.65199999999999</v>
      </c>
      <c r="AO330" s="19">
        <v>359.31599999999997</v>
      </c>
      <c r="AP330" s="19">
        <v>0</v>
      </c>
      <c r="AQ330" s="19">
        <v>1436.52</v>
      </c>
      <c r="AR330" s="19">
        <v>0</v>
      </c>
      <c r="AS330" s="19">
        <v>0</v>
      </c>
      <c r="AT330" s="19">
        <v>143.65199999999999</v>
      </c>
      <c r="AU330" s="19">
        <v>359.31599999999997</v>
      </c>
      <c r="AV330" s="19">
        <v>0</v>
      </c>
      <c r="AW330" s="19">
        <v>1436.52</v>
      </c>
      <c r="AX330" s="19">
        <v>0</v>
      </c>
      <c r="AY330" s="19">
        <v>0</v>
      </c>
      <c r="AZ330" s="19">
        <v>143.65199999999999</v>
      </c>
      <c r="BA330" s="19">
        <v>359.31599999999997</v>
      </c>
      <c r="BB330" s="19">
        <v>0</v>
      </c>
      <c r="BC330" s="19">
        <v>1436.52</v>
      </c>
      <c r="BD330" s="19">
        <v>0</v>
      </c>
      <c r="BE330" s="19">
        <v>0</v>
      </c>
      <c r="BF330" s="19">
        <v>143.65199999999999</v>
      </c>
      <c r="BG330" s="19">
        <v>359.31599999999997</v>
      </c>
      <c r="BH330" s="19">
        <v>0</v>
      </c>
      <c r="BI330" s="19">
        <v>1436.52</v>
      </c>
      <c r="BJ330" s="19">
        <v>0</v>
      </c>
      <c r="BK330" s="19">
        <v>0</v>
      </c>
      <c r="BL330" s="19">
        <v>143.65199999999999</v>
      </c>
      <c r="BM330" s="19">
        <v>359.31599999999997</v>
      </c>
      <c r="BN330" s="19">
        <v>0</v>
      </c>
      <c r="BO330" s="19">
        <v>1436.52</v>
      </c>
      <c r="BP330" s="19"/>
      <c r="BQ3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359.31599999999992</v>
      </c>
      <c r="BS3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1436.52</v>
      </c>
      <c r="BT330" s="11">
        <f>Tabelle5897112140[[#This Row],[Mindestauslastung min]]*Tabelle5897112140[[#This Row],[installierte Leistung MW min]]</f>
        <v>525.94499999999994</v>
      </c>
      <c r="BU330" s="11">
        <f>Tabelle5897112140[[#This Row],[Mindestauslastung durch]]*Tabelle5897112140[[#This Row],[installierte Leistung MW durch]]</f>
        <v>532.31999999999994</v>
      </c>
      <c r="BV330" s="11">
        <f>Tabelle5897112140[[#This Row],[Mindestauslastung max]]*Tabelle5897112140[[#This Row],[installierte Leistung MW max]]</f>
        <v>538.69499999999994</v>
      </c>
      <c r="BW330" s="9">
        <v>1.4999999999999999E-2</v>
      </c>
      <c r="BX330" s="9">
        <v>1.4999999999999999E-2</v>
      </c>
      <c r="BY330" s="9">
        <v>1.4999999999999999E-2</v>
      </c>
      <c r="BZ330" s="9"/>
      <c r="CA330" s="9">
        <v>1.2874999999999999E-2</v>
      </c>
      <c r="CB330" s="9">
        <v>3.0000000000000001E-3</v>
      </c>
      <c r="CC330" s="9">
        <v>1.9E-2</v>
      </c>
      <c r="CD330" s="9">
        <v>1.2874999999999999E-2</v>
      </c>
      <c r="CE330" s="9">
        <v>3.0000000000000001E-3</v>
      </c>
      <c r="CF330" s="9">
        <v>1.9E-2</v>
      </c>
      <c r="CG330" s="9">
        <v>1.2874999999999999E-2</v>
      </c>
      <c r="CH330" s="9">
        <v>3.0000000000000001E-3</v>
      </c>
      <c r="CI330" s="9">
        <v>1.9E-2</v>
      </c>
      <c r="CJ330" s="9">
        <v>1.2874999999999999E-2</v>
      </c>
      <c r="CK330" s="9">
        <v>3.0000000000000001E-3</v>
      </c>
      <c r="CL330" s="9">
        <v>1.9E-2</v>
      </c>
      <c r="CM330" s="9">
        <v>1.2874999999999999E-2</v>
      </c>
      <c r="CN330" s="9">
        <v>3.0000000000000001E-3</v>
      </c>
      <c r="CO330" s="9">
        <v>1.9E-2</v>
      </c>
      <c r="CP330" s="9">
        <v>1.2874999999999999E-2</v>
      </c>
      <c r="CQ330" s="9">
        <v>3.0000000000000001E-3</v>
      </c>
      <c r="CR330" s="9">
        <v>1.9E-2</v>
      </c>
      <c r="CS330" s="9">
        <v>1.2874999999999999E-2</v>
      </c>
      <c r="CT330" s="9">
        <v>3.0000000000000001E-3</v>
      </c>
      <c r="CU330" s="9">
        <v>1.9E-2</v>
      </c>
      <c r="CV330" s="9">
        <v>1.2874999999999999E-2</v>
      </c>
      <c r="CW330" s="9">
        <v>3.0000000000000001E-3</v>
      </c>
      <c r="CX330" s="9">
        <v>1.9E-2</v>
      </c>
      <c r="CY330" s="9">
        <v>1.2874999999999999E-2</v>
      </c>
      <c r="CZ330" s="9">
        <v>3.0000000000000001E-3</v>
      </c>
      <c r="DA330" s="9">
        <v>1.9E-2</v>
      </c>
      <c r="DB330" s="9">
        <f>MIN(Tabelle5897112140[[#This Row],[Durchschnittsauslastung durch Sommer WTT]:[Durchschnittsauslastung max Winter SFN]])</f>
        <v>3.0000000000000001E-3</v>
      </c>
      <c r="DC3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0" s="9">
        <f>MAX(Tabelle5897112140[[#This Row],[Durchschnittsauslastung durch Sommer WTT]:[Durchschnittsauslastung max Winter SFN]])</f>
        <v>1.9E-2</v>
      </c>
      <c r="DE330" s="40">
        <f>Tabelle5897112140[[#This Row],[Durchschnittsauslastung min]]*Tabelle5897112140[[#This Row],[installierte Leistung MW min]]</f>
        <v>105.18900000000001</v>
      </c>
      <c r="DF330" s="40">
        <f>Tabelle5897112140[[#This Row],[Durchschnittsauslastung durch]]*Tabelle5897112140[[#This Row],[installierte Leistung MW durch]]</f>
        <v>456.90799999999996</v>
      </c>
      <c r="DG330" s="40">
        <f>Tabelle5897112140[[#This Row],[Durchschnittsauslastung max]]*Tabelle5897112140[[#This Row],[installierte Leistung MW max]]</f>
        <v>682.34699999999998</v>
      </c>
      <c r="DH330" s="46">
        <f>Tabelle5897112140[[#This Row],[Maximalauslastung min]]*Tabelle5897112140[[#This Row],[installierte Leistung MW min]]</f>
        <v>105.18899999999994</v>
      </c>
      <c r="DI330" s="46">
        <f>Tabelle5897112140[[#This Row],[Maximalauslastung durch]]*Tabelle5897112140[[#This Row],[installierte Leistung MW durch]]</f>
        <v>816.22399999999993</v>
      </c>
      <c r="DJ330" s="19">
        <f>Tabelle5897112140[[#This Row],[Maximalauslastung max]]*Tabelle5897112140[[#This Row],[installierte Leistung MW durch]]</f>
        <v>1525.9839999999999</v>
      </c>
      <c r="DK330" s="9">
        <v>2.9999999999999983E-3</v>
      </c>
      <c r="DL330" s="9">
        <v>2.3E-2</v>
      </c>
      <c r="DM330" s="9">
        <v>4.2999999999999997E-2</v>
      </c>
      <c r="DN330" s="1">
        <v>35488</v>
      </c>
      <c r="DO330" s="1">
        <v>35063</v>
      </c>
      <c r="DP330" s="1">
        <v>35913</v>
      </c>
      <c r="DQ330" s="19"/>
      <c r="DR330" s="19"/>
      <c r="DW330" s="1">
        <v>1.75</v>
      </c>
      <c r="DX330" s="1">
        <v>1.1499999999999999</v>
      </c>
      <c r="DY330" s="1">
        <v>2.35</v>
      </c>
      <c r="DZ330" s="1">
        <v>1.75</v>
      </c>
      <c r="EA330" s="1">
        <v>0.5</v>
      </c>
      <c r="EB330" s="1">
        <v>3</v>
      </c>
      <c r="EC330" s="1">
        <v>3.5</v>
      </c>
      <c r="ED330" s="1">
        <v>2.2999999999999998</v>
      </c>
      <c r="EE330" s="1">
        <v>4.7</v>
      </c>
      <c r="EF330" s="1">
        <v>3.5</v>
      </c>
      <c r="EG330" s="1">
        <v>3.5</v>
      </c>
      <c r="EH330" s="1">
        <v>3.5</v>
      </c>
      <c r="EL330" s="1">
        <v>160</v>
      </c>
      <c r="EM330" s="1">
        <v>144</v>
      </c>
      <c r="EN330" s="1">
        <v>176</v>
      </c>
      <c r="EO330" s="11"/>
      <c r="EP330" s="11"/>
      <c r="EQ330" s="11"/>
      <c r="ER330" s="1">
        <v>160</v>
      </c>
      <c r="ES330" s="1">
        <v>144</v>
      </c>
      <c r="ET330" s="1">
        <v>176</v>
      </c>
      <c r="EU330" s="1">
        <v>91.818181818181827</v>
      </c>
      <c r="EV330" s="19">
        <v>82.626262626262644</v>
      </c>
      <c r="EW330" s="19">
        <v>101.01010101010101</v>
      </c>
      <c r="EX330" s="19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>
        <v>747.47474747474746</v>
      </c>
      <c r="FK330" s="8">
        <v>740</v>
      </c>
      <c r="FL330" s="1">
        <v>754.94949494949492</v>
      </c>
      <c r="FO330" s="1">
        <v>67</v>
      </c>
      <c r="FP330" s="1">
        <v>67</v>
      </c>
      <c r="FQ330" s="1">
        <v>67</v>
      </c>
      <c r="FR330" s="13" t="s">
        <v>806</v>
      </c>
      <c r="FS330" s="13" t="s">
        <v>806</v>
      </c>
      <c r="FT330" s="13" t="s">
        <v>806</v>
      </c>
      <c r="FU330" s="13"/>
      <c r="FV330" s="13" t="s">
        <v>806</v>
      </c>
      <c r="FW330" s="13" t="s">
        <v>806</v>
      </c>
      <c r="FX330" s="13" t="s">
        <v>806</v>
      </c>
      <c r="FY330" s="13" t="s">
        <v>806</v>
      </c>
      <c r="FZ330" s="13" t="s">
        <v>806</v>
      </c>
      <c r="GA330" s="13" t="s">
        <v>806</v>
      </c>
      <c r="GB330" s="13" t="s">
        <v>806</v>
      </c>
      <c r="GE330" s="13" t="s">
        <v>806</v>
      </c>
      <c r="GF330" s="13" t="s">
        <v>806</v>
      </c>
      <c r="GH330" s="13" t="s">
        <v>806</v>
      </c>
    </row>
    <row r="331" spans="1:190" ht="12.75" customHeight="1" x14ac:dyDescent="0.25">
      <c r="A331" s="1" t="s">
        <v>130</v>
      </c>
      <c r="B331" s="1" t="s">
        <v>749</v>
      </c>
      <c r="C331" s="1" t="s">
        <v>804</v>
      </c>
      <c r="D331" s="1" t="s">
        <v>708</v>
      </c>
      <c r="E331" s="1" t="s">
        <v>139</v>
      </c>
      <c r="F331" s="1">
        <v>0</v>
      </c>
      <c r="G331" s="1">
        <v>2020</v>
      </c>
      <c r="H331" s="1">
        <v>0</v>
      </c>
      <c r="I331" s="1">
        <v>0</v>
      </c>
      <c r="J331" s="1">
        <v>1</v>
      </c>
      <c r="K3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124.97723999999999</v>
      </c>
      <c r="N331" s="19">
        <v>0</v>
      </c>
      <c r="O331" s="19">
        <v>0</v>
      </c>
      <c r="P331" s="19">
        <v>124.97723999999999</v>
      </c>
      <c r="Q331" s="19">
        <v>312.60491999999999</v>
      </c>
      <c r="R331" s="19">
        <v>0</v>
      </c>
      <c r="S331" s="19">
        <v>1249.7724000000001</v>
      </c>
      <c r="T331" s="19">
        <v>0</v>
      </c>
      <c r="U331" s="19">
        <v>0</v>
      </c>
      <c r="V331" s="19">
        <v>124.97723999999999</v>
      </c>
      <c r="W331" s="19">
        <v>312.60491999999999</v>
      </c>
      <c r="X331" s="19">
        <v>0</v>
      </c>
      <c r="Y331" s="19">
        <v>1249.7724000000001</v>
      </c>
      <c r="Z331" s="19">
        <v>0</v>
      </c>
      <c r="AA331" s="19">
        <v>0</v>
      </c>
      <c r="AB331" s="19">
        <v>124.97723999999999</v>
      </c>
      <c r="AC331" s="19">
        <v>312.60491999999999</v>
      </c>
      <c r="AD331" s="19">
        <v>0</v>
      </c>
      <c r="AE331" s="19">
        <v>1249.7724000000001</v>
      </c>
      <c r="AF331" s="19">
        <v>0</v>
      </c>
      <c r="AG331" s="19">
        <v>0</v>
      </c>
      <c r="AH331" s="19">
        <v>124.97723999999999</v>
      </c>
      <c r="AI331" s="19">
        <v>312.60491999999999</v>
      </c>
      <c r="AJ331" s="19">
        <v>0</v>
      </c>
      <c r="AK331" s="19">
        <v>1249.7724000000001</v>
      </c>
      <c r="AL331" s="19">
        <v>0</v>
      </c>
      <c r="AM331" s="19">
        <v>0</v>
      </c>
      <c r="AN331" s="19">
        <v>124.97723999999999</v>
      </c>
      <c r="AO331" s="19">
        <v>312.60491999999999</v>
      </c>
      <c r="AP331" s="19">
        <v>0</v>
      </c>
      <c r="AQ331" s="19">
        <v>1249.7724000000001</v>
      </c>
      <c r="AR331" s="19">
        <v>0</v>
      </c>
      <c r="AS331" s="19">
        <v>0</v>
      </c>
      <c r="AT331" s="19">
        <v>124.97723999999999</v>
      </c>
      <c r="AU331" s="19">
        <v>312.60491999999999</v>
      </c>
      <c r="AV331" s="19">
        <v>0</v>
      </c>
      <c r="AW331" s="19">
        <v>1249.7724000000001</v>
      </c>
      <c r="AX331" s="19">
        <v>0</v>
      </c>
      <c r="AY331" s="19">
        <v>0</v>
      </c>
      <c r="AZ331" s="19">
        <v>124.97723999999999</v>
      </c>
      <c r="BA331" s="19">
        <v>312.60491999999999</v>
      </c>
      <c r="BB331" s="19">
        <v>0</v>
      </c>
      <c r="BC331" s="19">
        <v>1249.7724000000001</v>
      </c>
      <c r="BD331" s="19">
        <v>0</v>
      </c>
      <c r="BE331" s="19">
        <v>0</v>
      </c>
      <c r="BF331" s="19">
        <v>124.97723999999999</v>
      </c>
      <c r="BG331" s="19">
        <v>312.60491999999999</v>
      </c>
      <c r="BH331" s="19">
        <v>0</v>
      </c>
      <c r="BI331" s="19">
        <v>1249.7724000000001</v>
      </c>
      <c r="BJ331" s="19">
        <v>0</v>
      </c>
      <c r="BK331" s="19">
        <v>0</v>
      </c>
      <c r="BL331" s="19">
        <v>124.97723999999999</v>
      </c>
      <c r="BM331" s="19">
        <v>312.60491999999999</v>
      </c>
      <c r="BN331" s="19">
        <v>0</v>
      </c>
      <c r="BO331" s="19">
        <v>1249.7724000000001</v>
      </c>
      <c r="BP331" s="19"/>
      <c r="BQ3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312.60491999999999</v>
      </c>
      <c r="BS3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1249.7724000000001</v>
      </c>
      <c r="BT331" s="11">
        <f>Tabelle5897112140[[#This Row],[Mindestauslastung min]]*Tabelle5897112140[[#This Row],[installierte Leistung MW min]]</f>
        <v>0</v>
      </c>
      <c r="BU331" s="11">
        <f>Tabelle5897112140[[#This Row],[Mindestauslastung durch]]*Tabelle5897112140[[#This Row],[installierte Leistung MW durch]]</f>
        <v>0</v>
      </c>
      <c r="BV331" s="11">
        <f>Tabelle5897112140[[#This Row],[Mindestauslastung max]]*Tabelle5897112140[[#This Row],[installierte Leistung MW max]]</f>
        <v>0</v>
      </c>
      <c r="BW331" s="9">
        <v>0</v>
      </c>
      <c r="BX331" s="9">
        <v>0</v>
      </c>
      <c r="BY331" s="9">
        <v>0</v>
      </c>
      <c r="BZ331" s="9"/>
      <c r="CA331" s="9">
        <v>1.2874999999999999E-2</v>
      </c>
      <c r="CB331" s="9">
        <v>3.0000000000000001E-3</v>
      </c>
      <c r="CC331" s="9">
        <v>1.9E-2</v>
      </c>
      <c r="CD331" s="9">
        <v>1.2874999999999999E-2</v>
      </c>
      <c r="CE331" s="9">
        <v>3.0000000000000001E-3</v>
      </c>
      <c r="CF331" s="9">
        <v>1.9E-2</v>
      </c>
      <c r="CG331" s="9">
        <v>1.2874999999999999E-2</v>
      </c>
      <c r="CH331" s="9">
        <v>3.0000000000000001E-3</v>
      </c>
      <c r="CI331" s="9">
        <v>1.9E-2</v>
      </c>
      <c r="CJ331" s="9">
        <v>1.2874999999999999E-2</v>
      </c>
      <c r="CK331" s="9">
        <v>3.0000000000000001E-3</v>
      </c>
      <c r="CL331" s="9">
        <v>1.9E-2</v>
      </c>
      <c r="CM331" s="9">
        <v>1.2874999999999999E-2</v>
      </c>
      <c r="CN331" s="9">
        <v>3.0000000000000001E-3</v>
      </c>
      <c r="CO331" s="9">
        <v>1.9E-2</v>
      </c>
      <c r="CP331" s="9">
        <v>1.2874999999999999E-2</v>
      </c>
      <c r="CQ331" s="9">
        <v>3.0000000000000001E-3</v>
      </c>
      <c r="CR331" s="9">
        <v>1.9E-2</v>
      </c>
      <c r="CS331" s="9">
        <v>1.2874999999999999E-2</v>
      </c>
      <c r="CT331" s="9">
        <v>3.0000000000000001E-3</v>
      </c>
      <c r="CU331" s="9">
        <v>1.9E-2</v>
      </c>
      <c r="CV331" s="9">
        <v>1.2874999999999999E-2</v>
      </c>
      <c r="CW331" s="9">
        <v>3.0000000000000001E-3</v>
      </c>
      <c r="CX331" s="9">
        <v>1.9E-2</v>
      </c>
      <c r="CY331" s="9">
        <v>1.2874999999999999E-2</v>
      </c>
      <c r="CZ331" s="9">
        <v>3.0000000000000001E-3</v>
      </c>
      <c r="DA331" s="9">
        <v>1.9E-2</v>
      </c>
      <c r="DB331" s="9">
        <f>MIN(Tabelle5897112140[[#This Row],[Durchschnittsauslastung durch Sommer WTT]:[Durchschnittsauslastung max Winter SFN]])</f>
        <v>3.0000000000000001E-3</v>
      </c>
      <c r="DC3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1" s="9">
        <f>MAX(Tabelle5897112140[[#This Row],[Durchschnittsauslastung durch Sommer WTT]:[Durchschnittsauslastung max Winter SFN]])</f>
        <v>1.9E-2</v>
      </c>
      <c r="DE331" s="40">
        <f>Tabelle5897112140[[#This Row],[Durchschnittsauslastung min]]*Tabelle5897112140[[#This Row],[installierte Leistung MW min]]</f>
        <v>91.514430000000004</v>
      </c>
      <c r="DF331" s="40">
        <f>Tabelle5897112140[[#This Row],[Durchschnittsauslastung durch]]*Tabelle5897112140[[#This Row],[installierte Leistung MW durch]]</f>
        <v>397.50995999999998</v>
      </c>
      <c r="DG331" s="40">
        <f>Tabelle5897112140[[#This Row],[Durchschnittsauslastung max]]*Tabelle5897112140[[#This Row],[installierte Leistung MW max]]</f>
        <v>593.64188999999999</v>
      </c>
      <c r="DH331" s="46">
        <f>Tabelle5897112140[[#This Row],[Maximalauslastung min]]*Tabelle5897112140[[#This Row],[installierte Leistung MW min]]</f>
        <v>30504.81</v>
      </c>
      <c r="DI331" s="46">
        <f>Tabelle5897112140[[#This Row],[Maximalauslastung durch]]*Tabelle5897112140[[#This Row],[installierte Leistung MW durch]]</f>
        <v>30874.560000000001</v>
      </c>
      <c r="DJ331" s="19">
        <f>Tabelle5897112140[[#This Row],[Maximalauslastung max]]*Tabelle5897112140[[#This Row],[installierte Leistung MW durch]]</f>
        <v>30874.560000000001</v>
      </c>
      <c r="DK331" s="9">
        <v>1</v>
      </c>
      <c r="DL331" s="9">
        <v>1</v>
      </c>
      <c r="DM331" s="9">
        <v>1</v>
      </c>
      <c r="DN331" s="1">
        <v>30874.560000000001</v>
      </c>
      <c r="DO331" s="1">
        <v>30504.81</v>
      </c>
      <c r="DP331" s="1">
        <v>31244.31</v>
      </c>
      <c r="DQ331" s="19"/>
      <c r="DR331" s="19"/>
      <c r="DW331" s="1">
        <v>1.75</v>
      </c>
      <c r="DX331" s="1">
        <v>1.1499999999999999</v>
      </c>
      <c r="DY331" s="1">
        <v>2.35</v>
      </c>
      <c r="DZ331" s="1">
        <v>1.75</v>
      </c>
      <c r="EA331" s="1">
        <v>0.5</v>
      </c>
      <c r="EB331" s="1">
        <v>3</v>
      </c>
      <c r="EC331" s="1">
        <v>3.5</v>
      </c>
      <c r="ED331" s="1">
        <v>2.2999999999999998</v>
      </c>
      <c r="EE331" s="1">
        <v>4.7</v>
      </c>
      <c r="EF331" s="1">
        <v>3.5</v>
      </c>
      <c r="EG331" s="1">
        <v>3.5</v>
      </c>
      <c r="EH331" s="1">
        <v>3.5</v>
      </c>
      <c r="EL331" s="1">
        <v>160</v>
      </c>
      <c r="EM331" s="1">
        <v>144</v>
      </c>
      <c r="EN331" s="1">
        <v>176</v>
      </c>
      <c r="EO331" s="11"/>
      <c r="EP331" s="11"/>
      <c r="EQ331" s="11"/>
      <c r="ER331" s="1">
        <v>160</v>
      </c>
      <c r="ES331" s="1">
        <v>144</v>
      </c>
      <c r="ET331" s="1">
        <v>176</v>
      </c>
      <c r="EU331" s="1">
        <v>91.818181818181827</v>
      </c>
      <c r="EV331" s="19">
        <v>82.626262626262644</v>
      </c>
      <c r="EW331" s="19">
        <v>101.01010101010101</v>
      </c>
      <c r="EX331" s="19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>
        <v>747.47474747474746</v>
      </c>
      <c r="FK331" s="8">
        <v>740</v>
      </c>
      <c r="FL331" s="1">
        <v>754.94949494949492</v>
      </c>
      <c r="FO331" s="1">
        <v>67</v>
      </c>
      <c r="FP331" s="1">
        <v>67</v>
      </c>
      <c r="FQ331" s="1">
        <v>67</v>
      </c>
      <c r="FR331" s="13" t="s">
        <v>806</v>
      </c>
      <c r="FS331" s="13" t="s">
        <v>806</v>
      </c>
      <c r="FT331" s="13" t="s">
        <v>806</v>
      </c>
      <c r="FU331" s="13"/>
      <c r="FV331" s="13" t="s">
        <v>806</v>
      </c>
      <c r="FW331" s="13" t="s">
        <v>806</v>
      </c>
      <c r="FX331" s="13" t="s">
        <v>806</v>
      </c>
      <c r="FY331" s="13" t="s">
        <v>806</v>
      </c>
      <c r="FZ331" s="13" t="s">
        <v>806</v>
      </c>
      <c r="GA331" s="13" t="s">
        <v>806</v>
      </c>
      <c r="GB331" s="13" t="s">
        <v>806</v>
      </c>
      <c r="GE331" s="13" t="s">
        <v>806</v>
      </c>
      <c r="GF331" s="13" t="s">
        <v>806</v>
      </c>
      <c r="GH331" s="13" t="s">
        <v>806</v>
      </c>
    </row>
    <row r="332" spans="1:190" ht="12.75" customHeight="1" x14ac:dyDescent="0.25">
      <c r="A332" s="1" t="s">
        <v>130</v>
      </c>
      <c r="B332" s="1" t="s">
        <v>749</v>
      </c>
      <c r="C332" s="1" t="s">
        <v>804</v>
      </c>
      <c r="D332" s="1" t="s">
        <v>708</v>
      </c>
      <c r="E332" s="1" t="s">
        <v>139</v>
      </c>
      <c r="F332" s="1">
        <v>0</v>
      </c>
      <c r="G332" s="1">
        <v>2025</v>
      </c>
      <c r="H332" s="1">
        <v>0</v>
      </c>
      <c r="I332" s="1">
        <v>0</v>
      </c>
      <c r="J332" s="1">
        <v>1</v>
      </c>
      <c r="K3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109.17551999999999</v>
      </c>
      <c r="N332" s="19">
        <v>0</v>
      </c>
      <c r="O332" s="19">
        <v>0</v>
      </c>
      <c r="P332" s="19">
        <v>109.17551999999999</v>
      </c>
      <c r="Q332" s="19">
        <v>273.08015999999998</v>
      </c>
      <c r="R332" s="19">
        <v>0</v>
      </c>
      <c r="S332" s="19">
        <v>1091.7552000000001</v>
      </c>
      <c r="T332" s="19">
        <v>0</v>
      </c>
      <c r="U332" s="19">
        <v>0</v>
      </c>
      <c r="V332" s="19">
        <v>109.17551999999999</v>
      </c>
      <c r="W332" s="19">
        <v>273.08015999999998</v>
      </c>
      <c r="X332" s="19">
        <v>0</v>
      </c>
      <c r="Y332" s="19">
        <v>1091.7552000000001</v>
      </c>
      <c r="Z332" s="19">
        <v>0</v>
      </c>
      <c r="AA332" s="19">
        <v>0</v>
      </c>
      <c r="AB332" s="19">
        <v>109.17551999999999</v>
      </c>
      <c r="AC332" s="19">
        <v>273.08015999999998</v>
      </c>
      <c r="AD332" s="19">
        <v>0</v>
      </c>
      <c r="AE332" s="19">
        <v>1091.7552000000001</v>
      </c>
      <c r="AF332" s="19">
        <v>0</v>
      </c>
      <c r="AG332" s="19">
        <v>0</v>
      </c>
      <c r="AH332" s="19">
        <v>109.17551999999999</v>
      </c>
      <c r="AI332" s="19">
        <v>273.08015999999998</v>
      </c>
      <c r="AJ332" s="19">
        <v>0</v>
      </c>
      <c r="AK332" s="19">
        <v>1091.7552000000001</v>
      </c>
      <c r="AL332" s="19">
        <v>0</v>
      </c>
      <c r="AM332" s="19">
        <v>0</v>
      </c>
      <c r="AN332" s="19">
        <v>109.17551999999999</v>
      </c>
      <c r="AO332" s="19">
        <v>273.08015999999998</v>
      </c>
      <c r="AP332" s="19">
        <v>0</v>
      </c>
      <c r="AQ332" s="19">
        <v>1091.7552000000001</v>
      </c>
      <c r="AR332" s="19">
        <v>0</v>
      </c>
      <c r="AS332" s="19">
        <v>0</v>
      </c>
      <c r="AT332" s="19">
        <v>109.17551999999999</v>
      </c>
      <c r="AU332" s="19">
        <v>273.08015999999998</v>
      </c>
      <c r="AV332" s="19">
        <v>0</v>
      </c>
      <c r="AW332" s="19">
        <v>1091.7552000000001</v>
      </c>
      <c r="AX332" s="19">
        <v>0</v>
      </c>
      <c r="AY332" s="19">
        <v>0</v>
      </c>
      <c r="AZ332" s="19">
        <v>109.17551999999999</v>
      </c>
      <c r="BA332" s="19">
        <v>273.08015999999998</v>
      </c>
      <c r="BB332" s="19">
        <v>0</v>
      </c>
      <c r="BC332" s="19">
        <v>1091.7552000000001</v>
      </c>
      <c r="BD332" s="19">
        <v>0</v>
      </c>
      <c r="BE332" s="19">
        <v>0</v>
      </c>
      <c r="BF332" s="19">
        <v>109.17551999999999</v>
      </c>
      <c r="BG332" s="19">
        <v>273.08015999999998</v>
      </c>
      <c r="BH332" s="19">
        <v>0</v>
      </c>
      <c r="BI332" s="19">
        <v>1091.7552000000001</v>
      </c>
      <c r="BJ332" s="19">
        <v>0</v>
      </c>
      <c r="BK332" s="19">
        <v>0</v>
      </c>
      <c r="BL332" s="19">
        <v>109.17551999999999</v>
      </c>
      <c r="BM332" s="19">
        <v>273.08015999999998</v>
      </c>
      <c r="BN332" s="19">
        <v>0</v>
      </c>
      <c r="BO332" s="19">
        <v>1091.7552000000001</v>
      </c>
      <c r="BP332" s="19"/>
      <c r="BQ3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273.08015999999998</v>
      </c>
      <c r="BS3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1091.7552000000001</v>
      </c>
      <c r="BT332" s="11">
        <f>Tabelle5897112140[[#This Row],[Mindestauslastung min]]*Tabelle5897112140[[#This Row],[installierte Leistung MW min]]</f>
        <v>0</v>
      </c>
      <c r="BU332" s="11">
        <f>Tabelle5897112140[[#This Row],[Mindestauslastung durch]]*Tabelle5897112140[[#This Row],[installierte Leistung MW durch]]</f>
        <v>0</v>
      </c>
      <c r="BV332" s="11">
        <f>Tabelle5897112140[[#This Row],[Mindestauslastung max]]*Tabelle5897112140[[#This Row],[installierte Leistung MW max]]</f>
        <v>0</v>
      </c>
      <c r="BW332" s="9">
        <v>0</v>
      </c>
      <c r="BX332" s="9">
        <v>0</v>
      </c>
      <c r="BY332" s="9">
        <v>0</v>
      </c>
      <c r="BZ332" s="9"/>
      <c r="CA332" s="9">
        <v>1.2874999999999999E-2</v>
      </c>
      <c r="CB332" s="9">
        <v>3.0000000000000001E-3</v>
      </c>
      <c r="CC332" s="9">
        <v>1.9E-2</v>
      </c>
      <c r="CD332" s="9">
        <v>1.2874999999999999E-2</v>
      </c>
      <c r="CE332" s="9">
        <v>3.0000000000000001E-3</v>
      </c>
      <c r="CF332" s="9">
        <v>1.9E-2</v>
      </c>
      <c r="CG332" s="9">
        <v>1.2874999999999999E-2</v>
      </c>
      <c r="CH332" s="9">
        <v>3.0000000000000001E-3</v>
      </c>
      <c r="CI332" s="9">
        <v>1.9E-2</v>
      </c>
      <c r="CJ332" s="9">
        <v>1.2874999999999999E-2</v>
      </c>
      <c r="CK332" s="9">
        <v>3.0000000000000001E-3</v>
      </c>
      <c r="CL332" s="9">
        <v>1.9E-2</v>
      </c>
      <c r="CM332" s="9">
        <v>1.2874999999999999E-2</v>
      </c>
      <c r="CN332" s="9">
        <v>3.0000000000000001E-3</v>
      </c>
      <c r="CO332" s="9">
        <v>1.9E-2</v>
      </c>
      <c r="CP332" s="9">
        <v>1.2874999999999999E-2</v>
      </c>
      <c r="CQ332" s="9">
        <v>3.0000000000000001E-3</v>
      </c>
      <c r="CR332" s="9">
        <v>1.9E-2</v>
      </c>
      <c r="CS332" s="9">
        <v>1.2874999999999999E-2</v>
      </c>
      <c r="CT332" s="9">
        <v>3.0000000000000001E-3</v>
      </c>
      <c r="CU332" s="9">
        <v>1.9E-2</v>
      </c>
      <c r="CV332" s="9">
        <v>1.2874999999999999E-2</v>
      </c>
      <c r="CW332" s="9">
        <v>3.0000000000000001E-3</v>
      </c>
      <c r="CX332" s="9">
        <v>1.9E-2</v>
      </c>
      <c r="CY332" s="9">
        <v>1.2874999999999999E-2</v>
      </c>
      <c r="CZ332" s="9">
        <v>3.0000000000000001E-3</v>
      </c>
      <c r="DA332" s="9">
        <v>1.9E-2</v>
      </c>
      <c r="DB332" s="9">
        <f>MIN(Tabelle5897112140[[#This Row],[Durchschnittsauslastung durch Sommer WTT]:[Durchschnittsauslastung max Winter SFN]])</f>
        <v>3.0000000000000001E-3</v>
      </c>
      <c r="DC3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2" s="9">
        <f>MAX(Tabelle5897112140[[#This Row],[Durchschnittsauslastung durch Sommer WTT]:[Durchschnittsauslastung max Winter SFN]])</f>
        <v>1.9E-2</v>
      </c>
      <c r="DE332" s="40">
        <f>Tabelle5897112140[[#This Row],[Durchschnittsauslastung min]]*Tabelle5897112140[[#This Row],[installierte Leistung MW min]]</f>
        <v>79.943640000000002</v>
      </c>
      <c r="DF332" s="40">
        <f>Tabelle5897112140[[#This Row],[Durchschnittsauslastung durch]]*Tabelle5897112140[[#This Row],[installierte Leistung MW durch]]</f>
        <v>347.25007999999997</v>
      </c>
      <c r="DG332" s="40">
        <f>Tabelle5897112140[[#This Row],[Durchschnittsauslastung max]]*Tabelle5897112140[[#This Row],[installierte Leistung MW max]]</f>
        <v>518.58371999999997</v>
      </c>
      <c r="DH332" s="46">
        <f>Tabelle5897112140[[#This Row],[Maximalauslastung min]]*Tabelle5897112140[[#This Row],[installierte Leistung MW min]]</f>
        <v>26647.88</v>
      </c>
      <c r="DI332" s="46">
        <f>Tabelle5897112140[[#This Row],[Maximalauslastung durch]]*Tabelle5897112140[[#This Row],[installierte Leistung MW durch]]</f>
        <v>26970.880000000001</v>
      </c>
      <c r="DJ332" s="19">
        <f>Tabelle5897112140[[#This Row],[Maximalauslastung max]]*Tabelle5897112140[[#This Row],[installierte Leistung MW durch]]</f>
        <v>26970.880000000001</v>
      </c>
      <c r="DK332" s="9">
        <v>1</v>
      </c>
      <c r="DL332" s="9">
        <v>1</v>
      </c>
      <c r="DM332" s="9">
        <v>1</v>
      </c>
      <c r="DN332" s="1">
        <v>26970.880000000001</v>
      </c>
      <c r="DO332" s="1">
        <v>26647.88</v>
      </c>
      <c r="DP332" s="1">
        <v>27293.88</v>
      </c>
      <c r="DQ332" s="19"/>
      <c r="DR332" s="19"/>
      <c r="DW332" s="1">
        <v>1.75</v>
      </c>
      <c r="DX332" s="1">
        <v>1.1499999999999999</v>
      </c>
      <c r="DY332" s="1">
        <v>2.35</v>
      </c>
      <c r="DZ332" s="1">
        <v>1.75</v>
      </c>
      <c r="EA332" s="1">
        <v>0.5</v>
      </c>
      <c r="EB332" s="1">
        <v>3</v>
      </c>
      <c r="EC332" s="1">
        <v>3.5</v>
      </c>
      <c r="ED332" s="1">
        <v>2.2999999999999998</v>
      </c>
      <c r="EE332" s="1">
        <v>4.7</v>
      </c>
      <c r="EF332" s="1">
        <v>3.5</v>
      </c>
      <c r="EG332" s="1">
        <v>3.5</v>
      </c>
      <c r="EH332" s="1">
        <v>3.5</v>
      </c>
      <c r="EL332" s="1">
        <v>160</v>
      </c>
      <c r="EM332" s="1">
        <v>144</v>
      </c>
      <c r="EN332" s="1">
        <v>176</v>
      </c>
      <c r="EO332" s="11"/>
      <c r="EP332" s="11"/>
      <c r="EQ332" s="11"/>
      <c r="ER332" s="1">
        <v>160</v>
      </c>
      <c r="ES332" s="1">
        <v>144</v>
      </c>
      <c r="ET332" s="1">
        <v>176</v>
      </c>
      <c r="EU332" s="1">
        <v>91.818181818181827</v>
      </c>
      <c r="EV332" s="19">
        <v>82.626262626262644</v>
      </c>
      <c r="EW332" s="19">
        <v>101.01010101010101</v>
      </c>
      <c r="EX332" s="19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>
        <v>747.47474747474746</v>
      </c>
      <c r="FK332" s="8">
        <v>740</v>
      </c>
      <c r="FL332" s="1">
        <v>754.94949494949492</v>
      </c>
      <c r="FO332" s="1">
        <v>67</v>
      </c>
      <c r="FP332" s="1">
        <v>67</v>
      </c>
      <c r="FQ332" s="1">
        <v>67</v>
      </c>
      <c r="FR332" s="13" t="s">
        <v>806</v>
      </c>
      <c r="FS332" s="13" t="s">
        <v>806</v>
      </c>
      <c r="FT332" s="13" t="s">
        <v>806</v>
      </c>
      <c r="FU332" s="13"/>
      <c r="FV332" s="13" t="s">
        <v>806</v>
      </c>
      <c r="FW332" s="13" t="s">
        <v>806</v>
      </c>
      <c r="FX332" s="13" t="s">
        <v>806</v>
      </c>
      <c r="FY332" s="13" t="s">
        <v>806</v>
      </c>
      <c r="FZ332" s="13" t="s">
        <v>806</v>
      </c>
      <c r="GA332" s="13" t="s">
        <v>806</v>
      </c>
      <c r="GB332" s="13" t="s">
        <v>806</v>
      </c>
      <c r="GE332" s="13" t="s">
        <v>806</v>
      </c>
      <c r="GF332" s="13" t="s">
        <v>806</v>
      </c>
      <c r="GH332" s="13" t="s">
        <v>806</v>
      </c>
    </row>
    <row r="333" spans="1:190" ht="12.75" customHeight="1" x14ac:dyDescent="0.25">
      <c r="A333" s="1" t="s">
        <v>130</v>
      </c>
      <c r="B333" s="1" t="s">
        <v>749</v>
      </c>
      <c r="C333" s="1" t="s">
        <v>804</v>
      </c>
      <c r="D333" s="1" t="s">
        <v>708</v>
      </c>
      <c r="E333" s="1" t="s">
        <v>139</v>
      </c>
      <c r="F333" s="1">
        <v>0</v>
      </c>
      <c r="G333" s="1">
        <v>2030</v>
      </c>
      <c r="H333" s="1">
        <v>0</v>
      </c>
      <c r="I333" s="1">
        <v>0</v>
      </c>
      <c r="J333" s="1">
        <v>1</v>
      </c>
      <c r="K3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96.246839999999992</v>
      </c>
      <c r="N333" s="19">
        <v>0</v>
      </c>
      <c r="O333" s="19">
        <v>0</v>
      </c>
      <c r="P333" s="19">
        <v>96.246839999999992</v>
      </c>
      <c r="Q333" s="19">
        <v>240.74171999999999</v>
      </c>
      <c r="R333" s="19">
        <v>0</v>
      </c>
      <c r="S333" s="19">
        <v>962.46840000000009</v>
      </c>
      <c r="T333" s="19">
        <v>0</v>
      </c>
      <c r="U333" s="19">
        <v>0</v>
      </c>
      <c r="V333" s="19">
        <v>96.246839999999992</v>
      </c>
      <c r="W333" s="19">
        <v>240.74171999999999</v>
      </c>
      <c r="X333" s="19">
        <v>0</v>
      </c>
      <c r="Y333" s="19">
        <v>962.46840000000009</v>
      </c>
      <c r="Z333" s="19">
        <v>0</v>
      </c>
      <c r="AA333" s="19">
        <v>0</v>
      </c>
      <c r="AB333" s="19">
        <v>96.246839999999992</v>
      </c>
      <c r="AC333" s="19">
        <v>240.74171999999999</v>
      </c>
      <c r="AD333" s="19">
        <v>0</v>
      </c>
      <c r="AE333" s="19">
        <v>962.46840000000009</v>
      </c>
      <c r="AF333" s="19">
        <v>0</v>
      </c>
      <c r="AG333" s="19">
        <v>0</v>
      </c>
      <c r="AH333" s="19">
        <v>96.246839999999992</v>
      </c>
      <c r="AI333" s="19">
        <v>240.74171999999999</v>
      </c>
      <c r="AJ333" s="19">
        <v>0</v>
      </c>
      <c r="AK333" s="19">
        <v>962.46840000000009</v>
      </c>
      <c r="AL333" s="19">
        <v>0</v>
      </c>
      <c r="AM333" s="19">
        <v>0</v>
      </c>
      <c r="AN333" s="19">
        <v>96.246839999999992</v>
      </c>
      <c r="AO333" s="19">
        <v>240.74171999999999</v>
      </c>
      <c r="AP333" s="19">
        <v>0</v>
      </c>
      <c r="AQ333" s="19">
        <v>962.46840000000009</v>
      </c>
      <c r="AR333" s="19">
        <v>0</v>
      </c>
      <c r="AS333" s="19">
        <v>0</v>
      </c>
      <c r="AT333" s="19">
        <v>96.246839999999992</v>
      </c>
      <c r="AU333" s="19">
        <v>240.74171999999999</v>
      </c>
      <c r="AV333" s="19">
        <v>0</v>
      </c>
      <c r="AW333" s="19">
        <v>962.46840000000009</v>
      </c>
      <c r="AX333" s="19">
        <v>0</v>
      </c>
      <c r="AY333" s="19">
        <v>0</v>
      </c>
      <c r="AZ333" s="19">
        <v>96.246839999999992</v>
      </c>
      <c r="BA333" s="19">
        <v>240.74171999999999</v>
      </c>
      <c r="BB333" s="19">
        <v>0</v>
      </c>
      <c r="BC333" s="19">
        <v>962.46840000000009</v>
      </c>
      <c r="BD333" s="19">
        <v>0</v>
      </c>
      <c r="BE333" s="19">
        <v>0</v>
      </c>
      <c r="BF333" s="19">
        <v>96.246839999999992</v>
      </c>
      <c r="BG333" s="19">
        <v>240.74171999999999</v>
      </c>
      <c r="BH333" s="19">
        <v>0</v>
      </c>
      <c r="BI333" s="19">
        <v>962.46840000000009</v>
      </c>
      <c r="BJ333" s="19">
        <v>0</v>
      </c>
      <c r="BK333" s="19">
        <v>0</v>
      </c>
      <c r="BL333" s="19">
        <v>96.246839999999992</v>
      </c>
      <c r="BM333" s="19">
        <v>240.74171999999999</v>
      </c>
      <c r="BN333" s="19">
        <v>0</v>
      </c>
      <c r="BO333" s="19">
        <v>962.46840000000009</v>
      </c>
      <c r="BP333" s="19"/>
      <c r="BQ3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240.74171999999999</v>
      </c>
      <c r="BS3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962.46840000000009</v>
      </c>
      <c r="BT333" s="11">
        <f>Tabelle5897112140[[#This Row],[Mindestauslastung min]]*Tabelle5897112140[[#This Row],[installierte Leistung MW min]]</f>
        <v>0</v>
      </c>
      <c r="BU333" s="11">
        <f>Tabelle5897112140[[#This Row],[Mindestauslastung durch]]*Tabelle5897112140[[#This Row],[installierte Leistung MW durch]]</f>
        <v>0</v>
      </c>
      <c r="BV333" s="11">
        <f>Tabelle5897112140[[#This Row],[Mindestauslastung max]]*Tabelle5897112140[[#This Row],[installierte Leistung MW max]]</f>
        <v>0</v>
      </c>
      <c r="BW333" s="9">
        <v>0</v>
      </c>
      <c r="BX333" s="9">
        <v>0</v>
      </c>
      <c r="BY333" s="9">
        <v>0</v>
      </c>
      <c r="BZ333" s="9"/>
      <c r="CA333" s="9">
        <v>1.2874999999999999E-2</v>
      </c>
      <c r="CB333" s="9">
        <v>3.0000000000000001E-3</v>
      </c>
      <c r="CC333" s="9">
        <v>1.9E-2</v>
      </c>
      <c r="CD333" s="9">
        <v>1.2874999999999999E-2</v>
      </c>
      <c r="CE333" s="9">
        <v>3.0000000000000001E-3</v>
      </c>
      <c r="CF333" s="9">
        <v>1.9E-2</v>
      </c>
      <c r="CG333" s="9">
        <v>1.2874999999999999E-2</v>
      </c>
      <c r="CH333" s="9">
        <v>3.0000000000000001E-3</v>
      </c>
      <c r="CI333" s="9">
        <v>1.9E-2</v>
      </c>
      <c r="CJ333" s="9">
        <v>1.2874999999999999E-2</v>
      </c>
      <c r="CK333" s="9">
        <v>3.0000000000000001E-3</v>
      </c>
      <c r="CL333" s="9">
        <v>1.9E-2</v>
      </c>
      <c r="CM333" s="9">
        <v>1.2874999999999999E-2</v>
      </c>
      <c r="CN333" s="9">
        <v>3.0000000000000001E-3</v>
      </c>
      <c r="CO333" s="9">
        <v>1.9E-2</v>
      </c>
      <c r="CP333" s="9">
        <v>1.2874999999999999E-2</v>
      </c>
      <c r="CQ333" s="9">
        <v>3.0000000000000001E-3</v>
      </c>
      <c r="CR333" s="9">
        <v>1.9E-2</v>
      </c>
      <c r="CS333" s="9">
        <v>1.2874999999999999E-2</v>
      </c>
      <c r="CT333" s="9">
        <v>3.0000000000000001E-3</v>
      </c>
      <c r="CU333" s="9">
        <v>1.9E-2</v>
      </c>
      <c r="CV333" s="9">
        <v>1.2874999999999999E-2</v>
      </c>
      <c r="CW333" s="9">
        <v>3.0000000000000001E-3</v>
      </c>
      <c r="CX333" s="9">
        <v>1.9E-2</v>
      </c>
      <c r="CY333" s="9">
        <v>1.2874999999999999E-2</v>
      </c>
      <c r="CZ333" s="9">
        <v>3.0000000000000001E-3</v>
      </c>
      <c r="DA333" s="9">
        <v>1.9E-2</v>
      </c>
      <c r="DB333" s="9">
        <f>MIN(Tabelle5897112140[[#This Row],[Durchschnittsauslastung durch Sommer WTT]:[Durchschnittsauslastung max Winter SFN]])</f>
        <v>3.0000000000000001E-3</v>
      </c>
      <c r="DC3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3" s="9">
        <f>MAX(Tabelle5897112140[[#This Row],[Durchschnittsauslastung durch Sommer WTT]:[Durchschnittsauslastung max Winter SFN]])</f>
        <v>1.9E-2</v>
      </c>
      <c r="DE333" s="40">
        <f>Tabelle5897112140[[#This Row],[Durchschnittsauslastung min]]*Tabelle5897112140[[#This Row],[installierte Leistung MW min]]</f>
        <v>70.47663</v>
      </c>
      <c r="DF333" s="40">
        <f>Tabelle5897112140[[#This Row],[Durchschnittsauslastung durch]]*Tabelle5897112140[[#This Row],[installierte Leistung MW durch]]</f>
        <v>306.12835999999999</v>
      </c>
      <c r="DG333" s="40">
        <f>Tabelle5897112140[[#This Row],[Durchschnittsauslastung max]]*Tabelle5897112140[[#This Row],[installierte Leistung MW max]]</f>
        <v>457.17248999999998</v>
      </c>
      <c r="DH333" s="46">
        <f>Tabelle5897112140[[#This Row],[Maximalauslastung min]]*Tabelle5897112140[[#This Row],[installierte Leistung MW min]]</f>
        <v>23492.21</v>
      </c>
      <c r="DI333" s="46">
        <f>Tabelle5897112140[[#This Row],[Maximalauslastung durch]]*Tabelle5897112140[[#This Row],[installierte Leistung MW durch]]</f>
        <v>23776.959999999999</v>
      </c>
      <c r="DJ333" s="19">
        <f>Tabelle5897112140[[#This Row],[Maximalauslastung max]]*Tabelle5897112140[[#This Row],[installierte Leistung MW durch]]</f>
        <v>23776.959999999999</v>
      </c>
      <c r="DK333" s="9">
        <v>1</v>
      </c>
      <c r="DL333" s="9">
        <v>1</v>
      </c>
      <c r="DM333" s="9">
        <v>1</v>
      </c>
      <c r="DN333" s="1">
        <v>23776.959999999999</v>
      </c>
      <c r="DO333" s="1">
        <v>23492.21</v>
      </c>
      <c r="DP333" s="1">
        <v>24061.71</v>
      </c>
      <c r="DQ333" s="19"/>
      <c r="DR333" s="19"/>
      <c r="DW333" s="1">
        <v>1.75</v>
      </c>
      <c r="DX333" s="1">
        <v>1.1499999999999999</v>
      </c>
      <c r="DY333" s="1">
        <v>2.35</v>
      </c>
      <c r="DZ333" s="1">
        <v>1.75</v>
      </c>
      <c r="EA333" s="1">
        <v>0.5</v>
      </c>
      <c r="EB333" s="1">
        <v>3</v>
      </c>
      <c r="EC333" s="1">
        <v>3.5</v>
      </c>
      <c r="ED333" s="1">
        <v>2.2999999999999998</v>
      </c>
      <c r="EE333" s="1">
        <v>4.7</v>
      </c>
      <c r="EF333" s="1">
        <v>3.5</v>
      </c>
      <c r="EG333" s="1">
        <v>3.5</v>
      </c>
      <c r="EH333" s="1">
        <v>3.5</v>
      </c>
      <c r="EL333" s="1">
        <v>160</v>
      </c>
      <c r="EM333" s="1">
        <v>144</v>
      </c>
      <c r="EN333" s="1">
        <v>176</v>
      </c>
      <c r="EO333" s="11"/>
      <c r="EP333" s="11"/>
      <c r="EQ333" s="11"/>
      <c r="ER333" s="1">
        <v>160</v>
      </c>
      <c r="ES333" s="1">
        <v>144</v>
      </c>
      <c r="ET333" s="1">
        <v>176</v>
      </c>
      <c r="EU333" s="1">
        <v>91.818181818181827</v>
      </c>
      <c r="EV333" s="19">
        <v>82.626262626262644</v>
      </c>
      <c r="EW333" s="19">
        <v>101.01010101010101</v>
      </c>
      <c r="EX333" s="19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>
        <v>747.47474747474746</v>
      </c>
      <c r="FK333" s="8">
        <v>740</v>
      </c>
      <c r="FL333" s="1">
        <v>754.94949494949492</v>
      </c>
      <c r="FO333" s="1">
        <v>67</v>
      </c>
      <c r="FP333" s="1">
        <v>67</v>
      </c>
      <c r="FQ333" s="1">
        <v>67</v>
      </c>
      <c r="FR333" s="13" t="s">
        <v>806</v>
      </c>
      <c r="FS333" s="13" t="s">
        <v>806</v>
      </c>
      <c r="FT333" s="13" t="s">
        <v>806</v>
      </c>
      <c r="FU333" s="13"/>
      <c r="FV333" s="13" t="s">
        <v>806</v>
      </c>
      <c r="FW333" s="13" t="s">
        <v>806</v>
      </c>
      <c r="FX333" s="13" t="s">
        <v>806</v>
      </c>
      <c r="FY333" s="13" t="s">
        <v>806</v>
      </c>
      <c r="FZ333" s="13" t="s">
        <v>806</v>
      </c>
      <c r="GA333" s="13" t="s">
        <v>806</v>
      </c>
      <c r="GB333" s="13" t="s">
        <v>806</v>
      </c>
      <c r="GE333" s="13" t="s">
        <v>806</v>
      </c>
      <c r="GF333" s="13" t="s">
        <v>806</v>
      </c>
      <c r="GH333" s="13" t="s">
        <v>806</v>
      </c>
    </row>
    <row r="334" spans="1:190" ht="12.75" customHeight="1" x14ac:dyDescent="0.25">
      <c r="A334" s="1" t="s">
        <v>130</v>
      </c>
      <c r="B334" s="1" t="s">
        <v>749</v>
      </c>
      <c r="C334" s="1" t="s">
        <v>804</v>
      </c>
      <c r="D334" s="1" t="s">
        <v>708</v>
      </c>
      <c r="E334" s="1" t="s">
        <v>139</v>
      </c>
      <c r="F334" s="1">
        <v>0</v>
      </c>
      <c r="G334" s="1">
        <v>2035</v>
      </c>
      <c r="H334" s="1">
        <v>0</v>
      </c>
      <c r="I334" s="1">
        <v>0</v>
      </c>
      <c r="J334" s="1">
        <v>1</v>
      </c>
      <c r="K3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89.064239999999998</v>
      </c>
      <c r="N334" s="19">
        <v>0</v>
      </c>
      <c r="O334" s="19">
        <v>0</v>
      </c>
      <c r="P334" s="19">
        <v>89.064239999999998</v>
      </c>
      <c r="Q334" s="19">
        <v>222.77591999999999</v>
      </c>
      <c r="R334" s="19">
        <v>0</v>
      </c>
      <c r="S334" s="19">
        <v>890.64239999999995</v>
      </c>
      <c r="T334" s="19">
        <v>0</v>
      </c>
      <c r="U334" s="19">
        <v>0</v>
      </c>
      <c r="V334" s="19">
        <v>89.064239999999998</v>
      </c>
      <c r="W334" s="19">
        <v>222.77591999999999</v>
      </c>
      <c r="X334" s="19">
        <v>0</v>
      </c>
      <c r="Y334" s="19">
        <v>890.64239999999995</v>
      </c>
      <c r="Z334" s="19">
        <v>0</v>
      </c>
      <c r="AA334" s="19">
        <v>0</v>
      </c>
      <c r="AB334" s="19">
        <v>89.064239999999998</v>
      </c>
      <c r="AC334" s="19">
        <v>222.77591999999999</v>
      </c>
      <c r="AD334" s="19">
        <v>0</v>
      </c>
      <c r="AE334" s="19">
        <v>890.64239999999995</v>
      </c>
      <c r="AF334" s="19">
        <v>0</v>
      </c>
      <c r="AG334" s="19">
        <v>0</v>
      </c>
      <c r="AH334" s="19">
        <v>89.064239999999998</v>
      </c>
      <c r="AI334" s="19">
        <v>222.77591999999999</v>
      </c>
      <c r="AJ334" s="19">
        <v>0</v>
      </c>
      <c r="AK334" s="19">
        <v>890.64239999999995</v>
      </c>
      <c r="AL334" s="19">
        <v>0</v>
      </c>
      <c r="AM334" s="19">
        <v>0</v>
      </c>
      <c r="AN334" s="19">
        <v>89.064239999999998</v>
      </c>
      <c r="AO334" s="19">
        <v>222.77591999999999</v>
      </c>
      <c r="AP334" s="19">
        <v>0</v>
      </c>
      <c r="AQ334" s="19">
        <v>890.64239999999995</v>
      </c>
      <c r="AR334" s="19">
        <v>0</v>
      </c>
      <c r="AS334" s="19">
        <v>0</v>
      </c>
      <c r="AT334" s="19">
        <v>89.064239999999998</v>
      </c>
      <c r="AU334" s="19">
        <v>222.77591999999999</v>
      </c>
      <c r="AV334" s="19">
        <v>0</v>
      </c>
      <c r="AW334" s="19">
        <v>890.64239999999995</v>
      </c>
      <c r="AX334" s="19">
        <v>0</v>
      </c>
      <c r="AY334" s="19">
        <v>0</v>
      </c>
      <c r="AZ334" s="19">
        <v>89.064239999999998</v>
      </c>
      <c r="BA334" s="19">
        <v>222.77591999999999</v>
      </c>
      <c r="BB334" s="19">
        <v>0</v>
      </c>
      <c r="BC334" s="19">
        <v>890.64239999999995</v>
      </c>
      <c r="BD334" s="19">
        <v>0</v>
      </c>
      <c r="BE334" s="19">
        <v>0</v>
      </c>
      <c r="BF334" s="19">
        <v>89.064239999999998</v>
      </c>
      <c r="BG334" s="19">
        <v>222.77591999999999</v>
      </c>
      <c r="BH334" s="19">
        <v>0</v>
      </c>
      <c r="BI334" s="19">
        <v>890.64239999999995</v>
      </c>
      <c r="BJ334" s="19">
        <v>0</v>
      </c>
      <c r="BK334" s="19">
        <v>0</v>
      </c>
      <c r="BL334" s="19">
        <v>89.064239999999998</v>
      </c>
      <c r="BM334" s="19">
        <v>222.77591999999999</v>
      </c>
      <c r="BN334" s="19">
        <v>0</v>
      </c>
      <c r="BO334" s="19">
        <v>890.64239999999995</v>
      </c>
      <c r="BP334" s="19"/>
      <c r="BQ3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222.77592000000001</v>
      </c>
      <c r="BS3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890.64239999999995</v>
      </c>
      <c r="BT334" s="11">
        <f>Tabelle5897112140[[#This Row],[Mindestauslastung min]]*Tabelle5897112140[[#This Row],[installierte Leistung MW min]]</f>
        <v>0</v>
      </c>
      <c r="BU334" s="11">
        <f>Tabelle5897112140[[#This Row],[Mindestauslastung durch]]*Tabelle5897112140[[#This Row],[installierte Leistung MW durch]]</f>
        <v>0</v>
      </c>
      <c r="BV334" s="11">
        <f>Tabelle5897112140[[#This Row],[Mindestauslastung max]]*Tabelle5897112140[[#This Row],[installierte Leistung MW max]]</f>
        <v>0</v>
      </c>
      <c r="BW334" s="9">
        <v>0</v>
      </c>
      <c r="BX334" s="9">
        <v>0</v>
      </c>
      <c r="BY334" s="9">
        <v>0</v>
      </c>
      <c r="BZ334" s="9"/>
      <c r="CA334" s="9">
        <v>1.2874999999999999E-2</v>
      </c>
      <c r="CB334" s="9">
        <v>3.0000000000000001E-3</v>
      </c>
      <c r="CC334" s="9">
        <v>1.9E-2</v>
      </c>
      <c r="CD334" s="9">
        <v>1.2874999999999999E-2</v>
      </c>
      <c r="CE334" s="9">
        <v>3.0000000000000001E-3</v>
      </c>
      <c r="CF334" s="9">
        <v>1.9E-2</v>
      </c>
      <c r="CG334" s="9">
        <v>1.2874999999999999E-2</v>
      </c>
      <c r="CH334" s="9">
        <v>3.0000000000000001E-3</v>
      </c>
      <c r="CI334" s="9">
        <v>1.9E-2</v>
      </c>
      <c r="CJ334" s="9">
        <v>1.2874999999999999E-2</v>
      </c>
      <c r="CK334" s="9">
        <v>3.0000000000000001E-3</v>
      </c>
      <c r="CL334" s="9">
        <v>1.9E-2</v>
      </c>
      <c r="CM334" s="9">
        <v>1.2874999999999999E-2</v>
      </c>
      <c r="CN334" s="9">
        <v>3.0000000000000001E-3</v>
      </c>
      <c r="CO334" s="9">
        <v>1.9E-2</v>
      </c>
      <c r="CP334" s="9">
        <v>1.2874999999999999E-2</v>
      </c>
      <c r="CQ334" s="9">
        <v>3.0000000000000001E-3</v>
      </c>
      <c r="CR334" s="9">
        <v>1.9E-2</v>
      </c>
      <c r="CS334" s="9">
        <v>1.2874999999999999E-2</v>
      </c>
      <c r="CT334" s="9">
        <v>3.0000000000000001E-3</v>
      </c>
      <c r="CU334" s="9">
        <v>1.9E-2</v>
      </c>
      <c r="CV334" s="9">
        <v>1.2874999999999999E-2</v>
      </c>
      <c r="CW334" s="9">
        <v>3.0000000000000001E-3</v>
      </c>
      <c r="CX334" s="9">
        <v>1.9E-2</v>
      </c>
      <c r="CY334" s="9">
        <v>1.2874999999999999E-2</v>
      </c>
      <c r="CZ334" s="9">
        <v>3.0000000000000001E-3</v>
      </c>
      <c r="DA334" s="9">
        <v>1.9E-2</v>
      </c>
      <c r="DB334" s="9">
        <f>MIN(Tabelle5897112140[[#This Row],[Durchschnittsauslastung durch Sommer WTT]:[Durchschnittsauslastung max Winter SFN]])</f>
        <v>3.0000000000000001E-3</v>
      </c>
      <c r="DC3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4" s="9">
        <f>MAX(Tabelle5897112140[[#This Row],[Durchschnittsauslastung durch Sommer WTT]:[Durchschnittsauslastung max Winter SFN]])</f>
        <v>1.9E-2</v>
      </c>
      <c r="DE334" s="40">
        <f>Tabelle5897112140[[#This Row],[Durchschnittsauslastung min]]*Tabelle5897112140[[#This Row],[installierte Leistung MW min]]</f>
        <v>65.217179999999999</v>
      </c>
      <c r="DF334" s="40">
        <f>Tabelle5897112140[[#This Row],[Durchschnittsauslastung durch]]*Tabelle5897112140[[#This Row],[installierte Leistung MW durch]]</f>
        <v>283.28296</v>
      </c>
      <c r="DG334" s="40">
        <f>Tabelle5897112140[[#This Row],[Durchschnittsauslastung max]]*Tabelle5897112140[[#This Row],[installierte Leistung MW max]]</f>
        <v>423.05513999999999</v>
      </c>
      <c r="DH334" s="46">
        <f>Tabelle5897112140[[#This Row],[Maximalauslastung min]]*Tabelle5897112140[[#This Row],[installierte Leistung MW min]]</f>
        <v>21739.06</v>
      </c>
      <c r="DI334" s="46">
        <f>Tabelle5897112140[[#This Row],[Maximalauslastung durch]]*Tabelle5897112140[[#This Row],[installierte Leistung MW durch]]</f>
        <v>22002.560000000001</v>
      </c>
      <c r="DJ334" s="19">
        <f>Tabelle5897112140[[#This Row],[Maximalauslastung max]]*Tabelle5897112140[[#This Row],[installierte Leistung MW durch]]</f>
        <v>22002.560000000001</v>
      </c>
      <c r="DK334" s="9">
        <v>1</v>
      </c>
      <c r="DL334" s="9">
        <v>1</v>
      </c>
      <c r="DM334" s="9">
        <v>1</v>
      </c>
      <c r="DN334" s="1">
        <v>22002.560000000001</v>
      </c>
      <c r="DO334" s="1">
        <v>21739.06</v>
      </c>
      <c r="DP334" s="1">
        <v>22266.06</v>
      </c>
      <c r="DQ334" s="19"/>
      <c r="DR334" s="19"/>
      <c r="DW334" s="1">
        <v>1.75</v>
      </c>
      <c r="DX334" s="1">
        <v>1.1499999999999999</v>
      </c>
      <c r="DY334" s="1">
        <v>2.35</v>
      </c>
      <c r="DZ334" s="1">
        <v>1.75</v>
      </c>
      <c r="EA334" s="1">
        <v>0.5</v>
      </c>
      <c r="EB334" s="1">
        <v>3</v>
      </c>
      <c r="EC334" s="1">
        <v>3.5</v>
      </c>
      <c r="ED334" s="1">
        <v>2.2999999999999998</v>
      </c>
      <c r="EE334" s="1">
        <v>4.7</v>
      </c>
      <c r="EF334" s="1">
        <v>3.5</v>
      </c>
      <c r="EG334" s="1">
        <v>3.5</v>
      </c>
      <c r="EH334" s="1">
        <v>3.5</v>
      </c>
      <c r="EL334" s="1">
        <v>160</v>
      </c>
      <c r="EM334" s="1">
        <v>144</v>
      </c>
      <c r="EN334" s="1">
        <v>176</v>
      </c>
      <c r="EO334" s="11"/>
      <c r="EP334" s="11"/>
      <c r="EQ334" s="11"/>
      <c r="ER334" s="1">
        <v>160</v>
      </c>
      <c r="ES334" s="1">
        <v>144</v>
      </c>
      <c r="ET334" s="1">
        <v>176</v>
      </c>
      <c r="EU334" s="1">
        <v>91.818181818181827</v>
      </c>
      <c r="EV334" s="19">
        <v>82.626262626262644</v>
      </c>
      <c r="EW334" s="19">
        <v>101.01010101010101</v>
      </c>
      <c r="EX334" s="19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>
        <v>747.47474747474746</v>
      </c>
      <c r="FK334" s="8">
        <v>740</v>
      </c>
      <c r="FL334" s="1">
        <v>754.94949494949492</v>
      </c>
      <c r="FO334" s="1">
        <v>67</v>
      </c>
      <c r="FP334" s="1">
        <v>67</v>
      </c>
      <c r="FQ334" s="1">
        <v>67</v>
      </c>
      <c r="FR334" s="13" t="s">
        <v>806</v>
      </c>
      <c r="FS334" s="13" t="s">
        <v>806</v>
      </c>
      <c r="FT334" s="13" t="s">
        <v>806</v>
      </c>
      <c r="FU334" s="13"/>
      <c r="FV334" s="13" t="s">
        <v>806</v>
      </c>
      <c r="FW334" s="13" t="s">
        <v>806</v>
      </c>
      <c r="FX334" s="13" t="s">
        <v>806</v>
      </c>
      <c r="FY334" s="13" t="s">
        <v>806</v>
      </c>
      <c r="FZ334" s="13" t="s">
        <v>806</v>
      </c>
      <c r="GA334" s="13" t="s">
        <v>806</v>
      </c>
      <c r="GB334" s="13" t="s">
        <v>806</v>
      </c>
      <c r="GE334" s="13" t="s">
        <v>806</v>
      </c>
      <c r="GF334" s="13" t="s">
        <v>806</v>
      </c>
      <c r="GH334" s="13" t="s">
        <v>806</v>
      </c>
    </row>
    <row r="335" spans="1:190" ht="12.75" customHeight="1" x14ac:dyDescent="0.25">
      <c r="A335" s="1" t="s">
        <v>130</v>
      </c>
      <c r="B335" s="1" t="s">
        <v>749</v>
      </c>
      <c r="C335" s="1" t="s">
        <v>804</v>
      </c>
      <c r="D335" s="1" t="s">
        <v>708</v>
      </c>
      <c r="E335" s="1" t="s">
        <v>139</v>
      </c>
      <c r="F335" s="1">
        <v>0</v>
      </c>
      <c r="G335" s="1">
        <v>2040</v>
      </c>
      <c r="H335" s="1">
        <v>0</v>
      </c>
      <c r="I335" s="1">
        <v>0</v>
      </c>
      <c r="J335" s="1">
        <v>1</v>
      </c>
      <c r="K3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83.318159999999992</v>
      </c>
      <c r="N335" s="19">
        <v>0</v>
      </c>
      <c r="O335" s="19">
        <v>0</v>
      </c>
      <c r="P335" s="19">
        <v>83.318159999999992</v>
      </c>
      <c r="Q335" s="19">
        <v>208.40327999999997</v>
      </c>
      <c r="R335" s="19">
        <v>0</v>
      </c>
      <c r="S335" s="19">
        <v>833.18159999999989</v>
      </c>
      <c r="T335" s="19">
        <v>0</v>
      </c>
      <c r="U335" s="19">
        <v>0</v>
      </c>
      <c r="V335" s="19">
        <v>83.318159999999992</v>
      </c>
      <c r="W335" s="19">
        <v>208.40327999999997</v>
      </c>
      <c r="X335" s="19">
        <v>0</v>
      </c>
      <c r="Y335" s="19">
        <v>833.18159999999989</v>
      </c>
      <c r="Z335" s="19">
        <v>0</v>
      </c>
      <c r="AA335" s="19">
        <v>0</v>
      </c>
      <c r="AB335" s="19">
        <v>83.318159999999992</v>
      </c>
      <c r="AC335" s="19">
        <v>208.40327999999997</v>
      </c>
      <c r="AD335" s="19">
        <v>0</v>
      </c>
      <c r="AE335" s="19">
        <v>833.18159999999989</v>
      </c>
      <c r="AF335" s="19">
        <v>0</v>
      </c>
      <c r="AG335" s="19">
        <v>0</v>
      </c>
      <c r="AH335" s="19">
        <v>83.318159999999992</v>
      </c>
      <c r="AI335" s="19">
        <v>208.40327999999997</v>
      </c>
      <c r="AJ335" s="19">
        <v>0</v>
      </c>
      <c r="AK335" s="19">
        <v>833.18159999999989</v>
      </c>
      <c r="AL335" s="19">
        <v>0</v>
      </c>
      <c r="AM335" s="19">
        <v>0</v>
      </c>
      <c r="AN335" s="19">
        <v>83.318159999999992</v>
      </c>
      <c r="AO335" s="19">
        <v>208.40327999999997</v>
      </c>
      <c r="AP335" s="19">
        <v>0</v>
      </c>
      <c r="AQ335" s="19">
        <v>833.18159999999989</v>
      </c>
      <c r="AR335" s="19">
        <v>0</v>
      </c>
      <c r="AS335" s="19">
        <v>0</v>
      </c>
      <c r="AT335" s="19">
        <v>83.318159999999992</v>
      </c>
      <c r="AU335" s="19">
        <v>208.40327999999997</v>
      </c>
      <c r="AV335" s="19">
        <v>0</v>
      </c>
      <c r="AW335" s="19">
        <v>833.18159999999989</v>
      </c>
      <c r="AX335" s="19">
        <v>0</v>
      </c>
      <c r="AY335" s="19">
        <v>0</v>
      </c>
      <c r="AZ335" s="19">
        <v>83.318159999999992</v>
      </c>
      <c r="BA335" s="19">
        <v>208.40327999999997</v>
      </c>
      <c r="BB335" s="19">
        <v>0</v>
      </c>
      <c r="BC335" s="19">
        <v>833.18159999999989</v>
      </c>
      <c r="BD335" s="19">
        <v>0</v>
      </c>
      <c r="BE335" s="19">
        <v>0</v>
      </c>
      <c r="BF335" s="19">
        <v>83.318159999999992</v>
      </c>
      <c r="BG335" s="19">
        <v>208.40327999999997</v>
      </c>
      <c r="BH335" s="19">
        <v>0</v>
      </c>
      <c r="BI335" s="19">
        <v>833.18159999999989</v>
      </c>
      <c r="BJ335" s="19">
        <v>0</v>
      </c>
      <c r="BK335" s="19">
        <v>0</v>
      </c>
      <c r="BL335" s="19">
        <v>83.318159999999992</v>
      </c>
      <c r="BM335" s="19">
        <v>208.40327999999997</v>
      </c>
      <c r="BN335" s="19">
        <v>0</v>
      </c>
      <c r="BO335" s="19">
        <v>833.18159999999989</v>
      </c>
      <c r="BP335" s="19"/>
      <c r="BQ3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208.40327999999997</v>
      </c>
      <c r="BS3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833.18159999999989</v>
      </c>
      <c r="BT335" s="11">
        <f>Tabelle5897112140[[#This Row],[Mindestauslastung min]]*Tabelle5897112140[[#This Row],[installierte Leistung MW min]]</f>
        <v>0</v>
      </c>
      <c r="BU335" s="11">
        <f>Tabelle5897112140[[#This Row],[Mindestauslastung durch]]*Tabelle5897112140[[#This Row],[installierte Leistung MW durch]]</f>
        <v>0</v>
      </c>
      <c r="BV335" s="11">
        <f>Tabelle5897112140[[#This Row],[Mindestauslastung max]]*Tabelle5897112140[[#This Row],[installierte Leistung MW max]]</f>
        <v>0</v>
      </c>
      <c r="BW335" s="9">
        <v>0</v>
      </c>
      <c r="BX335" s="9">
        <v>0</v>
      </c>
      <c r="BY335" s="9">
        <v>0</v>
      </c>
      <c r="BZ335" s="9"/>
      <c r="CA335" s="9">
        <v>1.2874999999999999E-2</v>
      </c>
      <c r="CB335" s="9">
        <v>3.0000000000000001E-3</v>
      </c>
      <c r="CC335" s="9">
        <v>1.9E-2</v>
      </c>
      <c r="CD335" s="9">
        <v>1.2874999999999999E-2</v>
      </c>
      <c r="CE335" s="9">
        <v>3.0000000000000001E-3</v>
      </c>
      <c r="CF335" s="9">
        <v>1.9E-2</v>
      </c>
      <c r="CG335" s="9">
        <v>1.2874999999999999E-2</v>
      </c>
      <c r="CH335" s="9">
        <v>3.0000000000000001E-3</v>
      </c>
      <c r="CI335" s="9">
        <v>1.9E-2</v>
      </c>
      <c r="CJ335" s="9">
        <v>1.2874999999999999E-2</v>
      </c>
      <c r="CK335" s="9">
        <v>3.0000000000000001E-3</v>
      </c>
      <c r="CL335" s="9">
        <v>1.9E-2</v>
      </c>
      <c r="CM335" s="9">
        <v>1.2874999999999999E-2</v>
      </c>
      <c r="CN335" s="9">
        <v>3.0000000000000001E-3</v>
      </c>
      <c r="CO335" s="9">
        <v>1.9E-2</v>
      </c>
      <c r="CP335" s="9">
        <v>1.2874999999999999E-2</v>
      </c>
      <c r="CQ335" s="9">
        <v>3.0000000000000001E-3</v>
      </c>
      <c r="CR335" s="9">
        <v>1.9E-2</v>
      </c>
      <c r="CS335" s="9">
        <v>1.2874999999999999E-2</v>
      </c>
      <c r="CT335" s="9">
        <v>3.0000000000000001E-3</v>
      </c>
      <c r="CU335" s="9">
        <v>1.9E-2</v>
      </c>
      <c r="CV335" s="9">
        <v>1.2874999999999999E-2</v>
      </c>
      <c r="CW335" s="9">
        <v>3.0000000000000001E-3</v>
      </c>
      <c r="CX335" s="9">
        <v>1.9E-2</v>
      </c>
      <c r="CY335" s="9">
        <v>1.2874999999999999E-2</v>
      </c>
      <c r="CZ335" s="9">
        <v>3.0000000000000001E-3</v>
      </c>
      <c r="DA335" s="9">
        <v>1.9E-2</v>
      </c>
      <c r="DB335" s="9">
        <f>MIN(Tabelle5897112140[[#This Row],[Durchschnittsauslastung durch Sommer WTT]:[Durchschnittsauslastung max Winter SFN]])</f>
        <v>3.0000000000000001E-3</v>
      </c>
      <c r="DC3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5" s="9">
        <f>MAX(Tabelle5897112140[[#This Row],[Durchschnittsauslastung durch Sommer WTT]:[Durchschnittsauslastung max Winter SFN]])</f>
        <v>1.9E-2</v>
      </c>
      <c r="DE335" s="40">
        <f>Tabelle5897112140[[#This Row],[Durchschnittsauslastung min]]*Tabelle5897112140[[#This Row],[installierte Leistung MW min]]</f>
        <v>61.009620000000005</v>
      </c>
      <c r="DF335" s="40">
        <f>Tabelle5897112140[[#This Row],[Durchschnittsauslastung durch]]*Tabelle5897112140[[#This Row],[installierte Leistung MW durch]]</f>
        <v>265.00664</v>
      </c>
      <c r="DG335" s="40">
        <f>Tabelle5897112140[[#This Row],[Durchschnittsauslastung max]]*Tabelle5897112140[[#This Row],[installierte Leistung MW max]]</f>
        <v>395.76125999999999</v>
      </c>
      <c r="DH335" s="46">
        <f>Tabelle5897112140[[#This Row],[Maximalauslastung min]]*Tabelle5897112140[[#This Row],[installierte Leistung MW min]]</f>
        <v>20336.54</v>
      </c>
      <c r="DI335" s="46">
        <f>Tabelle5897112140[[#This Row],[Maximalauslastung durch]]*Tabelle5897112140[[#This Row],[installierte Leistung MW durch]]</f>
        <v>20583.04</v>
      </c>
      <c r="DJ335" s="19">
        <f>Tabelle5897112140[[#This Row],[Maximalauslastung max]]*Tabelle5897112140[[#This Row],[installierte Leistung MW durch]]</f>
        <v>20583.04</v>
      </c>
      <c r="DK335" s="9">
        <v>1</v>
      </c>
      <c r="DL335" s="9">
        <v>1</v>
      </c>
      <c r="DM335" s="9">
        <v>1</v>
      </c>
      <c r="DN335" s="1">
        <v>20583.04</v>
      </c>
      <c r="DO335" s="1">
        <v>20336.54</v>
      </c>
      <c r="DP335" s="1">
        <v>20829.54</v>
      </c>
      <c r="DQ335" s="19"/>
      <c r="DR335" s="19"/>
      <c r="DW335" s="1">
        <v>1.75</v>
      </c>
      <c r="DX335" s="1">
        <v>1.1499999999999999</v>
      </c>
      <c r="DY335" s="1">
        <v>2.35</v>
      </c>
      <c r="DZ335" s="1">
        <v>1.75</v>
      </c>
      <c r="EA335" s="1">
        <v>0.5</v>
      </c>
      <c r="EB335" s="1">
        <v>3</v>
      </c>
      <c r="EC335" s="1">
        <v>3.5</v>
      </c>
      <c r="ED335" s="1">
        <v>2.2999999999999998</v>
      </c>
      <c r="EE335" s="1">
        <v>4.7</v>
      </c>
      <c r="EF335" s="1">
        <v>3.5</v>
      </c>
      <c r="EG335" s="1">
        <v>3.5</v>
      </c>
      <c r="EH335" s="1">
        <v>3.5</v>
      </c>
      <c r="EL335" s="1">
        <v>160</v>
      </c>
      <c r="EM335" s="1">
        <v>144</v>
      </c>
      <c r="EN335" s="1">
        <v>176</v>
      </c>
      <c r="EO335" s="11"/>
      <c r="EP335" s="11"/>
      <c r="EQ335" s="11"/>
      <c r="ER335" s="1">
        <v>160</v>
      </c>
      <c r="ES335" s="1">
        <v>144</v>
      </c>
      <c r="ET335" s="1">
        <v>176</v>
      </c>
      <c r="EU335" s="1">
        <v>91.818181818181827</v>
      </c>
      <c r="EV335" s="19">
        <v>82.626262626262644</v>
      </c>
      <c r="EW335" s="19">
        <v>101.01010101010101</v>
      </c>
      <c r="EX335" s="19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>
        <v>747.47474747474746</v>
      </c>
      <c r="FK335" s="8">
        <v>740</v>
      </c>
      <c r="FL335" s="1">
        <v>754.94949494949492</v>
      </c>
      <c r="FO335" s="1">
        <v>67</v>
      </c>
      <c r="FP335" s="1">
        <v>67</v>
      </c>
      <c r="FQ335" s="1">
        <v>67</v>
      </c>
      <c r="FR335" s="13" t="s">
        <v>806</v>
      </c>
      <c r="FS335" s="13" t="s">
        <v>806</v>
      </c>
      <c r="FT335" s="13" t="s">
        <v>806</v>
      </c>
      <c r="FU335" s="13"/>
      <c r="FV335" s="13" t="s">
        <v>806</v>
      </c>
      <c r="FW335" s="13" t="s">
        <v>806</v>
      </c>
      <c r="FX335" s="13" t="s">
        <v>806</v>
      </c>
      <c r="FY335" s="13" t="s">
        <v>806</v>
      </c>
      <c r="FZ335" s="13" t="s">
        <v>806</v>
      </c>
      <c r="GA335" s="13" t="s">
        <v>806</v>
      </c>
      <c r="GB335" s="13" t="s">
        <v>806</v>
      </c>
      <c r="GE335" s="13" t="s">
        <v>806</v>
      </c>
      <c r="GF335" s="13" t="s">
        <v>806</v>
      </c>
      <c r="GH335" s="13" t="s">
        <v>806</v>
      </c>
    </row>
    <row r="336" spans="1:190" ht="12.75" customHeight="1" x14ac:dyDescent="0.25">
      <c r="A336" s="1" t="s">
        <v>130</v>
      </c>
      <c r="B336" s="1" t="s">
        <v>749</v>
      </c>
      <c r="C336" s="1" t="s">
        <v>804</v>
      </c>
      <c r="D336" s="1" t="s">
        <v>708</v>
      </c>
      <c r="E336" s="1" t="s">
        <v>139</v>
      </c>
      <c r="F336" s="1">
        <v>0</v>
      </c>
      <c r="G336" s="1">
        <v>2045</v>
      </c>
      <c r="H336" s="1">
        <v>0</v>
      </c>
      <c r="I336" s="1">
        <v>0</v>
      </c>
      <c r="J336" s="1">
        <v>1</v>
      </c>
      <c r="K3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77.57208</v>
      </c>
      <c r="N336" s="19">
        <v>0</v>
      </c>
      <c r="O336" s="19">
        <v>0</v>
      </c>
      <c r="P336" s="19">
        <v>77.57208</v>
      </c>
      <c r="Q336" s="19">
        <v>194.03064000000001</v>
      </c>
      <c r="R336" s="19">
        <v>0</v>
      </c>
      <c r="S336" s="19">
        <v>775.72080000000005</v>
      </c>
      <c r="T336" s="19">
        <v>0</v>
      </c>
      <c r="U336" s="19">
        <v>0</v>
      </c>
      <c r="V336" s="19">
        <v>77.57208</v>
      </c>
      <c r="W336" s="19">
        <v>194.03064000000001</v>
      </c>
      <c r="X336" s="19">
        <v>0</v>
      </c>
      <c r="Y336" s="19">
        <v>775.72080000000005</v>
      </c>
      <c r="Z336" s="19">
        <v>0</v>
      </c>
      <c r="AA336" s="19">
        <v>0</v>
      </c>
      <c r="AB336" s="19">
        <v>77.57208</v>
      </c>
      <c r="AC336" s="19">
        <v>194.03064000000001</v>
      </c>
      <c r="AD336" s="19">
        <v>0</v>
      </c>
      <c r="AE336" s="19">
        <v>775.72080000000005</v>
      </c>
      <c r="AF336" s="19">
        <v>0</v>
      </c>
      <c r="AG336" s="19">
        <v>0</v>
      </c>
      <c r="AH336" s="19">
        <v>77.57208</v>
      </c>
      <c r="AI336" s="19">
        <v>194.03064000000001</v>
      </c>
      <c r="AJ336" s="19">
        <v>0</v>
      </c>
      <c r="AK336" s="19">
        <v>775.72080000000005</v>
      </c>
      <c r="AL336" s="19">
        <v>0</v>
      </c>
      <c r="AM336" s="19">
        <v>0</v>
      </c>
      <c r="AN336" s="19">
        <v>77.57208</v>
      </c>
      <c r="AO336" s="19">
        <v>194.03064000000001</v>
      </c>
      <c r="AP336" s="19">
        <v>0</v>
      </c>
      <c r="AQ336" s="19">
        <v>775.72080000000005</v>
      </c>
      <c r="AR336" s="19">
        <v>0</v>
      </c>
      <c r="AS336" s="19">
        <v>0</v>
      </c>
      <c r="AT336" s="19">
        <v>77.57208</v>
      </c>
      <c r="AU336" s="19">
        <v>194.03064000000001</v>
      </c>
      <c r="AV336" s="19">
        <v>0</v>
      </c>
      <c r="AW336" s="19">
        <v>775.72080000000005</v>
      </c>
      <c r="AX336" s="19">
        <v>0</v>
      </c>
      <c r="AY336" s="19">
        <v>0</v>
      </c>
      <c r="AZ336" s="19">
        <v>77.57208</v>
      </c>
      <c r="BA336" s="19">
        <v>194.03064000000001</v>
      </c>
      <c r="BB336" s="19">
        <v>0</v>
      </c>
      <c r="BC336" s="19">
        <v>775.72080000000005</v>
      </c>
      <c r="BD336" s="19">
        <v>0</v>
      </c>
      <c r="BE336" s="19">
        <v>0</v>
      </c>
      <c r="BF336" s="19">
        <v>77.57208</v>
      </c>
      <c r="BG336" s="19">
        <v>194.03064000000001</v>
      </c>
      <c r="BH336" s="19">
        <v>0</v>
      </c>
      <c r="BI336" s="19">
        <v>775.72080000000005</v>
      </c>
      <c r="BJ336" s="19">
        <v>0</v>
      </c>
      <c r="BK336" s="19">
        <v>0</v>
      </c>
      <c r="BL336" s="19">
        <v>77.57208</v>
      </c>
      <c r="BM336" s="19">
        <v>194.03064000000001</v>
      </c>
      <c r="BN336" s="19">
        <v>0</v>
      </c>
      <c r="BO336" s="19">
        <v>775.72080000000005</v>
      </c>
      <c r="BP336" s="19"/>
      <c r="BQ3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194.03063999999998</v>
      </c>
      <c r="BS3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775.72080000000005</v>
      </c>
      <c r="BT336" s="11">
        <f>Tabelle5897112140[[#This Row],[Mindestauslastung min]]*Tabelle5897112140[[#This Row],[installierte Leistung MW min]]</f>
        <v>0</v>
      </c>
      <c r="BU336" s="11">
        <f>Tabelle5897112140[[#This Row],[Mindestauslastung durch]]*Tabelle5897112140[[#This Row],[installierte Leistung MW durch]]</f>
        <v>0</v>
      </c>
      <c r="BV336" s="11">
        <f>Tabelle5897112140[[#This Row],[Mindestauslastung max]]*Tabelle5897112140[[#This Row],[installierte Leistung MW max]]</f>
        <v>0</v>
      </c>
      <c r="BW336" s="9">
        <v>0</v>
      </c>
      <c r="BX336" s="9">
        <v>0</v>
      </c>
      <c r="BY336" s="9">
        <v>0</v>
      </c>
      <c r="BZ336" s="9"/>
      <c r="CA336" s="9">
        <v>1.2874999999999999E-2</v>
      </c>
      <c r="CB336" s="9">
        <v>3.0000000000000001E-3</v>
      </c>
      <c r="CC336" s="9">
        <v>1.9E-2</v>
      </c>
      <c r="CD336" s="9">
        <v>1.2874999999999999E-2</v>
      </c>
      <c r="CE336" s="9">
        <v>3.0000000000000001E-3</v>
      </c>
      <c r="CF336" s="9">
        <v>1.9E-2</v>
      </c>
      <c r="CG336" s="9">
        <v>1.2874999999999999E-2</v>
      </c>
      <c r="CH336" s="9">
        <v>3.0000000000000001E-3</v>
      </c>
      <c r="CI336" s="9">
        <v>1.9E-2</v>
      </c>
      <c r="CJ336" s="9">
        <v>1.2874999999999999E-2</v>
      </c>
      <c r="CK336" s="9">
        <v>3.0000000000000001E-3</v>
      </c>
      <c r="CL336" s="9">
        <v>1.9E-2</v>
      </c>
      <c r="CM336" s="9">
        <v>1.2874999999999999E-2</v>
      </c>
      <c r="CN336" s="9">
        <v>3.0000000000000001E-3</v>
      </c>
      <c r="CO336" s="9">
        <v>1.9E-2</v>
      </c>
      <c r="CP336" s="9">
        <v>1.2874999999999999E-2</v>
      </c>
      <c r="CQ336" s="9">
        <v>3.0000000000000001E-3</v>
      </c>
      <c r="CR336" s="9">
        <v>1.9E-2</v>
      </c>
      <c r="CS336" s="9">
        <v>1.2874999999999999E-2</v>
      </c>
      <c r="CT336" s="9">
        <v>3.0000000000000001E-3</v>
      </c>
      <c r="CU336" s="9">
        <v>1.9E-2</v>
      </c>
      <c r="CV336" s="9">
        <v>1.2874999999999999E-2</v>
      </c>
      <c r="CW336" s="9">
        <v>3.0000000000000001E-3</v>
      </c>
      <c r="CX336" s="9">
        <v>1.9E-2</v>
      </c>
      <c r="CY336" s="9">
        <v>1.2874999999999999E-2</v>
      </c>
      <c r="CZ336" s="9">
        <v>3.0000000000000001E-3</v>
      </c>
      <c r="DA336" s="9">
        <v>1.9E-2</v>
      </c>
      <c r="DB336" s="9">
        <f>MIN(Tabelle5897112140[[#This Row],[Durchschnittsauslastung durch Sommer WTT]:[Durchschnittsauslastung max Winter SFN]])</f>
        <v>3.0000000000000001E-3</v>
      </c>
      <c r="DC3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6" s="9">
        <f>MAX(Tabelle5897112140[[#This Row],[Durchschnittsauslastung durch Sommer WTT]:[Durchschnittsauslastung max Winter SFN]])</f>
        <v>1.9E-2</v>
      </c>
      <c r="DE336" s="40">
        <f>Tabelle5897112140[[#This Row],[Durchschnittsauslastung min]]*Tabelle5897112140[[#This Row],[installierte Leistung MW min]]</f>
        <v>56.802060000000004</v>
      </c>
      <c r="DF336" s="40">
        <f>Tabelle5897112140[[#This Row],[Durchschnittsauslastung durch]]*Tabelle5897112140[[#This Row],[installierte Leistung MW durch]]</f>
        <v>246.73032000000001</v>
      </c>
      <c r="DG336" s="40">
        <f>Tabelle5897112140[[#This Row],[Durchschnittsauslastung max]]*Tabelle5897112140[[#This Row],[installierte Leistung MW max]]</f>
        <v>368.46737999999999</v>
      </c>
      <c r="DH336" s="46">
        <f>Tabelle5897112140[[#This Row],[Maximalauslastung min]]*Tabelle5897112140[[#This Row],[installierte Leistung MW min]]</f>
        <v>18934.02</v>
      </c>
      <c r="DI336" s="46">
        <f>Tabelle5897112140[[#This Row],[Maximalauslastung durch]]*Tabelle5897112140[[#This Row],[installierte Leistung MW durch]]</f>
        <v>19163.52</v>
      </c>
      <c r="DJ336" s="19">
        <f>Tabelle5897112140[[#This Row],[Maximalauslastung max]]*Tabelle5897112140[[#This Row],[installierte Leistung MW durch]]</f>
        <v>19163.52</v>
      </c>
      <c r="DK336" s="9">
        <v>1</v>
      </c>
      <c r="DL336" s="9">
        <v>1</v>
      </c>
      <c r="DM336" s="9">
        <v>1</v>
      </c>
      <c r="DN336" s="1">
        <v>19163.52</v>
      </c>
      <c r="DO336" s="1">
        <v>18934.02</v>
      </c>
      <c r="DP336" s="1">
        <v>19393.02</v>
      </c>
      <c r="DQ336" s="19"/>
      <c r="DR336" s="19"/>
      <c r="DW336" s="1">
        <v>1.75</v>
      </c>
      <c r="DX336" s="1">
        <v>1.1499999999999999</v>
      </c>
      <c r="DY336" s="1">
        <v>2.35</v>
      </c>
      <c r="DZ336" s="1">
        <v>1.75</v>
      </c>
      <c r="EA336" s="1">
        <v>0.5</v>
      </c>
      <c r="EB336" s="1">
        <v>3</v>
      </c>
      <c r="EC336" s="1">
        <v>3.5</v>
      </c>
      <c r="ED336" s="1">
        <v>2.2999999999999998</v>
      </c>
      <c r="EE336" s="1">
        <v>4.7</v>
      </c>
      <c r="EF336" s="1">
        <v>3.5</v>
      </c>
      <c r="EG336" s="1">
        <v>3.5</v>
      </c>
      <c r="EH336" s="1">
        <v>3.5</v>
      </c>
      <c r="EL336" s="1">
        <v>160</v>
      </c>
      <c r="EM336" s="1">
        <v>144</v>
      </c>
      <c r="EN336" s="1">
        <v>176</v>
      </c>
      <c r="EO336" s="11"/>
      <c r="EP336" s="11"/>
      <c r="EQ336" s="11"/>
      <c r="ER336" s="1">
        <v>160</v>
      </c>
      <c r="ES336" s="1">
        <v>144</v>
      </c>
      <c r="ET336" s="1">
        <v>176</v>
      </c>
      <c r="EU336" s="1">
        <v>91.818181818181827</v>
      </c>
      <c r="EV336" s="19">
        <v>82.626262626262644</v>
      </c>
      <c r="EW336" s="19">
        <v>101.01010101010101</v>
      </c>
      <c r="EX336" s="19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>
        <v>747.47474747474746</v>
      </c>
      <c r="FK336" s="8">
        <v>740</v>
      </c>
      <c r="FL336" s="1">
        <v>754.94949494949492</v>
      </c>
      <c r="FO336" s="1">
        <v>67</v>
      </c>
      <c r="FP336" s="1">
        <v>67</v>
      </c>
      <c r="FQ336" s="1">
        <v>67</v>
      </c>
      <c r="FR336" s="13" t="s">
        <v>806</v>
      </c>
      <c r="FS336" s="13" t="s">
        <v>806</v>
      </c>
      <c r="FT336" s="13" t="s">
        <v>806</v>
      </c>
      <c r="FU336" s="13"/>
      <c r="FV336" s="13" t="s">
        <v>806</v>
      </c>
      <c r="FW336" s="13" t="s">
        <v>806</v>
      </c>
      <c r="FX336" s="13" t="s">
        <v>806</v>
      </c>
      <c r="FY336" s="13" t="s">
        <v>806</v>
      </c>
      <c r="FZ336" s="13" t="s">
        <v>806</v>
      </c>
      <c r="GA336" s="13" t="s">
        <v>806</v>
      </c>
      <c r="GB336" s="13" t="s">
        <v>806</v>
      </c>
      <c r="GE336" s="13" t="s">
        <v>806</v>
      </c>
      <c r="GF336" s="13" t="s">
        <v>806</v>
      </c>
      <c r="GH336" s="13" t="s">
        <v>806</v>
      </c>
    </row>
    <row r="337" spans="1:193" ht="12.75" customHeight="1" x14ac:dyDescent="0.25">
      <c r="A337" s="1" t="s">
        <v>130</v>
      </c>
      <c r="B337" s="1" t="s">
        <v>749</v>
      </c>
      <c r="C337" s="1" t="s">
        <v>804</v>
      </c>
      <c r="D337" s="1" t="s">
        <v>708</v>
      </c>
      <c r="E337" s="1" t="s">
        <v>139</v>
      </c>
      <c r="F337" s="1">
        <v>0</v>
      </c>
      <c r="G337" s="1">
        <v>2050</v>
      </c>
      <c r="H337" s="1">
        <v>0</v>
      </c>
      <c r="I337" s="1">
        <v>0</v>
      </c>
      <c r="J337" s="1">
        <v>1</v>
      </c>
      <c r="K3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70.389479999999992</v>
      </c>
      <c r="N337" s="19">
        <v>0</v>
      </c>
      <c r="O337" s="19">
        <v>0</v>
      </c>
      <c r="P337" s="19">
        <v>70.389479999999992</v>
      </c>
      <c r="Q337" s="19">
        <v>176.06483999999998</v>
      </c>
      <c r="R337" s="19">
        <v>0</v>
      </c>
      <c r="S337" s="19">
        <v>703.89480000000003</v>
      </c>
      <c r="T337" s="19">
        <v>0</v>
      </c>
      <c r="U337" s="19">
        <v>0</v>
      </c>
      <c r="V337" s="19">
        <v>70.389479999999992</v>
      </c>
      <c r="W337" s="19">
        <v>176.06483999999998</v>
      </c>
      <c r="X337" s="19">
        <v>0</v>
      </c>
      <c r="Y337" s="19">
        <v>703.89480000000003</v>
      </c>
      <c r="Z337" s="19">
        <v>0</v>
      </c>
      <c r="AA337" s="19">
        <v>0</v>
      </c>
      <c r="AB337" s="19">
        <v>70.389479999999992</v>
      </c>
      <c r="AC337" s="19">
        <v>176.06483999999998</v>
      </c>
      <c r="AD337" s="19">
        <v>0</v>
      </c>
      <c r="AE337" s="19">
        <v>703.89480000000003</v>
      </c>
      <c r="AF337" s="19">
        <v>0</v>
      </c>
      <c r="AG337" s="19">
        <v>0</v>
      </c>
      <c r="AH337" s="19">
        <v>70.389479999999992</v>
      </c>
      <c r="AI337" s="19">
        <v>176.06483999999998</v>
      </c>
      <c r="AJ337" s="19">
        <v>0</v>
      </c>
      <c r="AK337" s="19">
        <v>703.89480000000003</v>
      </c>
      <c r="AL337" s="19">
        <v>0</v>
      </c>
      <c r="AM337" s="19">
        <v>0</v>
      </c>
      <c r="AN337" s="19">
        <v>70.389479999999992</v>
      </c>
      <c r="AO337" s="19">
        <v>176.06483999999998</v>
      </c>
      <c r="AP337" s="19">
        <v>0</v>
      </c>
      <c r="AQ337" s="19">
        <v>703.89480000000003</v>
      </c>
      <c r="AR337" s="19">
        <v>0</v>
      </c>
      <c r="AS337" s="19">
        <v>0</v>
      </c>
      <c r="AT337" s="19">
        <v>70.389479999999992</v>
      </c>
      <c r="AU337" s="19">
        <v>176.06483999999998</v>
      </c>
      <c r="AV337" s="19">
        <v>0</v>
      </c>
      <c r="AW337" s="19">
        <v>703.89480000000003</v>
      </c>
      <c r="AX337" s="19">
        <v>0</v>
      </c>
      <c r="AY337" s="19">
        <v>0</v>
      </c>
      <c r="AZ337" s="19">
        <v>70.389479999999992</v>
      </c>
      <c r="BA337" s="19">
        <v>176.06483999999998</v>
      </c>
      <c r="BB337" s="19">
        <v>0</v>
      </c>
      <c r="BC337" s="19">
        <v>703.89480000000003</v>
      </c>
      <c r="BD337" s="19">
        <v>0</v>
      </c>
      <c r="BE337" s="19">
        <v>0</v>
      </c>
      <c r="BF337" s="19">
        <v>70.389479999999992</v>
      </c>
      <c r="BG337" s="19">
        <v>176.06483999999998</v>
      </c>
      <c r="BH337" s="19">
        <v>0</v>
      </c>
      <c r="BI337" s="19">
        <v>703.89480000000003</v>
      </c>
      <c r="BJ337" s="19">
        <v>0</v>
      </c>
      <c r="BK337" s="19">
        <v>0</v>
      </c>
      <c r="BL337" s="19">
        <v>70.389479999999992</v>
      </c>
      <c r="BM337" s="19">
        <v>176.06483999999998</v>
      </c>
      <c r="BN337" s="19">
        <v>0</v>
      </c>
      <c r="BO337" s="19">
        <v>703.89480000000003</v>
      </c>
      <c r="BP337" s="19"/>
      <c r="BQ3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176.06483999999998</v>
      </c>
      <c r="BS3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703.89480000000003</v>
      </c>
      <c r="BT337" s="11">
        <f>Tabelle5897112140[[#This Row],[Mindestauslastung min]]*Tabelle5897112140[[#This Row],[installierte Leistung MW min]]</f>
        <v>0</v>
      </c>
      <c r="BU337" s="11">
        <f>Tabelle5897112140[[#This Row],[Mindestauslastung durch]]*Tabelle5897112140[[#This Row],[installierte Leistung MW durch]]</f>
        <v>0</v>
      </c>
      <c r="BV337" s="11">
        <f>Tabelle5897112140[[#This Row],[Mindestauslastung max]]*Tabelle5897112140[[#This Row],[installierte Leistung MW max]]</f>
        <v>0</v>
      </c>
      <c r="BW337" s="9">
        <v>0</v>
      </c>
      <c r="BX337" s="9">
        <v>0</v>
      </c>
      <c r="BY337" s="9">
        <v>0</v>
      </c>
      <c r="BZ337" s="9"/>
      <c r="CA337" s="9">
        <v>1.2874999999999999E-2</v>
      </c>
      <c r="CB337" s="9">
        <v>3.0000000000000001E-3</v>
      </c>
      <c r="CC337" s="9">
        <v>1.9E-2</v>
      </c>
      <c r="CD337" s="9">
        <v>1.2874999999999999E-2</v>
      </c>
      <c r="CE337" s="9">
        <v>3.0000000000000001E-3</v>
      </c>
      <c r="CF337" s="9">
        <v>1.9E-2</v>
      </c>
      <c r="CG337" s="9">
        <v>1.2874999999999999E-2</v>
      </c>
      <c r="CH337" s="9">
        <v>3.0000000000000001E-3</v>
      </c>
      <c r="CI337" s="9">
        <v>1.9E-2</v>
      </c>
      <c r="CJ337" s="9">
        <v>1.2874999999999999E-2</v>
      </c>
      <c r="CK337" s="9">
        <v>3.0000000000000001E-3</v>
      </c>
      <c r="CL337" s="9">
        <v>1.9E-2</v>
      </c>
      <c r="CM337" s="9">
        <v>1.2874999999999999E-2</v>
      </c>
      <c r="CN337" s="9">
        <v>3.0000000000000001E-3</v>
      </c>
      <c r="CO337" s="9">
        <v>1.9E-2</v>
      </c>
      <c r="CP337" s="9">
        <v>1.2874999999999999E-2</v>
      </c>
      <c r="CQ337" s="9">
        <v>3.0000000000000001E-3</v>
      </c>
      <c r="CR337" s="9">
        <v>1.9E-2</v>
      </c>
      <c r="CS337" s="9">
        <v>1.2874999999999999E-2</v>
      </c>
      <c r="CT337" s="9">
        <v>3.0000000000000001E-3</v>
      </c>
      <c r="CU337" s="9">
        <v>1.9E-2</v>
      </c>
      <c r="CV337" s="9">
        <v>1.2874999999999999E-2</v>
      </c>
      <c r="CW337" s="9">
        <v>3.0000000000000001E-3</v>
      </c>
      <c r="CX337" s="9">
        <v>1.9E-2</v>
      </c>
      <c r="CY337" s="9">
        <v>1.2874999999999999E-2</v>
      </c>
      <c r="CZ337" s="9">
        <v>3.0000000000000001E-3</v>
      </c>
      <c r="DA337" s="9">
        <v>1.9E-2</v>
      </c>
      <c r="DB337" s="9">
        <f>MIN(Tabelle5897112140[[#This Row],[Durchschnittsauslastung durch Sommer WTT]:[Durchschnittsauslastung max Winter SFN]])</f>
        <v>3.0000000000000001E-3</v>
      </c>
      <c r="DC3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7" s="9">
        <f>MAX(Tabelle5897112140[[#This Row],[Durchschnittsauslastung durch Sommer WTT]:[Durchschnittsauslastung max Winter SFN]])</f>
        <v>1.9E-2</v>
      </c>
      <c r="DE337" s="40">
        <f>Tabelle5897112140[[#This Row],[Durchschnittsauslastung min]]*Tabelle5897112140[[#This Row],[installierte Leistung MW min]]</f>
        <v>51.542609999999996</v>
      </c>
      <c r="DF337" s="40">
        <f>Tabelle5897112140[[#This Row],[Durchschnittsauslastung durch]]*Tabelle5897112140[[#This Row],[installierte Leistung MW durch]]</f>
        <v>223.88491999999997</v>
      </c>
      <c r="DG337" s="40">
        <f>Tabelle5897112140[[#This Row],[Durchschnittsauslastung max]]*Tabelle5897112140[[#This Row],[installierte Leistung MW max]]</f>
        <v>334.35002999999995</v>
      </c>
      <c r="DH337" s="46">
        <f>Tabelle5897112140[[#This Row],[Maximalauslastung min]]*Tabelle5897112140[[#This Row],[installierte Leistung MW min]]</f>
        <v>17180.87</v>
      </c>
      <c r="DI337" s="46">
        <f>Tabelle5897112140[[#This Row],[Maximalauslastung durch]]*Tabelle5897112140[[#This Row],[installierte Leistung MW durch]]</f>
        <v>17389.12</v>
      </c>
      <c r="DJ337" s="19">
        <f>Tabelle5897112140[[#This Row],[Maximalauslastung max]]*Tabelle5897112140[[#This Row],[installierte Leistung MW durch]]</f>
        <v>17389.12</v>
      </c>
      <c r="DK337" s="9">
        <v>1</v>
      </c>
      <c r="DL337" s="9">
        <v>1</v>
      </c>
      <c r="DM337" s="9">
        <v>1</v>
      </c>
      <c r="DN337" s="1">
        <v>17389.12</v>
      </c>
      <c r="DO337" s="1">
        <v>17180.87</v>
      </c>
      <c r="DP337" s="1">
        <v>17597.37</v>
      </c>
      <c r="DQ337" s="19"/>
      <c r="DR337" s="19"/>
      <c r="DW337" s="1">
        <v>1.75</v>
      </c>
      <c r="DX337" s="1">
        <v>1.1499999999999999</v>
      </c>
      <c r="DY337" s="1">
        <v>2.35</v>
      </c>
      <c r="DZ337" s="1">
        <v>1.75</v>
      </c>
      <c r="EA337" s="1">
        <v>0.5</v>
      </c>
      <c r="EB337" s="1">
        <v>3</v>
      </c>
      <c r="EC337" s="1">
        <v>3.5</v>
      </c>
      <c r="ED337" s="1">
        <v>2.2999999999999998</v>
      </c>
      <c r="EE337" s="1">
        <v>4.7</v>
      </c>
      <c r="EF337" s="1">
        <v>3.5</v>
      </c>
      <c r="EG337" s="1">
        <v>3.5</v>
      </c>
      <c r="EH337" s="1">
        <v>3.5</v>
      </c>
      <c r="EL337" s="1">
        <v>160</v>
      </c>
      <c r="EM337" s="1">
        <v>144</v>
      </c>
      <c r="EN337" s="1">
        <v>176</v>
      </c>
      <c r="EO337" s="11"/>
      <c r="EP337" s="11"/>
      <c r="EQ337" s="11"/>
      <c r="ER337" s="1">
        <v>160</v>
      </c>
      <c r="ES337" s="1">
        <v>144</v>
      </c>
      <c r="ET337" s="1">
        <v>176</v>
      </c>
      <c r="EU337" s="1">
        <v>91.818181818181827</v>
      </c>
      <c r="EV337" s="19">
        <v>82.626262626262644</v>
      </c>
      <c r="EW337" s="19">
        <v>101.01010101010101</v>
      </c>
      <c r="EX337" s="19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>
        <v>747.47474747474746</v>
      </c>
      <c r="FK337" s="8">
        <v>740</v>
      </c>
      <c r="FL337" s="1">
        <v>754.94949494949492</v>
      </c>
      <c r="FO337" s="1">
        <v>67</v>
      </c>
      <c r="FP337" s="1">
        <v>67</v>
      </c>
      <c r="FQ337" s="1">
        <v>67</v>
      </c>
      <c r="FR337" s="13" t="s">
        <v>806</v>
      </c>
      <c r="FS337" s="13" t="s">
        <v>806</v>
      </c>
      <c r="FT337" s="13" t="s">
        <v>806</v>
      </c>
      <c r="FU337" s="13"/>
      <c r="FV337" s="13" t="s">
        <v>806</v>
      </c>
      <c r="FW337" s="13" t="s">
        <v>806</v>
      </c>
      <c r="FX337" s="13" t="s">
        <v>806</v>
      </c>
      <c r="FY337" s="13" t="s">
        <v>806</v>
      </c>
      <c r="FZ337" s="13" t="s">
        <v>806</v>
      </c>
      <c r="GA337" s="13" t="s">
        <v>806</v>
      </c>
      <c r="GB337" s="13" t="s">
        <v>806</v>
      </c>
      <c r="GE337" s="13" t="s">
        <v>806</v>
      </c>
      <c r="GF337" s="13" t="s">
        <v>806</v>
      </c>
      <c r="GH337" s="13" t="s">
        <v>806</v>
      </c>
    </row>
    <row r="338" spans="1:193" ht="12.75" customHeight="1" x14ac:dyDescent="0.25">
      <c r="A338" s="1" t="s">
        <v>51</v>
      </c>
      <c r="D338" s="1" t="s">
        <v>575</v>
      </c>
      <c r="E338" s="1" t="s">
        <v>126</v>
      </c>
      <c r="F338" s="1">
        <v>1</v>
      </c>
      <c r="G338" s="1">
        <v>2015</v>
      </c>
      <c r="H338" s="1">
        <v>1</v>
      </c>
      <c r="I338" s="1">
        <v>1</v>
      </c>
      <c r="J338" s="1">
        <v>0</v>
      </c>
      <c r="K338" s="11">
        <v>842</v>
      </c>
      <c r="L338" s="11">
        <v>891</v>
      </c>
      <c r="M338" s="11">
        <v>940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9"/>
      <c r="BQ338" s="11">
        <v>30</v>
      </c>
      <c r="BR338" s="11">
        <v>40</v>
      </c>
      <c r="BS338" s="11">
        <v>50</v>
      </c>
      <c r="BT338" s="11">
        <f>Tabelle5897112140[[#This Row],[Mindestauslastung min]]*Tabelle5897112140[[#This Row],[installierte Leistung MW min]]</f>
        <v>0</v>
      </c>
      <c r="BU338" s="11">
        <f>Tabelle5897112140[[#This Row],[Mindestauslastung durch]]*Tabelle5897112140[[#This Row],[installierte Leistung MW durch]]</f>
        <v>0</v>
      </c>
      <c r="BV338" s="11">
        <f>Tabelle5897112140[[#This Row],[Mindestauslastung max]]*Tabelle5897112140[[#This Row],[installierte Leistung MW max]]</f>
        <v>0</v>
      </c>
      <c r="BW338" s="9">
        <v>0</v>
      </c>
      <c r="BX338" s="9"/>
      <c r="BY338" s="9">
        <v>0</v>
      </c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39">
        <v>0.92</v>
      </c>
      <c r="DC338" s="39">
        <v>0.95</v>
      </c>
      <c r="DD338" s="39">
        <v>0.98</v>
      </c>
      <c r="DE338" s="11">
        <f>Tabelle5897112140[[#This Row],[Durchschnittsauslastung min]]*Tabelle5897112140[[#This Row],[installierte Leistung MW min]]</f>
        <v>803.16000000000008</v>
      </c>
      <c r="DF338" s="11">
        <f>Tabelle5897112140[[#This Row],[Durchschnittsauslastung durch]]*Tabelle5897112140[[#This Row],[installierte Leistung MW durch]]</f>
        <v>875.9</v>
      </c>
      <c r="DG338" s="11">
        <f>Tabelle5897112140[[#This Row],[Durchschnittsauslastung max]]*Tabelle5897112140[[#This Row],[installierte Leistung MW max]]</f>
        <v>951.57999999999993</v>
      </c>
      <c r="DH338" s="11">
        <f>Tabelle5897112140[[#This Row],[Maximalauslastung min]]*Tabelle5897112140[[#This Row],[installierte Leistung MW min]]</f>
        <v>858.15899999999999</v>
      </c>
      <c r="DI338" s="11">
        <f>Tabelle5897112140[[#This Row],[Maximalauslastung durch]]*Tabelle5897112140[[#This Row],[installierte Leistung MW durch]]</f>
        <v>912.78</v>
      </c>
      <c r="DJ338" s="11">
        <f>Tabelle5897112140[[#This Row],[Maximalauslastung max]]*Tabelle5897112140[[#This Row],[installierte Leistung MW durch]]</f>
        <v>919.23400000000004</v>
      </c>
      <c r="DK338" s="9">
        <v>0.98299999999999998</v>
      </c>
      <c r="DL338" s="9">
        <v>0.99</v>
      </c>
      <c r="DM338" s="9">
        <v>0.997</v>
      </c>
      <c r="DN338" s="11">
        <v>922</v>
      </c>
      <c r="DO338" s="11">
        <v>873</v>
      </c>
      <c r="DP338" s="11">
        <v>971</v>
      </c>
      <c r="DQ338" s="1">
        <v>1.7902777777777778E-3</v>
      </c>
      <c r="DR338" s="1">
        <v>0</v>
      </c>
      <c r="DS338" s="54">
        <v>8.3333333333333332E-3</v>
      </c>
      <c r="DT338" s="1">
        <v>0.23408333333333334</v>
      </c>
      <c r="DU338" s="1">
        <v>2.7777777777777778E-4</v>
      </c>
      <c r="DV338" s="54">
        <v>0.5</v>
      </c>
      <c r="DW338" s="1">
        <v>2.1</v>
      </c>
      <c r="DX338" s="1">
        <v>1.9000000000000001</v>
      </c>
      <c r="DY338" s="54">
        <v>2.3000000000000003</v>
      </c>
      <c r="DZ338" s="1">
        <v>4.2</v>
      </c>
      <c r="EA338" s="1">
        <v>3.7</v>
      </c>
      <c r="EB338" s="54">
        <v>4.7</v>
      </c>
      <c r="EC338" s="1">
        <v>6.1</v>
      </c>
      <c r="ED338" s="1">
        <v>6.1</v>
      </c>
      <c r="EE338" s="54">
        <v>6.1</v>
      </c>
      <c r="EF338" s="1">
        <v>4.2</v>
      </c>
      <c r="EG338" s="1">
        <v>3.7</v>
      </c>
      <c r="EH338" s="54">
        <v>4.7</v>
      </c>
      <c r="EJ338" s="1" t="s">
        <v>646</v>
      </c>
      <c r="EL338" s="1">
        <v>350</v>
      </c>
      <c r="EM338" s="1">
        <v>335</v>
      </c>
      <c r="EN338" s="1">
        <v>365</v>
      </c>
      <c r="EO338" s="1">
        <v>350</v>
      </c>
      <c r="EP338" s="1">
        <v>335</v>
      </c>
      <c r="EQ338" s="1">
        <v>365</v>
      </c>
      <c r="ER338" s="1">
        <v>730</v>
      </c>
      <c r="ES338" s="1">
        <v>680</v>
      </c>
      <c r="ET338" s="1">
        <v>780</v>
      </c>
      <c r="EU338" s="1">
        <v>1.0101010101010102</v>
      </c>
      <c r="EV338" s="19">
        <v>1.0101010101010102</v>
      </c>
      <c r="EW338" s="19">
        <v>1.0101010101010102</v>
      </c>
      <c r="EX338" s="19">
        <v>116.16161616161617</v>
      </c>
      <c r="EY338" s="8">
        <v>80.808080808080803</v>
      </c>
      <c r="EZ338" s="8">
        <v>151.51515151515153</v>
      </c>
      <c r="FA338" s="8">
        <v>475.75757575757575</v>
      </c>
      <c r="FB338" s="8">
        <v>360.60606060606062</v>
      </c>
      <c r="FC338" s="8">
        <v>590.90909090909088</v>
      </c>
      <c r="FD338" s="8">
        <v>0</v>
      </c>
      <c r="FE338" s="8">
        <v>0</v>
      </c>
      <c r="FF338" s="8">
        <v>0</v>
      </c>
      <c r="FG338" s="8">
        <v>0</v>
      </c>
      <c r="FH338" s="8">
        <v>0</v>
      </c>
      <c r="FI338" s="8">
        <v>0</v>
      </c>
      <c r="FJ338" s="8">
        <v>23.232323232323232</v>
      </c>
      <c r="FK338" s="8">
        <v>21.212121212121211</v>
      </c>
      <c r="FL338" s="8">
        <v>25.252525252525253</v>
      </c>
      <c r="FO338" s="1">
        <v>220</v>
      </c>
      <c r="FP338" s="1">
        <v>220</v>
      </c>
      <c r="FR338" s="13" t="s">
        <v>643</v>
      </c>
      <c r="FS338" s="1" t="s">
        <v>643</v>
      </c>
      <c r="FT338" s="13">
        <v>182</v>
      </c>
      <c r="FU338" s="13"/>
      <c r="FV338" s="13">
        <v>182</v>
      </c>
      <c r="FW338" s="13">
        <v>182</v>
      </c>
      <c r="FX338" s="1">
        <v>182</v>
      </c>
      <c r="FY338" s="13" t="s">
        <v>642</v>
      </c>
      <c r="FZ338" s="13" t="s">
        <v>641</v>
      </c>
      <c r="GA338" s="1">
        <v>202</v>
      </c>
      <c r="GB338" s="1">
        <v>202</v>
      </c>
      <c r="GD338" s="1" t="s">
        <v>645</v>
      </c>
      <c r="GE338" s="1">
        <v>211</v>
      </c>
      <c r="GF338" s="1">
        <v>214</v>
      </c>
      <c r="GG338" s="1">
        <v>220</v>
      </c>
      <c r="GH338" s="1">
        <v>214</v>
      </c>
      <c r="GK338" s="1" t="s">
        <v>644</v>
      </c>
    </row>
    <row r="339" spans="1:193" ht="12.75" customHeight="1" x14ac:dyDescent="0.25">
      <c r="A339" s="1" t="s">
        <v>51</v>
      </c>
      <c r="D339" s="1" t="s">
        <v>575</v>
      </c>
      <c r="E339" s="1" t="s">
        <v>126</v>
      </c>
      <c r="F339" s="1">
        <v>1</v>
      </c>
      <c r="G339" s="1">
        <v>2020</v>
      </c>
      <c r="H339" s="1">
        <v>1</v>
      </c>
      <c r="I339" s="1">
        <v>1</v>
      </c>
      <c r="J339" s="1">
        <v>0</v>
      </c>
      <c r="K339" s="11">
        <v>799.89999999999986</v>
      </c>
      <c r="L339" s="11">
        <v>846.44999999999993</v>
      </c>
      <c r="M339" s="11">
        <v>893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9"/>
      <c r="BQ339" s="11">
        <v>28.499999999999996</v>
      </c>
      <c r="BR339" s="11">
        <v>38</v>
      </c>
      <c r="BS339" s="11">
        <v>47.5</v>
      </c>
      <c r="BT339" s="11">
        <f>Tabelle5897112140[[#This Row],[Mindestauslastung min]]*Tabelle5897112140[[#This Row],[installierte Leistung MW min]]</f>
        <v>0</v>
      </c>
      <c r="BU339" s="11">
        <f>Tabelle5897112140[[#This Row],[Mindestauslastung durch]]*Tabelle5897112140[[#This Row],[installierte Leistung MW durch]]</f>
        <v>0</v>
      </c>
      <c r="BV339" s="19">
        <f>Tabelle5897112140[[#This Row],[Mindestauslastung max]]*Tabelle5897112140[[#This Row],[installierte Leistung MW max]]</f>
        <v>0</v>
      </c>
      <c r="BW339" s="9">
        <v>0</v>
      </c>
      <c r="BX339" s="9"/>
      <c r="BY339" s="9">
        <v>0</v>
      </c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39">
        <v>0.92</v>
      </c>
      <c r="DC339" s="39">
        <v>0.95</v>
      </c>
      <c r="DD339" s="39">
        <v>0.98</v>
      </c>
      <c r="DE339" s="11">
        <f>Tabelle5897112140[[#This Row],[Durchschnittsauslastung min]]*Tabelle5897112140[[#This Row],[installierte Leistung MW min]]</f>
        <v>763.00199999999995</v>
      </c>
      <c r="DF339" s="11">
        <f>Tabelle5897112140[[#This Row],[Durchschnittsauslastung durch]]*Tabelle5897112140[[#This Row],[installierte Leistung MW durch]]</f>
        <v>832.1049999999999</v>
      </c>
      <c r="DG339" s="46">
        <f>Tabelle5897112140[[#This Row],[Durchschnittsauslastung max]]*Tabelle5897112140[[#This Row],[installierte Leistung MW max]]</f>
        <v>904.00099999999986</v>
      </c>
      <c r="DH339" s="46">
        <f>Tabelle5897112140[[#This Row],[Maximalauslastung min]]*Tabelle5897112140[[#This Row],[installierte Leistung MW min]]</f>
        <v>815.25104999999985</v>
      </c>
      <c r="DI339" s="46">
        <f>Tabelle5897112140[[#This Row],[Maximalauslastung durch]]*Tabelle5897112140[[#This Row],[installierte Leistung MW durch]]</f>
        <v>867.14099999999996</v>
      </c>
      <c r="DJ339" s="11">
        <f>Tabelle5897112140[[#This Row],[Maximalauslastung max]]*Tabelle5897112140[[#This Row],[installierte Leistung MW durch]]</f>
        <v>873.27229999999997</v>
      </c>
      <c r="DK339" s="9">
        <v>0.98299999999999998</v>
      </c>
      <c r="DL339" s="9">
        <v>0.99</v>
      </c>
      <c r="DM339" s="9">
        <v>0.997</v>
      </c>
      <c r="DN339" s="11">
        <v>875.9</v>
      </c>
      <c r="DO339" s="11">
        <v>829.34999999999991</v>
      </c>
      <c r="DP339" s="11">
        <v>922.44999999999993</v>
      </c>
      <c r="DQ339" s="1">
        <v>1.7902777777777778E-3</v>
      </c>
      <c r="DR339" s="1">
        <v>0</v>
      </c>
      <c r="DS339" s="54">
        <v>8.3333333333333332E-3</v>
      </c>
      <c r="DT339" s="1">
        <v>0.23408333333333334</v>
      </c>
      <c r="DU339" s="1">
        <v>2.7777777777777778E-4</v>
      </c>
      <c r="DV339" s="54">
        <v>0.5</v>
      </c>
      <c r="DW339" s="1">
        <v>2.1</v>
      </c>
      <c r="DX339" s="1">
        <v>1.9000000000000001</v>
      </c>
      <c r="DY339" s="54">
        <v>2.3000000000000003</v>
      </c>
      <c r="DZ339" s="1">
        <v>4.2</v>
      </c>
      <c r="EA339" s="1">
        <v>3.7</v>
      </c>
      <c r="EB339" s="54">
        <v>4.7</v>
      </c>
      <c r="EC339" s="1">
        <v>6.1</v>
      </c>
      <c r="ED339" s="1">
        <v>6.1</v>
      </c>
      <c r="EE339" s="54">
        <v>6.1</v>
      </c>
      <c r="EF339" s="1">
        <v>4.2</v>
      </c>
      <c r="EG339" s="1">
        <v>3.7</v>
      </c>
      <c r="EH339" s="54">
        <v>4.7</v>
      </c>
      <c r="EJ339" s="1" t="s">
        <v>646</v>
      </c>
      <c r="EL339" s="1">
        <v>280</v>
      </c>
      <c r="EM339" s="1">
        <v>252</v>
      </c>
      <c r="EN339" s="1">
        <v>308</v>
      </c>
      <c r="EO339" s="1">
        <v>350</v>
      </c>
      <c r="EP339" s="1">
        <v>335</v>
      </c>
      <c r="EQ339" s="1">
        <v>365</v>
      </c>
      <c r="ER339" s="1">
        <v>280</v>
      </c>
      <c r="ES339" s="1">
        <v>252</v>
      </c>
      <c r="ET339" s="1">
        <v>308</v>
      </c>
      <c r="EU339" s="1">
        <v>1.0101010101010102</v>
      </c>
      <c r="EV339" s="19">
        <v>1.0101010101010102</v>
      </c>
      <c r="EW339" s="19">
        <v>1.0101010101010102</v>
      </c>
      <c r="EX339" s="19">
        <v>116.16161616161617</v>
      </c>
      <c r="EY339" s="8">
        <v>80.808080808080803</v>
      </c>
      <c r="EZ339" s="8">
        <v>151.51515151515153</v>
      </c>
      <c r="FA339" s="8">
        <v>475.75757575757575</v>
      </c>
      <c r="FB339" s="8">
        <v>360.60606060606062</v>
      </c>
      <c r="FC339" s="8">
        <v>590.90909090909088</v>
      </c>
      <c r="FD339" s="8">
        <v>0</v>
      </c>
      <c r="FE339" s="8">
        <v>0</v>
      </c>
      <c r="FF339" s="8">
        <v>0</v>
      </c>
      <c r="FG339" s="8">
        <v>0</v>
      </c>
      <c r="FH339" s="8">
        <v>0</v>
      </c>
      <c r="FI339" s="8">
        <v>0</v>
      </c>
      <c r="FJ339" s="8">
        <v>23.232323232323232</v>
      </c>
      <c r="FK339" s="8">
        <v>21.212121212121211</v>
      </c>
      <c r="FL339" s="8">
        <v>25.252525252525253</v>
      </c>
      <c r="FO339" s="1">
        <v>220</v>
      </c>
      <c r="FP339" s="1">
        <v>220</v>
      </c>
      <c r="FR339" s="13" t="s">
        <v>643</v>
      </c>
      <c r="FS339" s="1" t="s">
        <v>643</v>
      </c>
      <c r="FT339" s="13">
        <v>182</v>
      </c>
      <c r="FU339" s="13"/>
      <c r="FV339" s="13">
        <v>182</v>
      </c>
      <c r="FW339" s="13">
        <v>182</v>
      </c>
      <c r="FX339" s="1">
        <v>182</v>
      </c>
      <c r="FY339" s="13" t="s">
        <v>642</v>
      </c>
      <c r="FZ339" s="13" t="s">
        <v>641</v>
      </c>
      <c r="GA339" s="1">
        <v>202</v>
      </c>
      <c r="GB339" s="1">
        <v>202</v>
      </c>
      <c r="GD339" s="1" t="s">
        <v>645</v>
      </c>
      <c r="GE339" s="1">
        <v>211</v>
      </c>
      <c r="GF339" s="1">
        <v>214</v>
      </c>
      <c r="GG339" s="1">
        <v>220</v>
      </c>
      <c r="GH339" s="1">
        <v>214</v>
      </c>
      <c r="GK339" s="1" t="s">
        <v>644</v>
      </c>
    </row>
    <row r="340" spans="1:193" ht="12.75" customHeight="1" x14ac:dyDescent="0.25">
      <c r="A340" s="1" t="s">
        <v>51</v>
      </c>
      <c r="D340" s="1" t="s">
        <v>575</v>
      </c>
      <c r="E340" s="1" t="s">
        <v>126</v>
      </c>
      <c r="F340" s="1">
        <v>1</v>
      </c>
      <c r="G340" s="1">
        <v>2025</v>
      </c>
      <c r="H340" s="1">
        <v>1</v>
      </c>
      <c r="I340" s="1">
        <v>1</v>
      </c>
      <c r="J340" s="1">
        <v>0</v>
      </c>
      <c r="K340" s="11">
        <v>757.80000000000007</v>
      </c>
      <c r="L340" s="11">
        <v>801.9</v>
      </c>
      <c r="M340" s="11">
        <v>846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9"/>
      <c r="BQ340" s="11">
        <v>27</v>
      </c>
      <c r="BR340" s="11">
        <v>36</v>
      </c>
      <c r="BS340" s="11">
        <v>45</v>
      </c>
      <c r="BT340" s="11">
        <f>Tabelle5897112140[[#This Row],[Mindestauslastung min]]*Tabelle5897112140[[#This Row],[installierte Leistung MW min]]</f>
        <v>0</v>
      </c>
      <c r="BU340" s="11">
        <f>Tabelle5897112140[[#This Row],[Mindestauslastung durch]]*Tabelle5897112140[[#This Row],[installierte Leistung MW durch]]</f>
        <v>0</v>
      </c>
      <c r="BV340" s="19">
        <f>Tabelle5897112140[[#This Row],[Mindestauslastung max]]*Tabelle5897112140[[#This Row],[installierte Leistung MW max]]</f>
        <v>0</v>
      </c>
      <c r="BW340" s="9">
        <v>0</v>
      </c>
      <c r="BX340" s="9"/>
      <c r="BY340" s="9">
        <v>0</v>
      </c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39">
        <v>0.92</v>
      </c>
      <c r="DC340" s="39">
        <v>0.95</v>
      </c>
      <c r="DD340" s="39">
        <v>0.98</v>
      </c>
      <c r="DE340" s="11">
        <f>Tabelle5897112140[[#This Row],[Durchschnittsauslastung min]]*Tabelle5897112140[[#This Row],[installierte Leistung MW min]]</f>
        <v>722.84400000000005</v>
      </c>
      <c r="DF340" s="11">
        <f>Tabelle5897112140[[#This Row],[Durchschnittsauslastung durch]]*Tabelle5897112140[[#This Row],[installierte Leistung MW durch]]</f>
        <v>788.31000000000006</v>
      </c>
      <c r="DG340" s="46">
        <f>Tabelle5897112140[[#This Row],[Durchschnittsauslastung max]]*Tabelle5897112140[[#This Row],[installierte Leistung MW max]]</f>
        <v>856.42199999999991</v>
      </c>
      <c r="DH340" s="46">
        <f>Tabelle5897112140[[#This Row],[Maximalauslastung min]]*Tabelle5897112140[[#This Row],[installierte Leistung MW min]]</f>
        <v>772.34310000000005</v>
      </c>
      <c r="DI340" s="46">
        <f>Tabelle5897112140[[#This Row],[Maximalauslastung durch]]*Tabelle5897112140[[#This Row],[installierte Leistung MW durch]]</f>
        <v>821.50200000000007</v>
      </c>
      <c r="DJ340" s="11">
        <f>Tabelle5897112140[[#This Row],[Maximalauslastung max]]*Tabelle5897112140[[#This Row],[installierte Leistung MW durch]]</f>
        <v>827.31060000000002</v>
      </c>
      <c r="DK340" s="9">
        <v>0.98299999999999998</v>
      </c>
      <c r="DL340" s="9">
        <v>0.99</v>
      </c>
      <c r="DM340" s="9">
        <v>0.997</v>
      </c>
      <c r="DN340" s="11">
        <v>829.80000000000007</v>
      </c>
      <c r="DO340" s="11">
        <v>785.7</v>
      </c>
      <c r="DP340" s="11">
        <v>873.9</v>
      </c>
      <c r="DQ340" s="1">
        <v>1.7902777777777778E-3</v>
      </c>
      <c r="DR340" s="1">
        <v>0</v>
      </c>
      <c r="DS340" s="54">
        <v>8.3333333333333332E-3</v>
      </c>
      <c r="DT340" s="1">
        <v>0.23408333333333334</v>
      </c>
      <c r="DU340" s="1">
        <v>2.7777777777777778E-4</v>
      </c>
      <c r="DV340" s="54">
        <v>0.5</v>
      </c>
      <c r="DW340" s="1">
        <v>2.1</v>
      </c>
      <c r="DX340" s="1">
        <v>1.9000000000000001</v>
      </c>
      <c r="DY340" s="54">
        <v>2.3000000000000003</v>
      </c>
      <c r="DZ340" s="1">
        <v>4.2</v>
      </c>
      <c r="EA340" s="1">
        <v>3.7</v>
      </c>
      <c r="EB340" s="54">
        <v>4.7</v>
      </c>
      <c r="EC340" s="1">
        <v>6.1</v>
      </c>
      <c r="ED340" s="1">
        <v>6.1</v>
      </c>
      <c r="EE340" s="54">
        <v>6.1</v>
      </c>
      <c r="EF340" s="1">
        <v>4.2</v>
      </c>
      <c r="EG340" s="1">
        <v>3.7</v>
      </c>
      <c r="EH340" s="54">
        <v>4.7</v>
      </c>
      <c r="EJ340" s="1" t="s">
        <v>646</v>
      </c>
      <c r="EL340" s="1">
        <v>365</v>
      </c>
      <c r="EM340" s="1">
        <v>328</v>
      </c>
      <c r="EN340" s="1">
        <v>402</v>
      </c>
      <c r="EO340" s="1">
        <v>350</v>
      </c>
      <c r="EP340" s="1">
        <v>335</v>
      </c>
      <c r="EQ340" s="1">
        <v>365</v>
      </c>
      <c r="ER340" s="1">
        <v>730</v>
      </c>
      <c r="ES340" s="1">
        <v>680</v>
      </c>
      <c r="ET340" s="1">
        <v>780</v>
      </c>
      <c r="EU340" s="1">
        <v>1.0101010101010102</v>
      </c>
      <c r="EV340" s="19">
        <v>1.0101010101010102</v>
      </c>
      <c r="EW340" s="19">
        <v>1.0101010101010102</v>
      </c>
      <c r="EX340" s="19">
        <v>116.16161616161617</v>
      </c>
      <c r="EY340" s="8">
        <v>80.808080808080803</v>
      </c>
      <c r="EZ340" s="8">
        <v>151.51515151515153</v>
      </c>
      <c r="FA340" s="8">
        <v>475.75757575757575</v>
      </c>
      <c r="FB340" s="8">
        <v>360.60606060606062</v>
      </c>
      <c r="FC340" s="8">
        <v>590.90909090909088</v>
      </c>
      <c r="FD340" s="8">
        <v>0</v>
      </c>
      <c r="FE340" s="8">
        <v>0</v>
      </c>
      <c r="FF340" s="8">
        <v>0</v>
      </c>
      <c r="FG340" s="8">
        <v>0</v>
      </c>
      <c r="FH340" s="8">
        <v>0</v>
      </c>
      <c r="FI340" s="8">
        <v>0</v>
      </c>
      <c r="FJ340" s="8">
        <v>23.232323232323232</v>
      </c>
      <c r="FK340" s="8">
        <v>21.212121212121211</v>
      </c>
      <c r="FL340" s="8">
        <v>25.252525252525253</v>
      </c>
      <c r="FO340" s="1">
        <v>220</v>
      </c>
      <c r="FP340" s="1">
        <v>220</v>
      </c>
      <c r="FR340" s="13" t="s">
        <v>643</v>
      </c>
      <c r="FS340" s="1" t="s">
        <v>643</v>
      </c>
      <c r="FT340" s="13">
        <v>182</v>
      </c>
      <c r="FU340" s="13"/>
      <c r="FV340" s="13">
        <v>182</v>
      </c>
      <c r="FW340" s="13">
        <v>182</v>
      </c>
      <c r="FX340" s="1">
        <v>182</v>
      </c>
      <c r="FY340" s="13" t="s">
        <v>642</v>
      </c>
      <c r="FZ340" s="13" t="s">
        <v>641</v>
      </c>
      <c r="GA340" s="1">
        <v>202</v>
      </c>
      <c r="GB340" s="1">
        <v>202</v>
      </c>
      <c r="GD340" s="1" t="s">
        <v>645</v>
      </c>
      <c r="GE340" s="1">
        <v>211</v>
      </c>
      <c r="GF340" s="1">
        <v>214</v>
      </c>
      <c r="GG340" s="1">
        <v>220</v>
      </c>
      <c r="GH340" s="1">
        <v>214</v>
      </c>
      <c r="GK340" s="1" t="s">
        <v>644</v>
      </c>
    </row>
    <row r="341" spans="1:193" ht="12.75" customHeight="1" x14ac:dyDescent="0.25">
      <c r="A341" s="1" t="s">
        <v>51</v>
      </c>
      <c r="D341" s="1" t="s">
        <v>575</v>
      </c>
      <c r="E341" s="1" t="s">
        <v>126</v>
      </c>
      <c r="F341" s="1">
        <v>1</v>
      </c>
      <c r="G341" s="1">
        <v>2030</v>
      </c>
      <c r="H341" s="1">
        <v>1</v>
      </c>
      <c r="I341" s="1">
        <v>1</v>
      </c>
      <c r="J341" s="1">
        <v>0</v>
      </c>
      <c r="K341" s="11">
        <v>724.12</v>
      </c>
      <c r="L341" s="11">
        <v>766.26</v>
      </c>
      <c r="M341" s="11">
        <v>808.4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9"/>
      <c r="BQ341" s="11">
        <v>25.8</v>
      </c>
      <c r="BR341" s="11">
        <v>34.4</v>
      </c>
      <c r="BS341" s="11">
        <v>43</v>
      </c>
      <c r="BT341" s="11">
        <f>Tabelle5897112140[[#This Row],[Mindestauslastung min]]*Tabelle5897112140[[#This Row],[installierte Leistung MW min]]</f>
        <v>0</v>
      </c>
      <c r="BU341" s="11">
        <f>Tabelle5897112140[[#This Row],[Mindestauslastung durch]]*Tabelle5897112140[[#This Row],[installierte Leistung MW durch]]</f>
        <v>0</v>
      </c>
      <c r="BV341" s="19">
        <f>Tabelle5897112140[[#This Row],[Mindestauslastung max]]*Tabelle5897112140[[#This Row],[installierte Leistung MW max]]</f>
        <v>0</v>
      </c>
      <c r="BW341" s="9">
        <v>0</v>
      </c>
      <c r="BX341" s="9"/>
      <c r="BY341" s="9">
        <v>0</v>
      </c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39">
        <v>0.92</v>
      </c>
      <c r="DC341" s="39">
        <v>0.95</v>
      </c>
      <c r="DD341" s="39">
        <v>0.98</v>
      </c>
      <c r="DE341" s="11">
        <f>Tabelle5897112140[[#This Row],[Durchschnittsauslastung min]]*Tabelle5897112140[[#This Row],[installierte Leistung MW min]]</f>
        <v>690.71760000000006</v>
      </c>
      <c r="DF341" s="11">
        <f>Tabelle5897112140[[#This Row],[Durchschnittsauslastung durch]]*Tabelle5897112140[[#This Row],[installierte Leistung MW durch]]</f>
        <v>753.27399999999989</v>
      </c>
      <c r="DG341" s="46">
        <f>Tabelle5897112140[[#This Row],[Durchschnittsauslastung max]]*Tabelle5897112140[[#This Row],[installierte Leistung MW max]]</f>
        <v>818.35879999999997</v>
      </c>
      <c r="DH341" s="46">
        <f>Tabelle5897112140[[#This Row],[Maximalauslastung min]]*Tabelle5897112140[[#This Row],[installierte Leistung MW min]]</f>
        <v>738.01673999999991</v>
      </c>
      <c r="DI341" s="46">
        <f>Tabelle5897112140[[#This Row],[Maximalauslastung durch]]*Tabelle5897112140[[#This Row],[installierte Leistung MW durch]]</f>
        <v>784.99079999999992</v>
      </c>
      <c r="DJ341" s="11">
        <f>Tabelle5897112140[[#This Row],[Maximalauslastung max]]*Tabelle5897112140[[#This Row],[installierte Leistung MW durch]]</f>
        <v>790.5412399999999</v>
      </c>
      <c r="DK341" s="9">
        <v>0.98299999999999998</v>
      </c>
      <c r="DL341" s="9">
        <v>0.99</v>
      </c>
      <c r="DM341" s="9">
        <v>0.997</v>
      </c>
      <c r="DN341" s="11">
        <v>792.92</v>
      </c>
      <c r="DO341" s="11">
        <v>750.78</v>
      </c>
      <c r="DP341" s="11">
        <v>835.06</v>
      </c>
      <c r="DQ341" s="1">
        <v>1.7902777777777778E-3</v>
      </c>
      <c r="DR341" s="1">
        <v>0</v>
      </c>
      <c r="DS341" s="54">
        <v>8.3333333333333332E-3</v>
      </c>
      <c r="DT341" s="1">
        <v>0.23408333333333334</v>
      </c>
      <c r="DU341" s="1">
        <v>2.7777777777777778E-4</v>
      </c>
      <c r="DV341" s="54">
        <v>0.5</v>
      </c>
      <c r="DW341" s="1">
        <v>2.1</v>
      </c>
      <c r="DX341" s="1">
        <v>1.9000000000000001</v>
      </c>
      <c r="DY341" s="54">
        <v>2.3000000000000003</v>
      </c>
      <c r="DZ341" s="1">
        <v>4.2</v>
      </c>
      <c r="EA341" s="1">
        <v>3.7</v>
      </c>
      <c r="EB341" s="54">
        <v>4.7</v>
      </c>
      <c r="EC341" s="1">
        <v>6.1</v>
      </c>
      <c r="ED341" s="1">
        <v>6.1</v>
      </c>
      <c r="EE341" s="54">
        <v>6.1</v>
      </c>
      <c r="EF341" s="1">
        <v>4.2</v>
      </c>
      <c r="EG341" s="1">
        <v>3.7</v>
      </c>
      <c r="EH341" s="54">
        <v>4.7</v>
      </c>
      <c r="EJ341" s="1" t="s">
        <v>646</v>
      </c>
      <c r="EL341" s="1">
        <v>6570</v>
      </c>
      <c r="EM341" s="1">
        <v>4380</v>
      </c>
      <c r="EN341" s="1">
        <v>8760</v>
      </c>
      <c r="EO341" s="1">
        <v>350</v>
      </c>
      <c r="EP341" s="1">
        <v>335</v>
      </c>
      <c r="EQ341" s="1">
        <v>365</v>
      </c>
      <c r="ER341" s="1">
        <v>730</v>
      </c>
      <c r="ES341" s="1">
        <v>680</v>
      </c>
      <c r="ET341" s="1">
        <v>780</v>
      </c>
      <c r="EU341" s="1">
        <v>1.0101010101010102</v>
      </c>
      <c r="EV341" s="19">
        <v>1.0101010101010102</v>
      </c>
      <c r="EW341" s="19">
        <v>1.0101010101010102</v>
      </c>
      <c r="EX341" s="19">
        <v>116.16161616161617</v>
      </c>
      <c r="EY341" s="8">
        <v>80.808080808080803</v>
      </c>
      <c r="EZ341" s="8">
        <v>151.51515151515153</v>
      </c>
      <c r="FA341" s="8">
        <v>475.75757575757575</v>
      </c>
      <c r="FB341" s="8">
        <v>360.60606060606062</v>
      </c>
      <c r="FC341" s="8">
        <v>590.90909090909088</v>
      </c>
      <c r="FD341" s="8">
        <v>0</v>
      </c>
      <c r="FE341" s="8">
        <v>0</v>
      </c>
      <c r="FF341" s="8">
        <v>0</v>
      </c>
      <c r="FG341" s="8">
        <v>0</v>
      </c>
      <c r="FH341" s="8">
        <v>0</v>
      </c>
      <c r="FI341" s="8">
        <v>0</v>
      </c>
      <c r="FJ341" s="8">
        <v>23.232323232323232</v>
      </c>
      <c r="FK341" s="8">
        <v>21.212121212121211</v>
      </c>
      <c r="FL341" s="8">
        <v>25.252525252525253</v>
      </c>
      <c r="FO341" s="1">
        <v>220</v>
      </c>
      <c r="FP341" s="1">
        <v>220</v>
      </c>
      <c r="FR341" s="13" t="s">
        <v>643</v>
      </c>
      <c r="FS341" s="1" t="s">
        <v>643</v>
      </c>
      <c r="FT341" s="13">
        <v>182</v>
      </c>
      <c r="FU341" s="13"/>
      <c r="FV341" s="13">
        <v>182</v>
      </c>
      <c r="FW341" s="13">
        <v>182</v>
      </c>
      <c r="FX341" s="1">
        <v>182</v>
      </c>
      <c r="FY341" s="13" t="s">
        <v>642</v>
      </c>
      <c r="FZ341" s="13" t="s">
        <v>641</v>
      </c>
      <c r="GA341" s="1">
        <v>202</v>
      </c>
      <c r="GB341" s="1">
        <v>202</v>
      </c>
      <c r="GD341" s="1" t="s">
        <v>645</v>
      </c>
      <c r="GE341" s="1">
        <v>211</v>
      </c>
      <c r="GF341" s="1">
        <v>214</v>
      </c>
      <c r="GG341" s="1">
        <v>220</v>
      </c>
      <c r="GH341" s="1">
        <v>214</v>
      </c>
      <c r="GK341" s="1" t="s">
        <v>644</v>
      </c>
    </row>
    <row r="342" spans="1:193" ht="12.75" customHeight="1" x14ac:dyDescent="0.25">
      <c r="A342" s="1" t="s">
        <v>51</v>
      </c>
      <c r="D342" s="1" t="s">
        <v>575</v>
      </c>
      <c r="E342" s="1" t="s">
        <v>126</v>
      </c>
      <c r="F342" s="1">
        <v>1</v>
      </c>
      <c r="G342" s="1">
        <v>2035</v>
      </c>
      <c r="H342" s="1">
        <v>1</v>
      </c>
      <c r="I342" s="1">
        <v>1</v>
      </c>
      <c r="J342" s="1">
        <v>0</v>
      </c>
      <c r="K342" s="11">
        <v>690.44</v>
      </c>
      <c r="L342" s="11">
        <v>730.62</v>
      </c>
      <c r="M342" s="11">
        <v>770.8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9"/>
      <c r="BQ342" s="11">
        <v>24.6</v>
      </c>
      <c r="BR342" s="11">
        <v>32.799999999999997</v>
      </c>
      <c r="BS342" s="11">
        <v>41</v>
      </c>
      <c r="BT342" s="11">
        <f>Tabelle5897112140[[#This Row],[Mindestauslastung min]]*Tabelle5897112140[[#This Row],[installierte Leistung MW min]]</f>
        <v>0</v>
      </c>
      <c r="BU342" s="11">
        <f>Tabelle5897112140[[#This Row],[Mindestauslastung durch]]*Tabelle5897112140[[#This Row],[installierte Leistung MW durch]]</f>
        <v>0</v>
      </c>
      <c r="BV342" s="19">
        <f>Tabelle5897112140[[#This Row],[Mindestauslastung max]]*Tabelle5897112140[[#This Row],[installierte Leistung MW max]]</f>
        <v>0</v>
      </c>
      <c r="BW342" s="9">
        <v>0</v>
      </c>
      <c r="BX342" s="9"/>
      <c r="BY342" s="9">
        <v>0</v>
      </c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39">
        <v>0.92</v>
      </c>
      <c r="DC342" s="39">
        <v>0.95</v>
      </c>
      <c r="DD342" s="39">
        <v>0.98</v>
      </c>
      <c r="DE342" s="11">
        <f>Tabelle5897112140[[#This Row],[Durchschnittsauslastung min]]*Tabelle5897112140[[#This Row],[installierte Leistung MW min]]</f>
        <v>658.59120000000007</v>
      </c>
      <c r="DF342" s="11">
        <f>Tabelle5897112140[[#This Row],[Durchschnittsauslastung durch]]*Tabelle5897112140[[#This Row],[installierte Leistung MW durch]]</f>
        <v>718.23799999999994</v>
      </c>
      <c r="DG342" s="46">
        <f>Tabelle5897112140[[#This Row],[Durchschnittsauslastung max]]*Tabelle5897112140[[#This Row],[installierte Leistung MW max]]</f>
        <v>780.29559999999992</v>
      </c>
      <c r="DH342" s="46">
        <f>Tabelle5897112140[[#This Row],[Maximalauslastung min]]*Tabelle5897112140[[#This Row],[installierte Leistung MW min]]</f>
        <v>703.69038</v>
      </c>
      <c r="DI342" s="46">
        <f>Tabelle5897112140[[#This Row],[Maximalauslastung durch]]*Tabelle5897112140[[#This Row],[installierte Leistung MW durch]]</f>
        <v>748.4796</v>
      </c>
      <c r="DJ342" s="11">
        <f>Tabelle5897112140[[#This Row],[Maximalauslastung max]]*Tabelle5897112140[[#This Row],[installierte Leistung MW durch]]</f>
        <v>753.77188000000001</v>
      </c>
      <c r="DK342" s="9">
        <v>0.98299999999999998</v>
      </c>
      <c r="DL342" s="9">
        <v>0.99</v>
      </c>
      <c r="DM342" s="9">
        <v>0.997</v>
      </c>
      <c r="DN342" s="11">
        <v>756.04</v>
      </c>
      <c r="DO342" s="11">
        <v>715.86</v>
      </c>
      <c r="DP342" s="11">
        <v>796.21999999999991</v>
      </c>
      <c r="DQ342" s="1">
        <v>1.7902777777777778E-3</v>
      </c>
      <c r="DR342" s="1">
        <v>0</v>
      </c>
      <c r="DS342" s="54">
        <v>8.3333333333333332E-3</v>
      </c>
      <c r="DT342" s="1">
        <v>0.23408333333333334</v>
      </c>
      <c r="DU342" s="1">
        <v>2.7777777777777778E-4</v>
      </c>
      <c r="DV342" s="54">
        <v>0.5</v>
      </c>
      <c r="DW342" s="1">
        <v>2.1</v>
      </c>
      <c r="DX342" s="1">
        <v>1.9000000000000001</v>
      </c>
      <c r="DY342" s="54">
        <v>2.3000000000000003</v>
      </c>
      <c r="DZ342" s="1">
        <v>4.2</v>
      </c>
      <c r="EA342" s="1">
        <v>3.7</v>
      </c>
      <c r="EB342" s="54">
        <v>4.7</v>
      </c>
      <c r="EC342" s="1">
        <v>6.1</v>
      </c>
      <c r="ED342" s="1">
        <v>6.1</v>
      </c>
      <c r="EE342" s="54">
        <v>6.1</v>
      </c>
      <c r="EF342" s="1">
        <v>4.2</v>
      </c>
      <c r="EG342" s="1">
        <v>3.7</v>
      </c>
      <c r="EH342" s="54">
        <v>4.7</v>
      </c>
      <c r="EJ342" s="1" t="s">
        <v>646</v>
      </c>
      <c r="EL342" s="1">
        <v>350</v>
      </c>
      <c r="EM342" s="1">
        <v>335</v>
      </c>
      <c r="EN342" s="1">
        <v>365</v>
      </c>
      <c r="EO342" s="1">
        <v>350</v>
      </c>
      <c r="EP342" s="1">
        <v>335</v>
      </c>
      <c r="EQ342" s="1">
        <v>365</v>
      </c>
      <c r="ER342" s="1">
        <v>730</v>
      </c>
      <c r="ES342" s="1">
        <v>680</v>
      </c>
      <c r="ET342" s="1">
        <v>780</v>
      </c>
      <c r="EU342" s="1">
        <v>1.0101010101010102</v>
      </c>
      <c r="EV342" s="19">
        <v>1.0101010101010102</v>
      </c>
      <c r="EW342" s="19">
        <v>1.0101010101010102</v>
      </c>
      <c r="EX342" s="19">
        <v>116.16161616161617</v>
      </c>
      <c r="EY342" s="8">
        <v>80.808080808080803</v>
      </c>
      <c r="EZ342" s="8">
        <v>151.51515151515153</v>
      </c>
      <c r="FA342" s="8">
        <v>475.75757575757575</v>
      </c>
      <c r="FB342" s="8">
        <v>360.60606060606062</v>
      </c>
      <c r="FC342" s="8">
        <v>590.90909090909088</v>
      </c>
      <c r="FD342" s="8">
        <v>0</v>
      </c>
      <c r="FE342" s="8">
        <v>0</v>
      </c>
      <c r="FF342" s="8">
        <v>0</v>
      </c>
      <c r="FG342" s="8">
        <v>0</v>
      </c>
      <c r="FH342" s="8">
        <v>0</v>
      </c>
      <c r="FI342" s="8">
        <v>0</v>
      </c>
      <c r="FJ342" s="8">
        <v>23.232323232323232</v>
      </c>
      <c r="FK342" s="8">
        <v>21.212121212121211</v>
      </c>
      <c r="FL342" s="8">
        <v>25.252525252525253</v>
      </c>
      <c r="FO342" s="1">
        <v>220</v>
      </c>
      <c r="FP342" s="1">
        <v>220</v>
      </c>
      <c r="FR342" s="13" t="s">
        <v>643</v>
      </c>
      <c r="FS342" s="1" t="s">
        <v>643</v>
      </c>
      <c r="FT342" s="13">
        <v>182</v>
      </c>
      <c r="FU342" s="13"/>
      <c r="FV342" s="13">
        <v>182</v>
      </c>
      <c r="FW342" s="13">
        <v>182</v>
      </c>
      <c r="FX342" s="1">
        <v>182</v>
      </c>
      <c r="FY342" s="13" t="s">
        <v>642</v>
      </c>
      <c r="FZ342" s="13" t="s">
        <v>641</v>
      </c>
      <c r="GA342" s="1">
        <v>202</v>
      </c>
      <c r="GB342" s="1">
        <v>202</v>
      </c>
      <c r="GD342" s="1" t="s">
        <v>645</v>
      </c>
      <c r="GE342" s="1">
        <v>211</v>
      </c>
      <c r="GF342" s="1">
        <v>214</v>
      </c>
      <c r="GG342" s="1">
        <v>220</v>
      </c>
      <c r="GH342" s="1">
        <v>214</v>
      </c>
      <c r="GK342" s="1" t="s">
        <v>644</v>
      </c>
    </row>
    <row r="343" spans="1:193" ht="12.75" customHeight="1" x14ac:dyDescent="0.25">
      <c r="A343" s="1" t="s">
        <v>51</v>
      </c>
      <c r="D343" s="1" t="s">
        <v>575</v>
      </c>
      <c r="E343" s="1" t="s">
        <v>126</v>
      </c>
      <c r="F343" s="1">
        <v>1</v>
      </c>
      <c r="G343" s="1">
        <v>2040</v>
      </c>
      <c r="H343" s="1">
        <v>1</v>
      </c>
      <c r="I343" s="1">
        <v>1</v>
      </c>
      <c r="J343" s="1">
        <v>0</v>
      </c>
      <c r="K343" s="11">
        <v>656.76</v>
      </c>
      <c r="L343" s="11">
        <v>694.9799999999999</v>
      </c>
      <c r="M343" s="11">
        <v>733.2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9"/>
      <c r="BQ343" s="11">
        <v>23.400000000000002</v>
      </c>
      <c r="BR343" s="11">
        <v>31.199999999999996</v>
      </c>
      <c r="BS343" s="11">
        <v>39</v>
      </c>
      <c r="BT343" s="11">
        <f>Tabelle5897112140[[#This Row],[Mindestauslastung min]]*Tabelle5897112140[[#This Row],[installierte Leistung MW min]]</f>
        <v>0</v>
      </c>
      <c r="BU343" s="11">
        <f>Tabelle5897112140[[#This Row],[Mindestauslastung durch]]*Tabelle5897112140[[#This Row],[installierte Leistung MW durch]]</f>
        <v>0</v>
      </c>
      <c r="BV343" s="19">
        <f>Tabelle5897112140[[#This Row],[Mindestauslastung max]]*Tabelle5897112140[[#This Row],[installierte Leistung MW max]]</f>
        <v>0</v>
      </c>
      <c r="BW343" s="9">
        <v>0</v>
      </c>
      <c r="BX343" s="9"/>
      <c r="BY343" s="9">
        <v>0</v>
      </c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39">
        <v>0.92</v>
      </c>
      <c r="DC343" s="39">
        <v>0.95</v>
      </c>
      <c r="DD343" s="39">
        <v>0.98</v>
      </c>
      <c r="DE343" s="11">
        <f>Tabelle5897112140[[#This Row],[Durchschnittsauslastung min]]*Tabelle5897112140[[#This Row],[installierte Leistung MW min]]</f>
        <v>626.46480000000008</v>
      </c>
      <c r="DF343" s="11">
        <f>Tabelle5897112140[[#This Row],[Durchschnittsauslastung durch]]*Tabelle5897112140[[#This Row],[installierte Leistung MW durch]]</f>
        <v>683.20199999999988</v>
      </c>
      <c r="DG343" s="46">
        <f>Tabelle5897112140[[#This Row],[Durchschnittsauslastung max]]*Tabelle5897112140[[#This Row],[installierte Leistung MW max]]</f>
        <v>742.23239999999998</v>
      </c>
      <c r="DH343" s="46">
        <f>Tabelle5897112140[[#This Row],[Maximalauslastung min]]*Tabelle5897112140[[#This Row],[installierte Leistung MW min]]</f>
        <v>669.3640200000001</v>
      </c>
      <c r="DI343" s="46">
        <f>Tabelle5897112140[[#This Row],[Maximalauslastung durch]]*Tabelle5897112140[[#This Row],[installierte Leistung MW durch]]</f>
        <v>711.96839999999997</v>
      </c>
      <c r="DJ343" s="11">
        <f>Tabelle5897112140[[#This Row],[Maximalauslastung max]]*Tabelle5897112140[[#This Row],[installierte Leistung MW durch]]</f>
        <v>717.00252</v>
      </c>
      <c r="DK343" s="9">
        <v>0.98299999999999998</v>
      </c>
      <c r="DL343" s="9">
        <v>0.99</v>
      </c>
      <c r="DM343" s="9">
        <v>0.997</v>
      </c>
      <c r="DN343" s="11">
        <v>719.16</v>
      </c>
      <c r="DO343" s="11">
        <v>680.94</v>
      </c>
      <c r="DP343" s="11">
        <v>757.38</v>
      </c>
      <c r="DQ343" s="1">
        <v>1.7902777777777778E-3</v>
      </c>
      <c r="DR343" s="1">
        <v>0</v>
      </c>
      <c r="DS343" s="54">
        <v>8.3333333333333332E-3</v>
      </c>
      <c r="DT343" s="1">
        <v>0.23408333333333334</v>
      </c>
      <c r="DU343" s="1">
        <v>2.7777777777777778E-4</v>
      </c>
      <c r="DV343" s="54">
        <v>0.5</v>
      </c>
      <c r="DW343" s="1">
        <v>2.1</v>
      </c>
      <c r="DX343" s="1">
        <v>1.9000000000000001</v>
      </c>
      <c r="DY343" s="54">
        <v>2.3000000000000003</v>
      </c>
      <c r="DZ343" s="1">
        <v>4.2</v>
      </c>
      <c r="EA343" s="1">
        <v>3.7</v>
      </c>
      <c r="EB343" s="54">
        <v>4.7</v>
      </c>
      <c r="EC343" s="1">
        <v>6.1</v>
      </c>
      <c r="ED343" s="1">
        <v>6.1</v>
      </c>
      <c r="EE343" s="54">
        <v>6.1</v>
      </c>
      <c r="EF343" s="1">
        <v>4.2</v>
      </c>
      <c r="EG343" s="1">
        <v>3.7</v>
      </c>
      <c r="EH343" s="54">
        <v>4.7</v>
      </c>
      <c r="EJ343" s="1" t="s">
        <v>646</v>
      </c>
      <c r="EL343" s="1">
        <v>365</v>
      </c>
      <c r="EM343" s="1">
        <v>328</v>
      </c>
      <c r="EN343" s="1">
        <v>402</v>
      </c>
      <c r="EO343" s="1">
        <v>350</v>
      </c>
      <c r="EP343" s="1">
        <v>335</v>
      </c>
      <c r="EQ343" s="1">
        <v>365</v>
      </c>
      <c r="ER343" s="1">
        <v>730</v>
      </c>
      <c r="ES343" s="1">
        <v>680</v>
      </c>
      <c r="ET343" s="1">
        <v>780</v>
      </c>
      <c r="EU343" s="1">
        <v>1.0101010101010102</v>
      </c>
      <c r="EV343" s="19">
        <v>1.0101010101010102</v>
      </c>
      <c r="EW343" s="19">
        <v>1.0101010101010102</v>
      </c>
      <c r="EX343" s="19">
        <v>116.16161616161617</v>
      </c>
      <c r="EY343" s="8">
        <v>80.808080808080803</v>
      </c>
      <c r="EZ343" s="8">
        <v>151.51515151515153</v>
      </c>
      <c r="FA343" s="8">
        <v>475.75757575757575</v>
      </c>
      <c r="FB343" s="8">
        <v>360.60606060606062</v>
      </c>
      <c r="FC343" s="8">
        <v>590.90909090909088</v>
      </c>
      <c r="FD343" s="8">
        <v>0</v>
      </c>
      <c r="FE343" s="8">
        <v>0</v>
      </c>
      <c r="FF343" s="8">
        <v>0</v>
      </c>
      <c r="FG343" s="8">
        <v>0</v>
      </c>
      <c r="FH343" s="8">
        <v>0</v>
      </c>
      <c r="FI343" s="8">
        <v>0</v>
      </c>
      <c r="FJ343" s="8">
        <v>23.232323232323232</v>
      </c>
      <c r="FK343" s="8">
        <v>21.212121212121211</v>
      </c>
      <c r="FL343" s="8">
        <v>25.252525252525253</v>
      </c>
      <c r="FO343" s="1">
        <v>220</v>
      </c>
      <c r="FP343" s="1">
        <v>220</v>
      </c>
      <c r="FR343" s="13" t="s">
        <v>643</v>
      </c>
      <c r="FS343" s="1" t="s">
        <v>643</v>
      </c>
      <c r="FT343" s="13">
        <v>182</v>
      </c>
      <c r="FU343" s="13"/>
      <c r="FV343" s="13">
        <v>182</v>
      </c>
      <c r="FW343" s="13">
        <v>182</v>
      </c>
      <c r="FX343" s="1">
        <v>182</v>
      </c>
      <c r="FY343" s="13" t="s">
        <v>642</v>
      </c>
      <c r="FZ343" s="13" t="s">
        <v>641</v>
      </c>
      <c r="GA343" s="1">
        <v>202</v>
      </c>
      <c r="GB343" s="1">
        <v>202</v>
      </c>
      <c r="GD343" s="1" t="s">
        <v>645</v>
      </c>
      <c r="GE343" s="1">
        <v>211</v>
      </c>
      <c r="GF343" s="1">
        <v>214</v>
      </c>
      <c r="GG343" s="1">
        <v>220</v>
      </c>
      <c r="GH343" s="1">
        <v>214</v>
      </c>
      <c r="GK343" s="1" t="s">
        <v>644</v>
      </c>
    </row>
    <row r="344" spans="1:193" ht="12.75" customHeight="1" x14ac:dyDescent="0.25">
      <c r="A344" s="1" t="s">
        <v>51</v>
      </c>
      <c r="D344" s="1" t="s">
        <v>575</v>
      </c>
      <c r="E344" s="1" t="s">
        <v>126</v>
      </c>
      <c r="F344" s="1">
        <v>1</v>
      </c>
      <c r="G344" s="1">
        <v>2045</v>
      </c>
      <c r="H344" s="1">
        <v>1</v>
      </c>
      <c r="I344" s="1">
        <v>1</v>
      </c>
      <c r="J344" s="1">
        <v>0</v>
      </c>
      <c r="K344" s="11">
        <v>623.08000000000004</v>
      </c>
      <c r="L344" s="11">
        <v>659.34</v>
      </c>
      <c r="M344" s="11">
        <v>695.6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9"/>
      <c r="BQ344" s="11">
        <v>22.2</v>
      </c>
      <c r="BR344" s="11">
        <v>29.6</v>
      </c>
      <c r="BS344" s="11">
        <v>37</v>
      </c>
      <c r="BT344" s="11">
        <f>Tabelle5897112140[[#This Row],[Mindestauslastung min]]*Tabelle5897112140[[#This Row],[installierte Leistung MW min]]</f>
        <v>0</v>
      </c>
      <c r="BU344" s="11">
        <f>Tabelle5897112140[[#This Row],[Mindestauslastung durch]]*Tabelle5897112140[[#This Row],[installierte Leistung MW durch]]</f>
        <v>0</v>
      </c>
      <c r="BV344" s="19">
        <f>Tabelle5897112140[[#This Row],[Mindestauslastung max]]*Tabelle5897112140[[#This Row],[installierte Leistung MW max]]</f>
        <v>0</v>
      </c>
      <c r="BW344" s="9">
        <v>0</v>
      </c>
      <c r="BX344" s="9"/>
      <c r="BY344" s="9">
        <v>0</v>
      </c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39">
        <v>0.92</v>
      </c>
      <c r="DC344" s="39">
        <v>0.95</v>
      </c>
      <c r="DD344" s="39">
        <v>0.98</v>
      </c>
      <c r="DE344" s="11">
        <f>Tabelle5897112140[[#This Row],[Durchschnittsauslastung min]]*Tabelle5897112140[[#This Row],[installierte Leistung MW min]]</f>
        <v>594.33839999999998</v>
      </c>
      <c r="DF344" s="11">
        <f>Tabelle5897112140[[#This Row],[Durchschnittsauslastung durch]]*Tabelle5897112140[[#This Row],[installierte Leistung MW durch]]</f>
        <v>648.16599999999994</v>
      </c>
      <c r="DG344" s="46">
        <f>Tabelle5897112140[[#This Row],[Durchschnittsauslastung max]]*Tabelle5897112140[[#This Row],[installierte Leistung MW max]]</f>
        <v>704.16919999999993</v>
      </c>
      <c r="DH344" s="46">
        <f>Tabelle5897112140[[#This Row],[Maximalauslastung min]]*Tabelle5897112140[[#This Row],[installierte Leistung MW min]]</f>
        <v>635.03765999999996</v>
      </c>
      <c r="DI344" s="46">
        <f>Tabelle5897112140[[#This Row],[Maximalauslastung durch]]*Tabelle5897112140[[#This Row],[installierte Leistung MW durch]]</f>
        <v>675.45719999999994</v>
      </c>
      <c r="DJ344" s="11">
        <f>Tabelle5897112140[[#This Row],[Maximalauslastung max]]*Tabelle5897112140[[#This Row],[installierte Leistung MW durch]]</f>
        <v>680.23316</v>
      </c>
      <c r="DK344" s="9">
        <v>0.98299999999999998</v>
      </c>
      <c r="DL344" s="9">
        <v>0.99</v>
      </c>
      <c r="DM344" s="9">
        <v>0.997</v>
      </c>
      <c r="DN344" s="11">
        <v>682.28</v>
      </c>
      <c r="DO344" s="11">
        <v>646.02</v>
      </c>
      <c r="DP344" s="11">
        <v>718.54</v>
      </c>
      <c r="DQ344" s="1">
        <v>1.7902777777777778E-3</v>
      </c>
      <c r="DR344" s="1">
        <v>0</v>
      </c>
      <c r="DS344" s="54">
        <v>8.3333333333333332E-3</v>
      </c>
      <c r="DT344" s="1">
        <v>0.23408333333333334</v>
      </c>
      <c r="DU344" s="1">
        <v>2.7777777777777778E-4</v>
      </c>
      <c r="DV344" s="54">
        <v>0.5</v>
      </c>
      <c r="DW344" s="1">
        <v>2.1</v>
      </c>
      <c r="DX344" s="1">
        <v>1.9000000000000001</v>
      </c>
      <c r="DY344" s="54">
        <v>2.3000000000000003</v>
      </c>
      <c r="DZ344" s="1">
        <v>4.2</v>
      </c>
      <c r="EA344" s="1">
        <v>3.7</v>
      </c>
      <c r="EB344" s="54">
        <v>4.7</v>
      </c>
      <c r="EC344" s="1">
        <v>6.1</v>
      </c>
      <c r="ED344" s="1">
        <v>6.1</v>
      </c>
      <c r="EE344" s="54">
        <v>6.1</v>
      </c>
      <c r="EF344" s="1">
        <v>4.2</v>
      </c>
      <c r="EG344" s="1">
        <v>3.7</v>
      </c>
      <c r="EH344" s="54">
        <v>4.7</v>
      </c>
      <c r="EJ344" s="1" t="s">
        <v>646</v>
      </c>
      <c r="EL344" s="1">
        <v>639</v>
      </c>
      <c r="EM344" s="1">
        <v>575</v>
      </c>
      <c r="EN344" s="1">
        <v>703</v>
      </c>
      <c r="EO344" s="1">
        <v>350</v>
      </c>
      <c r="EP344" s="1">
        <v>335</v>
      </c>
      <c r="EQ344" s="1">
        <v>365</v>
      </c>
      <c r="ER344" s="1">
        <v>730</v>
      </c>
      <c r="ES344" s="1">
        <v>680</v>
      </c>
      <c r="ET344" s="1">
        <v>780</v>
      </c>
      <c r="EU344" s="1">
        <v>1.0101010101010102</v>
      </c>
      <c r="EV344" s="19">
        <v>1.0101010101010102</v>
      </c>
      <c r="EW344" s="19">
        <v>1.0101010101010102</v>
      </c>
      <c r="EX344" s="19">
        <v>116.16161616161617</v>
      </c>
      <c r="EY344" s="8">
        <v>80.808080808080803</v>
      </c>
      <c r="EZ344" s="8">
        <v>151.51515151515153</v>
      </c>
      <c r="FA344" s="8">
        <v>475.75757575757575</v>
      </c>
      <c r="FB344" s="8">
        <v>360.60606060606062</v>
      </c>
      <c r="FC344" s="8">
        <v>590.90909090909088</v>
      </c>
      <c r="FD344" s="8">
        <v>0</v>
      </c>
      <c r="FE344" s="8">
        <v>0</v>
      </c>
      <c r="FF344" s="8">
        <v>0</v>
      </c>
      <c r="FG344" s="8">
        <v>0</v>
      </c>
      <c r="FH344" s="8">
        <v>0</v>
      </c>
      <c r="FI344" s="8">
        <v>0</v>
      </c>
      <c r="FJ344" s="8">
        <v>23.232323232323232</v>
      </c>
      <c r="FK344" s="8">
        <v>21.212121212121211</v>
      </c>
      <c r="FL344" s="8">
        <v>25.252525252525253</v>
      </c>
      <c r="FO344" s="1">
        <v>220</v>
      </c>
      <c r="FP344" s="1">
        <v>220</v>
      </c>
      <c r="FR344" s="13" t="s">
        <v>643</v>
      </c>
      <c r="FS344" s="1" t="s">
        <v>643</v>
      </c>
      <c r="FT344" s="13">
        <v>182</v>
      </c>
      <c r="FU344" s="13"/>
      <c r="FV344" s="13">
        <v>182</v>
      </c>
      <c r="FW344" s="13">
        <v>182</v>
      </c>
      <c r="FX344" s="1">
        <v>182</v>
      </c>
      <c r="FY344" s="13" t="s">
        <v>642</v>
      </c>
      <c r="FZ344" s="13" t="s">
        <v>641</v>
      </c>
      <c r="GA344" s="1">
        <v>202</v>
      </c>
      <c r="GB344" s="1">
        <v>202</v>
      </c>
      <c r="GD344" s="1" t="s">
        <v>645</v>
      </c>
      <c r="GE344" s="1">
        <v>211</v>
      </c>
      <c r="GF344" s="1">
        <v>214</v>
      </c>
      <c r="GG344" s="1">
        <v>220</v>
      </c>
      <c r="GH344" s="1">
        <v>214</v>
      </c>
      <c r="GK344" s="1" t="s">
        <v>644</v>
      </c>
    </row>
    <row r="345" spans="1:193" ht="12.75" customHeight="1" x14ac:dyDescent="0.25">
      <c r="A345" s="1" t="s">
        <v>51</v>
      </c>
      <c r="D345" s="1" t="s">
        <v>575</v>
      </c>
      <c r="E345" s="1" t="s">
        <v>126</v>
      </c>
      <c r="F345" s="1">
        <v>1</v>
      </c>
      <c r="G345" s="1">
        <v>2050</v>
      </c>
      <c r="H345" s="1">
        <v>1</v>
      </c>
      <c r="I345" s="1">
        <v>1</v>
      </c>
      <c r="J345" s="1">
        <v>0</v>
      </c>
      <c r="K345" s="11">
        <v>589.39999999999986</v>
      </c>
      <c r="L345" s="11">
        <v>623.69999999999993</v>
      </c>
      <c r="M345" s="11">
        <v>658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9"/>
      <c r="BQ345" s="11">
        <v>20.999999999999996</v>
      </c>
      <c r="BR345" s="11">
        <v>28</v>
      </c>
      <c r="BS345" s="11">
        <v>35</v>
      </c>
      <c r="BT345" s="11">
        <f>Tabelle5897112140[[#This Row],[Mindestauslastung min]]*Tabelle5897112140[[#This Row],[installierte Leistung MW min]]</f>
        <v>0</v>
      </c>
      <c r="BU345" s="11">
        <f>Tabelle5897112140[[#This Row],[Mindestauslastung durch]]*Tabelle5897112140[[#This Row],[installierte Leistung MW durch]]</f>
        <v>0</v>
      </c>
      <c r="BV345" s="19">
        <f>Tabelle5897112140[[#This Row],[Mindestauslastung max]]*Tabelle5897112140[[#This Row],[installierte Leistung MW max]]</f>
        <v>0</v>
      </c>
      <c r="BW345" s="9">
        <v>0</v>
      </c>
      <c r="BX345" s="9"/>
      <c r="BY345" s="9">
        <v>0</v>
      </c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39">
        <v>0.92</v>
      </c>
      <c r="DC345" s="39">
        <v>0.95</v>
      </c>
      <c r="DD345" s="39">
        <v>0.98</v>
      </c>
      <c r="DE345" s="11">
        <f>Tabelle5897112140[[#This Row],[Durchschnittsauslastung min]]*Tabelle5897112140[[#This Row],[installierte Leistung MW min]]</f>
        <v>562.21199999999999</v>
      </c>
      <c r="DF345" s="11">
        <f>Tabelle5897112140[[#This Row],[Durchschnittsauslastung durch]]*Tabelle5897112140[[#This Row],[installierte Leistung MW durch]]</f>
        <v>613.13</v>
      </c>
      <c r="DG345" s="46">
        <f>Tabelle5897112140[[#This Row],[Durchschnittsauslastung max]]*Tabelle5897112140[[#This Row],[installierte Leistung MW max]]</f>
        <v>666.10599999999988</v>
      </c>
      <c r="DH345" s="46">
        <f>Tabelle5897112140[[#This Row],[Maximalauslastung min]]*Tabelle5897112140[[#This Row],[installierte Leistung MW min]]</f>
        <v>600.71129999999994</v>
      </c>
      <c r="DI345" s="46">
        <f>Tabelle5897112140[[#This Row],[Maximalauslastung durch]]*Tabelle5897112140[[#This Row],[installierte Leistung MW durch]]</f>
        <v>638.94600000000003</v>
      </c>
      <c r="DJ345" s="11">
        <f>Tabelle5897112140[[#This Row],[Maximalauslastung max]]*Tabelle5897112140[[#This Row],[installierte Leistung MW durch]]</f>
        <v>643.46379999999999</v>
      </c>
      <c r="DK345" s="9">
        <v>0.98299999999999998</v>
      </c>
      <c r="DL345" s="9">
        <v>0.99</v>
      </c>
      <c r="DM345" s="9">
        <v>0.997</v>
      </c>
      <c r="DN345" s="11">
        <v>645.4</v>
      </c>
      <c r="DO345" s="11">
        <v>611.09999999999991</v>
      </c>
      <c r="DP345" s="11">
        <v>679.69999999999993</v>
      </c>
      <c r="DQ345" s="1">
        <v>1.7902777777777778E-3</v>
      </c>
      <c r="DR345" s="1">
        <v>0</v>
      </c>
      <c r="DS345" s="54">
        <v>8.3333333333333332E-3</v>
      </c>
      <c r="DT345" s="1">
        <v>0.23408333333333334</v>
      </c>
      <c r="DU345" s="1">
        <v>2.7777777777777778E-4</v>
      </c>
      <c r="DV345" s="54">
        <v>0.5</v>
      </c>
      <c r="DW345" s="1">
        <v>2.1</v>
      </c>
      <c r="DX345" s="1">
        <v>1.9000000000000001</v>
      </c>
      <c r="DY345" s="54">
        <v>2.3000000000000003</v>
      </c>
      <c r="DZ345" s="1">
        <v>4.2</v>
      </c>
      <c r="EA345" s="1">
        <v>3.7</v>
      </c>
      <c r="EB345" s="54">
        <v>4.7</v>
      </c>
      <c r="EC345" s="1">
        <v>6.1</v>
      </c>
      <c r="ED345" s="1">
        <v>6.1</v>
      </c>
      <c r="EE345" s="54">
        <v>6.1</v>
      </c>
      <c r="EF345" s="1">
        <v>4.2</v>
      </c>
      <c r="EG345" s="1">
        <v>3.7</v>
      </c>
      <c r="EH345" s="54">
        <v>4.7</v>
      </c>
      <c r="EJ345" s="1" t="s">
        <v>646</v>
      </c>
      <c r="EL345" s="1">
        <v>365</v>
      </c>
      <c r="EM345" s="1">
        <v>328</v>
      </c>
      <c r="EN345" s="1">
        <v>402</v>
      </c>
      <c r="EO345" s="1">
        <v>350</v>
      </c>
      <c r="EP345" s="1">
        <v>335</v>
      </c>
      <c r="EQ345" s="1">
        <v>365</v>
      </c>
      <c r="ER345" s="1">
        <v>730</v>
      </c>
      <c r="ES345" s="1">
        <v>680</v>
      </c>
      <c r="ET345" s="1">
        <v>780</v>
      </c>
      <c r="EU345" s="1">
        <v>1.0101010101010102</v>
      </c>
      <c r="EV345" s="19">
        <v>1.0101010101010102</v>
      </c>
      <c r="EW345" s="19">
        <v>1.0101010101010102</v>
      </c>
      <c r="EX345" s="19">
        <v>116.16161616161617</v>
      </c>
      <c r="EY345" s="8">
        <v>80.808080808080803</v>
      </c>
      <c r="EZ345" s="8">
        <v>151.51515151515153</v>
      </c>
      <c r="FA345" s="8">
        <v>475.75757575757575</v>
      </c>
      <c r="FB345" s="8">
        <v>360.60606060606062</v>
      </c>
      <c r="FC345" s="8">
        <v>590.90909090909088</v>
      </c>
      <c r="FD345" s="8">
        <v>0</v>
      </c>
      <c r="FE345" s="8">
        <v>0</v>
      </c>
      <c r="FF345" s="8">
        <v>0</v>
      </c>
      <c r="FG345" s="8">
        <v>0</v>
      </c>
      <c r="FH345" s="8">
        <v>0</v>
      </c>
      <c r="FI345" s="8">
        <v>0</v>
      </c>
      <c r="FJ345" s="8">
        <v>23.232323232323232</v>
      </c>
      <c r="FK345" s="8">
        <v>21.212121212121211</v>
      </c>
      <c r="FL345" s="8">
        <v>25.252525252525253</v>
      </c>
      <c r="FO345" s="1">
        <v>220</v>
      </c>
      <c r="FP345" s="1">
        <v>220</v>
      </c>
      <c r="FR345" s="13" t="s">
        <v>643</v>
      </c>
      <c r="FS345" s="1" t="s">
        <v>643</v>
      </c>
      <c r="FT345" s="13">
        <v>182</v>
      </c>
      <c r="FU345" s="13"/>
      <c r="FV345" s="13">
        <v>182</v>
      </c>
      <c r="FW345" s="13">
        <v>182</v>
      </c>
      <c r="FX345" s="1">
        <v>182</v>
      </c>
      <c r="FY345" s="13" t="s">
        <v>642</v>
      </c>
      <c r="FZ345" s="13" t="s">
        <v>641</v>
      </c>
      <c r="GA345" s="1">
        <v>202</v>
      </c>
      <c r="GB345" s="1">
        <v>202</v>
      </c>
      <c r="GD345" s="1" t="s">
        <v>645</v>
      </c>
      <c r="GE345" s="1">
        <v>211</v>
      </c>
      <c r="GF345" s="1">
        <v>214</v>
      </c>
      <c r="GG345" s="1">
        <v>220</v>
      </c>
      <c r="GH345" s="1">
        <v>214</v>
      </c>
      <c r="GK345" s="1" t="s">
        <v>644</v>
      </c>
    </row>
    <row r="346" spans="1:193" ht="12.75" customHeight="1" x14ac:dyDescent="0.25">
      <c r="A346" s="1" t="s">
        <v>370</v>
      </c>
      <c r="D346" s="1" t="s">
        <v>581</v>
      </c>
      <c r="E346" s="1" t="s">
        <v>126</v>
      </c>
      <c r="F346" s="1">
        <v>1</v>
      </c>
      <c r="G346" s="1">
        <v>2015</v>
      </c>
      <c r="H346" s="1">
        <v>1</v>
      </c>
      <c r="I346" s="1">
        <v>1</v>
      </c>
      <c r="J346" s="1">
        <v>0</v>
      </c>
      <c r="K346" s="11">
        <v>39</v>
      </c>
      <c r="L346" s="11">
        <v>63</v>
      </c>
      <c r="M346" s="11">
        <v>87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9"/>
      <c r="BQ346" s="11">
        <v>3</v>
      </c>
      <c r="BR346" s="11">
        <v>12</v>
      </c>
      <c r="BS346" s="11">
        <v>21</v>
      </c>
      <c r="BT346" s="11">
        <f>Tabelle5897112140[[#This Row],[Mindestauslastung min]]*Tabelle5897112140[[#This Row],[installierte Leistung MW min]]</f>
        <v>0</v>
      </c>
      <c r="BU346" s="11">
        <f>Tabelle5897112140[[#This Row],[Mindestauslastung durch]]*Tabelle5897112140[[#This Row],[installierte Leistung MW durch]]</f>
        <v>0</v>
      </c>
      <c r="BV346" s="19">
        <f>Tabelle5897112140[[#This Row],[Mindestauslastung max]]*Tabelle5897112140[[#This Row],[installierte Leistung MW max]]</f>
        <v>0</v>
      </c>
      <c r="BW346" s="9">
        <v>0</v>
      </c>
      <c r="BX346" s="9"/>
      <c r="BY346" s="9">
        <v>0</v>
      </c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39">
        <v>0.72</v>
      </c>
      <c r="DC346" s="39">
        <v>0.8</v>
      </c>
      <c r="DD346" s="39">
        <v>0.88</v>
      </c>
      <c r="DE346" s="11">
        <f>Tabelle5897112140[[#This Row],[Durchschnittsauslastung min]]*Tabelle5897112140[[#This Row],[installierte Leistung MW min]]</f>
        <v>40.32</v>
      </c>
      <c r="DF346" s="11">
        <f>Tabelle5897112140[[#This Row],[Durchschnittsauslastung durch]]*Tabelle5897112140[[#This Row],[installierte Leistung MW durch]]</f>
        <v>62.400000000000006</v>
      </c>
      <c r="DG346" s="46">
        <f>Tabelle5897112140[[#This Row],[Durchschnittsauslastung max]]*Tabelle5897112140[[#This Row],[installierte Leistung MW max]]</f>
        <v>88</v>
      </c>
      <c r="DH346" s="46">
        <f>Tabelle5897112140[[#This Row],[Maximalauslastung min]]*Tabelle5897112140[[#This Row],[installierte Leistung MW min]]</f>
        <v>52.64</v>
      </c>
      <c r="DI346" s="46">
        <f>Tabelle5897112140[[#This Row],[Maximalauslastung durch]]*Tabelle5897112140[[#This Row],[installierte Leistung MW durch]]</f>
        <v>74.099999999999994</v>
      </c>
      <c r="DJ346" s="11">
        <f>Tabelle5897112140[[#This Row],[Maximalauslastung max]]*Tabelle5897112140[[#This Row],[installierte Leistung MW durch]]</f>
        <v>74.88</v>
      </c>
      <c r="DK346" s="9">
        <v>0.94</v>
      </c>
      <c r="DL346" s="9">
        <v>0.95</v>
      </c>
      <c r="DM346" s="9">
        <v>0.96</v>
      </c>
      <c r="DN346" s="11">
        <v>78</v>
      </c>
      <c r="DO346" s="11">
        <v>56</v>
      </c>
      <c r="DP346" s="11">
        <v>100</v>
      </c>
      <c r="DQ346" s="1">
        <v>0.16666666666666663</v>
      </c>
      <c r="DR346" s="1">
        <v>8.3333333333333329E-2</v>
      </c>
      <c r="DS346" s="54">
        <v>0.25</v>
      </c>
      <c r="DT346" s="1">
        <v>0.16666666666666663</v>
      </c>
      <c r="DU346" s="1">
        <v>8.3333333333333329E-2</v>
      </c>
      <c r="DV346" s="54">
        <v>0.25</v>
      </c>
      <c r="DW346" s="1">
        <v>2</v>
      </c>
      <c r="DX346" s="1">
        <v>1.6</v>
      </c>
      <c r="DY346" s="54">
        <v>2.4</v>
      </c>
      <c r="DZ346" s="1">
        <v>4.8</v>
      </c>
      <c r="EA346" s="1">
        <v>3.4</v>
      </c>
      <c r="EB346" s="54">
        <v>6.1999999999999993</v>
      </c>
      <c r="EC346" s="1">
        <v>6</v>
      </c>
      <c r="ED346" s="1">
        <v>6</v>
      </c>
      <c r="EE346" s="54">
        <v>6</v>
      </c>
      <c r="EF346" s="1">
        <v>4.8</v>
      </c>
      <c r="EG346" s="1">
        <v>3.4</v>
      </c>
      <c r="EH346" s="54">
        <v>6.1999999999999993</v>
      </c>
      <c r="EJ346" s="1" t="s">
        <v>646</v>
      </c>
      <c r="EL346" s="1">
        <v>50</v>
      </c>
      <c r="EM346" s="1">
        <v>20</v>
      </c>
      <c r="EN346" s="1">
        <v>80</v>
      </c>
      <c r="EO346" s="1">
        <v>0</v>
      </c>
      <c r="EP346" s="1">
        <v>0</v>
      </c>
      <c r="EQ346" s="1">
        <v>0</v>
      </c>
      <c r="ER346" s="1">
        <v>50</v>
      </c>
      <c r="ES346" s="1">
        <v>20</v>
      </c>
      <c r="ET346" s="1">
        <v>80</v>
      </c>
      <c r="EU346" s="1">
        <v>84.848484848484844</v>
      </c>
      <c r="EV346" s="19">
        <v>79.797979797979792</v>
      </c>
      <c r="EW346" s="19">
        <v>89.898989898989896</v>
      </c>
      <c r="EX346" s="19">
        <v>480.80808080808083</v>
      </c>
      <c r="EY346" s="8">
        <v>267.67676767676767</v>
      </c>
      <c r="EZ346" s="8">
        <v>693.93939393939399</v>
      </c>
      <c r="FA346" s="8">
        <v>1128.2828282828284</v>
      </c>
      <c r="FB346" s="8">
        <v>1033.3333333333333</v>
      </c>
      <c r="FC346" s="8">
        <v>1223.2323232323233</v>
      </c>
      <c r="FD346" s="8">
        <v>30.303030303030305</v>
      </c>
      <c r="FE346" s="8">
        <v>0</v>
      </c>
      <c r="FF346" s="8">
        <v>60.606060606060609</v>
      </c>
      <c r="FG346" s="8">
        <v>101.01010101010101</v>
      </c>
      <c r="FH346" s="8">
        <v>50.505050505050505</v>
      </c>
      <c r="FI346" s="8">
        <v>151.51515151515153</v>
      </c>
      <c r="FJ346" s="8">
        <v>206.06060606060606</v>
      </c>
      <c r="FK346" s="8">
        <v>195.95959595959596</v>
      </c>
      <c r="FL346" s="8">
        <v>216.16161616161617</v>
      </c>
      <c r="FO346" s="1">
        <v>220</v>
      </c>
      <c r="FP346" s="1">
        <v>220</v>
      </c>
      <c r="FR346" s="13" t="s">
        <v>643</v>
      </c>
      <c r="FS346" s="1" t="s">
        <v>643</v>
      </c>
      <c r="FT346" s="13">
        <v>182</v>
      </c>
      <c r="FU346" s="13"/>
      <c r="FV346" s="13">
        <v>182</v>
      </c>
      <c r="FW346" s="13">
        <v>182</v>
      </c>
      <c r="FX346" s="1">
        <v>182</v>
      </c>
      <c r="FY346" s="13" t="s">
        <v>642</v>
      </c>
      <c r="FZ346" s="13" t="s">
        <v>641</v>
      </c>
      <c r="GA346" s="1">
        <v>202</v>
      </c>
      <c r="GB346" s="1">
        <v>202</v>
      </c>
      <c r="GD346" s="1" t="s">
        <v>645</v>
      </c>
      <c r="GE346" s="1">
        <v>211</v>
      </c>
      <c r="GF346" s="1">
        <v>214</v>
      </c>
      <c r="GG346" s="1">
        <v>220</v>
      </c>
      <c r="GH346" s="1">
        <v>214</v>
      </c>
      <c r="GK346" s="1" t="s">
        <v>644</v>
      </c>
    </row>
    <row r="347" spans="1:193" ht="12.75" customHeight="1" x14ac:dyDescent="0.25">
      <c r="A347" s="1" t="s">
        <v>370</v>
      </c>
      <c r="D347" s="1" t="s">
        <v>581</v>
      </c>
      <c r="E347" s="1" t="s">
        <v>126</v>
      </c>
      <c r="F347" s="1">
        <v>1</v>
      </c>
      <c r="G347" s="1">
        <v>2020</v>
      </c>
      <c r="H347" s="1">
        <v>1</v>
      </c>
      <c r="I347" s="1">
        <v>1</v>
      </c>
      <c r="J347" s="1">
        <v>0</v>
      </c>
      <c r="K347" s="11">
        <v>36.660000000000004</v>
      </c>
      <c r="L347" s="11">
        <v>59.22</v>
      </c>
      <c r="M347" s="11">
        <v>81.78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9"/>
      <c r="BQ347" s="11">
        <v>2.8200000000000003</v>
      </c>
      <c r="BR347" s="11">
        <v>11.28</v>
      </c>
      <c r="BS347" s="11">
        <v>19.739999999999998</v>
      </c>
      <c r="BT347" s="11">
        <f>Tabelle5897112140[[#This Row],[Mindestauslastung min]]*Tabelle5897112140[[#This Row],[installierte Leistung MW min]]</f>
        <v>0</v>
      </c>
      <c r="BU347" s="11">
        <f>Tabelle5897112140[[#This Row],[Mindestauslastung durch]]*Tabelle5897112140[[#This Row],[installierte Leistung MW durch]]</f>
        <v>0</v>
      </c>
      <c r="BV347" s="19">
        <f>Tabelle5897112140[[#This Row],[Mindestauslastung max]]*Tabelle5897112140[[#This Row],[installierte Leistung MW max]]</f>
        <v>0</v>
      </c>
      <c r="BW347" s="9">
        <v>0</v>
      </c>
      <c r="BX347" s="9"/>
      <c r="BY347" s="9">
        <v>0</v>
      </c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39">
        <v>0.72</v>
      </c>
      <c r="DC347" s="39">
        <v>0.8</v>
      </c>
      <c r="DD347" s="39">
        <v>0.88</v>
      </c>
      <c r="DE347" s="11">
        <f>Tabelle5897112140[[#This Row],[Durchschnittsauslastung min]]*Tabelle5897112140[[#This Row],[installierte Leistung MW min]]</f>
        <v>37.900799999999997</v>
      </c>
      <c r="DF347" s="11">
        <f>Tabelle5897112140[[#This Row],[Durchschnittsauslastung durch]]*Tabelle5897112140[[#This Row],[installierte Leistung MW durch]]</f>
        <v>58.655999999999999</v>
      </c>
      <c r="DG347" s="46">
        <f>Tabelle5897112140[[#This Row],[Durchschnittsauslastung max]]*Tabelle5897112140[[#This Row],[installierte Leistung MW max]]</f>
        <v>82.72</v>
      </c>
      <c r="DH347" s="46">
        <f>Tabelle5897112140[[#This Row],[Maximalauslastung min]]*Tabelle5897112140[[#This Row],[installierte Leistung MW min]]</f>
        <v>49.4816</v>
      </c>
      <c r="DI347" s="46">
        <f>Tabelle5897112140[[#This Row],[Maximalauslastung durch]]*Tabelle5897112140[[#This Row],[installierte Leistung MW durch]]</f>
        <v>69.653999999999996</v>
      </c>
      <c r="DJ347" s="11">
        <f>Tabelle5897112140[[#This Row],[Maximalauslastung max]]*Tabelle5897112140[[#This Row],[installierte Leistung MW durch]]</f>
        <v>70.387199999999993</v>
      </c>
      <c r="DK347" s="9">
        <v>0.94</v>
      </c>
      <c r="DL347" s="9">
        <v>0.95</v>
      </c>
      <c r="DM347" s="9">
        <v>0.96</v>
      </c>
      <c r="DN347" s="11">
        <v>73.319999999999993</v>
      </c>
      <c r="DO347" s="11">
        <v>52.64</v>
      </c>
      <c r="DP347" s="11">
        <v>94</v>
      </c>
      <c r="DQ347" s="1">
        <v>0.16666666666666663</v>
      </c>
      <c r="DR347" s="1">
        <v>8.3333333333333329E-2</v>
      </c>
      <c r="DS347" s="54">
        <v>0.25</v>
      </c>
      <c r="DT347" s="1">
        <v>0.16666666666666663</v>
      </c>
      <c r="DU347" s="1">
        <v>8.3333333333333329E-2</v>
      </c>
      <c r="DV347" s="54">
        <v>0.25</v>
      </c>
      <c r="DW347" s="1">
        <v>2</v>
      </c>
      <c r="DX347" s="1">
        <v>1.6</v>
      </c>
      <c r="DY347" s="54">
        <v>2.4</v>
      </c>
      <c r="DZ347" s="1">
        <v>4.8</v>
      </c>
      <c r="EA347" s="1">
        <v>3.4</v>
      </c>
      <c r="EB347" s="54">
        <v>6.1999999999999993</v>
      </c>
      <c r="EC347" s="1">
        <v>6</v>
      </c>
      <c r="ED347" s="1">
        <v>6</v>
      </c>
      <c r="EE347" s="54">
        <v>6</v>
      </c>
      <c r="EF347" s="1">
        <v>4.8</v>
      </c>
      <c r="EG347" s="1">
        <v>3.4</v>
      </c>
      <c r="EH347" s="54">
        <v>6.1999999999999993</v>
      </c>
      <c r="EJ347" s="1" t="s">
        <v>646</v>
      </c>
      <c r="EL347" s="1">
        <v>280</v>
      </c>
      <c r="EM347" s="1">
        <v>252</v>
      </c>
      <c r="EN347" s="1">
        <v>308</v>
      </c>
      <c r="EO347" s="1">
        <v>0</v>
      </c>
      <c r="EP347" s="1">
        <v>0</v>
      </c>
      <c r="EQ347" s="1">
        <v>0</v>
      </c>
      <c r="ER347" s="1">
        <v>280</v>
      </c>
      <c r="ES347" s="1">
        <v>252</v>
      </c>
      <c r="ET347" s="1">
        <v>308</v>
      </c>
      <c r="EU347" s="1">
        <v>84.848484848484844</v>
      </c>
      <c r="EV347" s="19">
        <v>79.797979797979792</v>
      </c>
      <c r="EW347" s="19">
        <v>89.898989898989896</v>
      </c>
      <c r="EX347" s="19">
        <v>480.80808080808083</v>
      </c>
      <c r="EY347" s="8">
        <v>267.67676767676767</v>
      </c>
      <c r="EZ347" s="8">
        <v>693.93939393939399</v>
      </c>
      <c r="FA347" s="8">
        <v>1128.2828282828284</v>
      </c>
      <c r="FB347" s="8">
        <v>1033.3333333333333</v>
      </c>
      <c r="FC347" s="8">
        <v>1223.2323232323233</v>
      </c>
      <c r="FD347" s="8">
        <v>30.303030303030305</v>
      </c>
      <c r="FE347" s="8">
        <v>0</v>
      </c>
      <c r="FF347" s="8">
        <v>60.606060606060609</v>
      </c>
      <c r="FG347" s="8">
        <v>101.01010101010101</v>
      </c>
      <c r="FH347" s="8">
        <v>50.505050505050505</v>
      </c>
      <c r="FI347" s="8">
        <v>151.51515151515153</v>
      </c>
      <c r="FJ347" s="8">
        <v>206.06060606060606</v>
      </c>
      <c r="FK347" s="8">
        <v>195.95959595959596</v>
      </c>
      <c r="FL347" s="8">
        <v>216.16161616161617</v>
      </c>
      <c r="FO347" s="1">
        <v>220</v>
      </c>
      <c r="FP347" s="1">
        <v>220</v>
      </c>
      <c r="FR347" s="13" t="s">
        <v>643</v>
      </c>
      <c r="FS347" s="1" t="s">
        <v>643</v>
      </c>
      <c r="FT347" s="13">
        <v>182</v>
      </c>
      <c r="FU347" s="13"/>
      <c r="FV347" s="13">
        <v>182</v>
      </c>
      <c r="FW347" s="13">
        <v>182</v>
      </c>
      <c r="FX347" s="1">
        <v>182</v>
      </c>
      <c r="FY347" s="13" t="s">
        <v>642</v>
      </c>
      <c r="FZ347" s="13" t="s">
        <v>641</v>
      </c>
      <c r="GA347" s="1">
        <v>202</v>
      </c>
      <c r="GB347" s="1">
        <v>202</v>
      </c>
      <c r="GD347" s="1" t="s">
        <v>645</v>
      </c>
      <c r="GE347" s="1">
        <v>211</v>
      </c>
      <c r="GF347" s="1">
        <v>214</v>
      </c>
      <c r="GG347" s="1">
        <v>220</v>
      </c>
      <c r="GH347" s="1">
        <v>214</v>
      </c>
      <c r="GK347" s="1" t="s">
        <v>644</v>
      </c>
    </row>
    <row r="348" spans="1:193" ht="12.75" customHeight="1" x14ac:dyDescent="0.25">
      <c r="A348" s="1" t="s">
        <v>370</v>
      </c>
      <c r="D348" s="1" t="s">
        <v>581</v>
      </c>
      <c r="E348" s="1" t="s">
        <v>126</v>
      </c>
      <c r="F348" s="1">
        <v>1</v>
      </c>
      <c r="G348" s="1">
        <v>2025</v>
      </c>
      <c r="H348" s="1">
        <v>1</v>
      </c>
      <c r="I348" s="1">
        <v>1</v>
      </c>
      <c r="J348" s="1">
        <v>0</v>
      </c>
      <c r="K348" s="11">
        <v>34.32</v>
      </c>
      <c r="L348" s="11">
        <v>55.44</v>
      </c>
      <c r="M348" s="11">
        <v>76.56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9"/>
      <c r="BQ348" s="11">
        <v>2.64</v>
      </c>
      <c r="BR348" s="11">
        <v>10.56</v>
      </c>
      <c r="BS348" s="11">
        <v>18.48</v>
      </c>
      <c r="BT348" s="11">
        <f>Tabelle5897112140[[#This Row],[Mindestauslastung min]]*Tabelle5897112140[[#This Row],[installierte Leistung MW min]]</f>
        <v>0</v>
      </c>
      <c r="BU348" s="11">
        <f>Tabelle5897112140[[#This Row],[Mindestauslastung durch]]*Tabelle5897112140[[#This Row],[installierte Leistung MW durch]]</f>
        <v>0</v>
      </c>
      <c r="BV348" s="19">
        <f>Tabelle5897112140[[#This Row],[Mindestauslastung max]]*Tabelle5897112140[[#This Row],[installierte Leistung MW max]]</f>
        <v>0</v>
      </c>
      <c r="BW348" s="9">
        <v>0</v>
      </c>
      <c r="BX348" s="9"/>
      <c r="BY348" s="9">
        <v>0</v>
      </c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39">
        <v>0.72</v>
      </c>
      <c r="DC348" s="39">
        <v>0.8</v>
      </c>
      <c r="DD348" s="39">
        <v>0.88</v>
      </c>
      <c r="DE348" s="11">
        <f>Tabelle5897112140[[#This Row],[Durchschnittsauslastung min]]*Tabelle5897112140[[#This Row],[installierte Leistung MW min]]</f>
        <v>35.4816</v>
      </c>
      <c r="DF348" s="11">
        <f>Tabelle5897112140[[#This Row],[Durchschnittsauslastung durch]]*Tabelle5897112140[[#This Row],[installierte Leistung MW durch]]</f>
        <v>54.912000000000006</v>
      </c>
      <c r="DG348" s="46">
        <f>Tabelle5897112140[[#This Row],[Durchschnittsauslastung max]]*Tabelle5897112140[[#This Row],[installierte Leistung MW max]]</f>
        <v>77.44</v>
      </c>
      <c r="DH348" s="46">
        <f>Tabelle5897112140[[#This Row],[Maximalauslastung min]]*Tabelle5897112140[[#This Row],[installierte Leistung MW min]]</f>
        <v>46.3232</v>
      </c>
      <c r="DI348" s="46">
        <f>Tabelle5897112140[[#This Row],[Maximalauslastung durch]]*Tabelle5897112140[[#This Row],[installierte Leistung MW durch]]</f>
        <v>65.207999999999998</v>
      </c>
      <c r="DJ348" s="11">
        <f>Tabelle5897112140[[#This Row],[Maximalauslastung max]]*Tabelle5897112140[[#This Row],[installierte Leistung MW durch]]</f>
        <v>65.894400000000005</v>
      </c>
      <c r="DK348" s="9">
        <v>0.94</v>
      </c>
      <c r="DL348" s="9">
        <v>0.95</v>
      </c>
      <c r="DM348" s="9">
        <v>0.96</v>
      </c>
      <c r="DN348" s="11">
        <v>68.64</v>
      </c>
      <c r="DO348" s="11">
        <v>49.28</v>
      </c>
      <c r="DP348" s="11">
        <v>88</v>
      </c>
      <c r="DQ348" s="1">
        <v>0.16666666666666663</v>
      </c>
      <c r="DR348" s="1">
        <v>8.3333333333333329E-2</v>
      </c>
      <c r="DS348" s="54">
        <v>0.25</v>
      </c>
      <c r="DT348" s="1">
        <v>0.16666666666666663</v>
      </c>
      <c r="DU348" s="1">
        <v>8.3333333333333329E-2</v>
      </c>
      <c r="DV348" s="54">
        <v>0.25</v>
      </c>
      <c r="DW348" s="1">
        <v>2</v>
      </c>
      <c r="DX348" s="1">
        <v>1.6</v>
      </c>
      <c r="DY348" s="54">
        <v>2.4</v>
      </c>
      <c r="DZ348" s="1">
        <v>4.8</v>
      </c>
      <c r="EA348" s="1">
        <v>3.4</v>
      </c>
      <c r="EB348" s="54">
        <v>6.1999999999999993</v>
      </c>
      <c r="EC348" s="1">
        <v>6</v>
      </c>
      <c r="ED348" s="1">
        <v>6</v>
      </c>
      <c r="EE348" s="54">
        <v>6</v>
      </c>
      <c r="EF348" s="1">
        <v>4.8</v>
      </c>
      <c r="EG348" s="1">
        <v>3.4</v>
      </c>
      <c r="EH348" s="54">
        <v>6.1999999999999993</v>
      </c>
      <c r="EJ348" s="1" t="s">
        <v>646</v>
      </c>
      <c r="EL348" s="1">
        <v>365</v>
      </c>
      <c r="EM348" s="1">
        <v>328</v>
      </c>
      <c r="EN348" s="1">
        <v>402</v>
      </c>
      <c r="EO348" s="1">
        <v>0</v>
      </c>
      <c r="EP348" s="1">
        <v>0</v>
      </c>
      <c r="EQ348" s="1">
        <v>0</v>
      </c>
      <c r="ER348" s="1">
        <v>50</v>
      </c>
      <c r="ES348" s="1">
        <v>20</v>
      </c>
      <c r="ET348" s="1">
        <v>80</v>
      </c>
      <c r="EU348" s="1">
        <v>84.848484848484844</v>
      </c>
      <c r="EV348" s="19">
        <v>79.797979797979792</v>
      </c>
      <c r="EW348" s="19">
        <v>89.898989898989896</v>
      </c>
      <c r="EX348" s="19">
        <v>480.80808080808083</v>
      </c>
      <c r="EY348" s="8">
        <v>267.67676767676767</v>
      </c>
      <c r="EZ348" s="8">
        <v>693.93939393939399</v>
      </c>
      <c r="FA348" s="8">
        <v>1128.2828282828284</v>
      </c>
      <c r="FB348" s="8">
        <v>1033.3333333333333</v>
      </c>
      <c r="FC348" s="8">
        <v>1223.2323232323233</v>
      </c>
      <c r="FD348" s="8">
        <v>30.303030303030305</v>
      </c>
      <c r="FE348" s="8">
        <v>0</v>
      </c>
      <c r="FF348" s="8">
        <v>60.606060606060609</v>
      </c>
      <c r="FG348" s="8">
        <v>101.01010101010101</v>
      </c>
      <c r="FH348" s="8">
        <v>50.505050505050505</v>
      </c>
      <c r="FI348" s="8">
        <v>151.51515151515153</v>
      </c>
      <c r="FJ348" s="8">
        <v>206.06060606060606</v>
      </c>
      <c r="FK348" s="8">
        <v>195.95959595959596</v>
      </c>
      <c r="FL348" s="8">
        <v>216.16161616161617</v>
      </c>
      <c r="FO348" s="1">
        <v>220</v>
      </c>
      <c r="FP348" s="1">
        <v>220</v>
      </c>
      <c r="FR348" s="13" t="s">
        <v>643</v>
      </c>
      <c r="FS348" s="1" t="s">
        <v>643</v>
      </c>
      <c r="FT348" s="13">
        <v>182</v>
      </c>
      <c r="FU348" s="13"/>
      <c r="FV348" s="13">
        <v>182</v>
      </c>
      <c r="FW348" s="13">
        <v>182</v>
      </c>
      <c r="FX348" s="1">
        <v>182</v>
      </c>
      <c r="FY348" s="13" t="s">
        <v>642</v>
      </c>
      <c r="FZ348" s="13" t="s">
        <v>641</v>
      </c>
      <c r="GA348" s="1">
        <v>202</v>
      </c>
      <c r="GB348" s="1">
        <v>202</v>
      </c>
      <c r="GD348" s="1" t="s">
        <v>645</v>
      </c>
      <c r="GE348" s="1">
        <v>211</v>
      </c>
      <c r="GF348" s="1">
        <v>214</v>
      </c>
      <c r="GG348" s="1">
        <v>220</v>
      </c>
      <c r="GH348" s="1">
        <v>214</v>
      </c>
      <c r="GK348" s="1" t="s">
        <v>644</v>
      </c>
    </row>
    <row r="349" spans="1:193" ht="12.75" customHeight="1" x14ac:dyDescent="0.25">
      <c r="A349" s="1" t="s">
        <v>370</v>
      </c>
      <c r="D349" s="1" t="s">
        <v>581</v>
      </c>
      <c r="E349" s="1" t="s">
        <v>126</v>
      </c>
      <c r="F349" s="1">
        <v>1</v>
      </c>
      <c r="G349" s="1">
        <v>2030</v>
      </c>
      <c r="H349" s="1">
        <v>1</v>
      </c>
      <c r="I349" s="1">
        <v>1</v>
      </c>
      <c r="J349" s="1">
        <v>0</v>
      </c>
      <c r="K349" s="11">
        <v>31.979999999999997</v>
      </c>
      <c r="L349" s="11">
        <v>51.66</v>
      </c>
      <c r="M349" s="11">
        <v>71.339999999999989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9"/>
      <c r="BQ349" s="11">
        <v>2.46</v>
      </c>
      <c r="BR349" s="11">
        <v>9.84</v>
      </c>
      <c r="BS349" s="11">
        <v>17.22</v>
      </c>
      <c r="BT349" s="11">
        <f>Tabelle5897112140[[#This Row],[Mindestauslastung min]]*Tabelle5897112140[[#This Row],[installierte Leistung MW min]]</f>
        <v>0</v>
      </c>
      <c r="BU349" s="11">
        <f>Tabelle5897112140[[#This Row],[Mindestauslastung durch]]*Tabelle5897112140[[#This Row],[installierte Leistung MW durch]]</f>
        <v>0</v>
      </c>
      <c r="BV349" s="19">
        <f>Tabelle5897112140[[#This Row],[Mindestauslastung max]]*Tabelle5897112140[[#This Row],[installierte Leistung MW max]]</f>
        <v>0</v>
      </c>
      <c r="BW349" s="9">
        <v>0</v>
      </c>
      <c r="BX349" s="9"/>
      <c r="BY349" s="9">
        <v>0</v>
      </c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39">
        <v>0.72</v>
      </c>
      <c r="DC349" s="39">
        <v>0.8</v>
      </c>
      <c r="DD349" s="39">
        <v>0.88</v>
      </c>
      <c r="DE349" s="11">
        <f>Tabelle5897112140[[#This Row],[Durchschnittsauslastung min]]*Tabelle5897112140[[#This Row],[installierte Leistung MW min]]</f>
        <v>33.062399999999997</v>
      </c>
      <c r="DF349" s="11">
        <f>Tabelle5897112140[[#This Row],[Durchschnittsauslastung durch]]*Tabelle5897112140[[#This Row],[installierte Leistung MW durch]]</f>
        <v>51.167999999999999</v>
      </c>
      <c r="DG349" s="46">
        <f>Tabelle5897112140[[#This Row],[Durchschnittsauslastung max]]*Tabelle5897112140[[#This Row],[installierte Leistung MW max]]</f>
        <v>72.16</v>
      </c>
      <c r="DH349" s="46">
        <f>Tabelle5897112140[[#This Row],[Maximalauslastung min]]*Tabelle5897112140[[#This Row],[installierte Leistung MW min]]</f>
        <v>43.164799999999993</v>
      </c>
      <c r="DI349" s="46">
        <f>Tabelle5897112140[[#This Row],[Maximalauslastung durch]]*Tabelle5897112140[[#This Row],[installierte Leistung MW durch]]</f>
        <v>60.761999999999993</v>
      </c>
      <c r="DJ349" s="11">
        <f>Tabelle5897112140[[#This Row],[Maximalauslastung max]]*Tabelle5897112140[[#This Row],[installierte Leistung MW durch]]</f>
        <v>61.401599999999995</v>
      </c>
      <c r="DK349" s="9">
        <v>0.94</v>
      </c>
      <c r="DL349" s="9">
        <v>0.95</v>
      </c>
      <c r="DM349" s="9">
        <v>0.96</v>
      </c>
      <c r="DN349" s="11">
        <v>63.959999999999994</v>
      </c>
      <c r="DO349" s="11">
        <v>45.919999999999995</v>
      </c>
      <c r="DP349" s="11">
        <v>82</v>
      </c>
      <c r="DQ349" s="1">
        <v>0.16666666666666663</v>
      </c>
      <c r="DR349" s="1">
        <v>8.3333333333333329E-2</v>
      </c>
      <c r="DS349" s="54">
        <v>0.25</v>
      </c>
      <c r="DT349" s="1">
        <v>0.16666666666666663</v>
      </c>
      <c r="DU349" s="1">
        <v>8.3333333333333329E-2</v>
      </c>
      <c r="DV349" s="54">
        <v>0.25</v>
      </c>
      <c r="DW349" s="1">
        <v>2</v>
      </c>
      <c r="DX349" s="1">
        <v>1.6</v>
      </c>
      <c r="DY349" s="54">
        <v>2.4</v>
      </c>
      <c r="DZ349" s="1">
        <v>4.8</v>
      </c>
      <c r="EA349" s="1">
        <v>3.4</v>
      </c>
      <c r="EB349" s="54">
        <v>6.1999999999999993</v>
      </c>
      <c r="EC349" s="1">
        <v>6</v>
      </c>
      <c r="ED349" s="1">
        <v>6</v>
      </c>
      <c r="EE349" s="54">
        <v>6</v>
      </c>
      <c r="EF349" s="1">
        <v>4.8</v>
      </c>
      <c r="EG349" s="1">
        <v>3.4</v>
      </c>
      <c r="EH349" s="54">
        <v>6.1999999999999993</v>
      </c>
      <c r="EJ349" s="1" t="s">
        <v>646</v>
      </c>
      <c r="EL349" s="1">
        <v>6570</v>
      </c>
      <c r="EM349" s="1">
        <v>4380</v>
      </c>
      <c r="EN349" s="1">
        <v>8760</v>
      </c>
      <c r="EO349" s="1">
        <v>0</v>
      </c>
      <c r="EP349" s="1">
        <v>0</v>
      </c>
      <c r="EQ349" s="1">
        <v>0</v>
      </c>
      <c r="ER349" s="1">
        <v>50</v>
      </c>
      <c r="ES349" s="1">
        <v>20</v>
      </c>
      <c r="ET349" s="1">
        <v>80</v>
      </c>
      <c r="EU349" s="1">
        <v>84.848484848484844</v>
      </c>
      <c r="EV349" s="19">
        <v>79.797979797979792</v>
      </c>
      <c r="EW349" s="19">
        <v>89.898989898989896</v>
      </c>
      <c r="EX349" s="19">
        <v>480.80808080808083</v>
      </c>
      <c r="EY349" s="8">
        <v>267.67676767676767</v>
      </c>
      <c r="EZ349" s="8">
        <v>693.93939393939399</v>
      </c>
      <c r="FA349" s="8">
        <v>1128.2828282828284</v>
      </c>
      <c r="FB349" s="8">
        <v>1033.3333333333333</v>
      </c>
      <c r="FC349" s="8">
        <v>1223.2323232323233</v>
      </c>
      <c r="FD349" s="8">
        <v>30.303030303030305</v>
      </c>
      <c r="FE349" s="8">
        <v>0</v>
      </c>
      <c r="FF349" s="8">
        <v>60.606060606060609</v>
      </c>
      <c r="FG349" s="8">
        <v>101.01010101010101</v>
      </c>
      <c r="FH349" s="8">
        <v>50.505050505050505</v>
      </c>
      <c r="FI349" s="8">
        <v>151.51515151515153</v>
      </c>
      <c r="FJ349" s="8">
        <v>206.06060606060606</v>
      </c>
      <c r="FK349" s="8">
        <v>195.95959595959596</v>
      </c>
      <c r="FL349" s="8">
        <v>216.16161616161617</v>
      </c>
      <c r="FO349" s="1">
        <v>220</v>
      </c>
      <c r="FP349" s="1">
        <v>220</v>
      </c>
      <c r="FR349" s="13" t="s">
        <v>643</v>
      </c>
      <c r="FS349" s="1" t="s">
        <v>643</v>
      </c>
      <c r="FT349" s="13">
        <v>182</v>
      </c>
      <c r="FU349" s="13"/>
      <c r="FV349" s="13">
        <v>182</v>
      </c>
      <c r="FW349" s="13">
        <v>182</v>
      </c>
      <c r="FX349" s="1">
        <v>182</v>
      </c>
      <c r="FY349" s="13" t="s">
        <v>642</v>
      </c>
      <c r="FZ349" s="13" t="s">
        <v>641</v>
      </c>
      <c r="GA349" s="1">
        <v>202</v>
      </c>
      <c r="GB349" s="1">
        <v>202</v>
      </c>
      <c r="GD349" s="1" t="s">
        <v>645</v>
      </c>
      <c r="GE349" s="1">
        <v>211</v>
      </c>
      <c r="GF349" s="1">
        <v>214</v>
      </c>
      <c r="GG349" s="1">
        <v>220</v>
      </c>
      <c r="GH349" s="1">
        <v>214</v>
      </c>
      <c r="GK349" s="1" t="s">
        <v>644</v>
      </c>
    </row>
    <row r="350" spans="1:193" ht="12.75" customHeight="1" x14ac:dyDescent="0.25">
      <c r="A350" s="1" t="s">
        <v>370</v>
      </c>
      <c r="D350" s="1" t="s">
        <v>581</v>
      </c>
      <c r="E350" s="1" t="s">
        <v>126</v>
      </c>
      <c r="F350" s="1">
        <v>1</v>
      </c>
      <c r="G350" s="1">
        <v>2035</v>
      </c>
      <c r="H350" s="1">
        <v>1</v>
      </c>
      <c r="I350" s="1">
        <v>1</v>
      </c>
      <c r="J350" s="1">
        <v>0</v>
      </c>
      <c r="K350" s="11">
        <v>30.030000000000005</v>
      </c>
      <c r="L350" s="11">
        <v>48.51</v>
      </c>
      <c r="M350" s="11">
        <v>66.989999999999995</v>
      </c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9"/>
      <c r="BQ350" s="11">
        <v>2.3100000000000005</v>
      </c>
      <c r="BR350" s="11">
        <v>9.24</v>
      </c>
      <c r="BS350" s="11">
        <v>16.170000000000002</v>
      </c>
      <c r="BT350" s="11">
        <f>Tabelle5897112140[[#This Row],[Mindestauslastung min]]*Tabelle5897112140[[#This Row],[installierte Leistung MW min]]</f>
        <v>0</v>
      </c>
      <c r="BU350" s="11">
        <f>Tabelle5897112140[[#This Row],[Mindestauslastung durch]]*Tabelle5897112140[[#This Row],[installierte Leistung MW durch]]</f>
        <v>0</v>
      </c>
      <c r="BV350" s="19">
        <f>Tabelle5897112140[[#This Row],[Mindestauslastung max]]*Tabelle5897112140[[#This Row],[installierte Leistung MW max]]</f>
        <v>0</v>
      </c>
      <c r="BW350" s="9">
        <v>0</v>
      </c>
      <c r="BX350" s="9"/>
      <c r="BY350" s="9">
        <v>0</v>
      </c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39">
        <v>0.72</v>
      </c>
      <c r="DC350" s="39">
        <v>0.8</v>
      </c>
      <c r="DD350" s="39">
        <v>0.88</v>
      </c>
      <c r="DE350" s="11">
        <f>Tabelle5897112140[[#This Row],[Durchschnittsauslastung min]]*Tabelle5897112140[[#This Row],[installierte Leistung MW min]]</f>
        <v>31.046400000000002</v>
      </c>
      <c r="DF350" s="11">
        <f>Tabelle5897112140[[#This Row],[Durchschnittsauslastung durch]]*Tabelle5897112140[[#This Row],[installierte Leistung MW durch]]</f>
        <v>48.048000000000002</v>
      </c>
      <c r="DG350" s="46">
        <f>Tabelle5897112140[[#This Row],[Durchschnittsauslastung max]]*Tabelle5897112140[[#This Row],[installierte Leistung MW max]]</f>
        <v>67.760000000000005</v>
      </c>
      <c r="DH350" s="46">
        <f>Tabelle5897112140[[#This Row],[Maximalauslastung min]]*Tabelle5897112140[[#This Row],[installierte Leistung MW min]]</f>
        <v>40.532800000000002</v>
      </c>
      <c r="DI350" s="46">
        <f>Tabelle5897112140[[#This Row],[Maximalauslastung durch]]*Tabelle5897112140[[#This Row],[installierte Leistung MW durch]]</f>
        <v>57.057000000000002</v>
      </c>
      <c r="DJ350" s="11">
        <f>Tabelle5897112140[[#This Row],[Maximalauslastung max]]*Tabelle5897112140[[#This Row],[installierte Leistung MW durch]]</f>
        <v>57.657600000000002</v>
      </c>
      <c r="DK350" s="9">
        <v>0.94</v>
      </c>
      <c r="DL350" s="9">
        <v>0.95</v>
      </c>
      <c r="DM350" s="9">
        <v>0.96</v>
      </c>
      <c r="DN350" s="11">
        <v>60.06</v>
      </c>
      <c r="DO350" s="11">
        <v>43.120000000000005</v>
      </c>
      <c r="DP350" s="11">
        <v>77</v>
      </c>
      <c r="DQ350" s="1">
        <v>0.16666666666666663</v>
      </c>
      <c r="DR350" s="1">
        <v>8.3333333333333329E-2</v>
      </c>
      <c r="DS350" s="54">
        <v>0.25</v>
      </c>
      <c r="DT350" s="1">
        <v>0.16666666666666663</v>
      </c>
      <c r="DU350" s="1">
        <v>8.3333333333333329E-2</v>
      </c>
      <c r="DV350" s="54">
        <v>0.25</v>
      </c>
      <c r="DW350" s="1">
        <v>2</v>
      </c>
      <c r="DX350" s="1">
        <v>1.6</v>
      </c>
      <c r="DY350" s="54">
        <v>2.4</v>
      </c>
      <c r="DZ350" s="1">
        <v>4.8</v>
      </c>
      <c r="EA350" s="1">
        <v>3.4</v>
      </c>
      <c r="EB350" s="54">
        <v>6.1999999999999993</v>
      </c>
      <c r="EC350" s="1">
        <v>6</v>
      </c>
      <c r="ED350" s="1">
        <v>6</v>
      </c>
      <c r="EE350" s="54">
        <v>6</v>
      </c>
      <c r="EF350" s="1">
        <v>4.8</v>
      </c>
      <c r="EG350" s="1">
        <v>3.4</v>
      </c>
      <c r="EH350" s="54">
        <v>6.1999999999999993</v>
      </c>
      <c r="EJ350" s="1" t="s">
        <v>646</v>
      </c>
      <c r="EL350" s="1">
        <v>50</v>
      </c>
      <c r="EM350" s="1">
        <v>20</v>
      </c>
      <c r="EN350" s="1">
        <v>80</v>
      </c>
      <c r="EO350" s="1">
        <v>0</v>
      </c>
      <c r="EP350" s="1">
        <v>0</v>
      </c>
      <c r="EQ350" s="1">
        <v>0</v>
      </c>
      <c r="ER350" s="1">
        <v>50</v>
      </c>
      <c r="ES350" s="1">
        <v>20</v>
      </c>
      <c r="ET350" s="1">
        <v>80</v>
      </c>
      <c r="EU350" s="1">
        <v>84.848484848484844</v>
      </c>
      <c r="EV350" s="19">
        <v>79.797979797979792</v>
      </c>
      <c r="EW350" s="19">
        <v>89.898989898989896</v>
      </c>
      <c r="EX350" s="19">
        <v>480.80808080808083</v>
      </c>
      <c r="EY350" s="8">
        <v>267.67676767676767</v>
      </c>
      <c r="EZ350" s="8">
        <v>693.93939393939399</v>
      </c>
      <c r="FA350" s="8">
        <v>1128.2828282828284</v>
      </c>
      <c r="FB350" s="8">
        <v>1033.3333333333333</v>
      </c>
      <c r="FC350" s="8">
        <v>1223.2323232323233</v>
      </c>
      <c r="FD350" s="8">
        <v>30.303030303030305</v>
      </c>
      <c r="FE350" s="8">
        <v>0</v>
      </c>
      <c r="FF350" s="8">
        <v>60.606060606060609</v>
      </c>
      <c r="FG350" s="8">
        <v>101.01010101010101</v>
      </c>
      <c r="FH350" s="8">
        <v>50.505050505050505</v>
      </c>
      <c r="FI350" s="8">
        <v>151.51515151515153</v>
      </c>
      <c r="FJ350" s="8">
        <v>206.06060606060606</v>
      </c>
      <c r="FK350" s="8">
        <v>195.95959595959596</v>
      </c>
      <c r="FL350" s="8">
        <v>216.16161616161617</v>
      </c>
      <c r="FO350" s="1">
        <v>220</v>
      </c>
      <c r="FP350" s="1">
        <v>220</v>
      </c>
      <c r="FR350" s="13" t="s">
        <v>643</v>
      </c>
      <c r="FS350" s="1" t="s">
        <v>643</v>
      </c>
      <c r="FT350" s="13">
        <v>182</v>
      </c>
      <c r="FU350" s="13"/>
      <c r="FV350" s="13">
        <v>182</v>
      </c>
      <c r="FW350" s="13">
        <v>182</v>
      </c>
      <c r="FX350" s="1">
        <v>182</v>
      </c>
      <c r="FY350" s="13" t="s">
        <v>642</v>
      </c>
      <c r="FZ350" s="13" t="s">
        <v>641</v>
      </c>
      <c r="GA350" s="1">
        <v>202</v>
      </c>
      <c r="GB350" s="1">
        <v>202</v>
      </c>
      <c r="GD350" s="1" t="s">
        <v>645</v>
      </c>
      <c r="GE350" s="1">
        <v>211</v>
      </c>
      <c r="GF350" s="1">
        <v>214</v>
      </c>
      <c r="GG350" s="1">
        <v>220</v>
      </c>
      <c r="GH350" s="1">
        <v>214</v>
      </c>
      <c r="GK350" s="1" t="s">
        <v>644</v>
      </c>
    </row>
    <row r="351" spans="1:193" ht="12.75" customHeight="1" x14ac:dyDescent="0.25">
      <c r="A351" s="1" t="s">
        <v>370</v>
      </c>
      <c r="D351" s="1" t="s">
        <v>581</v>
      </c>
      <c r="E351" s="1" t="s">
        <v>126</v>
      </c>
      <c r="F351" s="1">
        <v>1</v>
      </c>
      <c r="G351" s="1">
        <v>2040</v>
      </c>
      <c r="H351" s="1">
        <v>1</v>
      </c>
      <c r="I351" s="1">
        <v>1</v>
      </c>
      <c r="J351" s="1">
        <v>0</v>
      </c>
      <c r="K351" s="11">
        <v>28.469999999999995</v>
      </c>
      <c r="L351" s="11">
        <v>45.99</v>
      </c>
      <c r="M351" s="11">
        <v>63.51</v>
      </c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9"/>
      <c r="BQ351" s="11">
        <v>2.1899999999999995</v>
      </c>
      <c r="BR351" s="11">
        <v>8.76</v>
      </c>
      <c r="BS351" s="11">
        <v>15.33</v>
      </c>
      <c r="BT351" s="11">
        <f>Tabelle5897112140[[#This Row],[Mindestauslastung min]]*Tabelle5897112140[[#This Row],[installierte Leistung MW min]]</f>
        <v>0</v>
      </c>
      <c r="BU351" s="11">
        <f>Tabelle5897112140[[#This Row],[Mindestauslastung durch]]*Tabelle5897112140[[#This Row],[installierte Leistung MW durch]]</f>
        <v>0</v>
      </c>
      <c r="BV351" s="19">
        <f>Tabelle5897112140[[#This Row],[Mindestauslastung max]]*Tabelle5897112140[[#This Row],[installierte Leistung MW max]]</f>
        <v>0</v>
      </c>
      <c r="BW351" s="9">
        <v>0</v>
      </c>
      <c r="BX351" s="9"/>
      <c r="BY351" s="9">
        <v>0</v>
      </c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39">
        <v>0.72</v>
      </c>
      <c r="DC351" s="39">
        <v>0.8</v>
      </c>
      <c r="DD351" s="39">
        <v>0.88</v>
      </c>
      <c r="DE351" s="11">
        <f>Tabelle5897112140[[#This Row],[Durchschnittsauslastung min]]*Tabelle5897112140[[#This Row],[installierte Leistung MW min]]</f>
        <v>29.433599999999995</v>
      </c>
      <c r="DF351" s="11">
        <f>Tabelle5897112140[[#This Row],[Durchschnittsauslastung durch]]*Tabelle5897112140[[#This Row],[installierte Leistung MW durch]]</f>
        <v>45.552</v>
      </c>
      <c r="DG351" s="46">
        <f>Tabelle5897112140[[#This Row],[Durchschnittsauslastung max]]*Tabelle5897112140[[#This Row],[installierte Leistung MW max]]</f>
        <v>64.239999999999995</v>
      </c>
      <c r="DH351" s="46">
        <f>Tabelle5897112140[[#This Row],[Maximalauslastung min]]*Tabelle5897112140[[#This Row],[installierte Leistung MW min]]</f>
        <v>38.427199999999992</v>
      </c>
      <c r="DI351" s="46">
        <f>Tabelle5897112140[[#This Row],[Maximalauslastung durch]]*Tabelle5897112140[[#This Row],[installierte Leistung MW durch]]</f>
        <v>54.092999999999996</v>
      </c>
      <c r="DJ351" s="11">
        <f>Tabelle5897112140[[#This Row],[Maximalauslastung max]]*Tabelle5897112140[[#This Row],[installierte Leistung MW durch]]</f>
        <v>54.662399999999998</v>
      </c>
      <c r="DK351" s="9">
        <v>0.94</v>
      </c>
      <c r="DL351" s="9">
        <v>0.95</v>
      </c>
      <c r="DM351" s="9">
        <v>0.96</v>
      </c>
      <c r="DN351" s="11">
        <v>56.94</v>
      </c>
      <c r="DO351" s="11">
        <v>40.879999999999995</v>
      </c>
      <c r="DP351" s="11">
        <v>73</v>
      </c>
      <c r="DQ351" s="1">
        <v>0.16666666666666663</v>
      </c>
      <c r="DR351" s="1">
        <v>8.3333333333333329E-2</v>
      </c>
      <c r="DS351" s="54">
        <v>0.25</v>
      </c>
      <c r="DT351" s="1">
        <v>0.16666666666666663</v>
      </c>
      <c r="DU351" s="1">
        <v>8.3333333333333329E-2</v>
      </c>
      <c r="DV351" s="54">
        <v>0.25</v>
      </c>
      <c r="DW351" s="1">
        <v>2</v>
      </c>
      <c r="DX351" s="1">
        <v>1.6</v>
      </c>
      <c r="DY351" s="54">
        <v>2.4</v>
      </c>
      <c r="DZ351" s="1">
        <v>4.8</v>
      </c>
      <c r="EA351" s="1">
        <v>3.4</v>
      </c>
      <c r="EB351" s="54">
        <v>6.1999999999999993</v>
      </c>
      <c r="EC351" s="1">
        <v>6</v>
      </c>
      <c r="ED351" s="1">
        <v>6</v>
      </c>
      <c r="EE351" s="54">
        <v>6</v>
      </c>
      <c r="EF351" s="1">
        <v>4.8</v>
      </c>
      <c r="EG351" s="1">
        <v>3.4</v>
      </c>
      <c r="EH351" s="54">
        <v>6.1999999999999993</v>
      </c>
      <c r="EJ351" s="1" t="s">
        <v>646</v>
      </c>
      <c r="EL351" s="1">
        <v>365</v>
      </c>
      <c r="EM351" s="1">
        <v>328</v>
      </c>
      <c r="EN351" s="1">
        <v>402</v>
      </c>
      <c r="EO351" s="1">
        <v>0</v>
      </c>
      <c r="EP351" s="1">
        <v>0</v>
      </c>
      <c r="EQ351" s="1">
        <v>0</v>
      </c>
      <c r="ER351" s="1">
        <v>50</v>
      </c>
      <c r="ES351" s="1">
        <v>20</v>
      </c>
      <c r="ET351" s="1">
        <v>80</v>
      </c>
      <c r="EU351" s="1">
        <v>84.848484848484844</v>
      </c>
      <c r="EV351" s="19">
        <v>79.797979797979792</v>
      </c>
      <c r="EW351" s="19">
        <v>89.898989898989896</v>
      </c>
      <c r="EX351" s="19">
        <v>480.80808080808083</v>
      </c>
      <c r="EY351" s="8">
        <v>267.67676767676767</v>
      </c>
      <c r="EZ351" s="8">
        <v>693.93939393939399</v>
      </c>
      <c r="FA351" s="8">
        <v>1128.2828282828284</v>
      </c>
      <c r="FB351" s="8">
        <v>1033.3333333333333</v>
      </c>
      <c r="FC351" s="8">
        <v>1223.2323232323233</v>
      </c>
      <c r="FD351" s="8">
        <v>30.303030303030305</v>
      </c>
      <c r="FE351" s="8">
        <v>0</v>
      </c>
      <c r="FF351" s="8">
        <v>60.606060606060609</v>
      </c>
      <c r="FG351" s="8">
        <v>101.01010101010101</v>
      </c>
      <c r="FH351" s="8">
        <v>50.505050505050505</v>
      </c>
      <c r="FI351" s="8">
        <v>151.51515151515153</v>
      </c>
      <c r="FJ351" s="8">
        <v>206.06060606060606</v>
      </c>
      <c r="FK351" s="8">
        <v>195.95959595959596</v>
      </c>
      <c r="FL351" s="8">
        <v>216.16161616161617</v>
      </c>
      <c r="FO351" s="1">
        <v>220</v>
      </c>
      <c r="FP351" s="1">
        <v>220</v>
      </c>
      <c r="FR351" s="13" t="s">
        <v>643</v>
      </c>
      <c r="FS351" s="1" t="s">
        <v>643</v>
      </c>
      <c r="FT351" s="13">
        <v>182</v>
      </c>
      <c r="FU351" s="13"/>
      <c r="FV351" s="13">
        <v>182</v>
      </c>
      <c r="FW351" s="13">
        <v>182</v>
      </c>
      <c r="FX351" s="1">
        <v>182</v>
      </c>
      <c r="FY351" s="13" t="s">
        <v>642</v>
      </c>
      <c r="FZ351" s="13" t="s">
        <v>641</v>
      </c>
      <c r="GA351" s="1">
        <v>202</v>
      </c>
      <c r="GB351" s="1">
        <v>202</v>
      </c>
      <c r="GD351" s="1" t="s">
        <v>645</v>
      </c>
      <c r="GE351" s="1">
        <v>211</v>
      </c>
      <c r="GF351" s="1">
        <v>214</v>
      </c>
      <c r="GG351" s="1">
        <v>220</v>
      </c>
      <c r="GH351" s="1">
        <v>214</v>
      </c>
      <c r="GK351" s="1" t="s">
        <v>644</v>
      </c>
    </row>
    <row r="352" spans="1:193" ht="12.75" customHeight="1" x14ac:dyDescent="0.25">
      <c r="A352" s="1" t="s">
        <v>370</v>
      </c>
      <c r="D352" s="1" t="s">
        <v>581</v>
      </c>
      <c r="E352" s="1" t="s">
        <v>126</v>
      </c>
      <c r="F352" s="1">
        <v>1</v>
      </c>
      <c r="G352" s="1">
        <v>2045</v>
      </c>
      <c r="H352" s="1">
        <v>1</v>
      </c>
      <c r="I352" s="1">
        <v>1</v>
      </c>
      <c r="J352" s="1">
        <v>0</v>
      </c>
      <c r="K352" s="11">
        <v>26.520000000000003</v>
      </c>
      <c r="L352" s="11">
        <v>42.84</v>
      </c>
      <c r="M352" s="11">
        <v>59.160000000000004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9"/>
      <c r="BQ352" s="11">
        <v>2.04</v>
      </c>
      <c r="BR352" s="11">
        <v>8.16</v>
      </c>
      <c r="BS352" s="11">
        <v>14.280000000000001</v>
      </c>
      <c r="BT352" s="11">
        <f>Tabelle5897112140[[#This Row],[Mindestauslastung min]]*Tabelle5897112140[[#This Row],[installierte Leistung MW min]]</f>
        <v>0</v>
      </c>
      <c r="BU352" s="11">
        <f>Tabelle5897112140[[#This Row],[Mindestauslastung durch]]*Tabelle5897112140[[#This Row],[installierte Leistung MW durch]]</f>
        <v>0</v>
      </c>
      <c r="BV352" s="19">
        <f>Tabelle5897112140[[#This Row],[Mindestauslastung max]]*Tabelle5897112140[[#This Row],[installierte Leistung MW max]]</f>
        <v>0</v>
      </c>
      <c r="BW352" s="9">
        <v>0</v>
      </c>
      <c r="BX352" s="9"/>
      <c r="BY352" s="9">
        <v>0</v>
      </c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39">
        <v>0.72</v>
      </c>
      <c r="DC352" s="39">
        <v>0.8</v>
      </c>
      <c r="DD352" s="39">
        <v>0.88</v>
      </c>
      <c r="DE352" s="11">
        <f>Tabelle5897112140[[#This Row],[Durchschnittsauslastung min]]*Tabelle5897112140[[#This Row],[installierte Leistung MW min]]</f>
        <v>27.417600000000004</v>
      </c>
      <c r="DF352" s="11">
        <f>Tabelle5897112140[[#This Row],[Durchschnittsauslastung durch]]*Tabelle5897112140[[#This Row],[installierte Leistung MW durch]]</f>
        <v>42.432000000000009</v>
      </c>
      <c r="DG352" s="46">
        <f>Tabelle5897112140[[#This Row],[Durchschnittsauslastung max]]*Tabelle5897112140[[#This Row],[installierte Leistung MW max]]</f>
        <v>59.84</v>
      </c>
      <c r="DH352" s="46">
        <f>Tabelle5897112140[[#This Row],[Maximalauslastung min]]*Tabelle5897112140[[#This Row],[installierte Leistung MW min]]</f>
        <v>35.795200000000001</v>
      </c>
      <c r="DI352" s="46">
        <f>Tabelle5897112140[[#This Row],[Maximalauslastung durch]]*Tabelle5897112140[[#This Row],[installierte Leistung MW durch]]</f>
        <v>50.388000000000005</v>
      </c>
      <c r="DJ352" s="11">
        <f>Tabelle5897112140[[#This Row],[Maximalauslastung max]]*Tabelle5897112140[[#This Row],[installierte Leistung MW durch]]</f>
        <v>50.918400000000005</v>
      </c>
      <c r="DK352" s="9">
        <v>0.94</v>
      </c>
      <c r="DL352" s="9">
        <v>0.95</v>
      </c>
      <c r="DM352" s="9">
        <v>0.96</v>
      </c>
      <c r="DN352" s="11">
        <v>53.040000000000006</v>
      </c>
      <c r="DO352" s="11">
        <v>38.080000000000005</v>
      </c>
      <c r="DP352" s="11">
        <v>68</v>
      </c>
      <c r="DQ352" s="1">
        <v>0.16666666666666663</v>
      </c>
      <c r="DR352" s="1">
        <v>8.3333333333333329E-2</v>
      </c>
      <c r="DS352" s="54">
        <v>0.25</v>
      </c>
      <c r="DT352" s="1">
        <v>0.16666666666666663</v>
      </c>
      <c r="DU352" s="1">
        <v>8.3333333333333329E-2</v>
      </c>
      <c r="DV352" s="54">
        <v>0.25</v>
      </c>
      <c r="DW352" s="1">
        <v>2</v>
      </c>
      <c r="DX352" s="1">
        <v>1.6</v>
      </c>
      <c r="DY352" s="54">
        <v>2.4</v>
      </c>
      <c r="DZ352" s="1">
        <v>4.8</v>
      </c>
      <c r="EA352" s="1">
        <v>3.4</v>
      </c>
      <c r="EB352" s="54">
        <v>6.1999999999999993</v>
      </c>
      <c r="EC352" s="1">
        <v>6</v>
      </c>
      <c r="ED352" s="1">
        <v>6</v>
      </c>
      <c r="EE352" s="54">
        <v>6</v>
      </c>
      <c r="EF352" s="1">
        <v>4.8</v>
      </c>
      <c r="EG352" s="1">
        <v>3.4</v>
      </c>
      <c r="EH352" s="54">
        <v>6.1999999999999993</v>
      </c>
      <c r="EJ352" s="1" t="s">
        <v>646</v>
      </c>
      <c r="EL352" s="1">
        <v>639</v>
      </c>
      <c r="EM352" s="1">
        <v>575</v>
      </c>
      <c r="EN352" s="1">
        <v>703</v>
      </c>
      <c r="EO352" s="1">
        <v>0</v>
      </c>
      <c r="EP352" s="1">
        <v>0</v>
      </c>
      <c r="EQ352" s="1">
        <v>0</v>
      </c>
      <c r="ER352" s="1">
        <v>50</v>
      </c>
      <c r="ES352" s="1">
        <v>20</v>
      </c>
      <c r="ET352" s="1">
        <v>80</v>
      </c>
      <c r="EU352" s="1">
        <v>84.848484848484844</v>
      </c>
      <c r="EV352" s="19">
        <v>79.797979797979792</v>
      </c>
      <c r="EW352" s="19">
        <v>89.898989898989896</v>
      </c>
      <c r="EX352" s="19">
        <v>480.80808080808083</v>
      </c>
      <c r="EY352" s="8">
        <v>267.67676767676767</v>
      </c>
      <c r="EZ352" s="8">
        <v>693.93939393939399</v>
      </c>
      <c r="FA352" s="8">
        <v>1128.2828282828284</v>
      </c>
      <c r="FB352" s="8">
        <v>1033.3333333333333</v>
      </c>
      <c r="FC352" s="8">
        <v>1223.2323232323233</v>
      </c>
      <c r="FD352" s="8">
        <v>30.303030303030305</v>
      </c>
      <c r="FE352" s="8">
        <v>0</v>
      </c>
      <c r="FF352" s="8">
        <v>60.606060606060609</v>
      </c>
      <c r="FG352" s="8">
        <v>101.01010101010101</v>
      </c>
      <c r="FH352" s="8">
        <v>50.505050505050505</v>
      </c>
      <c r="FI352" s="8">
        <v>151.51515151515153</v>
      </c>
      <c r="FJ352" s="8">
        <v>206.06060606060606</v>
      </c>
      <c r="FK352" s="8">
        <v>195.95959595959596</v>
      </c>
      <c r="FL352" s="8">
        <v>216.16161616161617</v>
      </c>
      <c r="FO352" s="1">
        <v>220</v>
      </c>
      <c r="FP352" s="1">
        <v>220</v>
      </c>
      <c r="FR352" s="13" t="s">
        <v>643</v>
      </c>
      <c r="FS352" s="1" t="s">
        <v>643</v>
      </c>
      <c r="FT352" s="13">
        <v>182</v>
      </c>
      <c r="FU352" s="13"/>
      <c r="FV352" s="13">
        <v>182</v>
      </c>
      <c r="FW352" s="13">
        <v>182</v>
      </c>
      <c r="FX352" s="1">
        <v>182</v>
      </c>
      <c r="FY352" s="13" t="s">
        <v>642</v>
      </c>
      <c r="FZ352" s="13" t="s">
        <v>641</v>
      </c>
      <c r="GA352" s="1">
        <v>202</v>
      </c>
      <c r="GB352" s="1">
        <v>202</v>
      </c>
      <c r="GD352" s="1" t="s">
        <v>645</v>
      </c>
      <c r="GE352" s="1">
        <v>211</v>
      </c>
      <c r="GF352" s="1">
        <v>214</v>
      </c>
      <c r="GG352" s="1">
        <v>220</v>
      </c>
      <c r="GH352" s="1">
        <v>214</v>
      </c>
      <c r="GK352" s="1" t="s">
        <v>644</v>
      </c>
    </row>
    <row r="353" spans="1:193" ht="12.75" customHeight="1" x14ac:dyDescent="0.25">
      <c r="A353" s="1" t="s">
        <v>370</v>
      </c>
      <c r="D353" s="1" t="s">
        <v>581</v>
      </c>
      <c r="E353" s="1" t="s">
        <v>126</v>
      </c>
      <c r="F353" s="1">
        <v>1</v>
      </c>
      <c r="G353" s="1">
        <v>2050</v>
      </c>
      <c r="H353" s="1">
        <v>1</v>
      </c>
      <c r="I353" s="1">
        <v>1</v>
      </c>
      <c r="J353" s="1">
        <v>0</v>
      </c>
      <c r="K353" s="11">
        <v>24.96</v>
      </c>
      <c r="L353" s="11">
        <v>40.32</v>
      </c>
      <c r="M353" s="11">
        <v>55.68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9"/>
      <c r="BQ353" s="11">
        <v>1.92</v>
      </c>
      <c r="BR353" s="11">
        <v>7.68</v>
      </c>
      <c r="BS353" s="11">
        <v>13.44</v>
      </c>
      <c r="BT353" s="11">
        <f>Tabelle5897112140[[#This Row],[Mindestauslastung min]]*Tabelle5897112140[[#This Row],[installierte Leistung MW min]]</f>
        <v>0</v>
      </c>
      <c r="BU353" s="11">
        <f>Tabelle5897112140[[#This Row],[Mindestauslastung durch]]*Tabelle5897112140[[#This Row],[installierte Leistung MW durch]]</f>
        <v>0</v>
      </c>
      <c r="BV353" s="19">
        <f>Tabelle5897112140[[#This Row],[Mindestauslastung max]]*Tabelle5897112140[[#This Row],[installierte Leistung MW max]]</f>
        <v>0</v>
      </c>
      <c r="BW353" s="9">
        <v>0</v>
      </c>
      <c r="BX353" s="9"/>
      <c r="BY353" s="9">
        <v>0</v>
      </c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39">
        <v>0.72</v>
      </c>
      <c r="DC353" s="39">
        <v>0.8</v>
      </c>
      <c r="DD353" s="39">
        <v>0.88</v>
      </c>
      <c r="DE353" s="11">
        <f>Tabelle5897112140[[#This Row],[Durchschnittsauslastung min]]*Tabelle5897112140[[#This Row],[installierte Leistung MW min]]</f>
        <v>25.8048</v>
      </c>
      <c r="DF353" s="11">
        <f>Tabelle5897112140[[#This Row],[Durchschnittsauslastung durch]]*Tabelle5897112140[[#This Row],[installierte Leistung MW durch]]</f>
        <v>39.936000000000007</v>
      </c>
      <c r="DG353" s="46">
        <f>Tabelle5897112140[[#This Row],[Durchschnittsauslastung max]]*Tabelle5897112140[[#This Row],[installierte Leistung MW max]]</f>
        <v>56.32</v>
      </c>
      <c r="DH353" s="46">
        <f>Tabelle5897112140[[#This Row],[Maximalauslastung min]]*Tabelle5897112140[[#This Row],[installierte Leistung MW min]]</f>
        <v>33.689599999999999</v>
      </c>
      <c r="DI353" s="46">
        <f>Tabelle5897112140[[#This Row],[Maximalauslastung durch]]*Tabelle5897112140[[#This Row],[installierte Leistung MW durch]]</f>
        <v>47.423999999999999</v>
      </c>
      <c r="DJ353" s="11">
        <f>Tabelle5897112140[[#This Row],[Maximalauslastung max]]*Tabelle5897112140[[#This Row],[installierte Leistung MW durch]]</f>
        <v>47.923200000000001</v>
      </c>
      <c r="DK353" s="9">
        <v>0.94</v>
      </c>
      <c r="DL353" s="9">
        <v>0.95</v>
      </c>
      <c r="DM353" s="9">
        <v>0.96</v>
      </c>
      <c r="DN353" s="11">
        <v>49.92</v>
      </c>
      <c r="DO353" s="11">
        <v>35.840000000000003</v>
      </c>
      <c r="DP353" s="11">
        <v>64</v>
      </c>
      <c r="DQ353" s="1">
        <v>0.16666666666666663</v>
      </c>
      <c r="DR353" s="1">
        <v>8.3333333333333329E-2</v>
      </c>
      <c r="DS353" s="54">
        <v>0.25</v>
      </c>
      <c r="DT353" s="1">
        <v>0.16666666666666663</v>
      </c>
      <c r="DU353" s="1">
        <v>8.3333333333333329E-2</v>
      </c>
      <c r="DV353" s="54">
        <v>0.25</v>
      </c>
      <c r="DW353" s="1">
        <v>2</v>
      </c>
      <c r="DX353" s="1">
        <v>1.6</v>
      </c>
      <c r="DY353" s="54">
        <v>2.4</v>
      </c>
      <c r="DZ353" s="1">
        <v>4.8</v>
      </c>
      <c r="EA353" s="1">
        <v>3.4</v>
      </c>
      <c r="EB353" s="54">
        <v>6.1999999999999993</v>
      </c>
      <c r="EC353" s="1">
        <v>6</v>
      </c>
      <c r="ED353" s="1">
        <v>6</v>
      </c>
      <c r="EE353" s="54">
        <v>6</v>
      </c>
      <c r="EF353" s="1">
        <v>4.8</v>
      </c>
      <c r="EG353" s="1">
        <v>3.4</v>
      </c>
      <c r="EH353" s="54">
        <v>6.1999999999999993</v>
      </c>
      <c r="EJ353" s="1" t="s">
        <v>646</v>
      </c>
      <c r="EL353" s="1">
        <v>365</v>
      </c>
      <c r="EM353" s="1">
        <v>328</v>
      </c>
      <c r="EN353" s="1">
        <v>402</v>
      </c>
      <c r="EO353" s="1">
        <v>0</v>
      </c>
      <c r="EP353" s="1">
        <v>0</v>
      </c>
      <c r="EQ353" s="1">
        <v>0</v>
      </c>
      <c r="ER353" s="1">
        <v>50</v>
      </c>
      <c r="ES353" s="1">
        <v>20</v>
      </c>
      <c r="ET353" s="1">
        <v>80</v>
      </c>
      <c r="EU353" s="1">
        <v>84.848484848484844</v>
      </c>
      <c r="EV353" s="19">
        <v>79.797979797979792</v>
      </c>
      <c r="EW353" s="19">
        <v>89.898989898989896</v>
      </c>
      <c r="EX353" s="19">
        <v>480.80808080808083</v>
      </c>
      <c r="EY353" s="8">
        <v>267.67676767676767</v>
      </c>
      <c r="EZ353" s="8">
        <v>693.93939393939399</v>
      </c>
      <c r="FA353" s="8">
        <v>1128.2828282828284</v>
      </c>
      <c r="FB353" s="8">
        <v>1033.3333333333333</v>
      </c>
      <c r="FC353" s="8">
        <v>1223.2323232323233</v>
      </c>
      <c r="FD353" s="8">
        <v>30.303030303030305</v>
      </c>
      <c r="FE353" s="8">
        <v>0</v>
      </c>
      <c r="FF353" s="8">
        <v>60.606060606060609</v>
      </c>
      <c r="FG353" s="8">
        <v>101.01010101010101</v>
      </c>
      <c r="FH353" s="8">
        <v>50.505050505050505</v>
      </c>
      <c r="FI353" s="8">
        <v>151.51515151515153</v>
      </c>
      <c r="FJ353" s="8">
        <v>206.06060606060606</v>
      </c>
      <c r="FK353" s="8">
        <v>195.95959595959596</v>
      </c>
      <c r="FL353" s="8">
        <v>216.16161616161617</v>
      </c>
      <c r="FO353" s="1">
        <v>220</v>
      </c>
      <c r="FP353" s="1">
        <v>220</v>
      </c>
      <c r="FR353" s="13" t="s">
        <v>643</v>
      </c>
      <c r="FS353" s="1" t="s">
        <v>643</v>
      </c>
      <c r="FT353" s="13">
        <v>182</v>
      </c>
      <c r="FU353" s="13"/>
      <c r="FV353" s="13">
        <v>182</v>
      </c>
      <c r="FW353" s="13">
        <v>182</v>
      </c>
      <c r="FX353" s="1">
        <v>182</v>
      </c>
      <c r="FY353" s="13" t="s">
        <v>642</v>
      </c>
      <c r="FZ353" s="13" t="s">
        <v>641</v>
      </c>
      <c r="GA353" s="1">
        <v>202</v>
      </c>
      <c r="GB353" s="1">
        <v>202</v>
      </c>
      <c r="GD353" s="1" t="s">
        <v>645</v>
      </c>
      <c r="GE353" s="1">
        <v>211</v>
      </c>
      <c r="GF353" s="1">
        <v>214</v>
      </c>
      <c r="GG353" s="1">
        <v>220</v>
      </c>
      <c r="GH353" s="1">
        <v>214</v>
      </c>
      <c r="GK353" s="1" t="s">
        <v>644</v>
      </c>
    </row>
    <row r="354" spans="1:193" ht="12.75" customHeight="1" x14ac:dyDescent="0.25">
      <c r="A354" s="1" t="s">
        <v>27</v>
      </c>
      <c r="D354" s="1" t="s">
        <v>27</v>
      </c>
      <c r="E354" s="1" t="s">
        <v>126</v>
      </c>
      <c r="F354" s="1">
        <v>1</v>
      </c>
      <c r="G354" s="1">
        <v>2015</v>
      </c>
      <c r="H354" s="1">
        <v>1</v>
      </c>
      <c r="I354" s="1">
        <v>1</v>
      </c>
      <c r="J354" s="1">
        <v>0</v>
      </c>
      <c r="K354" s="11">
        <v>477</v>
      </c>
      <c r="L354" s="11">
        <v>813</v>
      </c>
      <c r="M354" s="11">
        <v>1149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9"/>
      <c r="BQ354" s="11">
        <v>68</v>
      </c>
      <c r="BR354" s="11">
        <v>154</v>
      </c>
      <c r="BS354" s="11">
        <v>240</v>
      </c>
      <c r="BT354" s="11">
        <f>Tabelle5897112140[[#This Row],[Mindestauslastung min]]*Tabelle5897112140[[#This Row],[installierte Leistung MW min]]</f>
        <v>459.33235170969988</v>
      </c>
      <c r="BU354" s="11">
        <f>Tabelle5897112140[[#This Row],[Mindestauslastung durch]]*Tabelle5897112140[[#This Row],[installierte Leistung MW durch]]</f>
        <v>0</v>
      </c>
      <c r="BV354" s="19">
        <f>Tabelle5897112140[[#This Row],[Mindestauslastung max]]*Tabelle5897112140[[#This Row],[installierte Leistung MW max]]</f>
        <v>870.41994972347914</v>
      </c>
      <c r="BW354" s="9">
        <v>0.28336357292393577</v>
      </c>
      <c r="BX354" s="9"/>
      <c r="BY354" s="9">
        <v>0.48329813976872799</v>
      </c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39">
        <v>0.83</v>
      </c>
      <c r="DC354" s="39">
        <v>0.86</v>
      </c>
      <c r="DD354" s="39">
        <v>0.89</v>
      </c>
      <c r="DE354" s="11">
        <f>Tabelle5897112140[[#This Row],[Durchschnittsauslastung min]]*Tabelle5897112140[[#This Row],[installierte Leistung MW min]]</f>
        <v>1345.4299999999998</v>
      </c>
      <c r="DF354" s="11">
        <f>Tabelle5897112140[[#This Row],[Durchschnittsauslastung durch]]*Tabelle5897112140[[#This Row],[installierte Leistung MW durch]]</f>
        <v>1471.46</v>
      </c>
      <c r="DG354" s="46">
        <f>Tabelle5897112140[[#This Row],[Durchschnittsauslastung max]]*Tabelle5897112140[[#This Row],[installierte Leistung MW max]]</f>
        <v>1602.89</v>
      </c>
      <c r="DH354" s="46">
        <f>Tabelle5897112140[[#This Row],[Maximalauslastung min]]*Tabelle5897112140[[#This Row],[installierte Leistung MW min]]</f>
        <v>1523.74</v>
      </c>
      <c r="DI354" s="46">
        <f>Tabelle5897112140[[#This Row],[Maximalauslastung durch]]*Tabelle5897112140[[#This Row],[installierte Leistung MW durch]]</f>
        <v>1625.4499999999998</v>
      </c>
      <c r="DJ354" s="11">
        <f>Tabelle5897112140[[#This Row],[Maximalauslastung max]]*Tabelle5897112140[[#This Row],[installierte Leistung MW durch]]</f>
        <v>1642.56</v>
      </c>
      <c r="DK354" s="9">
        <v>0.94</v>
      </c>
      <c r="DL354" s="9">
        <v>0.95</v>
      </c>
      <c r="DM354" s="9">
        <v>0.96</v>
      </c>
      <c r="DN354" s="11">
        <v>1711</v>
      </c>
      <c r="DO354" s="11">
        <v>1621</v>
      </c>
      <c r="DP354" s="11">
        <v>1801</v>
      </c>
      <c r="DQ354" s="1">
        <v>0.19428645833333333</v>
      </c>
      <c r="DR354" s="1">
        <v>0</v>
      </c>
      <c r="DS354" s="54">
        <v>1</v>
      </c>
      <c r="DT354" s="1">
        <v>7.3143749999999993E-2</v>
      </c>
      <c r="DU354" s="1">
        <v>0</v>
      </c>
      <c r="DV354" s="54">
        <v>0.25</v>
      </c>
      <c r="DW354" s="1">
        <v>7</v>
      </c>
      <c r="DX354" s="1">
        <v>4.8</v>
      </c>
      <c r="DY354" s="54">
        <v>8.8000000000000007</v>
      </c>
      <c r="DZ354" s="1">
        <v>4.05</v>
      </c>
      <c r="EA354" s="1">
        <v>2.4</v>
      </c>
      <c r="EB354" s="54">
        <v>5.8</v>
      </c>
      <c r="EC354" s="1">
        <v>10.4</v>
      </c>
      <c r="ED354" s="1">
        <v>10.4</v>
      </c>
      <c r="EE354" s="54">
        <v>10.4</v>
      </c>
      <c r="EF354" s="1">
        <v>4.05</v>
      </c>
      <c r="EG354" s="1">
        <v>2.4</v>
      </c>
      <c r="EH354" s="54">
        <v>5.8</v>
      </c>
      <c r="EJ354" s="1" t="s">
        <v>646</v>
      </c>
      <c r="EL354" s="1">
        <v>55.631209818819414</v>
      </c>
      <c r="EM354" s="1">
        <v>45.188155459632839</v>
      </c>
      <c r="EN354" s="1">
        <v>66.246529705719041</v>
      </c>
      <c r="EO354" s="1">
        <v>0</v>
      </c>
      <c r="EP354" s="1">
        <v>0</v>
      </c>
      <c r="EQ354" s="1">
        <v>0</v>
      </c>
      <c r="ER354" s="1">
        <v>171.16598480420808</v>
      </c>
      <c r="ES354" s="1">
        <v>87.168414558994243</v>
      </c>
      <c r="ET354" s="1">
        <v>253.08162132148809</v>
      </c>
      <c r="EU354" s="1">
        <v>0.22728748620040265</v>
      </c>
      <c r="EV354" s="19">
        <v>2.5324185719003731E-2</v>
      </c>
      <c r="EW354" s="19">
        <v>0.42925647367624054</v>
      </c>
      <c r="EX354" s="19">
        <v>151.51515151515153</v>
      </c>
      <c r="EY354" s="8">
        <v>101.0101010101818</v>
      </c>
      <c r="EZ354" s="8">
        <v>202.02020202020202</v>
      </c>
      <c r="FA354" s="8">
        <v>258.5858585858586</v>
      </c>
      <c r="FB354" s="8">
        <v>226.26262626280723</v>
      </c>
      <c r="FC354" s="8">
        <v>290.90909090909093</v>
      </c>
      <c r="FD354" s="8">
        <v>25.252525252525253</v>
      </c>
      <c r="FE354" s="8">
        <v>15.151515151527271</v>
      </c>
      <c r="FF354" s="8">
        <v>35.353535353535356</v>
      </c>
      <c r="FG354" s="8">
        <v>481.81818181818187</v>
      </c>
      <c r="FH354" s="8">
        <v>279.79797979820364</v>
      </c>
      <c r="FI354" s="8">
        <v>683.83838383838383</v>
      </c>
      <c r="FJ354" s="8">
        <v>0.12627738519030163</v>
      </c>
      <c r="FK354" s="8">
        <v>0</v>
      </c>
      <c r="FL354" s="8">
        <v>0.32824637266613954</v>
      </c>
      <c r="FO354" s="1">
        <v>220</v>
      </c>
      <c r="FP354" s="1">
        <v>220</v>
      </c>
      <c r="FR354" s="13" t="s">
        <v>643</v>
      </c>
      <c r="FS354" s="1" t="s">
        <v>643</v>
      </c>
      <c r="FT354" s="13">
        <v>182</v>
      </c>
      <c r="FU354" s="13"/>
      <c r="FV354" s="13">
        <v>182</v>
      </c>
      <c r="FW354" s="13">
        <v>182</v>
      </c>
      <c r="FX354" s="1">
        <v>182</v>
      </c>
      <c r="FY354" s="13" t="s">
        <v>642</v>
      </c>
      <c r="FZ354" s="13" t="s">
        <v>641</v>
      </c>
      <c r="GA354" s="1">
        <v>202</v>
      </c>
      <c r="GB354" s="1">
        <v>202</v>
      </c>
      <c r="GD354" s="1" t="s">
        <v>645</v>
      </c>
      <c r="GE354" s="1">
        <v>211</v>
      </c>
      <c r="GF354" s="1">
        <v>214</v>
      </c>
      <c r="GG354" s="1">
        <v>220</v>
      </c>
      <c r="GH354" s="1">
        <v>214</v>
      </c>
      <c r="GK354" s="1" t="s">
        <v>644</v>
      </c>
    </row>
    <row r="355" spans="1:193" ht="12.75" customHeight="1" x14ac:dyDescent="0.25">
      <c r="A355" s="1" t="s">
        <v>27</v>
      </c>
      <c r="D355" s="1" t="s">
        <v>27</v>
      </c>
      <c r="E355" s="1" t="s">
        <v>126</v>
      </c>
      <c r="F355" s="1">
        <v>1</v>
      </c>
      <c r="G355" s="1">
        <v>2020</v>
      </c>
      <c r="H355" s="1">
        <v>1</v>
      </c>
      <c r="I355" s="1">
        <v>1</v>
      </c>
      <c r="J355" s="1">
        <v>0</v>
      </c>
      <c r="K355" s="11">
        <v>470.86816521048451</v>
      </c>
      <c r="L355" s="11">
        <v>800.55781425610189</v>
      </c>
      <c r="M355" s="11">
        <v>1128.8678085866597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9"/>
      <c r="BQ355" s="11">
        <v>67.12586003000618</v>
      </c>
      <c r="BR355" s="11">
        <v>151.64317760816689</v>
      </c>
      <c r="BS355" s="11">
        <v>235.79484252462868</v>
      </c>
      <c r="BT355" s="11">
        <f>Tabelle5897112140[[#This Row],[Mindestauslastung min]]*Tabelle5897112140[[#This Row],[installierte Leistung MW min]]</f>
        <v>456.79480000000001</v>
      </c>
      <c r="BU355" s="11">
        <f>Tabelle5897112140[[#This Row],[Mindestauslastung durch]]*Tabelle5897112140[[#This Row],[installierte Leistung MW durch]]</f>
        <v>0</v>
      </c>
      <c r="BV355" s="19">
        <f>Tabelle5897112140[[#This Row],[Mindestauslastung max]]*Tabelle5897112140[[#This Row],[installierte Leistung MW max]]</f>
        <v>854.63520000000005</v>
      </c>
      <c r="BW355" s="9">
        <v>0.28795516724031417</v>
      </c>
      <c r="BX355" s="9"/>
      <c r="BY355" s="9">
        <v>0.48779991095992054</v>
      </c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39">
        <v>0.83</v>
      </c>
      <c r="DC355" s="39">
        <v>0.8600000000000001</v>
      </c>
      <c r="DD355" s="39">
        <v>0.88999999999999968</v>
      </c>
      <c r="DE355" s="11">
        <f>Tabelle5897112140[[#This Row],[Durchschnittsauslastung min]]*Tabelle5897112140[[#This Row],[installierte Leistung MW min]]</f>
        <v>1316.6622</v>
      </c>
      <c r="DF355" s="11">
        <f>Tabelle5897112140[[#This Row],[Durchschnittsauslastung durch]]*Tabelle5897112140[[#This Row],[installierte Leistung MW durch]]</f>
        <v>1435.4947999999999</v>
      </c>
      <c r="DG355" s="46">
        <f>Tabelle5897112140[[#This Row],[Durchschnittsauslastung max]]*Tabelle5897112140[[#This Row],[installierte Leistung MW max]]</f>
        <v>1559.2977999999996</v>
      </c>
      <c r="DH355" s="46">
        <f>Tabelle5897112140[[#This Row],[Maximalauslastung min]]*Tabelle5897112140[[#This Row],[installierte Leistung MW min]]</f>
        <v>1491.1596</v>
      </c>
      <c r="DI355" s="46">
        <f>Tabelle5897112140[[#This Row],[Maximalauslastung durch]]*Tabelle5897112140[[#This Row],[installierte Leistung MW durch]]</f>
        <v>1585.7209999999998</v>
      </c>
      <c r="DJ355" s="11">
        <f>Tabelle5897112140[[#This Row],[Maximalauslastung max]]*Tabelle5897112140[[#This Row],[installierte Leistung MW durch]]</f>
        <v>1602.4127999999996</v>
      </c>
      <c r="DK355" s="9">
        <v>0.94</v>
      </c>
      <c r="DL355" s="9">
        <v>0.95</v>
      </c>
      <c r="DM355" s="9">
        <v>0.95999999999999985</v>
      </c>
      <c r="DN355" s="11">
        <v>1669.1799999999998</v>
      </c>
      <c r="DO355" s="11">
        <v>1586.3400000000001</v>
      </c>
      <c r="DP355" s="11">
        <v>1752.0200000000002</v>
      </c>
      <c r="DQ355" s="1">
        <v>0.23905603699620973</v>
      </c>
      <c r="DR355" s="1">
        <v>0</v>
      </c>
      <c r="DS355" s="54">
        <v>1</v>
      </c>
      <c r="DT355" s="1">
        <v>8.9386535304760414E-2</v>
      </c>
      <c r="DU355" s="1">
        <v>0</v>
      </c>
      <c r="DV355" s="54">
        <v>0.25</v>
      </c>
      <c r="DW355" s="1">
        <v>7.7072814196192141</v>
      </c>
      <c r="DX355" s="1">
        <v>4.8</v>
      </c>
      <c r="DY355" s="54">
        <v>8.8000000000000007</v>
      </c>
      <c r="DZ355" s="1">
        <v>4.4694592554427919</v>
      </c>
      <c r="EA355" s="1">
        <v>2.4</v>
      </c>
      <c r="EB355" s="54">
        <v>5.8</v>
      </c>
      <c r="EC355" s="1">
        <v>11.460922129428823</v>
      </c>
      <c r="ED355" s="1">
        <v>4.4830641602682899</v>
      </c>
      <c r="EE355" s="54">
        <v>4.4571409002180333</v>
      </c>
      <c r="EF355" s="1">
        <v>4.4694592554427919</v>
      </c>
      <c r="EG355" s="1">
        <v>2.4</v>
      </c>
      <c r="EH355" s="54">
        <v>5.8</v>
      </c>
      <c r="EJ355" s="1" t="s">
        <v>646</v>
      </c>
      <c r="EL355" s="1">
        <v>280</v>
      </c>
      <c r="EM355" s="1">
        <v>252</v>
      </c>
      <c r="EN355" s="1">
        <v>308</v>
      </c>
      <c r="EO355" s="1">
        <v>0</v>
      </c>
      <c r="EP355" s="1">
        <v>0</v>
      </c>
      <c r="EQ355" s="1">
        <v>0</v>
      </c>
      <c r="ER355" s="1">
        <v>280</v>
      </c>
      <c r="ES355" s="1">
        <v>252</v>
      </c>
      <c r="ET355" s="1">
        <v>308</v>
      </c>
      <c r="EU355" s="1">
        <v>0.2269697296476913</v>
      </c>
      <c r="EV355" s="19">
        <v>2.504615477874678E-2</v>
      </c>
      <c r="EW355" s="19">
        <v>0.42890244207580763</v>
      </c>
      <c r="EX355" s="19">
        <v>151.51515151515153</v>
      </c>
      <c r="EY355" s="8">
        <v>101.01010101010101</v>
      </c>
      <c r="EZ355" s="8">
        <v>202.02020202020199</v>
      </c>
      <c r="FA355" s="8">
        <v>258.5858585858586</v>
      </c>
      <c r="FB355" s="8">
        <v>226.26262626262627</v>
      </c>
      <c r="FC355" s="8">
        <v>290.90909090909088</v>
      </c>
      <c r="FD355" s="8">
        <v>25.252525252525253</v>
      </c>
      <c r="FE355" s="8">
        <v>15.151515151515152</v>
      </c>
      <c r="FF355" s="8">
        <v>35.353535353535349</v>
      </c>
      <c r="FG355" s="8">
        <v>481.81818181818187</v>
      </c>
      <c r="FH355" s="8">
        <v>279.79797979797979</v>
      </c>
      <c r="FI355" s="8">
        <v>683.83838383838372</v>
      </c>
      <c r="FJ355" s="8">
        <v>0.12595962863759028</v>
      </c>
      <c r="FK355" s="8">
        <v>0</v>
      </c>
      <c r="FL355" s="8">
        <v>0.32789234106570664</v>
      </c>
      <c r="FO355" s="1">
        <v>220</v>
      </c>
      <c r="FP355" s="1">
        <v>220</v>
      </c>
      <c r="FR355" s="13" t="s">
        <v>643</v>
      </c>
      <c r="FS355" s="1" t="s">
        <v>643</v>
      </c>
      <c r="FT355" s="13">
        <v>182</v>
      </c>
      <c r="FU355" s="13"/>
      <c r="FV355" s="13">
        <v>182</v>
      </c>
      <c r="FW355" s="13">
        <v>182</v>
      </c>
      <c r="FX355" s="1">
        <v>182</v>
      </c>
      <c r="FY355" s="13" t="s">
        <v>642</v>
      </c>
      <c r="FZ355" s="13" t="s">
        <v>641</v>
      </c>
      <c r="GA355" s="1">
        <v>202</v>
      </c>
      <c r="GB355" s="1">
        <v>202</v>
      </c>
      <c r="GD355" s="1" t="s">
        <v>645</v>
      </c>
      <c r="GE355" s="1">
        <v>211</v>
      </c>
      <c r="GF355" s="1">
        <v>214</v>
      </c>
      <c r="GG355" s="1">
        <v>220</v>
      </c>
      <c r="GH355" s="1">
        <v>214</v>
      </c>
      <c r="GK355" s="1" t="s">
        <v>644</v>
      </c>
    </row>
    <row r="356" spans="1:193" ht="12.75" customHeight="1" x14ac:dyDescent="0.25">
      <c r="A356" s="1" t="s">
        <v>27</v>
      </c>
      <c r="D356" s="1" t="s">
        <v>27</v>
      </c>
      <c r="E356" s="1" t="s">
        <v>126</v>
      </c>
      <c r="F356" s="1">
        <v>1</v>
      </c>
      <c r="G356" s="1">
        <v>2025</v>
      </c>
      <c r="H356" s="1">
        <v>1</v>
      </c>
      <c r="I356" s="1">
        <v>1</v>
      </c>
      <c r="J356" s="1">
        <v>0</v>
      </c>
      <c r="K356" s="11">
        <v>456.87171748211779</v>
      </c>
      <c r="L356" s="11">
        <v>776.7485398773764</v>
      </c>
      <c r="M356" s="11">
        <v>1095.2777359922352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9"/>
      <c r="BQ356" s="11">
        <v>65.130559305626861</v>
      </c>
      <c r="BR356" s="11">
        <v>147.13317975537021</v>
      </c>
      <c r="BS356" s="11">
        <v>228.77863937174624</v>
      </c>
      <c r="BT356" s="11">
        <f>Tabelle5897112140[[#This Row],[Mindestauslastung min]]*Tabelle5897112140[[#This Row],[installierte Leistung MW min]]</f>
        <v>443.22499999999991</v>
      </c>
      <c r="BU356" s="11">
        <f>Tabelle5897112140[[#This Row],[Mindestauslastung durch]]*Tabelle5897112140[[#This Row],[installierte Leistung MW durch]]</f>
        <v>0</v>
      </c>
      <c r="BV356" s="19">
        <f>Tabelle5897112140[[#This Row],[Mindestauslastung max]]*Tabelle5897112140[[#This Row],[installierte Leistung MW max]]</f>
        <v>829.17520000000002</v>
      </c>
      <c r="BW356" s="9">
        <v>0.28795241776732522</v>
      </c>
      <c r="BX356" s="9"/>
      <c r="BY356" s="9">
        <v>0.48776446366069592</v>
      </c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39">
        <v>0.83000000000000018</v>
      </c>
      <c r="DC356" s="39">
        <v>0.86</v>
      </c>
      <c r="DD356" s="39">
        <v>0.89</v>
      </c>
      <c r="DE356" s="11">
        <f>Tabelle5897112140[[#This Row],[Durchschnittsauslastung min]]*Tabelle5897112140[[#This Row],[installierte Leistung MW min]]</f>
        <v>1277.5609000000002</v>
      </c>
      <c r="DF356" s="11">
        <f>Tabelle5897112140[[#This Row],[Durchschnittsauslastung durch]]*Tabelle5897112140[[#This Row],[installierte Leistung MW durch]]</f>
        <v>1392.8473999999999</v>
      </c>
      <c r="DG356" s="46">
        <f>Tabelle5897112140[[#This Row],[Durchschnittsauslastung max]]*Tabelle5897112140[[#This Row],[installierte Leistung MW max]]</f>
        <v>1512.9555</v>
      </c>
      <c r="DH356" s="46">
        <f>Tabelle5897112140[[#This Row],[Maximalauslastung min]]*Tabelle5897112140[[#This Row],[installierte Leistung MW min]]</f>
        <v>1446.8762000000002</v>
      </c>
      <c r="DI356" s="46">
        <f>Tabelle5897112140[[#This Row],[Maximalauslastung durch]]*Tabelle5897112140[[#This Row],[installierte Leistung MW durch]]</f>
        <v>1538.6105000000002</v>
      </c>
      <c r="DJ356" s="11">
        <f>Tabelle5897112140[[#This Row],[Maximalauslastung max]]*Tabelle5897112140[[#This Row],[installierte Leistung MW durch]]</f>
        <v>1554.8063999999999</v>
      </c>
      <c r="DK356" s="9">
        <v>0.94000000000000017</v>
      </c>
      <c r="DL356" s="9">
        <v>0.95000000000000018</v>
      </c>
      <c r="DM356" s="9">
        <v>0.96</v>
      </c>
      <c r="DN356" s="11">
        <v>1619.59</v>
      </c>
      <c r="DO356" s="11">
        <v>1539.2299999999998</v>
      </c>
      <c r="DP356" s="11">
        <v>1699.95</v>
      </c>
      <c r="DQ356" s="1">
        <v>0.23907335138316901</v>
      </c>
      <c r="DR356" s="1">
        <v>0</v>
      </c>
      <c r="DS356" s="54">
        <v>1</v>
      </c>
      <c r="DT356" s="1">
        <v>8.9392817112149789E-2</v>
      </c>
      <c r="DU356" s="1">
        <v>0</v>
      </c>
      <c r="DV356" s="54">
        <v>0.25</v>
      </c>
      <c r="DW356" s="1">
        <v>7.7072468958193134</v>
      </c>
      <c r="DX356" s="1">
        <v>4.8</v>
      </c>
      <c r="DY356" s="54">
        <v>8.8000000000000007</v>
      </c>
      <c r="DZ356" s="1">
        <v>4.4693965756765603</v>
      </c>
      <c r="EA356" s="1">
        <v>2.4</v>
      </c>
      <c r="EB356" s="54">
        <v>5.8</v>
      </c>
      <c r="EC356" s="1">
        <v>11.460870343728969</v>
      </c>
      <c r="ED356" s="1">
        <v>4.4830051389331036</v>
      </c>
      <c r="EE356" s="54">
        <v>4.4570746198417606</v>
      </c>
      <c r="EF356" s="1">
        <v>4.4693965756765603</v>
      </c>
      <c r="EG356" s="1">
        <v>2.4</v>
      </c>
      <c r="EH356" s="54">
        <v>5.8</v>
      </c>
      <c r="EJ356" s="1" t="s">
        <v>646</v>
      </c>
      <c r="EL356" s="1">
        <v>365</v>
      </c>
      <c r="EM356" s="1">
        <v>328</v>
      </c>
      <c r="EN356" s="1">
        <v>402</v>
      </c>
      <c r="EO356" s="1">
        <v>0</v>
      </c>
      <c r="EP356" s="1">
        <v>0</v>
      </c>
      <c r="EQ356" s="1">
        <v>0</v>
      </c>
      <c r="ER356" s="1">
        <v>175.84786890509326</v>
      </c>
      <c r="ES356" s="1">
        <v>89.295426934246365</v>
      </c>
      <c r="ET356" s="1">
        <v>260.56060472366835</v>
      </c>
      <c r="EU356" s="1">
        <v>0.22697626241733088</v>
      </c>
      <c r="EV356" s="19">
        <v>2.5052536762937418E-2</v>
      </c>
      <c r="EW356" s="19">
        <v>0.42890910932912174</v>
      </c>
      <c r="EX356" s="19">
        <v>151.51515151515156</v>
      </c>
      <c r="EY356" s="8">
        <v>101.01010101010102</v>
      </c>
      <c r="EZ356" s="8">
        <v>202.02020202020202</v>
      </c>
      <c r="FA356" s="8">
        <v>258.5858585858586</v>
      </c>
      <c r="FB356" s="8">
        <v>226.2626262626263</v>
      </c>
      <c r="FC356" s="8">
        <v>290.90909090909093</v>
      </c>
      <c r="FD356" s="8">
        <v>25.252525252525253</v>
      </c>
      <c r="FE356" s="8">
        <v>15.151515151515154</v>
      </c>
      <c r="FF356" s="8">
        <v>35.353535353535356</v>
      </c>
      <c r="FG356" s="8">
        <v>481.81818181818181</v>
      </c>
      <c r="FH356" s="8">
        <v>279.79797979797985</v>
      </c>
      <c r="FI356" s="8">
        <v>683.83838383838383</v>
      </c>
      <c r="FJ356" s="8">
        <v>0.12596616140722983</v>
      </c>
      <c r="FK356" s="8">
        <v>0</v>
      </c>
      <c r="FL356" s="8">
        <v>0.32789900831902069</v>
      </c>
      <c r="FO356" s="1">
        <v>220</v>
      </c>
      <c r="FP356" s="1">
        <v>220</v>
      </c>
      <c r="FR356" s="13" t="s">
        <v>643</v>
      </c>
      <c r="FS356" s="1" t="s">
        <v>643</v>
      </c>
      <c r="FT356" s="13">
        <v>182</v>
      </c>
      <c r="FU356" s="13"/>
      <c r="FV356" s="13">
        <v>182</v>
      </c>
      <c r="FW356" s="13">
        <v>182</v>
      </c>
      <c r="FX356" s="1">
        <v>182</v>
      </c>
      <c r="FY356" s="13" t="s">
        <v>642</v>
      </c>
      <c r="FZ356" s="13" t="s">
        <v>641</v>
      </c>
      <c r="GA356" s="1">
        <v>202</v>
      </c>
      <c r="GB356" s="1">
        <v>202</v>
      </c>
      <c r="GD356" s="1" t="s">
        <v>645</v>
      </c>
      <c r="GE356" s="1">
        <v>211</v>
      </c>
      <c r="GF356" s="1">
        <v>214</v>
      </c>
      <c r="GG356" s="1">
        <v>220</v>
      </c>
      <c r="GH356" s="1">
        <v>214</v>
      </c>
      <c r="GK356" s="1" t="s">
        <v>644</v>
      </c>
    </row>
    <row r="357" spans="1:193" ht="12.75" customHeight="1" x14ac:dyDescent="0.25">
      <c r="A357" s="1" t="s">
        <v>27</v>
      </c>
      <c r="D357" s="1" t="s">
        <v>27</v>
      </c>
      <c r="E357" s="1" t="s">
        <v>126</v>
      </c>
      <c r="F357" s="1">
        <v>1</v>
      </c>
      <c r="G357" s="1">
        <v>2030</v>
      </c>
      <c r="H357" s="1">
        <v>1</v>
      </c>
      <c r="I357" s="1">
        <v>1</v>
      </c>
      <c r="J357" s="1">
        <v>0</v>
      </c>
      <c r="K357" s="11">
        <v>438.14737057137631</v>
      </c>
      <c r="L357" s="11">
        <v>744.88634912968723</v>
      </c>
      <c r="M357" s="11">
        <v>1050.3132601373115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9"/>
      <c r="BQ357" s="11">
        <v>62.461260374955117</v>
      </c>
      <c r="BR357" s="11">
        <v>141.09778322997767</v>
      </c>
      <c r="BS357" s="11">
        <v>219.38658175191884</v>
      </c>
      <c r="BT357" s="11">
        <f>Tabelle5897112140[[#This Row],[Mindestauslastung min]]*Tabelle5897112140[[#This Row],[installierte Leistung MW min]]</f>
        <v>425.03059999999999</v>
      </c>
      <c r="BU357" s="11">
        <f>Tabelle5897112140[[#This Row],[Mindestauslastung durch]]*Tabelle5897112140[[#This Row],[installierte Leistung MW durch]]</f>
        <v>0</v>
      </c>
      <c r="BV357" s="19">
        <f>Tabelle5897112140[[#This Row],[Mindestauslastung max]]*Tabelle5897112140[[#This Row],[installierte Leistung MW max]]</f>
        <v>794.96720000000005</v>
      </c>
      <c r="BW357" s="9">
        <v>0.28797867078615907</v>
      </c>
      <c r="BX357" s="9"/>
      <c r="BY357" s="9">
        <v>0.48774883886444931</v>
      </c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39">
        <v>0.83</v>
      </c>
      <c r="DC357" s="39">
        <v>0.86</v>
      </c>
      <c r="DD357" s="39">
        <v>0.89</v>
      </c>
      <c r="DE357" s="11">
        <f>Tabelle5897112140[[#This Row],[Durchschnittsauslastung min]]*Tabelle5897112140[[#This Row],[installierte Leistung MW min]]</f>
        <v>1225.0052999999998</v>
      </c>
      <c r="DF357" s="11">
        <f>Tabelle5897112140[[#This Row],[Durchschnittsauslastung durch]]*Tabelle5897112140[[#This Row],[installierte Leistung MW durch]]</f>
        <v>1335.4853999999998</v>
      </c>
      <c r="DG357" s="46">
        <f>Tabelle5897112140[[#This Row],[Durchschnittsauslastung max]]*Tabelle5897112140[[#This Row],[installierte Leistung MW max]]</f>
        <v>1450.5843000000002</v>
      </c>
      <c r="DH357" s="46">
        <f>Tabelle5897112140[[#This Row],[Maximalauslastung min]]*Tabelle5897112140[[#This Row],[installierte Leistung MW min]]</f>
        <v>1387.3553999999997</v>
      </c>
      <c r="DI357" s="46">
        <f>Tabelle5897112140[[#This Row],[Maximalauslastung durch]]*Tabelle5897112140[[#This Row],[installierte Leistung MW durch]]</f>
        <v>1475.2454999999998</v>
      </c>
      <c r="DJ357" s="11">
        <f>Tabelle5897112140[[#This Row],[Maximalauslastung max]]*Tabelle5897112140[[#This Row],[installierte Leistung MW durch]]</f>
        <v>1490.7743999999998</v>
      </c>
      <c r="DK357" s="9">
        <v>0.94</v>
      </c>
      <c r="DL357" s="9">
        <v>0.95</v>
      </c>
      <c r="DM357" s="9">
        <v>0.96</v>
      </c>
      <c r="DN357" s="11">
        <v>1552.8899999999999</v>
      </c>
      <c r="DO357" s="11">
        <v>1475.9099999999999</v>
      </c>
      <c r="DP357" s="11">
        <v>1629.8700000000001</v>
      </c>
      <c r="DQ357" s="1">
        <v>0.23909122408684597</v>
      </c>
      <c r="DR357" s="1">
        <v>0</v>
      </c>
      <c r="DS357" s="54">
        <v>1</v>
      </c>
      <c r="DT357" s="1">
        <v>8.9399301481610266E-2</v>
      </c>
      <c r="DU357" s="1">
        <v>0</v>
      </c>
      <c r="DV357" s="54">
        <v>0.25</v>
      </c>
      <c r="DW357" s="1">
        <v>7.7078350688071913</v>
      </c>
      <c r="DX357" s="1">
        <v>4.8</v>
      </c>
      <c r="DY357" s="54">
        <v>8.8000000000000007</v>
      </c>
      <c r="DZ357" s="1">
        <v>4.4697061607712065</v>
      </c>
      <c r="EA357" s="1">
        <v>2.4</v>
      </c>
      <c r="EB357" s="54">
        <v>5.8</v>
      </c>
      <c r="EC357" s="1">
        <v>11.461752603210787</v>
      </c>
      <c r="ED357" s="1">
        <v>4.4832923416739501</v>
      </c>
      <c r="EE357" s="54">
        <v>4.4574033511875175</v>
      </c>
      <c r="EF357" s="1">
        <v>4.4697061607712065</v>
      </c>
      <c r="EG357" s="1">
        <v>2.4</v>
      </c>
      <c r="EH357" s="54">
        <v>5.8</v>
      </c>
      <c r="EJ357" s="1" t="s">
        <v>646</v>
      </c>
      <c r="EL357" s="1">
        <v>6570</v>
      </c>
      <c r="EM357" s="1">
        <v>4380</v>
      </c>
      <c r="EN357" s="1">
        <v>8760</v>
      </c>
      <c r="EO357" s="1">
        <v>0</v>
      </c>
      <c r="EP357" s="1">
        <v>0</v>
      </c>
      <c r="EQ357" s="1">
        <v>0</v>
      </c>
      <c r="ER357" s="1">
        <v>175.89639317659334</v>
      </c>
      <c r="ES357" s="1">
        <v>89.317505809974875</v>
      </c>
      <c r="ET357" s="1">
        <v>260.63796499107286</v>
      </c>
      <c r="EU357" s="1">
        <v>0.2269798552857881</v>
      </c>
      <c r="EV357" s="19">
        <v>2.5056412722327306E-2</v>
      </c>
      <c r="EW357" s="19">
        <v>0.42891243789474937</v>
      </c>
      <c r="EX357" s="19">
        <v>151.51515151515153</v>
      </c>
      <c r="EY357" s="8">
        <v>101.01010101010101</v>
      </c>
      <c r="EZ357" s="8">
        <v>202.02020202020202</v>
      </c>
      <c r="FA357" s="8">
        <v>258.5858585858586</v>
      </c>
      <c r="FB357" s="8">
        <v>226.26262626262627</v>
      </c>
      <c r="FC357" s="8">
        <v>290.90909090909093</v>
      </c>
      <c r="FD357" s="8">
        <v>25.252525252525253</v>
      </c>
      <c r="FE357" s="8">
        <v>15.151515151515152</v>
      </c>
      <c r="FF357" s="8">
        <v>35.353535353535356</v>
      </c>
      <c r="FG357" s="8">
        <v>481.81818181818181</v>
      </c>
      <c r="FH357" s="8">
        <v>279.79797979797979</v>
      </c>
      <c r="FI357" s="8">
        <v>683.83838383838383</v>
      </c>
      <c r="FJ357" s="8">
        <v>0.1259697542756871</v>
      </c>
      <c r="FK357" s="8">
        <v>0</v>
      </c>
      <c r="FL357" s="8">
        <v>0.32790233688464837</v>
      </c>
      <c r="FO357" s="1">
        <v>220</v>
      </c>
      <c r="FP357" s="1">
        <v>220</v>
      </c>
      <c r="FR357" s="13" t="s">
        <v>643</v>
      </c>
      <c r="FS357" s="1" t="s">
        <v>643</v>
      </c>
      <c r="FT357" s="13">
        <v>182</v>
      </c>
      <c r="FU357" s="13"/>
      <c r="FV357" s="13">
        <v>182</v>
      </c>
      <c r="FW357" s="13">
        <v>182</v>
      </c>
      <c r="FX357" s="1">
        <v>182</v>
      </c>
      <c r="FY357" s="13" t="s">
        <v>642</v>
      </c>
      <c r="FZ357" s="13" t="s">
        <v>641</v>
      </c>
      <c r="GA357" s="1">
        <v>202</v>
      </c>
      <c r="GB357" s="1">
        <v>202</v>
      </c>
      <c r="GD357" s="1" t="s">
        <v>645</v>
      </c>
      <c r="GE357" s="1">
        <v>211</v>
      </c>
      <c r="GF357" s="1">
        <v>214</v>
      </c>
      <c r="GG357" s="1">
        <v>220</v>
      </c>
      <c r="GH357" s="1">
        <v>214</v>
      </c>
      <c r="GK357" s="1" t="s">
        <v>644</v>
      </c>
    </row>
    <row r="358" spans="1:193" ht="12.75" customHeight="1" x14ac:dyDescent="0.25">
      <c r="A358" s="1" t="s">
        <v>27</v>
      </c>
      <c r="D358" s="1" t="s">
        <v>27</v>
      </c>
      <c r="E358" s="1" t="s">
        <v>126</v>
      </c>
      <c r="F358" s="1">
        <v>1</v>
      </c>
      <c r="G358" s="1">
        <v>2035</v>
      </c>
      <c r="H358" s="1">
        <v>1</v>
      </c>
      <c r="I358" s="1">
        <v>1</v>
      </c>
      <c r="J358" s="1">
        <v>0</v>
      </c>
      <c r="K358" s="11">
        <v>419.42411209197292</v>
      </c>
      <c r="L358" s="11">
        <v>713.02609255882487</v>
      </c>
      <c r="M358" s="11">
        <v>1005.3516117554288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9"/>
      <c r="BQ358" s="11">
        <v>59.792116608499285</v>
      </c>
      <c r="BR358" s="11">
        <v>135.06275308002341</v>
      </c>
      <c r="BS358" s="11">
        <v>209.99511472698254</v>
      </c>
      <c r="BT358" s="11">
        <f>Tabelle5897112140[[#This Row],[Mindestauslastung min]]*Tabelle5897112140[[#This Row],[installierte Leistung MW min]]</f>
        <v>406.83620000000008</v>
      </c>
      <c r="BU358" s="11">
        <f>Tabelle5897112140[[#This Row],[Mindestauslastung durch]]*Tabelle5897112140[[#This Row],[installierte Leistung MW durch]]</f>
        <v>0</v>
      </c>
      <c r="BV358" s="19">
        <f>Tabelle5897112140[[#This Row],[Mindestauslastung max]]*Tabelle5897112140[[#This Row],[installierte Leistung MW max]]</f>
        <v>760.75920000000008</v>
      </c>
      <c r="BW358" s="9">
        <v>0.28800727741241267</v>
      </c>
      <c r="BX358" s="9"/>
      <c r="BY358" s="9">
        <v>0.48773181005135313</v>
      </c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39">
        <v>0.83</v>
      </c>
      <c r="DC358" s="39">
        <v>0.85999999999999988</v>
      </c>
      <c r="DD358" s="39">
        <v>0.89000000000000012</v>
      </c>
      <c r="DE358" s="11">
        <f>Tabelle5897112140[[#This Row],[Durchschnittsauslastung min]]*Tabelle5897112140[[#This Row],[installierte Leistung MW min]]</f>
        <v>1172.4497000000001</v>
      </c>
      <c r="DF358" s="11">
        <f>Tabelle5897112140[[#This Row],[Durchschnittsauslastung durch]]*Tabelle5897112140[[#This Row],[installierte Leistung MW durch]]</f>
        <v>1278.1233999999999</v>
      </c>
      <c r="DG358" s="46">
        <f>Tabelle5897112140[[#This Row],[Durchschnittsauslastung max]]*Tabelle5897112140[[#This Row],[installierte Leistung MW max]]</f>
        <v>1388.2131000000002</v>
      </c>
      <c r="DH358" s="46">
        <f>Tabelle5897112140[[#This Row],[Maximalauslastung min]]*Tabelle5897112140[[#This Row],[installierte Leistung MW min]]</f>
        <v>1327.8345999999999</v>
      </c>
      <c r="DI358" s="46">
        <f>Tabelle5897112140[[#This Row],[Maximalauslastung durch]]*Tabelle5897112140[[#This Row],[installierte Leistung MW durch]]</f>
        <v>1411.8805</v>
      </c>
      <c r="DJ358" s="11">
        <f>Tabelle5897112140[[#This Row],[Maximalauslastung max]]*Tabelle5897112140[[#This Row],[installierte Leistung MW durch]]</f>
        <v>1426.7424000000003</v>
      </c>
      <c r="DK358" s="9">
        <v>0.93999999999999984</v>
      </c>
      <c r="DL358" s="9">
        <v>0.95</v>
      </c>
      <c r="DM358" s="9">
        <v>0.96000000000000019</v>
      </c>
      <c r="DN358" s="11">
        <v>1486.19</v>
      </c>
      <c r="DO358" s="11">
        <v>1412.5900000000001</v>
      </c>
      <c r="DP358" s="11">
        <v>1559.79</v>
      </c>
      <c r="DQ358" s="1">
        <v>0.23911070103942145</v>
      </c>
      <c r="DR358" s="1">
        <v>0</v>
      </c>
      <c r="DS358" s="54">
        <v>1</v>
      </c>
      <c r="DT358" s="1">
        <v>8.9406367886265464E-2</v>
      </c>
      <c r="DU358" s="1">
        <v>0</v>
      </c>
      <c r="DV358" s="54">
        <v>0.25</v>
      </c>
      <c r="DW358" s="1">
        <v>7.7084760360384603</v>
      </c>
      <c r="DX358" s="1">
        <v>4.8</v>
      </c>
      <c r="DY358" s="54">
        <v>8.8000000000000007</v>
      </c>
      <c r="DZ358" s="1">
        <v>4.4700435341376261</v>
      </c>
      <c r="EA358" s="1">
        <v>2.4</v>
      </c>
      <c r="EB358" s="54">
        <v>5.8</v>
      </c>
      <c r="EC358" s="1">
        <v>11.46271405405769</v>
      </c>
      <c r="ED358" s="1">
        <v>4.4836052924061471</v>
      </c>
      <c r="EE358" s="54">
        <v>4.4577616217567755</v>
      </c>
      <c r="EF358" s="1">
        <v>4.4700435341376261</v>
      </c>
      <c r="EG358" s="1">
        <v>2.4</v>
      </c>
      <c r="EH358" s="54">
        <v>5.8</v>
      </c>
      <c r="EJ358" s="1" t="s">
        <v>646</v>
      </c>
      <c r="EL358" s="1">
        <v>56.355950450480762</v>
      </c>
      <c r="EM358" s="1">
        <v>46.003086528999923</v>
      </c>
      <c r="EN358" s="1">
        <v>66.857782137339001</v>
      </c>
      <c r="EO358" s="1">
        <v>0</v>
      </c>
      <c r="EP358" s="1">
        <v>0</v>
      </c>
      <c r="EQ358" s="1">
        <v>0</v>
      </c>
      <c r="ER358" s="1">
        <v>175.94927297317298</v>
      </c>
      <c r="ES358" s="1">
        <v>89.341564077333132</v>
      </c>
      <c r="ET358" s="1">
        <v>260.72227671673755</v>
      </c>
      <c r="EU358" s="1">
        <v>0.22698377064911626</v>
      </c>
      <c r="EV358" s="19">
        <v>2.5060636165061365E-2</v>
      </c>
      <c r="EW358" s="19">
        <v>0.42891606555945994</v>
      </c>
      <c r="EX358" s="19">
        <v>151.51515151515153</v>
      </c>
      <c r="EY358" s="8">
        <v>101.01010101010101</v>
      </c>
      <c r="EZ358" s="8">
        <v>202.02020202020205</v>
      </c>
      <c r="FA358" s="8">
        <v>258.58585858585855</v>
      </c>
      <c r="FB358" s="8">
        <v>226.26262626262627</v>
      </c>
      <c r="FC358" s="8">
        <v>290.90909090909093</v>
      </c>
      <c r="FD358" s="8">
        <v>25.252525252525253</v>
      </c>
      <c r="FE358" s="8">
        <v>15.151515151515152</v>
      </c>
      <c r="FF358" s="8">
        <v>35.353535353535356</v>
      </c>
      <c r="FG358" s="8">
        <v>481.81818181818181</v>
      </c>
      <c r="FH358" s="8">
        <v>279.79797979797979</v>
      </c>
      <c r="FI358" s="8">
        <v>683.83838383838395</v>
      </c>
      <c r="FJ358" s="8">
        <v>0.12597366963901524</v>
      </c>
      <c r="FK358" s="8">
        <v>0</v>
      </c>
      <c r="FL358" s="8">
        <v>0.32790596454935894</v>
      </c>
      <c r="FO358" s="1">
        <v>220</v>
      </c>
      <c r="FP358" s="1">
        <v>220</v>
      </c>
      <c r="FR358" s="13" t="s">
        <v>643</v>
      </c>
      <c r="FS358" s="1" t="s">
        <v>643</v>
      </c>
      <c r="FT358" s="13">
        <v>182</v>
      </c>
      <c r="FU358" s="13"/>
      <c r="FV358" s="13">
        <v>182</v>
      </c>
      <c r="FW358" s="13">
        <v>182</v>
      </c>
      <c r="FX358" s="1">
        <v>182</v>
      </c>
      <c r="FY358" s="13" t="s">
        <v>642</v>
      </c>
      <c r="FZ358" s="13" t="s">
        <v>641</v>
      </c>
      <c r="GA358" s="1">
        <v>202</v>
      </c>
      <c r="GB358" s="1">
        <v>202</v>
      </c>
      <c r="GD358" s="1" t="s">
        <v>645</v>
      </c>
      <c r="GE358" s="1">
        <v>211</v>
      </c>
      <c r="GF358" s="1">
        <v>214</v>
      </c>
      <c r="GG358" s="1">
        <v>220</v>
      </c>
      <c r="GH358" s="1">
        <v>214</v>
      </c>
      <c r="GK358" s="1" t="s">
        <v>644</v>
      </c>
    </row>
    <row r="359" spans="1:193" ht="12.75" customHeight="1" x14ac:dyDescent="0.25">
      <c r="A359" s="1" t="s">
        <v>27</v>
      </c>
      <c r="D359" s="1" t="s">
        <v>27</v>
      </c>
      <c r="E359" s="1" t="s">
        <v>126</v>
      </c>
      <c r="F359" s="1">
        <v>1</v>
      </c>
      <c r="G359" s="1">
        <v>2040</v>
      </c>
      <c r="H359" s="1">
        <v>1</v>
      </c>
      <c r="I359" s="1">
        <v>1</v>
      </c>
      <c r="J359" s="1">
        <v>0</v>
      </c>
      <c r="K359" s="11">
        <v>400.70209528115203</v>
      </c>
      <c r="L359" s="11">
        <v>681.16804281819509</v>
      </c>
      <c r="M359" s="11">
        <v>960.39318988259447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9"/>
      <c r="BQ359" s="11">
        <v>57.123149851401131</v>
      </c>
      <c r="BR359" s="11">
        <v>129.02814095203203</v>
      </c>
      <c r="BS359" s="11">
        <v>200.60432164649492</v>
      </c>
      <c r="BT359" s="11">
        <f>Tabelle5897112140[[#This Row],[Mindestauslastung min]]*Tabelle5897112140[[#This Row],[installierte Leistung MW min]]</f>
        <v>388.64180000000005</v>
      </c>
      <c r="BU359" s="11">
        <f>Tabelle5897112140[[#This Row],[Mindestauslastung durch]]*Tabelle5897112140[[#This Row],[installierte Leistung MW durch]]</f>
        <v>0</v>
      </c>
      <c r="BV359" s="19">
        <f>Tabelle5897112140[[#This Row],[Mindestauslastung max]]*Tabelle5897112140[[#This Row],[installierte Leistung MW max]]</f>
        <v>726.55119999999999</v>
      </c>
      <c r="BW359" s="9">
        <v>0.28803856900397995</v>
      </c>
      <c r="BX359" s="9"/>
      <c r="BY359" s="9">
        <v>0.48771317907512196</v>
      </c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39">
        <v>0.83</v>
      </c>
      <c r="DC359" s="39">
        <v>0.85999999999999988</v>
      </c>
      <c r="DD359" s="39">
        <v>0.8899999999999999</v>
      </c>
      <c r="DE359" s="11">
        <f>Tabelle5897112140[[#This Row],[Durchschnittsauslastung min]]*Tabelle5897112140[[#This Row],[installierte Leistung MW min]]</f>
        <v>1119.8941</v>
      </c>
      <c r="DF359" s="11">
        <f>Tabelle5897112140[[#This Row],[Durchschnittsauslastung durch]]*Tabelle5897112140[[#This Row],[installierte Leistung MW durch]]</f>
        <v>1220.7613999999999</v>
      </c>
      <c r="DG359" s="46">
        <f>Tabelle5897112140[[#This Row],[Durchschnittsauslastung max]]*Tabelle5897112140[[#This Row],[installierte Leistung MW max]]</f>
        <v>1325.8418999999999</v>
      </c>
      <c r="DH359" s="46">
        <f>Tabelle5897112140[[#This Row],[Maximalauslastung min]]*Tabelle5897112140[[#This Row],[installierte Leistung MW min]]</f>
        <v>1268.3137999999999</v>
      </c>
      <c r="DI359" s="46">
        <f>Tabelle5897112140[[#This Row],[Maximalauslastung durch]]*Tabelle5897112140[[#This Row],[installierte Leistung MW durch]]</f>
        <v>1348.5154999999997</v>
      </c>
      <c r="DJ359" s="11">
        <f>Tabelle5897112140[[#This Row],[Maximalauslastung max]]*Tabelle5897112140[[#This Row],[installierte Leistung MW durch]]</f>
        <v>1362.7103999999999</v>
      </c>
      <c r="DK359" s="9">
        <v>0.94</v>
      </c>
      <c r="DL359" s="9">
        <v>0.94999999999999984</v>
      </c>
      <c r="DM359" s="9">
        <v>0.96</v>
      </c>
      <c r="DN359" s="11">
        <v>1419.49</v>
      </c>
      <c r="DO359" s="11">
        <v>1349.27</v>
      </c>
      <c r="DP359" s="11">
        <v>1489.71</v>
      </c>
      <c r="DQ359" s="1">
        <v>0.23913200838564083</v>
      </c>
      <c r="DR359" s="1">
        <v>0</v>
      </c>
      <c r="DS359" s="54">
        <v>1</v>
      </c>
      <c r="DT359" s="1">
        <v>8.9414098373359438E-2</v>
      </c>
      <c r="DU359" s="1">
        <v>0</v>
      </c>
      <c r="DV359" s="54">
        <v>0.25</v>
      </c>
      <c r="DW359" s="1">
        <v>7.7091772397128544</v>
      </c>
      <c r="DX359" s="1">
        <v>4.8</v>
      </c>
      <c r="DY359" s="54">
        <v>8.8000000000000007</v>
      </c>
      <c r="DZ359" s="1">
        <v>4.4704126129807182</v>
      </c>
      <c r="EA359" s="1">
        <v>2.4</v>
      </c>
      <c r="EB359" s="54">
        <v>5.8</v>
      </c>
      <c r="EC359" s="1">
        <v>11.46376585956928</v>
      </c>
      <c r="ED359" s="1">
        <v>4.4839476161183454</v>
      </c>
      <c r="EE359" s="54">
        <v>4.4581536003651712</v>
      </c>
      <c r="EF359" s="1">
        <v>4.4704126129807182</v>
      </c>
      <c r="EG359" s="1">
        <v>2.4</v>
      </c>
      <c r="EH359" s="54">
        <v>5.8</v>
      </c>
      <c r="EJ359" s="1" t="s">
        <v>646</v>
      </c>
      <c r="EL359" s="1">
        <v>365</v>
      </c>
      <c r="EM359" s="1">
        <v>328</v>
      </c>
      <c r="EN359" s="1">
        <v>402</v>
      </c>
      <c r="EO359" s="1">
        <v>0</v>
      </c>
      <c r="EP359" s="1">
        <v>0</v>
      </c>
      <c r="EQ359" s="1">
        <v>0</v>
      </c>
      <c r="ER359" s="1">
        <v>176.0071222763105</v>
      </c>
      <c r="ES359" s="1">
        <v>89.367880409406581</v>
      </c>
      <c r="ET359" s="1">
        <v>260.81452094702996</v>
      </c>
      <c r="EU359" s="1">
        <v>0.22698805396816654</v>
      </c>
      <c r="EV359" s="19">
        <v>2.5065256012360742E-2</v>
      </c>
      <c r="EW359" s="19">
        <v>0.42892003453455019</v>
      </c>
      <c r="EX359" s="19">
        <v>151.51515151515153</v>
      </c>
      <c r="EY359" s="8">
        <v>101.01010101010101</v>
      </c>
      <c r="EZ359" s="8">
        <v>202.02020202020202</v>
      </c>
      <c r="FA359" s="8">
        <v>258.5858585858586</v>
      </c>
      <c r="FB359" s="8">
        <v>226.26262626262627</v>
      </c>
      <c r="FC359" s="8">
        <v>290.90909090909093</v>
      </c>
      <c r="FD359" s="8">
        <v>25.252525252525253</v>
      </c>
      <c r="FE359" s="8">
        <v>15.151515151515152</v>
      </c>
      <c r="FF359" s="8">
        <v>35.353535353535349</v>
      </c>
      <c r="FG359" s="8">
        <v>481.81818181818181</v>
      </c>
      <c r="FH359" s="8">
        <v>279.79797979797979</v>
      </c>
      <c r="FI359" s="8">
        <v>683.83838383838383</v>
      </c>
      <c r="FJ359" s="8">
        <v>0.12597795295806552</v>
      </c>
      <c r="FK359" s="8">
        <v>0</v>
      </c>
      <c r="FL359" s="8">
        <v>0.32790993352444908</v>
      </c>
      <c r="FO359" s="1">
        <v>220</v>
      </c>
      <c r="FP359" s="1">
        <v>220</v>
      </c>
      <c r="FR359" s="13" t="s">
        <v>643</v>
      </c>
      <c r="FS359" s="1" t="s">
        <v>643</v>
      </c>
      <c r="FT359" s="13">
        <v>182</v>
      </c>
      <c r="FU359" s="13"/>
      <c r="FV359" s="13">
        <v>182</v>
      </c>
      <c r="FW359" s="13">
        <v>182</v>
      </c>
      <c r="FX359" s="1">
        <v>182</v>
      </c>
      <c r="FY359" s="13" t="s">
        <v>642</v>
      </c>
      <c r="FZ359" s="13" t="s">
        <v>641</v>
      </c>
      <c r="GA359" s="1">
        <v>202</v>
      </c>
      <c r="GB359" s="1">
        <v>202</v>
      </c>
      <c r="GD359" s="1" t="s">
        <v>645</v>
      </c>
      <c r="GE359" s="1">
        <v>211</v>
      </c>
      <c r="GF359" s="1">
        <v>214</v>
      </c>
      <c r="GG359" s="1">
        <v>220</v>
      </c>
      <c r="GH359" s="1">
        <v>214</v>
      </c>
      <c r="GK359" s="1" t="s">
        <v>644</v>
      </c>
    </row>
    <row r="360" spans="1:193" ht="12.75" customHeight="1" x14ac:dyDescent="0.25">
      <c r="A360" s="1" t="s">
        <v>27</v>
      </c>
      <c r="D360" s="1" t="s">
        <v>27</v>
      </c>
      <c r="E360" s="1" t="s">
        <v>126</v>
      </c>
      <c r="F360" s="1">
        <v>1</v>
      </c>
      <c r="G360" s="1">
        <v>2045</v>
      </c>
      <c r="H360" s="1">
        <v>1</v>
      </c>
      <c r="I360" s="1">
        <v>1</v>
      </c>
      <c r="J360" s="1">
        <v>0</v>
      </c>
      <c r="K360" s="11">
        <v>383.50935855364992</v>
      </c>
      <c r="L360" s="11">
        <v>652.06580029714189</v>
      </c>
      <c r="M360" s="11">
        <v>919.52171613554174</v>
      </c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9"/>
      <c r="BQ360" s="11">
        <v>54.672193672218441</v>
      </c>
      <c r="BR360" s="11">
        <v>123.51553904767511</v>
      </c>
      <c r="BS360" s="11">
        <v>192.06719919280246</v>
      </c>
      <c r="BT360" s="11">
        <f>Tabelle5897112140[[#This Row],[Mindestauslastung min]]*Tabelle5897112140[[#This Row],[installierte Leistung MW min]]</f>
        <v>372.048</v>
      </c>
      <c r="BU360" s="11">
        <f>Tabelle5897112140[[#This Row],[Mindestauslastung durch]]*Tabelle5897112140[[#This Row],[installierte Leistung MW durch]]</f>
        <v>0</v>
      </c>
      <c r="BV360" s="19">
        <f>Tabelle5897112140[[#This Row],[Mindestauslastung max]]*Tabelle5897112140[[#This Row],[installierte Leistung MW max]]</f>
        <v>696.27039999999988</v>
      </c>
      <c r="BW360" s="9">
        <v>0.28794501888427965</v>
      </c>
      <c r="BX360" s="9"/>
      <c r="BY360" s="9">
        <v>0.48787129684127917</v>
      </c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39">
        <v>0.83</v>
      </c>
      <c r="DC360" s="39">
        <v>0.85999999999999988</v>
      </c>
      <c r="DD360" s="39">
        <v>0.89000000000000012</v>
      </c>
      <c r="DE360" s="11">
        <f>Tabelle5897112140[[#This Row],[Durchschnittsauslastung min]]*Tabelle5897112140[[#This Row],[installierte Leistung MW min]]</f>
        <v>1072.4263999999998</v>
      </c>
      <c r="DF360" s="11">
        <f>Tabelle5897112140[[#This Row],[Durchschnittsauslastung durch]]*Tabelle5897112140[[#This Row],[installierte Leistung MW durch]]</f>
        <v>1169.2731999999999</v>
      </c>
      <c r="DG360" s="46">
        <f>Tabelle5897112140[[#This Row],[Durchschnittsauslastung max]]*Tabelle5897112140[[#This Row],[installierte Leistung MW max]]</f>
        <v>1270.1724000000002</v>
      </c>
      <c r="DH360" s="46">
        <f>Tabelle5897112140[[#This Row],[Maximalauslastung min]]*Tabelle5897112140[[#This Row],[installierte Leistung MW min]]</f>
        <v>1214.5551999999998</v>
      </c>
      <c r="DI360" s="46">
        <f>Tabelle5897112140[[#This Row],[Maximalauslastung durch]]*Tabelle5897112140[[#This Row],[installierte Leistung MW durch]]</f>
        <v>1291.6390000000001</v>
      </c>
      <c r="DJ360" s="11">
        <f>Tabelle5897112140[[#This Row],[Maximalauslastung max]]*Tabelle5897112140[[#This Row],[installierte Leistung MW durch]]</f>
        <v>1305.2352000000001</v>
      </c>
      <c r="DK360" s="9">
        <v>0.94</v>
      </c>
      <c r="DL360" s="9">
        <v>0.95</v>
      </c>
      <c r="DM360" s="9">
        <v>0.96</v>
      </c>
      <c r="DN360" s="11">
        <v>1359.6200000000001</v>
      </c>
      <c r="DO360" s="11">
        <v>1292.08</v>
      </c>
      <c r="DP360" s="11">
        <v>1427.1599999999999</v>
      </c>
      <c r="DQ360" s="1">
        <v>0.23901531749475752</v>
      </c>
      <c r="DR360" s="1">
        <v>0</v>
      </c>
      <c r="DS360" s="54">
        <v>1</v>
      </c>
      <c r="DT360" s="1">
        <v>8.9371761922040299E-2</v>
      </c>
      <c r="DU360" s="1">
        <v>0</v>
      </c>
      <c r="DV360" s="54">
        <v>0.25</v>
      </c>
      <c r="DW360" s="1">
        <v>7.7070063694267521</v>
      </c>
      <c r="DX360" s="1">
        <v>4.8</v>
      </c>
      <c r="DY360" s="54">
        <v>8.8000000000000007</v>
      </c>
      <c r="DZ360" s="1">
        <v>4.4693929186096115</v>
      </c>
      <c r="EA360" s="1">
        <v>2.4</v>
      </c>
      <c r="EB360" s="54">
        <v>5.8</v>
      </c>
      <c r="EC360" s="1">
        <v>11.460509554140128</v>
      </c>
      <c r="ED360" s="1">
        <v>4.4830041483499468</v>
      </c>
      <c r="EE360" s="54">
        <v>4.4570699851453242</v>
      </c>
      <c r="EF360" s="1">
        <v>4.4693929186096115</v>
      </c>
      <c r="EG360" s="1">
        <v>2.4</v>
      </c>
      <c r="EH360" s="54">
        <v>5.8</v>
      </c>
      <c r="EJ360" s="1" t="s">
        <v>646</v>
      </c>
      <c r="EL360" s="1">
        <v>639</v>
      </c>
      <c r="EM360" s="1">
        <v>575</v>
      </c>
      <c r="EN360" s="1">
        <v>703</v>
      </c>
      <c r="EO360" s="1">
        <v>0</v>
      </c>
      <c r="EP360" s="1">
        <v>0</v>
      </c>
      <c r="EQ360" s="1">
        <v>0</v>
      </c>
      <c r="ER360" s="1">
        <v>175.828025477707</v>
      </c>
      <c r="ES360" s="1">
        <v>89.286112315026941</v>
      </c>
      <c r="ET360" s="1">
        <v>260.53000364359991</v>
      </c>
      <c r="EU360" s="1">
        <v>0.22695616526245671</v>
      </c>
      <c r="EV360" s="19">
        <v>2.5032693350444571E-2</v>
      </c>
      <c r="EW360" s="19">
        <v>0.42888879263217111</v>
      </c>
      <c r="EX360" s="19">
        <v>151.51515151515153</v>
      </c>
      <c r="EY360" s="8">
        <v>101.01010101010101</v>
      </c>
      <c r="EZ360" s="8">
        <v>202.02020202020202</v>
      </c>
      <c r="FA360" s="8">
        <v>258.5858585858586</v>
      </c>
      <c r="FB360" s="8">
        <v>226.2626262626263</v>
      </c>
      <c r="FC360" s="8">
        <v>290.90909090909093</v>
      </c>
      <c r="FD360" s="8">
        <v>25.252525252525253</v>
      </c>
      <c r="FE360" s="8">
        <v>15.151515151515152</v>
      </c>
      <c r="FF360" s="8">
        <v>35.353535353535356</v>
      </c>
      <c r="FG360" s="8">
        <v>481.81818181818181</v>
      </c>
      <c r="FH360" s="8">
        <v>279.79797979797979</v>
      </c>
      <c r="FI360" s="8">
        <v>683.83838383838383</v>
      </c>
      <c r="FJ360" s="8">
        <v>0.12594606425235572</v>
      </c>
      <c r="FK360" s="8">
        <v>0</v>
      </c>
      <c r="FL360" s="8">
        <v>0.32787869162207012</v>
      </c>
      <c r="FO360" s="1">
        <v>220</v>
      </c>
      <c r="FP360" s="1">
        <v>220</v>
      </c>
      <c r="FR360" s="13" t="s">
        <v>643</v>
      </c>
      <c r="FS360" s="1" t="s">
        <v>643</v>
      </c>
      <c r="FT360" s="13">
        <v>182</v>
      </c>
      <c r="FU360" s="13"/>
      <c r="FV360" s="13">
        <v>182</v>
      </c>
      <c r="FW360" s="13">
        <v>182</v>
      </c>
      <c r="FX360" s="1">
        <v>182</v>
      </c>
      <c r="FY360" s="13" t="s">
        <v>642</v>
      </c>
      <c r="FZ360" s="13" t="s">
        <v>641</v>
      </c>
      <c r="GA360" s="1">
        <v>202</v>
      </c>
      <c r="GB360" s="1">
        <v>202</v>
      </c>
      <c r="GD360" s="1" t="s">
        <v>645</v>
      </c>
      <c r="GE360" s="1">
        <v>211</v>
      </c>
      <c r="GF360" s="1">
        <v>214</v>
      </c>
      <c r="GG360" s="1">
        <v>220</v>
      </c>
      <c r="GH360" s="1">
        <v>214</v>
      </c>
      <c r="GK360" s="1" t="s">
        <v>644</v>
      </c>
    </row>
    <row r="361" spans="1:193" ht="12.75" customHeight="1" x14ac:dyDescent="0.25">
      <c r="A361" s="1" t="s">
        <v>27</v>
      </c>
      <c r="D361" s="1" t="s">
        <v>27</v>
      </c>
      <c r="E361" s="1" t="s">
        <v>126</v>
      </c>
      <c r="F361" s="1">
        <v>1</v>
      </c>
      <c r="G361" s="1">
        <v>2050</v>
      </c>
      <c r="H361" s="1">
        <v>1</v>
      </c>
      <c r="I361" s="1">
        <v>1</v>
      </c>
      <c r="J361" s="1">
        <v>0</v>
      </c>
      <c r="K361" s="11">
        <v>368.17311683704736</v>
      </c>
      <c r="L361" s="11">
        <v>625.85399650558657</v>
      </c>
      <c r="M361" s="11">
        <v>882.38320491851175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9"/>
      <c r="BQ361" s="11">
        <v>52.485895062723735</v>
      </c>
      <c r="BR361" s="11">
        <v>118.55044952258343</v>
      </c>
      <c r="BS361" s="11">
        <v>184.30980781587715</v>
      </c>
      <c r="BT361" s="11">
        <f>Tabelle5897112140[[#This Row],[Mindestauslastung min]]*Tabelle5897112140[[#This Row],[installierte Leistung MW min]]</f>
        <v>357.18160000000006</v>
      </c>
      <c r="BU361" s="11">
        <f>Tabelle5897112140[[#This Row],[Mindestauslastung durch]]*Tabelle5897112140[[#This Row],[installierte Leistung MW durch]]</f>
        <v>0</v>
      </c>
      <c r="BV361" s="19">
        <f>Tabelle5897112140[[#This Row],[Mindestauslastung max]]*Tabelle5897112140[[#This Row],[installierte Leistung MW max]]</f>
        <v>667.66719999999998</v>
      </c>
      <c r="BW361" s="9">
        <v>0.28796607436550681</v>
      </c>
      <c r="BX361" s="9"/>
      <c r="BY361" s="9">
        <v>0.48751913079034992</v>
      </c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39">
        <v>0.83</v>
      </c>
      <c r="DC361" s="39">
        <v>0.86</v>
      </c>
      <c r="DD361" s="39">
        <v>0.89</v>
      </c>
      <c r="DE361" s="11">
        <f>Tabelle5897112140[[#This Row],[Durchschnittsauslastung min]]*Tabelle5897112140[[#This Row],[installierte Leistung MW min]]</f>
        <v>1029.4988000000001</v>
      </c>
      <c r="DF361" s="11">
        <f>Tabelle5897112140[[#This Row],[Durchschnittsauslastung durch]]*Tabelle5897112140[[#This Row],[installierte Leistung MW durch]]</f>
        <v>1122.2483999999999</v>
      </c>
      <c r="DG361" s="46">
        <f>Tabelle5897112140[[#This Row],[Durchschnittsauslastung max]]*Tabelle5897112140[[#This Row],[installierte Leistung MW max]]</f>
        <v>1218.8728000000001</v>
      </c>
      <c r="DH361" s="46">
        <f>Tabelle5897112140[[#This Row],[Maximalauslastung min]]*Tabelle5897112140[[#This Row],[installierte Leistung MW min]]</f>
        <v>1165.9384</v>
      </c>
      <c r="DI361" s="46">
        <f>Tabelle5897112140[[#This Row],[Maximalauslastung durch]]*Tabelle5897112140[[#This Row],[installierte Leistung MW durch]]</f>
        <v>1239.6930000000002</v>
      </c>
      <c r="DJ361" s="11">
        <f>Tabelle5897112140[[#This Row],[Maximalauslastung max]]*Tabelle5897112140[[#This Row],[installierte Leistung MW durch]]</f>
        <v>1252.7424000000003</v>
      </c>
      <c r="DK361" s="9">
        <v>0.94</v>
      </c>
      <c r="DL361" s="9">
        <v>0.95000000000000018</v>
      </c>
      <c r="DM361" s="9">
        <v>0.96000000000000019</v>
      </c>
      <c r="DN361" s="11">
        <v>1304.94</v>
      </c>
      <c r="DO361" s="11">
        <v>1240.3600000000001</v>
      </c>
      <c r="DP361" s="11">
        <v>1369.52</v>
      </c>
      <c r="DQ361" s="1">
        <v>0.23920535629139186</v>
      </c>
      <c r="DR361" s="1">
        <v>0</v>
      </c>
      <c r="DS361" s="54">
        <v>1</v>
      </c>
      <c r="DT361" s="1">
        <v>8.9440709619684519E-2</v>
      </c>
      <c r="DU361" s="1">
        <v>0</v>
      </c>
      <c r="DV361" s="54">
        <v>0.25</v>
      </c>
      <c r="DW361" s="1">
        <v>7.7077260257176583</v>
      </c>
      <c r="DX361" s="1">
        <v>4.8</v>
      </c>
      <c r="DY361" s="54">
        <v>8.8000000000000007</v>
      </c>
      <c r="DZ361" s="1">
        <v>4.4693641086946529</v>
      </c>
      <c r="EA361" s="1">
        <v>2.4</v>
      </c>
      <c r="EB361" s="54">
        <v>5.8</v>
      </c>
      <c r="EC361" s="1">
        <v>11.461589038576488</v>
      </c>
      <c r="ED361" s="1">
        <v>4.4829694604792154</v>
      </c>
      <c r="EE361" s="54">
        <v>4.4570418832875749</v>
      </c>
      <c r="EF361" s="1">
        <v>4.4693641086946529</v>
      </c>
      <c r="EG361" s="1">
        <v>2.4</v>
      </c>
      <c r="EH361" s="54">
        <v>5.8</v>
      </c>
      <c r="EJ361" s="1" t="s">
        <v>646</v>
      </c>
      <c r="EL361" s="1">
        <v>365</v>
      </c>
      <c r="EM361" s="1">
        <v>328</v>
      </c>
      <c r="EN361" s="1">
        <v>402</v>
      </c>
      <c r="EO361" s="1">
        <v>0</v>
      </c>
      <c r="EP361" s="1">
        <v>0</v>
      </c>
      <c r="EQ361" s="1">
        <v>0</v>
      </c>
      <c r="ER361" s="1">
        <v>175.88739712170675</v>
      </c>
      <c r="ES361" s="1">
        <v>89.314070108678123</v>
      </c>
      <c r="ET361" s="1">
        <v>260.62123955838547</v>
      </c>
      <c r="EU361" s="1">
        <v>0.22702231907252829</v>
      </c>
      <c r="EV361" s="19">
        <v>2.5097959504099654E-2</v>
      </c>
      <c r="EW361" s="19">
        <v>0.42895571758238982</v>
      </c>
      <c r="EX361" s="19">
        <v>151.51515151515153</v>
      </c>
      <c r="EY361" s="8">
        <v>101.01010101010101</v>
      </c>
      <c r="EZ361" s="8">
        <v>202.02020202020205</v>
      </c>
      <c r="FA361" s="8">
        <v>258.5858585858586</v>
      </c>
      <c r="FB361" s="8">
        <v>226.26262626262627</v>
      </c>
      <c r="FC361" s="8">
        <v>290.90909090909093</v>
      </c>
      <c r="FD361" s="8">
        <v>25.252525252525253</v>
      </c>
      <c r="FE361" s="8">
        <v>15.151515151515152</v>
      </c>
      <c r="FF361" s="8">
        <v>35.353535353535356</v>
      </c>
      <c r="FG361" s="8">
        <v>481.81818181818187</v>
      </c>
      <c r="FH361" s="8">
        <v>279.79797979797979</v>
      </c>
      <c r="FI361" s="8">
        <v>683.83838383838383</v>
      </c>
      <c r="FJ361" s="8">
        <v>0.12601221806242727</v>
      </c>
      <c r="FK361" s="8">
        <v>0</v>
      </c>
      <c r="FL361" s="8">
        <v>0.32794561657228877</v>
      </c>
      <c r="FO361" s="1">
        <v>220</v>
      </c>
      <c r="FP361" s="1">
        <v>220</v>
      </c>
      <c r="FR361" s="13" t="s">
        <v>643</v>
      </c>
      <c r="FS361" s="1" t="s">
        <v>643</v>
      </c>
      <c r="FT361" s="13">
        <v>182</v>
      </c>
      <c r="FU361" s="13"/>
      <c r="FV361" s="13">
        <v>182</v>
      </c>
      <c r="FW361" s="13">
        <v>182</v>
      </c>
      <c r="FX361" s="1">
        <v>182</v>
      </c>
      <c r="FY361" s="13" t="s">
        <v>642</v>
      </c>
      <c r="FZ361" s="13" t="s">
        <v>641</v>
      </c>
      <c r="GA361" s="1">
        <v>202</v>
      </c>
      <c r="GB361" s="1">
        <v>202</v>
      </c>
      <c r="GD361" s="1" t="s">
        <v>645</v>
      </c>
      <c r="GE361" s="1">
        <v>211</v>
      </c>
      <c r="GF361" s="1">
        <v>214</v>
      </c>
      <c r="GG361" s="1">
        <v>220</v>
      </c>
      <c r="GH361" s="1">
        <v>214</v>
      </c>
      <c r="GK361" s="1" t="s">
        <v>644</v>
      </c>
    </row>
    <row r="362" spans="1:193" ht="12.75" customHeight="1" x14ac:dyDescent="0.25">
      <c r="A362" s="1" t="s">
        <v>81</v>
      </c>
      <c r="D362" s="1" t="s">
        <v>577</v>
      </c>
      <c r="E362" s="1" t="s">
        <v>126</v>
      </c>
      <c r="F362" s="1">
        <v>1</v>
      </c>
      <c r="G362" s="1">
        <v>2050</v>
      </c>
      <c r="H362" s="1">
        <v>1</v>
      </c>
      <c r="I362" s="1">
        <v>1</v>
      </c>
      <c r="J362" s="1">
        <v>0</v>
      </c>
      <c r="K362" s="11">
        <v>1567.38</v>
      </c>
      <c r="L362" s="11">
        <v>1664.02</v>
      </c>
      <c r="M362" s="11">
        <v>1760.66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9"/>
      <c r="BQ362" s="11">
        <v>0</v>
      </c>
      <c r="BR362" s="11">
        <v>191.77</v>
      </c>
      <c r="BS362" s="11">
        <v>383.54</v>
      </c>
      <c r="BT362" s="11">
        <f>Tabelle5897112140[[#This Row],[Mindestauslastung min]]*Tabelle5897112140[[#This Row],[installierte Leistung MW min]]</f>
        <v>0</v>
      </c>
      <c r="BU362" s="11">
        <f>Tabelle5897112140[[#This Row],[Mindestauslastung durch]]*Tabelle5897112140[[#This Row],[installierte Leistung MW durch]]</f>
        <v>0</v>
      </c>
      <c r="BV362" s="19">
        <f>Tabelle5897112140[[#This Row],[Mindestauslastung max]]*Tabelle5897112140[[#This Row],[installierte Leistung MW max]]</f>
        <v>0</v>
      </c>
      <c r="BW362" s="9">
        <v>0</v>
      </c>
      <c r="BX362" s="9">
        <v>0</v>
      </c>
      <c r="BY362" s="9">
        <v>0</v>
      </c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39">
        <v>0.49</v>
      </c>
      <c r="DC362" s="39">
        <v>0.52</v>
      </c>
      <c r="DD362" s="39">
        <v>0.55000000000000004</v>
      </c>
      <c r="DE362" s="11">
        <f>Tabelle5897112140[[#This Row],[Durchschnittsauslastung min]]*Tabelle5897112140[[#This Row],[installierte Leistung MW min]]</f>
        <v>1482.0197000000001</v>
      </c>
      <c r="DF362" s="11">
        <f>Tabelle5897112140[[#This Row],[Durchschnittsauslastung durch]]*Tabelle5897112140[[#This Row],[installierte Leistung MW durch]]</f>
        <v>1620.6528000000001</v>
      </c>
      <c r="DG362" s="46">
        <f>Tabelle5897112140[[#This Row],[Durchschnittsauslastung max]]*Tabelle5897112140[[#This Row],[installierte Leistung MW max]]</f>
        <v>1764.8125000000002</v>
      </c>
      <c r="DH362" s="46">
        <f>Tabelle5897112140[[#This Row],[Maximalauslastung min]]*Tabelle5897112140[[#This Row],[installierte Leistung MW min]]</f>
        <v>1270.3026</v>
      </c>
      <c r="DI362" s="46">
        <f>Tabelle5897112140[[#This Row],[Maximalauslastung durch]]*Tabelle5897112140[[#This Row],[installierte Leistung MW durch]]</f>
        <v>1464.8208</v>
      </c>
      <c r="DJ362" s="11">
        <f>Tabelle5897112140[[#This Row],[Maximalauslastung max]]*Tabelle5897112140[[#This Row],[installierte Leistung MW durch]]</f>
        <v>1620.6528000000001</v>
      </c>
      <c r="DK362" s="9">
        <v>0.42</v>
      </c>
      <c r="DL362" s="9">
        <v>0.47</v>
      </c>
      <c r="DM362" s="9">
        <v>0.52</v>
      </c>
      <c r="DN362" s="11">
        <v>3116.64</v>
      </c>
      <c r="DO362" s="11">
        <v>3024.53</v>
      </c>
      <c r="DP362" s="11">
        <v>3208.75</v>
      </c>
      <c r="DQ362" s="1">
        <v>0.762625</v>
      </c>
      <c r="DR362" s="1">
        <v>2.7777777777777778E-4</v>
      </c>
      <c r="DS362" s="54">
        <v>3</v>
      </c>
      <c r="DT362" s="1">
        <v>1.3888888888888889E-4</v>
      </c>
      <c r="DU362" s="1">
        <v>0</v>
      </c>
      <c r="DV362" s="54">
        <v>2.7777777777777778E-4</v>
      </c>
      <c r="DW362" s="1">
        <v>0.25</v>
      </c>
      <c r="DX362" s="1">
        <v>0.2</v>
      </c>
      <c r="DY362" s="54">
        <v>0.3</v>
      </c>
      <c r="DZ362" s="1">
        <v>0.25</v>
      </c>
      <c r="EA362" s="1">
        <v>0.2</v>
      </c>
      <c r="EB362" s="54">
        <v>0.3</v>
      </c>
      <c r="EC362" s="1">
        <v>0.5</v>
      </c>
      <c r="ED362" s="1">
        <v>0.4</v>
      </c>
      <c r="EE362" s="54">
        <v>0.6</v>
      </c>
      <c r="EF362" s="1">
        <v>0.3</v>
      </c>
      <c r="EG362" s="1">
        <v>0.2</v>
      </c>
      <c r="EH362" s="54">
        <v>0.4</v>
      </c>
      <c r="EJ362" s="1" t="s">
        <v>646</v>
      </c>
      <c r="EL362" s="1">
        <v>365</v>
      </c>
      <c r="EM362" s="1">
        <v>328</v>
      </c>
      <c r="EN362" s="1">
        <v>402</v>
      </c>
      <c r="EO362" s="1">
        <v>0</v>
      </c>
      <c r="EP362" s="1">
        <v>0</v>
      </c>
      <c r="EQ362" s="1">
        <v>0</v>
      </c>
      <c r="ER362" s="1">
        <v>365</v>
      </c>
      <c r="ES362" s="1">
        <v>328</v>
      </c>
      <c r="ET362" s="1">
        <v>402</v>
      </c>
      <c r="EU362" s="1">
        <v>143</v>
      </c>
      <c r="EV362" s="19">
        <v>128.69999999999999</v>
      </c>
      <c r="EW362" s="19">
        <v>157.30000000000001</v>
      </c>
      <c r="EX362" s="19">
        <v>272.72727272727275</v>
      </c>
      <c r="EY362" s="8">
        <v>181.81818181818181</v>
      </c>
      <c r="EZ362" s="8">
        <v>363.63636363636363</v>
      </c>
      <c r="FA362" s="8">
        <v>569.69696969696975</v>
      </c>
      <c r="FB362" s="8">
        <v>530.30303030303025</v>
      </c>
      <c r="FC362" s="8">
        <v>609.09090909090912</v>
      </c>
      <c r="FD362" s="8">
        <v>33.333333333333336</v>
      </c>
      <c r="FE362" s="8">
        <v>33.333333333333336</v>
      </c>
      <c r="FF362" s="8">
        <v>33.333333333333336</v>
      </c>
      <c r="FG362" s="8">
        <v>101.01010101010101</v>
      </c>
      <c r="FH362" s="8">
        <v>50.505050505050505</v>
      </c>
      <c r="FI362" s="8">
        <v>151.51515151515153</v>
      </c>
      <c r="FJ362" s="8">
        <v>2.8585858585858586</v>
      </c>
      <c r="FK362" s="8">
        <v>1.1414141414141414</v>
      </c>
      <c r="FL362" s="8">
        <v>4.5757575757575761</v>
      </c>
      <c r="FO362" s="1">
        <v>220</v>
      </c>
      <c r="FP362" s="1">
        <v>220</v>
      </c>
      <c r="FR362" s="13" t="s">
        <v>643</v>
      </c>
      <c r="FS362" s="1" t="s">
        <v>643</v>
      </c>
      <c r="FT362" s="13">
        <v>182</v>
      </c>
      <c r="FU362" s="13"/>
      <c r="FV362" s="13">
        <v>182</v>
      </c>
      <c r="FW362" s="13">
        <v>182</v>
      </c>
      <c r="FX362" s="1">
        <v>182</v>
      </c>
      <c r="FY362" s="13" t="s">
        <v>642</v>
      </c>
      <c r="FZ362" s="13" t="s">
        <v>641</v>
      </c>
      <c r="GA362" s="1">
        <v>202</v>
      </c>
      <c r="GB362" s="1">
        <v>202</v>
      </c>
      <c r="GD362" s="1" t="s">
        <v>645</v>
      </c>
      <c r="GE362" s="1">
        <v>211</v>
      </c>
      <c r="GF362" s="1">
        <v>214</v>
      </c>
      <c r="GG362" s="1">
        <v>220</v>
      </c>
      <c r="GH362" s="1">
        <v>214</v>
      </c>
      <c r="GK362" s="1" t="s">
        <v>644</v>
      </c>
    </row>
    <row r="363" spans="1:193" ht="12.75" customHeight="1" x14ac:dyDescent="0.25">
      <c r="A363" s="1" t="s">
        <v>81</v>
      </c>
      <c r="D363" s="1" t="s">
        <v>577</v>
      </c>
      <c r="E363" s="1" t="s">
        <v>126</v>
      </c>
      <c r="F363" s="1">
        <v>1</v>
      </c>
      <c r="G363" s="1">
        <v>2015</v>
      </c>
      <c r="H363" s="1">
        <v>1</v>
      </c>
      <c r="I363" s="1">
        <v>1</v>
      </c>
      <c r="J363" s="1">
        <v>0</v>
      </c>
      <c r="K363" s="11">
        <v>1038</v>
      </c>
      <c r="L363" s="11">
        <v>1102</v>
      </c>
      <c r="M363" s="11">
        <v>1166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9"/>
      <c r="BQ363" s="11">
        <v>0</v>
      </c>
      <c r="BR363" s="11">
        <v>127</v>
      </c>
      <c r="BS363" s="11">
        <v>254</v>
      </c>
      <c r="BT363" s="11">
        <f>Tabelle5897112140[[#This Row],[Mindestauslastung min]]*Tabelle5897112140[[#This Row],[installierte Leistung MW min]]</f>
        <v>0</v>
      </c>
      <c r="BU363" s="11">
        <f>Tabelle5897112140[[#This Row],[Mindestauslastung durch]]*Tabelle5897112140[[#This Row],[installierte Leistung MW durch]]</f>
        <v>0</v>
      </c>
      <c r="BV363" s="19">
        <f>Tabelle5897112140[[#This Row],[Mindestauslastung max]]*Tabelle5897112140[[#This Row],[installierte Leistung MW max]]</f>
        <v>0</v>
      </c>
      <c r="BW363" s="9">
        <v>0</v>
      </c>
      <c r="BX363" s="9"/>
      <c r="BY363" s="9">
        <v>0</v>
      </c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39">
        <v>0.49</v>
      </c>
      <c r="DC363" s="39">
        <v>0.52</v>
      </c>
      <c r="DD363" s="39">
        <v>0.55000000000000004</v>
      </c>
      <c r="DE363" s="11">
        <f>Tabelle5897112140[[#This Row],[Durchschnittsauslastung min]]*Tabelle5897112140[[#This Row],[installierte Leistung MW min]]</f>
        <v>981.47</v>
      </c>
      <c r="DF363" s="11">
        <f>Tabelle5897112140[[#This Row],[Durchschnittsauslastung durch]]*Tabelle5897112140[[#This Row],[installierte Leistung MW durch]]</f>
        <v>1073.28</v>
      </c>
      <c r="DG363" s="46">
        <f>Tabelle5897112140[[#This Row],[Durchschnittsauslastung max]]*Tabelle5897112140[[#This Row],[installierte Leistung MW max]]</f>
        <v>1168.75</v>
      </c>
      <c r="DH363" s="46">
        <f>Tabelle5897112140[[#This Row],[Maximalauslastung min]]*Tabelle5897112140[[#This Row],[installierte Leistung MW min]]</f>
        <v>1101.6500000000001</v>
      </c>
      <c r="DI363" s="46">
        <f>Tabelle5897112140[[#This Row],[Maximalauslastung durch]]*Tabelle5897112140[[#This Row],[installierte Leistung MW durch]]</f>
        <v>1197.1199999999999</v>
      </c>
      <c r="DJ363" s="11">
        <f>Tabelle5897112140[[#This Row],[Maximalauslastung max]]*Tabelle5897112140[[#This Row],[installierte Leistung MW durch]]</f>
        <v>1259.04</v>
      </c>
      <c r="DK363" s="9">
        <v>0.55000000000000004</v>
      </c>
      <c r="DL363" s="9">
        <v>0.57999999999999996</v>
      </c>
      <c r="DM363" s="9">
        <v>0.61</v>
      </c>
      <c r="DN363" s="11">
        <v>2064</v>
      </c>
      <c r="DO363" s="11">
        <v>2003</v>
      </c>
      <c r="DP363" s="11">
        <v>2125</v>
      </c>
      <c r="DQ363" s="1">
        <v>0.762625</v>
      </c>
      <c r="DR363" s="1">
        <v>2.7777777777777778E-4</v>
      </c>
      <c r="DS363" s="54">
        <v>3</v>
      </c>
      <c r="DT363" s="1">
        <v>1.3888888888888889E-4</v>
      </c>
      <c r="DU363" s="1">
        <v>0</v>
      </c>
      <c r="DV363" s="54">
        <v>2.7777777777777778E-4</v>
      </c>
      <c r="DW363" s="1">
        <v>3.7</v>
      </c>
      <c r="DX363" s="1">
        <v>3.3000000000000003</v>
      </c>
      <c r="DY363" s="54">
        <v>4.1000000000000005</v>
      </c>
      <c r="DZ363" s="1">
        <v>1.1000000000000001</v>
      </c>
      <c r="EA363" s="1">
        <v>0.90000000000000013</v>
      </c>
      <c r="EB363" s="54">
        <v>1.3</v>
      </c>
      <c r="EC363" s="1">
        <v>4.7</v>
      </c>
      <c r="ED363" s="1">
        <v>4.7</v>
      </c>
      <c r="EE363" s="54">
        <v>4.7</v>
      </c>
      <c r="EF363" s="1">
        <v>1.1000000000000001</v>
      </c>
      <c r="EG363" s="1">
        <v>0.90000000000000013</v>
      </c>
      <c r="EH363" s="54">
        <v>1.3</v>
      </c>
      <c r="EJ363" s="1" t="s">
        <v>646</v>
      </c>
      <c r="EL363" s="1">
        <v>50</v>
      </c>
      <c r="EM363" s="1">
        <v>20</v>
      </c>
      <c r="EN363" s="1">
        <v>80</v>
      </c>
      <c r="EO363" s="1">
        <v>0</v>
      </c>
      <c r="EP363" s="1">
        <v>0</v>
      </c>
      <c r="EQ363" s="1">
        <v>0</v>
      </c>
      <c r="ER363" s="1">
        <v>4000</v>
      </c>
      <c r="ES363" s="1">
        <v>3800</v>
      </c>
      <c r="ET363" s="1">
        <v>4200</v>
      </c>
      <c r="EU363" s="1">
        <v>0.63636363636363635</v>
      </c>
      <c r="EV363" s="19">
        <v>0.13131313131313133</v>
      </c>
      <c r="EW363" s="19">
        <v>1.1414141414141412</v>
      </c>
      <c r="EX363" s="19">
        <v>272.72727272727275</v>
      </c>
      <c r="EY363" s="8">
        <v>181.81818181818181</v>
      </c>
      <c r="EZ363" s="8">
        <v>363.63636363636363</v>
      </c>
      <c r="FA363" s="8">
        <v>569.69696969696975</v>
      </c>
      <c r="FB363" s="8">
        <v>530.30303030303025</v>
      </c>
      <c r="FC363" s="8">
        <v>609.09090909090912</v>
      </c>
      <c r="FD363" s="8">
        <v>33.333333333333336</v>
      </c>
      <c r="FE363" s="8">
        <v>33.333333333333336</v>
      </c>
      <c r="FF363" s="8">
        <v>33.333333333333336</v>
      </c>
      <c r="FG363" s="8">
        <v>101.01010101010101</v>
      </c>
      <c r="FH363" s="8">
        <v>50.505050505050505</v>
      </c>
      <c r="FI363" s="8">
        <v>151.51515151515153</v>
      </c>
      <c r="FJ363" s="8">
        <v>2.8585858585858586</v>
      </c>
      <c r="FK363" s="8">
        <v>1.1414141414141414</v>
      </c>
      <c r="FL363" s="8">
        <v>4.5757575757575761</v>
      </c>
      <c r="FO363" s="1">
        <v>220</v>
      </c>
      <c r="FP363" s="1">
        <v>220</v>
      </c>
      <c r="FR363" s="13" t="s">
        <v>643</v>
      </c>
      <c r="FS363" s="1" t="s">
        <v>643</v>
      </c>
      <c r="FT363" s="13">
        <v>182</v>
      </c>
      <c r="FU363" s="13"/>
      <c r="FV363" s="13">
        <v>182</v>
      </c>
      <c r="FW363" s="13">
        <v>182</v>
      </c>
      <c r="FX363" s="1">
        <v>182</v>
      </c>
      <c r="FY363" s="13" t="s">
        <v>642</v>
      </c>
      <c r="FZ363" s="13" t="s">
        <v>641</v>
      </c>
      <c r="GA363" s="1">
        <v>202</v>
      </c>
      <c r="GB363" s="1">
        <v>202</v>
      </c>
      <c r="GD363" s="1" t="s">
        <v>645</v>
      </c>
      <c r="GE363" s="1">
        <v>211</v>
      </c>
      <c r="GF363" s="1">
        <v>214</v>
      </c>
      <c r="GG363" s="1">
        <v>220</v>
      </c>
      <c r="GH363" s="1">
        <v>214</v>
      </c>
      <c r="GK363" s="1" t="s">
        <v>644</v>
      </c>
    </row>
    <row r="364" spans="1:193" ht="12.75" customHeight="1" x14ac:dyDescent="0.25">
      <c r="A364" s="1" t="s">
        <v>81</v>
      </c>
      <c r="D364" s="1" t="s">
        <v>577</v>
      </c>
      <c r="E364" s="1" t="s">
        <v>126</v>
      </c>
      <c r="F364" s="1">
        <v>1</v>
      </c>
      <c r="G364" s="1">
        <v>2020</v>
      </c>
      <c r="H364" s="1">
        <v>1</v>
      </c>
      <c r="I364" s="1">
        <v>1</v>
      </c>
      <c r="J364" s="1">
        <v>0</v>
      </c>
      <c r="K364" s="11">
        <v>1038</v>
      </c>
      <c r="L364" s="11">
        <v>1102</v>
      </c>
      <c r="M364" s="11">
        <v>1166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9"/>
      <c r="BQ364" s="11">
        <v>0</v>
      </c>
      <c r="BR364" s="11">
        <v>127</v>
      </c>
      <c r="BS364" s="11">
        <v>254</v>
      </c>
      <c r="BT364" s="11">
        <f>Tabelle5897112140[[#This Row],[Mindestauslastung min]]*Tabelle5897112140[[#This Row],[installierte Leistung MW min]]</f>
        <v>0</v>
      </c>
      <c r="BU364" s="11">
        <f>Tabelle5897112140[[#This Row],[Mindestauslastung durch]]*Tabelle5897112140[[#This Row],[installierte Leistung MW durch]]</f>
        <v>0</v>
      </c>
      <c r="BV364" s="19">
        <f>Tabelle5897112140[[#This Row],[Mindestauslastung max]]*Tabelle5897112140[[#This Row],[installierte Leistung MW max]]</f>
        <v>0</v>
      </c>
      <c r="BW364" s="9">
        <v>0</v>
      </c>
      <c r="BX364" s="9"/>
      <c r="BY364" s="9">
        <v>0</v>
      </c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39">
        <v>0.49</v>
      </c>
      <c r="DC364" s="39">
        <v>0.52</v>
      </c>
      <c r="DD364" s="39">
        <v>0.55000000000000004</v>
      </c>
      <c r="DE364" s="11">
        <f>Tabelle5897112140[[#This Row],[Durchschnittsauslastung min]]*Tabelle5897112140[[#This Row],[installierte Leistung MW min]]</f>
        <v>981.47</v>
      </c>
      <c r="DF364" s="11">
        <f>Tabelle5897112140[[#This Row],[Durchschnittsauslastung durch]]*Tabelle5897112140[[#This Row],[installierte Leistung MW durch]]</f>
        <v>1073.28</v>
      </c>
      <c r="DG364" s="46">
        <f>Tabelle5897112140[[#This Row],[Durchschnittsauslastung max]]*Tabelle5897112140[[#This Row],[installierte Leistung MW max]]</f>
        <v>1168.75</v>
      </c>
      <c r="DH364" s="46">
        <f>Tabelle5897112140[[#This Row],[Maximalauslastung min]]*Tabelle5897112140[[#This Row],[installierte Leistung MW min]]</f>
        <v>1101.6500000000001</v>
      </c>
      <c r="DI364" s="46">
        <f>Tabelle5897112140[[#This Row],[Maximalauslastung durch]]*Tabelle5897112140[[#This Row],[installierte Leistung MW durch]]</f>
        <v>1197.1199999999999</v>
      </c>
      <c r="DJ364" s="11">
        <f>Tabelle5897112140[[#This Row],[Maximalauslastung max]]*Tabelle5897112140[[#This Row],[installierte Leistung MW durch]]</f>
        <v>1259.04</v>
      </c>
      <c r="DK364" s="9">
        <v>0.55000000000000004</v>
      </c>
      <c r="DL364" s="9">
        <v>0.57999999999999996</v>
      </c>
      <c r="DM364" s="9">
        <v>0.61</v>
      </c>
      <c r="DN364" s="11">
        <v>2064</v>
      </c>
      <c r="DO364" s="11">
        <v>2003</v>
      </c>
      <c r="DP364" s="11">
        <v>2125</v>
      </c>
      <c r="DQ364" s="1">
        <v>0.762625</v>
      </c>
      <c r="DR364" s="1">
        <v>2.7777777777777778E-4</v>
      </c>
      <c r="DS364" s="54">
        <v>3</v>
      </c>
      <c r="DT364" s="1">
        <v>1.3888888888888889E-4</v>
      </c>
      <c r="DU364" s="1">
        <v>0</v>
      </c>
      <c r="DV364" s="54">
        <v>2.7777777777777778E-4</v>
      </c>
      <c r="DW364" s="1">
        <v>3.7</v>
      </c>
      <c r="DX364" s="1">
        <v>3.3000000000000003</v>
      </c>
      <c r="DY364" s="54">
        <v>4.1000000000000005</v>
      </c>
      <c r="DZ364" s="1">
        <v>1.1000000000000001</v>
      </c>
      <c r="EA364" s="1">
        <v>0.90000000000000013</v>
      </c>
      <c r="EB364" s="54">
        <v>1.3</v>
      </c>
      <c r="EC364" s="1">
        <v>4.7</v>
      </c>
      <c r="ED364" s="1">
        <v>4.7</v>
      </c>
      <c r="EE364" s="54">
        <v>4.7</v>
      </c>
      <c r="EF364" s="1">
        <v>1.1000000000000001</v>
      </c>
      <c r="EG364" s="1">
        <v>0.90000000000000013</v>
      </c>
      <c r="EH364" s="54">
        <v>1.3</v>
      </c>
      <c r="EJ364" s="1" t="s">
        <v>646</v>
      </c>
      <c r="EL364" s="1">
        <v>280</v>
      </c>
      <c r="EM364" s="1">
        <v>252</v>
      </c>
      <c r="EN364" s="1">
        <v>308</v>
      </c>
      <c r="EO364" s="1">
        <v>0</v>
      </c>
      <c r="EP364" s="1">
        <v>0</v>
      </c>
      <c r="EQ364" s="1">
        <v>0</v>
      </c>
      <c r="ER364" s="1">
        <v>280</v>
      </c>
      <c r="ES364" s="1">
        <v>252</v>
      </c>
      <c r="ET364" s="1">
        <v>308</v>
      </c>
      <c r="EU364" s="1">
        <v>0.63636363636363635</v>
      </c>
      <c r="EV364" s="19">
        <v>0.13131313131313133</v>
      </c>
      <c r="EW364" s="19">
        <v>1.1414141414141412</v>
      </c>
      <c r="EX364" s="19">
        <v>272.72727272727275</v>
      </c>
      <c r="EY364" s="8">
        <v>181.81818181818181</v>
      </c>
      <c r="EZ364" s="8">
        <v>363.63636363636363</v>
      </c>
      <c r="FA364" s="8">
        <v>569.69696969696975</v>
      </c>
      <c r="FB364" s="8">
        <v>530.30303030303025</v>
      </c>
      <c r="FC364" s="8">
        <v>609.09090909090912</v>
      </c>
      <c r="FD364" s="8">
        <v>33.333333333333336</v>
      </c>
      <c r="FE364" s="8">
        <v>33.333333333333336</v>
      </c>
      <c r="FF364" s="8">
        <v>33.333333333333336</v>
      </c>
      <c r="FG364" s="8">
        <v>101.01010101010101</v>
      </c>
      <c r="FH364" s="8">
        <v>50.505050505050505</v>
      </c>
      <c r="FI364" s="8">
        <v>151.51515151515153</v>
      </c>
      <c r="FJ364" s="8">
        <v>2.8585858585858586</v>
      </c>
      <c r="FK364" s="8">
        <v>1.1414141414141414</v>
      </c>
      <c r="FL364" s="8">
        <v>4.5757575757575761</v>
      </c>
      <c r="FO364" s="1">
        <v>220</v>
      </c>
      <c r="FP364" s="1">
        <v>220</v>
      </c>
      <c r="FR364" s="13" t="s">
        <v>643</v>
      </c>
      <c r="FS364" s="1" t="s">
        <v>643</v>
      </c>
      <c r="FT364" s="13">
        <v>182</v>
      </c>
      <c r="FU364" s="13"/>
      <c r="FV364" s="13">
        <v>182</v>
      </c>
      <c r="FW364" s="13">
        <v>182</v>
      </c>
      <c r="FX364" s="1">
        <v>182</v>
      </c>
      <c r="FY364" s="13" t="s">
        <v>642</v>
      </c>
      <c r="FZ364" s="13" t="s">
        <v>641</v>
      </c>
      <c r="GA364" s="1">
        <v>202</v>
      </c>
      <c r="GB364" s="1">
        <v>202</v>
      </c>
      <c r="GD364" s="1" t="s">
        <v>645</v>
      </c>
      <c r="GE364" s="1">
        <v>211</v>
      </c>
      <c r="GF364" s="1">
        <v>214</v>
      </c>
      <c r="GG364" s="1">
        <v>220</v>
      </c>
      <c r="GH364" s="1">
        <v>214</v>
      </c>
      <c r="GK364" s="1" t="s">
        <v>644</v>
      </c>
    </row>
    <row r="365" spans="1:193" ht="12.75" customHeight="1" x14ac:dyDescent="0.25">
      <c r="A365" s="1" t="s">
        <v>81</v>
      </c>
      <c r="D365" s="1" t="s">
        <v>577</v>
      </c>
      <c r="E365" s="1" t="s">
        <v>126</v>
      </c>
      <c r="F365" s="1">
        <v>1</v>
      </c>
      <c r="G365" s="1">
        <v>2025</v>
      </c>
      <c r="H365" s="1">
        <v>1</v>
      </c>
      <c r="I365" s="1">
        <v>1</v>
      </c>
      <c r="J365" s="1">
        <v>0</v>
      </c>
      <c r="K365" s="11">
        <v>1038</v>
      </c>
      <c r="L365" s="11">
        <v>1102</v>
      </c>
      <c r="M365" s="11">
        <v>1166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9"/>
      <c r="BQ365" s="11">
        <v>0</v>
      </c>
      <c r="BR365" s="11">
        <v>127</v>
      </c>
      <c r="BS365" s="11">
        <v>254</v>
      </c>
      <c r="BT365" s="11">
        <f>Tabelle5897112140[[#This Row],[Mindestauslastung min]]*Tabelle5897112140[[#This Row],[installierte Leistung MW min]]</f>
        <v>0</v>
      </c>
      <c r="BU365" s="11">
        <f>Tabelle5897112140[[#This Row],[Mindestauslastung durch]]*Tabelle5897112140[[#This Row],[installierte Leistung MW durch]]</f>
        <v>0</v>
      </c>
      <c r="BV365" s="19">
        <f>Tabelle5897112140[[#This Row],[Mindestauslastung max]]*Tabelle5897112140[[#This Row],[installierte Leistung MW max]]</f>
        <v>0</v>
      </c>
      <c r="BW365" s="9">
        <v>0</v>
      </c>
      <c r="BX365" s="9"/>
      <c r="BY365" s="9">
        <v>0</v>
      </c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39">
        <v>0.49</v>
      </c>
      <c r="DC365" s="39">
        <v>0.52</v>
      </c>
      <c r="DD365" s="39">
        <v>0.55000000000000004</v>
      </c>
      <c r="DE365" s="11">
        <f>Tabelle5897112140[[#This Row],[Durchschnittsauslastung min]]*Tabelle5897112140[[#This Row],[installierte Leistung MW min]]</f>
        <v>981.47</v>
      </c>
      <c r="DF365" s="11">
        <f>Tabelle5897112140[[#This Row],[Durchschnittsauslastung durch]]*Tabelle5897112140[[#This Row],[installierte Leistung MW durch]]</f>
        <v>1073.28</v>
      </c>
      <c r="DG365" s="46">
        <f>Tabelle5897112140[[#This Row],[Durchschnittsauslastung max]]*Tabelle5897112140[[#This Row],[installierte Leistung MW max]]</f>
        <v>1168.75</v>
      </c>
      <c r="DH365" s="46">
        <f>Tabelle5897112140[[#This Row],[Maximalauslastung min]]*Tabelle5897112140[[#This Row],[installierte Leistung MW min]]</f>
        <v>1101.6500000000001</v>
      </c>
      <c r="DI365" s="46">
        <f>Tabelle5897112140[[#This Row],[Maximalauslastung durch]]*Tabelle5897112140[[#This Row],[installierte Leistung MW durch]]</f>
        <v>1197.1199999999999</v>
      </c>
      <c r="DJ365" s="11">
        <f>Tabelle5897112140[[#This Row],[Maximalauslastung max]]*Tabelle5897112140[[#This Row],[installierte Leistung MW durch]]</f>
        <v>1259.04</v>
      </c>
      <c r="DK365" s="9">
        <v>0.55000000000000004</v>
      </c>
      <c r="DL365" s="9">
        <v>0.57999999999999996</v>
      </c>
      <c r="DM365" s="9">
        <v>0.61</v>
      </c>
      <c r="DN365" s="11">
        <v>2064</v>
      </c>
      <c r="DO365" s="11">
        <v>2003</v>
      </c>
      <c r="DP365" s="11">
        <v>2125</v>
      </c>
      <c r="DQ365" s="1">
        <v>0.762625</v>
      </c>
      <c r="DR365" s="1">
        <v>2.7777777777777778E-4</v>
      </c>
      <c r="DS365" s="54">
        <v>3</v>
      </c>
      <c r="DT365" s="1">
        <v>1.3888888888888889E-4</v>
      </c>
      <c r="DU365" s="1">
        <v>0</v>
      </c>
      <c r="DV365" s="54">
        <v>2.7777777777777778E-4</v>
      </c>
      <c r="DW365" s="1">
        <v>3.7</v>
      </c>
      <c r="DX365" s="1">
        <v>3.3000000000000003</v>
      </c>
      <c r="DY365" s="54">
        <v>4.1000000000000005</v>
      </c>
      <c r="DZ365" s="1">
        <v>1.1000000000000001</v>
      </c>
      <c r="EA365" s="1">
        <v>0.90000000000000013</v>
      </c>
      <c r="EB365" s="54">
        <v>1.3</v>
      </c>
      <c r="EC365" s="1">
        <v>4.7</v>
      </c>
      <c r="ED365" s="1">
        <v>4.7</v>
      </c>
      <c r="EE365" s="54">
        <v>4.7</v>
      </c>
      <c r="EF365" s="1">
        <v>1.1000000000000001</v>
      </c>
      <c r="EG365" s="1">
        <v>0.90000000000000013</v>
      </c>
      <c r="EH365" s="54">
        <v>1.3</v>
      </c>
      <c r="EJ365" s="1" t="s">
        <v>646</v>
      </c>
      <c r="EL365" s="1">
        <v>365</v>
      </c>
      <c r="EM365" s="1">
        <v>328</v>
      </c>
      <c r="EN365" s="1">
        <v>402</v>
      </c>
      <c r="EO365" s="1">
        <v>0</v>
      </c>
      <c r="EP365" s="1">
        <v>0</v>
      </c>
      <c r="EQ365" s="1">
        <v>0</v>
      </c>
      <c r="ER365" s="1">
        <v>4000</v>
      </c>
      <c r="ES365" s="1">
        <v>3800</v>
      </c>
      <c r="ET365" s="1">
        <v>4200</v>
      </c>
      <c r="EU365" s="1">
        <v>0.63636363636363635</v>
      </c>
      <c r="EV365" s="19">
        <v>0.13131313131313133</v>
      </c>
      <c r="EW365" s="19">
        <v>1.1414141414141412</v>
      </c>
      <c r="EX365" s="19">
        <v>272.72727272727275</v>
      </c>
      <c r="EY365" s="8">
        <v>181.81818181818181</v>
      </c>
      <c r="EZ365" s="8">
        <v>363.63636363636363</v>
      </c>
      <c r="FA365" s="8">
        <v>569.69696969696975</v>
      </c>
      <c r="FB365" s="8">
        <v>530.30303030303025</v>
      </c>
      <c r="FC365" s="8">
        <v>609.09090909090912</v>
      </c>
      <c r="FD365" s="8">
        <v>33.333333333333336</v>
      </c>
      <c r="FE365" s="8">
        <v>33.333333333333336</v>
      </c>
      <c r="FF365" s="8">
        <v>33.333333333333336</v>
      </c>
      <c r="FG365" s="8">
        <v>101.01010101010101</v>
      </c>
      <c r="FH365" s="8">
        <v>50.505050505050505</v>
      </c>
      <c r="FI365" s="8">
        <v>151.51515151515153</v>
      </c>
      <c r="FJ365" s="8">
        <v>2.8585858585858586</v>
      </c>
      <c r="FK365" s="8">
        <v>1.1414141414141414</v>
      </c>
      <c r="FL365" s="8">
        <v>4.5757575757575761</v>
      </c>
      <c r="FO365" s="1">
        <v>220</v>
      </c>
      <c r="FP365" s="1">
        <v>220</v>
      </c>
      <c r="FR365" s="13" t="s">
        <v>643</v>
      </c>
      <c r="FS365" s="1" t="s">
        <v>643</v>
      </c>
      <c r="FT365" s="13">
        <v>182</v>
      </c>
      <c r="FU365" s="13"/>
      <c r="FV365" s="13">
        <v>182</v>
      </c>
      <c r="FW365" s="13">
        <v>182</v>
      </c>
      <c r="FX365" s="1">
        <v>182</v>
      </c>
      <c r="FY365" s="13" t="s">
        <v>642</v>
      </c>
      <c r="FZ365" s="13" t="s">
        <v>641</v>
      </c>
      <c r="GA365" s="1">
        <v>202</v>
      </c>
      <c r="GB365" s="1">
        <v>202</v>
      </c>
      <c r="GD365" s="1" t="s">
        <v>645</v>
      </c>
      <c r="GE365" s="1">
        <v>211</v>
      </c>
      <c r="GF365" s="1">
        <v>214</v>
      </c>
      <c r="GG365" s="1">
        <v>220</v>
      </c>
      <c r="GH365" s="1">
        <v>214</v>
      </c>
      <c r="GK365" s="1" t="s">
        <v>644</v>
      </c>
    </row>
    <row r="366" spans="1:193" ht="12.75" customHeight="1" x14ac:dyDescent="0.25">
      <c r="A366" s="1" t="s">
        <v>81</v>
      </c>
      <c r="D366" s="1" t="s">
        <v>577</v>
      </c>
      <c r="E366" s="1" t="s">
        <v>126</v>
      </c>
      <c r="F366" s="1">
        <v>1</v>
      </c>
      <c r="G366" s="1">
        <v>2030</v>
      </c>
      <c r="H366" s="1">
        <v>1</v>
      </c>
      <c r="I366" s="1">
        <v>1</v>
      </c>
      <c r="J366" s="1">
        <v>0</v>
      </c>
      <c r="K366" s="11">
        <v>1152.18</v>
      </c>
      <c r="L366" s="11">
        <v>1223.22</v>
      </c>
      <c r="M366" s="11">
        <v>1294.2600000000002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9"/>
      <c r="BQ366" s="11">
        <v>0</v>
      </c>
      <c r="BR366" s="11">
        <v>140.97</v>
      </c>
      <c r="BS366" s="11">
        <v>281.94</v>
      </c>
      <c r="BT366" s="11">
        <f>Tabelle5897112140[[#This Row],[Mindestauslastung min]]*Tabelle5897112140[[#This Row],[installierte Leistung MW min]]</f>
        <v>0</v>
      </c>
      <c r="BU366" s="11">
        <f>Tabelle5897112140[[#This Row],[Mindestauslastung durch]]*Tabelle5897112140[[#This Row],[installierte Leistung MW durch]]</f>
        <v>0</v>
      </c>
      <c r="BV366" s="19">
        <f>Tabelle5897112140[[#This Row],[Mindestauslastung max]]*Tabelle5897112140[[#This Row],[installierte Leistung MW max]]</f>
        <v>0</v>
      </c>
      <c r="BW366" s="9">
        <v>0</v>
      </c>
      <c r="BX366" s="9"/>
      <c r="BY366" s="9">
        <v>0</v>
      </c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39">
        <v>0.49</v>
      </c>
      <c r="DC366" s="39">
        <v>0.52</v>
      </c>
      <c r="DD366" s="39">
        <v>0.55000000000000004</v>
      </c>
      <c r="DE366" s="11">
        <f>Tabelle5897112140[[#This Row],[Durchschnittsauslastung min]]*Tabelle5897112140[[#This Row],[installierte Leistung MW min]]</f>
        <v>1089.4317000000001</v>
      </c>
      <c r="DF366" s="11">
        <f>Tabelle5897112140[[#This Row],[Durchschnittsauslastung durch]]*Tabelle5897112140[[#This Row],[installierte Leistung MW durch]]</f>
        <v>1191.3408000000002</v>
      </c>
      <c r="DG366" s="46">
        <f>Tabelle5897112140[[#This Row],[Durchschnittsauslastung max]]*Tabelle5897112140[[#This Row],[installierte Leistung MW max]]</f>
        <v>1297.3125</v>
      </c>
      <c r="DH366" s="46">
        <f>Tabelle5897112140[[#This Row],[Maximalauslastung min]]*Tabelle5897112140[[#This Row],[installierte Leistung MW min]]</f>
        <v>1222.8315000000002</v>
      </c>
      <c r="DI366" s="46">
        <f>Tabelle5897112140[[#This Row],[Maximalauslastung durch]]*Tabelle5897112140[[#This Row],[installierte Leistung MW durch]]</f>
        <v>1328.8032000000001</v>
      </c>
      <c r="DJ366" s="11">
        <f>Tabelle5897112140[[#This Row],[Maximalauslastung max]]*Tabelle5897112140[[#This Row],[installierte Leistung MW durch]]</f>
        <v>1397.5344000000002</v>
      </c>
      <c r="DK366" s="9">
        <v>0.55000000000000004</v>
      </c>
      <c r="DL366" s="9">
        <v>0.57999999999999996</v>
      </c>
      <c r="DM366" s="9">
        <v>0.61</v>
      </c>
      <c r="DN366" s="11">
        <v>2291.0400000000004</v>
      </c>
      <c r="DO366" s="11">
        <v>2223.3300000000004</v>
      </c>
      <c r="DP366" s="11">
        <v>2358.75</v>
      </c>
      <c r="DQ366" s="1">
        <v>0.762625</v>
      </c>
      <c r="DR366" s="1">
        <v>2.7777777777777778E-4</v>
      </c>
      <c r="DS366" s="54">
        <v>3</v>
      </c>
      <c r="DT366" s="1">
        <v>1.3888888888888889E-4</v>
      </c>
      <c r="DU366" s="1">
        <v>0</v>
      </c>
      <c r="DV366" s="54">
        <v>2.7777777777777778E-4</v>
      </c>
      <c r="DW366" s="1">
        <v>3.7</v>
      </c>
      <c r="DX366" s="1">
        <v>3.3000000000000003</v>
      </c>
      <c r="DY366" s="54">
        <v>4.1000000000000005</v>
      </c>
      <c r="DZ366" s="1">
        <v>1.1000000000000001</v>
      </c>
      <c r="EA366" s="1">
        <v>0.90000000000000013</v>
      </c>
      <c r="EB366" s="54">
        <v>1.3</v>
      </c>
      <c r="EC366" s="1">
        <v>4.7</v>
      </c>
      <c r="ED366" s="1">
        <v>4.7</v>
      </c>
      <c r="EE366" s="54">
        <v>4.7</v>
      </c>
      <c r="EF366" s="1">
        <v>1.1000000000000001</v>
      </c>
      <c r="EG366" s="1">
        <v>0.90000000000000013</v>
      </c>
      <c r="EH366" s="54">
        <v>1.3</v>
      </c>
      <c r="EJ366" s="1" t="s">
        <v>646</v>
      </c>
      <c r="EL366" s="1">
        <v>6570</v>
      </c>
      <c r="EM366" s="1">
        <v>4380</v>
      </c>
      <c r="EN366" s="1">
        <v>8760</v>
      </c>
      <c r="EO366" s="1">
        <v>0</v>
      </c>
      <c r="EP366" s="1">
        <v>0</v>
      </c>
      <c r="EQ366" s="1">
        <v>0</v>
      </c>
      <c r="ER366" s="1">
        <v>4000</v>
      </c>
      <c r="ES366" s="1">
        <v>3800</v>
      </c>
      <c r="ET366" s="1">
        <v>4200</v>
      </c>
      <c r="EU366" s="1">
        <v>0.63636363636363635</v>
      </c>
      <c r="EV366" s="19">
        <v>0.13131313131313133</v>
      </c>
      <c r="EW366" s="19">
        <v>1.1414141414141412</v>
      </c>
      <c r="EX366" s="19">
        <v>272.72727272727275</v>
      </c>
      <c r="EY366" s="8">
        <v>181.81818181818181</v>
      </c>
      <c r="EZ366" s="8">
        <v>363.63636363636363</v>
      </c>
      <c r="FA366" s="8">
        <v>569.69696969696975</v>
      </c>
      <c r="FB366" s="8">
        <v>530.30303030303025</v>
      </c>
      <c r="FC366" s="8">
        <v>609.09090909090912</v>
      </c>
      <c r="FD366" s="8">
        <v>33.333333333333336</v>
      </c>
      <c r="FE366" s="8">
        <v>33.333333333333336</v>
      </c>
      <c r="FF366" s="8">
        <v>33.333333333333336</v>
      </c>
      <c r="FG366" s="8">
        <v>101.01010101010101</v>
      </c>
      <c r="FH366" s="8">
        <v>50.505050505050505</v>
      </c>
      <c r="FI366" s="8">
        <v>151.51515151515153</v>
      </c>
      <c r="FJ366" s="8">
        <v>2.8585858585858586</v>
      </c>
      <c r="FK366" s="8">
        <v>1.1414141414141414</v>
      </c>
      <c r="FL366" s="8">
        <v>4.5757575757575761</v>
      </c>
      <c r="FO366" s="1">
        <v>220</v>
      </c>
      <c r="FP366" s="1">
        <v>220</v>
      </c>
      <c r="FR366" s="13" t="s">
        <v>643</v>
      </c>
      <c r="FS366" s="1" t="s">
        <v>643</v>
      </c>
      <c r="FT366" s="13">
        <v>182</v>
      </c>
      <c r="FU366" s="13"/>
      <c r="FV366" s="13">
        <v>182</v>
      </c>
      <c r="FW366" s="13">
        <v>182</v>
      </c>
      <c r="FX366" s="1">
        <v>182</v>
      </c>
      <c r="FY366" s="13" t="s">
        <v>642</v>
      </c>
      <c r="FZ366" s="13" t="s">
        <v>641</v>
      </c>
      <c r="GA366" s="1">
        <v>202</v>
      </c>
      <c r="GB366" s="1">
        <v>202</v>
      </c>
      <c r="GD366" s="1" t="s">
        <v>645</v>
      </c>
      <c r="GE366" s="1">
        <v>211</v>
      </c>
      <c r="GF366" s="1">
        <v>214</v>
      </c>
      <c r="GG366" s="1">
        <v>220</v>
      </c>
      <c r="GH366" s="1">
        <v>214</v>
      </c>
      <c r="GK366" s="1" t="s">
        <v>644</v>
      </c>
    </row>
    <row r="367" spans="1:193" ht="12.75" customHeight="1" x14ac:dyDescent="0.25">
      <c r="A367" s="1" t="s">
        <v>81</v>
      </c>
      <c r="D367" s="1" t="s">
        <v>577</v>
      </c>
      <c r="E367" s="1" t="s">
        <v>126</v>
      </c>
      <c r="F367" s="1">
        <v>1</v>
      </c>
      <c r="G367" s="1">
        <v>2035</v>
      </c>
      <c r="H367" s="1">
        <v>1</v>
      </c>
      <c r="I367" s="1">
        <v>1</v>
      </c>
      <c r="J367" s="1">
        <v>0</v>
      </c>
      <c r="K367" s="11">
        <v>1245.5999999999999</v>
      </c>
      <c r="L367" s="11">
        <v>1322.3999999999999</v>
      </c>
      <c r="M367" s="11">
        <v>1399.2</v>
      </c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9"/>
      <c r="BQ367" s="11">
        <v>0</v>
      </c>
      <c r="BR367" s="11">
        <v>152.4</v>
      </c>
      <c r="BS367" s="11">
        <v>304.8</v>
      </c>
      <c r="BT367" s="11">
        <f>Tabelle5897112140[[#This Row],[Mindestauslastung min]]*Tabelle5897112140[[#This Row],[installierte Leistung MW min]]</f>
        <v>0</v>
      </c>
      <c r="BU367" s="11">
        <f>Tabelle5897112140[[#This Row],[Mindestauslastung durch]]*Tabelle5897112140[[#This Row],[installierte Leistung MW durch]]</f>
        <v>0</v>
      </c>
      <c r="BV367" s="19">
        <f>Tabelle5897112140[[#This Row],[Mindestauslastung max]]*Tabelle5897112140[[#This Row],[installierte Leistung MW max]]</f>
        <v>0</v>
      </c>
      <c r="BW367" s="9">
        <v>0</v>
      </c>
      <c r="BX367" s="9"/>
      <c r="BY367" s="9">
        <v>0</v>
      </c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39">
        <v>0.49</v>
      </c>
      <c r="DC367" s="39">
        <v>0.52</v>
      </c>
      <c r="DD367" s="39">
        <v>0.55000000000000004</v>
      </c>
      <c r="DE367" s="11">
        <f>Tabelle5897112140[[#This Row],[Durchschnittsauslastung min]]*Tabelle5897112140[[#This Row],[installierte Leistung MW min]]</f>
        <v>1177.7639999999999</v>
      </c>
      <c r="DF367" s="11">
        <f>Tabelle5897112140[[#This Row],[Durchschnittsauslastung durch]]*Tabelle5897112140[[#This Row],[installierte Leistung MW durch]]</f>
        <v>1287.9359999999999</v>
      </c>
      <c r="DG367" s="46">
        <f>Tabelle5897112140[[#This Row],[Durchschnittsauslastung max]]*Tabelle5897112140[[#This Row],[installierte Leistung MW max]]</f>
        <v>1402.5</v>
      </c>
      <c r="DH367" s="46">
        <f>Tabelle5897112140[[#This Row],[Maximalauslastung min]]*Tabelle5897112140[[#This Row],[installierte Leistung MW min]]</f>
        <v>1321.98</v>
      </c>
      <c r="DI367" s="46">
        <f>Tabelle5897112140[[#This Row],[Maximalauslastung durch]]*Tabelle5897112140[[#This Row],[installierte Leistung MW durch]]</f>
        <v>1436.5439999999996</v>
      </c>
      <c r="DJ367" s="11">
        <f>Tabelle5897112140[[#This Row],[Maximalauslastung max]]*Tabelle5897112140[[#This Row],[installierte Leistung MW durch]]</f>
        <v>1510.8479999999997</v>
      </c>
      <c r="DK367" s="9">
        <v>0.55000000000000004</v>
      </c>
      <c r="DL367" s="9">
        <v>0.57999999999999996</v>
      </c>
      <c r="DM367" s="9">
        <v>0.61</v>
      </c>
      <c r="DN367" s="11">
        <v>2476.7999999999997</v>
      </c>
      <c r="DO367" s="11">
        <v>2403.6</v>
      </c>
      <c r="DP367" s="11">
        <v>2550</v>
      </c>
      <c r="DQ367" s="1">
        <v>0.762625</v>
      </c>
      <c r="DR367" s="1">
        <v>2.7777777777777778E-4</v>
      </c>
      <c r="DS367" s="54">
        <v>3</v>
      </c>
      <c r="DT367" s="1">
        <v>1.3888888888888889E-4</v>
      </c>
      <c r="DU367" s="1">
        <v>0</v>
      </c>
      <c r="DV367" s="54">
        <v>2.7777777777777778E-4</v>
      </c>
      <c r="DW367" s="1">
        <v>3.7</v>
      </c>
      <c r="DX367" s="1">
        <v>3.3000000000000003</v>
      </c>
      <c r="DY367" s="54">
        <v>4.1000000000000005</v>
      </c>
      <c r="DZ367" s="1">
        <v>1.1000000000000001</v>
      </c>
      <c r="EA367" s="1">
        <v>0.90000000000000013</v>
      </c>
      <c r="EB367" s="54">
        <v>1.3</v>
      </c>
      <c r="EC367" s="1">
        <v>4.7</v>
      </c>
      <c r="ED367" s="1">
        <v>4.7</v>
      </c>
      <c r="EE367" s="54">
        <v>4.7</v>
      </c>
      <c r="EF367" s="1">
        <v>1.1000000000000001</v>
      </c>
      <c r="EG367" s="1">
        <v>0.90000000000000013</v>
      </c>
      <c r="EH367" s="54">
        <v>1.3</v>
      </c>
      <c r="EJ367" s="1" t="s">
        <v>646</v>
      </c>
      <c r="EL367" s="1">
        <v>50</v>
      </c>
      <c r="EM367" s="1">
        <v>20</v>
      </c>
      <c r="EN367" s="1">
        <v>80</v>
      </c>
      <c r="EO367" s="1">
        <v>0</v>
      </c>
      <c r="EP367" s="1">
        <v>0</v>
      </c>
      <c r="EQ367" s="1">
        <v>0</v>
      </c>
      <c r="ER367" s="1">
        <v>4000</v>
      </c>
      <c r="ES367" s="1">
        <v>3800</v>
      </c>
      <c r="ET367" s="1">
        <v>4200</v>
      </c>
      <c r="EU367" s="1">
        <v>0.63636363636363635</v>
      </c>
      <c r="EV367" s="19">
        <v>0.13131313131313133</v>
      </c>
      <c r="EW367" s="19">
        <v>1.1414141414141412</v>
      </c>
      <c r="EX367" s="19">
        <v>272.72727272727275</v>
      </c>
      <c r="EY367" s="8">
        <v>181.81818181818181</v>
      </c>
      <c r="EZ367" s="8">
        <v>363.63636363636363</v>
      </c>
      <c r="FA367" s="8">
        <v>569.69696969696975</v>
      </c>
      <c r="FB367" s="8">
        <v>530.30303030303025</v>
      </c>
      <c r="FC367" s="8">
        <v>609.09090909090912</v>
      </c>
      <c r="FD367" s="8">
        <v>33.333333333333336</v>
      </c>
      <c r="FE367" s="8">
        <v>33.333333333333336</v>
      </c>
      <c r="FF367" s="8">
        <v>33.333333333333336</v>
      </c>
      <c r="FG367" s="8">
        <v>101.01010101010101</v>
      </c>
      <c r="FH367" s="8">
        <v>50.505050505050505</v>
      </c>
      <c r="FI367" s="8">
        <v>151.51515151515153</v>
      </c>
      <c r="FJ367" s="8">
        <v>2.8585858585858586</v>
      </c>
      <c r="FK367" s="8">
        <v>1.1414141414141414</v>
      </c>
      <c r="FL367" s="8">
        <v>4.5757575757575761</v>
      </c>
      <c r="FO367" s="1">
        <v>220</v>
      </c>
      <c r="FP367" s="1">
        <v>220</v>
      </c>
      <c r="FR367" s="13" t="s">
        <v>643</v>
      </c>
      <c r="FS367" s="1" t="s">
        <v>643</v>
      </c>
      <c r="FT367" s="13">
        <v>182</v>
      </c>
      <c r="FU367" s="13"/>
      <c r="FV367" s="13">
        <v>182</v>
      </c>
      <c r="FW367" s="13">
        <v>182</v>
      </c>
      <c r="FX367" s="1">
        <v>182</v>
      </c>
      <c r="FY367" s="13" t="s">
        <v>642</v>
      </c>
      <c r="FZ367" s="13" t="s">
        <v>641</v>
      </c>
      <c r="GA367" s="1">
        <v>202</v>
      </c>
      <c r="GB367" s="1">
        <v>202</v>
      </c>
      <c r="GD367" s="1" t="s">
        <v>645</v>
      </c>
      <c r="GE367" s="1">
        <v>211</v>
      </c>
      <c r="GF367" s="1">
        <v>214</v>
      </c>
      <c r="GG367" s="1">
        <v>220</v>
      </c>
      <c r="GH367" s="1">
        <v>214</v>
      </c>
      <c r="GK367" s="1" t="s">
        <v>644</v>
      </c>
    </row>
    <row r="368" spans="1:193" ht="12.75" customHeight="1" x14ac:dyDescent="0.25">
      <c r="A368" s="1" t="s">
        <v>81</v>
      </c>
      <c r="D368" s="1" t="s">
        <v>577</v>
      </c>
      <c r="E368" s="1" t="s">
        <v>126</v>
      </c>
      <c r="F368" s="1">
        <v>1</v>
      </c>
      <c r="G368" s="1">
        <v>2040</v>
      </c>
      <c r="H368" s="1">
        <v>1</v>
      </c>
      <c r="I368" s="1">
        <v>1</v>
      </c>
      <c r="J368" s="1">
        <v>0</v>
      </c>
      <c r="K368" s="11">
        <v>1339.02</v>
      </c>
      <c r="L368" s="11">
        <v>1421.58</v>
      </c>
      <c r="M368" s="11">
        <v>1504.14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9"/>
      <c r="BQ368" s="11">
        <v>0</v>
      </c>
      <c r="BR368" s="11">
        <v>163.83000000000001</v>
      </c>
      <c r="BS368" s="11">
        <v>327.66000000000003</v>
      </c>
      <c r="BT368" s="11">
        <f>Tabelle5897112140[[#This Row],[Mindestauslastung min]]*Tabelle5897112140[[#This Row],[installierte Leistung MW min]]</f>
        <v>0</v>
      </c>
      <c r="BU368" s="11">
        <f>Tabelle5897112140[[#This Row],[Mindestauslastung durch]]*Tabelle5897112140[[#This Row],[installierte Leistung MW durch]]</f>
        <v>0</v>
      </c>
      <c r="BV368" s="19">
        <f>Tabelle5897112140[[#This Row],[Mindestauslastung max]]*Tabelle5897112140[[#This Row],[installierte Leistung MW max]]</f>
        <v>0</v>
      </c>
      <c r="BW368" s="9">
        <v>0</v>
      </c>
      <c r="BX368" s="9"/>
      <c r="BY368" s="9">
        <v>0</v>
      </c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39">
        <v>0.49</v>
      </c>
      <c r="DC368" s="39">
        <v>0.52</v>
      </c>
      <c r="DD368" s="39">
        <v>0.55000000000000004</v>
      </c>
      <c r="DE368" s="11">
        <f>Tabelle5897112140[[#This Row],[Durchschnittsauslastung min]]*Tabelle5897112140[[#This Row],[installierte Leistung MW min]]</f>
        <v>1266.0962999999999</v>
      </c>
      <c r="DF368" s="11">
        <f>Tabelle5897112140[[#This Row],[Durchschnittsauslastung durch]]*Tabelle5897112140[[#This Row],[installierte Leistung MW durch]]</f>
        <v>1384.5312000000001</v>
      </c>
      <c r="DG368" s="46">
        <f>Tabelle5897112140[[#This Row],[Durchschnittsauslastung max]]*Tabelle5897112140[[#This Row],[installierte Leistung MW max]]</f>
        <v>1507.6875000000002</v>
      </c>
      <c r="DH368" s="46">
        <f>Tabelle5897112140[[#This Row],[Maximalauslastung min]]*Tabelle5897112140[[#This Row],[installierte Leistung MW min]]</f>
        <v>1421.1285</v>
      </c>
      <c r="DI368" s="46">
        <f>Tabelle5897112140[[#This Row],[Maximalauslastung durch]]*Tabelle5897112140[[#This Row],[installierte Leistung MW durch]]</f>
        <v>1544.2847999999999</v>
      </c>
      <c r="DJ368" s="11">
        <f>Tabelle5897112140[[#This Row],[Maximalauslastung max]]*Tabelle5897112140[[#This Row],[installierte Leistung MW durch]]</f>
        <v>1624.1615999999999</v>
      </c>
      <c r="DK368" s="9">
        <v>0.55000000000000004</v>
      </c>
      <c r="DL368" s="9">
        <v>0.57999999999999996</v>
      </c>
      <c r="DM368" s="9">
        <v>0.61</v>
      </c>
      <c r="DN368" s="11">
        <v>2662.56</v>
      </c>
      <c r="DO368" s="11">
        <v>2583.87</v>
      </c>
      <c r="DP368" s="11">
        <v>2741.25</v>
      </c>
      <c r="DQ368" s="1">
        <v>0.762625</v>
      </c>
      <c r="DR368" s="1">
        <v>2.7777777777777778E-4</v>
      </c>
      <c r="DS368" s="54">
        <v>3</v>
      </c>
      <c r="DT368" s="1">
        <v>1.3888888888888889E-4</v>
      </c>
      <c r="DU368" s="1">
        <v>0</v>
      </c>
      <c r="DV368" s="54">
        <v>2.7777777777777778E-4</v>
      </c>
      <c r="DW368" s="1">
        <v>3.7</v>
      </c>
      <c r="DX368" s="1">
        <v>3.3000000000000003</v>
      </c>
      <c r="DY368" s="54">
        <v>4.1000000000000005</v>
      </c>
      <c r="DZ368" s="1">
        <v>1.1000000000000001</v>
      </c>
      <c r="EA368" s="1">
        <v>0.90000000000000013</v>
      </c>
      <c r="EB368" s="54">
        <v>1.3</v>
      </c>
      <c r="EC368" s="1">
        <v>4.7</v>
      </c>
      <c r="ED368" s="1">
        <v>4.7</v>
      </c>
      <c r="EE368" s="54">
        <v>4.7</v>
      </c>
      <c r="EF368" s="1">
        <v>1.1000000000000001</v>
      </c>
      <c r="EG368" s="1">
        <v>0.90000000000000013</v>
      </c>
      <c r="EH368" s="54">
        <v>1.3</v>
      </c>
      <c r="EJ368" s="1" t="s">
        <v>646</v>
      </c>
      <c r="EL368" s="1">
        <v>365</v>
      </c>
      <c r="EM368" s="1">
        <v>328</v>
      </c>
      <c r="EN368" s="1">
        <v>402</v>
      </c>
      <c r="EO368" s="1">
        <v>0</v>
      </c>
      <c r="EP368" s="1">
        <v>0</v>
      </c>
      <c r="EQ368" s="1">
        <v>0</v>
      </c>
      <c r="ER368" s="1">
        <v>4000</v>
      </c>
      <c r="ES368" s="1">
        <v>3800</v>
      </c>
      <c r="ET368" s="1">
        <v>4200</v>
      </c>
      <c r="EU368" s="1">
        <v>0.63636363636363635</v>
      </c>
      <c r="EV368" s="19">
        <v>0.13131313131313133</v>
      </c>
      <c r="EW368" s="19">
        <v>1.1414141414141412</v>
      </c>
      <c r="EX368" s="19">
        <v>272.72727272727275</v>
      </c>
      <c r="EY368" s="8">
        <v>181.81818181818181</v>
      </c>
      <c r="EZ368" s="8">
        <v>363.63636363636363</v>
      </c>
      <c r="FA368" s="8">
        <v>569.69696969696975</v>
      </c>
      <c r="FB368" s="8">
        <v>530.30303030303025</v>
      </c>
      <c r="FC368" s="8">
        <v>609.09090909090912</v>
      </c>
      <c r="FD368" s="8">
        <v>33.333333333333336</v>
      </c>
      <c r="FE368" s="8">
        <v>33.333333333333336</v>
      </c>
      <c r="FF368" s="8">
        <v>33.333333333333336</v>
      </c>
      <c r="FG368" s="8">
        <v>101.01010101010101</v>
      </c>
      <c r="FH368" s="8">
        <v>50.505050505050505</v>
      </c>
      <c r="FI368" s="8">
        <v>151.51515151515153</v>
      </c>
      <c r="FJ368" s="8">
        <v>2.8585858585858586</v>
      </c>
      <c r="FK368" s="8">
        <v>1.1414141414141414</v>
      </c>
      <c r="FL368" s="8">
        <v>4.5757575757575761</v>
      </c>
      <c r="FO368" s="1">
        <v>220</v>
      </c>
      <c r="FP368" s="1">
        <v>220</v>
      </c>
      <c r="FR368" s="13" t="s">
        <v>643</v>
      </c>
      <c r="FS368" s="1" t="s">
        <v>643</v>
      </c>
      <c r="FT368" s="13">
        <v>182</v>
      </c>
      <c r="FU368" s="13"/>
      <c r="FV368" s="13">
        <v>182</v>
      </c>
      <c r="FW368" s="13">
        <v>182</v>
      </c>
      <c r="FX368" s="1">
        <v>182</v>
      </c>
      <c r="FY368" s="13" t="s">
        <v>642</v>
      </c>
      <c r="FZ368" s="13" t="s">
        <v>641</v>
      </c>
      <c r="GA368" s="1">
        <v>202</v>
      </c>
      <c r="GB368" s="1">
        <v>202</v>
      </c>
      <c r="GD368" s="1" t="s">
        <v>645</v>
      </c>
      <c r="GE368" s="1">
        <v>211</v>
      </c>
      <c r="GF368" s="1">
        <v>214</v>
      </c>
      <c r="GG368" s="1">
        <v>220</v>
      </c>
      <c r="GH368" s="1">
        <v>214</v>
      </c>
      <c r="GK368" s="1" t="s">
        <v>644</v>
      </c>
    </row>
    <row r="369" spans="1:193" ht="12.75" customHeight="1" x14ac:dyDescent="0.25">
      <c r="A369" s="1" t="s">
        <v>81</v>
      </c>
      <c r="D369" s="1" t="s">
        <v>577</v>
      </c>
      <c r="E369" s="1" t="s">
        <v>126</v>
      </c>
      <c r="F369" s="1">
        <v>1</v>
      </c>
      <c r="G369" s="1">
        <v>2045</v>
      </c>
      <c r="H369" s="1">
        <v>1</v>
      </c>
      <c r="I369" s="1">
        <v>1</v>
      </c>
      <c r="J369" s="1">
        <v>0</v>
      </c>
      <c r="K369" s="11">
        <v>1453.1999999999998</v>
      </c>
      <c r="L369" s="11">
        <v>1542.8</v>
      </c>
      <c r="M369" s="11">
        <v>1632.3999999999999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9"/>
      <c r="BQ369" s="11">
        <v>0</v>
      </c>
      <c r="BR369" s="11">
        <v>177.79999999999998</v>
      </c>
      <c r="BS369" s="11">
        <v>355.59999999999997</v>
      </c>
      <c r="BT369" s="11">
        <f>Tabelle5897112140[[#This Row],[Mindestauslastung min]]*Tabelle5897112140[[#This Row],[installierte Leistung MW min]]</f>
        <v>0</v>
      </c>
      <c r="BU369" s="11">
        <f>Tabelle5897112140[[#This Row],[Mindestauslastung durch]]*Tabelle5897112140[[#This Row],[installierte Leistung MW durch]]</f>
        <v>0</v>
      </c>
      <c r="BV369" s="19">
        <f>Tabelle5897112140[[#This Row],[Mindestauslastung max]]*Tabelle5897112140[[#This Row],[installierte Leistung MW max]]</f>
        <v>0</v>
      </c>
      <c r="BW369" s="9">
        <v>0</v>
      </c>
      <c r="BX369" s="9"/>
      <c r="BY369" s="9">
        <v>0</v>
      </c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39">
        <v>0.49</v>
      </c>
      <c r="DC369" s="39">
        <v>0.52</v>
      </c>
      <c r="DD369" s="39">
        <v>0.55000000000000004</v>
      </c>
      <c r="DE369" s="11">
        <f>Tabelle5897112140[[#This Row],[Durchschnittsauslastung min]]*Tabelle5897112140[[#This Row],[installierte Leistung MW min]]</f>
        <v>1374.058</v>
      </c>
      <c r="DF369" s="11">
        <f>Tabelle5897112140[[#This Row],[Durchschnittsauslastung durch]]*Tabelle5897112140[[#This Row],[installierte Leistung MW durch]]</f>
        <v>1502.5920000000001</v>
      </c>
      <c r="DG369" s="46">
        <f>Tabelle5897112140[[#This Row],[Durchschnittsauslastung max]]*Tabelle5897112140[[#This Row],[installierte Leistung MW max]]</f>
        <v>1636.2500000000002</v>
      </c>
      <c r="DH369" s="46">
        <f>Tabelle5897112140[[#This Row],[Maximalauslastung min]]*Tabelle5897112140[[#This Row],[installierte Leistung MW min]]</f>
        <v>1542.31</v>
      </c>
      <c r="DI369" s="46">
        <f>Tabelle5897112140[[#This Row],[Maximalauslastung durch]]*Tabelle5897112140[[#This Row],[installierte Leistung MW durch]]</f>
        <v>1675.9679999999998</v>
      </c>
      <c r="DJ369" s="11">
        <f>Tabelle5897112140[[#This Row],[Maximalauslastung max]]*Tabelle5897112140[[#This Row],[installierte Leistung MW durch]]</f>
        <v>1762.6559999999999</v>
      </c>
      <c r="DK369" s="9">
        <v>0.55000000000000004</v>
      </c>
      <c r="DL369" s="9">
        <v>0.57999999999999996</v>
      </c>
      <c r="DM369" s="9">
        <v>0.61</v>
      </c>
      <c r="DN369" s="11">
        <v>2889.6</v>
      </c>
      <c r="DO369" s="11">
        <v>2804.2</v>
      </c>
      <c r="DP369" s="11">
        <v>2975</v>
      </c>
      <c r="DQ369" s="1">
        <v>0.762625</v>
      </c>
      <c r="DR369" s="1">
        <v>2.7777777777777778E-4</v>
      </c>
      <c r="DS369" s="54">
        <v>3</v>
      </c>
      <c r="DT369" s="1">
        <v>1.3888888888888889E-4</v>
      </c>
      <c r="DU369" s="1">
        <v>0</v>
      </c>
      <c r="DV369" s="54">
        <v>2.7777777777777778E-4</v>
      </c>
      <c r="DW369" s="1">
        <v>3.7</v>
      </c>
      <c r="DX369" s="1">
        <v>3.3000000000000003</v>
      </c>
      <c r="DY369" s="54">
        <v>4.1000000000000005</v>
      </c>
      <c r="DZ369" s="1">
        <v>1.1000000000000001</v>
      </c>
      <c r="EA369" s="1">
        <v>0.90000000000000013</v>
      </c>
      <c r="EB369" s="54">
        <v>1.3</v>
      </c>
      <c r="EC369" s="1">
        <v>4.7</v>
      </c>
      <c r="ED369" s="1">
        <v>4.7</v>
      </c>
      <c r="EE369" s="54">
        <v>4.7</v>
      </c>
      <c r="EF369" s="1">
        <v>1.1000000000000001</v>
      </c>
      <c r="EG369" s="1">
        <v>0.90000000000000013</v>
      </c>
      <c r="EH369" s="54">
        <v>1.3</v>
      </c>
      <c r="EJ369" s="1" t="s">
        <v>646</v>
      </c>
      <c r="EL369" s="1">
        <v>639</v>
      </c>
      <c r="EM369" s="1">
        <v>575</v>
      </c>
      <c r="EN369" s="1">
        <v>703</v>
      </c>
      <c r="EO369" s="1">
        <v>0</v>
      </c>
      <c r="EP369" s="1">
        <v>0</v>
      </c>
      <c r="EQ369" s="1">
        <v>0</v>
      </c>
      <c r="ER369" s="1">
        <v>4000</v>
      </c>
      <c r="ES369" s="1">
        <v>3800</v>
      </c>
      <c r="ET369" s="1">
        <v>4200</v>
      </c>
      <c r="EU369" s="1">
        <v>0.63636363636363635</v>
      </c>
      <c r="EV369" s="19">
        <v>0.13131313131313133</v>
      </c>
      <c r="EW369" s="19">
        <v>1.1414141414141412</v>
      </c>
      <c r="EX369" s="19">
        <v>272.72727272727275</v>
      </c>
      <c r="EY369" s="8">
        <v>181.81818181818181</v>
      </c>
      <c r="EZ369" s="8">
        <v>363.63636363636363</v>
      </c>
      <c r="FA369" s="8">
        <v>569.69696969696975</v>
      </c>
      <c r="FB369" s="8">
        <v>530.30303030303025</v>
      </c>
      <c r="FC369" s="8">
        <v>609.09090909090912</v>
      </c>
      <c r="FD369" s="8">
        <v>33.333333333333336</v>
      </c>
      <c r="FE369" s="8">
        <v>33.333333333333336</v>
      </c>
      <c r="FF369" s="8">
        <v>33.333333333333336</v>
      </c>
      <c r="FG369" s="8">
        <v>101.01010101010101</v>
      </c>
      <c r="FH369" s="8">
        <v>50.505050505050505</v>
      </c>
      <c r="FI369" s="8">
        <v>151.51515151515153</v>
      </c>
      <c r="FJ369" s="8">
        <v>2.8585858585858586</v>
      </c>
      <c r="FK369" s="8">
        <v>1.1414141414141414</v>
      </c>
      <c r="FL369" s="8">
        <v>4.5757575757575761</v>
      </c>
      <c r="FO369" s="1">
        <v>220</v>
      </c>
      <c r="FP369" s="1">
        <v>220</v>
      </c>
      <c r="FR369" s="13" t="s">
        <v>643</v>
      </c>
      <c r="FS369" s="1" t="s">
        <v>643</v>
      </c>
      <c r="FT369" s="13">
        <v>182</v>
      </c>
      <c r="FU369" s="13"/>
      <c r="FV369" s="13">
        <v>182</v>
      </c>
      <c r="FW369" s="13">
        <v>182</v>
      </c>
      <c r="FX369" s="1">
        <v>182</v>
      </c>
      <c r="FY369" s="13" t="s">
        <v>642</v>
      </c>
      <c r="FZ369" s="13" t="s">
        <v>641</v>
      </c>
      <c r="GA369" s="1">
        <v>202</v>
      </c>
      <c r="GB369" s="1">
        <v>202</v>
      </c>
      <c r="GD369" s="1" t="s">
        <v>645</v>
      </c>
      <c r="GE369" s="1">
        <v>211</v>
      </c>
      <c r="GF369" s="1">
        <v>214</v>
      </c>
      <c r="GG369" s="1">
        <v>220</v>
      </c>
      <c r="GH369" s="1">
        <v>214</v>
      </c>
      <c r="GK369" s="1" t="s">
        <v>644</v>
      </c>
    </row>
    <row r="370" spans="1:193" ht="12.75" customHeight="1" x14ac:dyDescent="0.25">
      <c r="A370" s="1" t="s">
        <v>189</v>
      </c>
      <c r="D370" s="1" t="s">
        <v>583</v>
      </c>
      <c r="E370" s="1" t="s">
        <v>126</v>
      </c>
      <c r="F370" s="1">
        <v>1</v>
      </c>
      <c r="G370" s="1">
        <v>2015</v>
      </c>
      <c r="H370" s="1">
        <v>1</v>
      </c>
      <c r="I370" s="1">
        <v>1</v>
      </c>
      <c r="J370" s="1">
        <v>0</v>
      </c>
      <c r="K370" s="11">
        <v>15</v>
      </c>
      <c r="L370" s="11">
        <v>25</v>
      </c>
      <c r="M370" s="11">
        <v>35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9"/>
      <c r="BQ370" s="11">
        <v>22</v>
      </c>
      <c r="BR370" s="11">
        <v>35</v>
      </c>
      <c r="BS370" s="11">
        <v>48</v>
      </c>
      <c r="BT370" s="11">
        <f>Tabelle5897112140[[#This Row],[Mindestauslastung min]]*Tabelle5897112140[[#This Row],[installierte Leistung MW min]]</f>
        <v>0</v>
      </c>
      <c r="BU370" s="11">
        <f>Tabelle5897112140[[#This Row],[Mindestauslastung durch]]*Tabelle5897112140[[#This Row],[installierte Leistung MW durch]]</f>
        <v>0</v>
      </c>
      <c r="BV370" s="19">
        <f>Tabelle5897112140[[#This Row],[Mindestauslastung max]]*Tabelle5897112140[[#This Row],[installierte Leistung MW max]]</f>
        <v>0</v>
      </c>
      <c r="BW370" s="9">
        <v>0</v>
      </c>
      <c r="BX370" s="9"/>
      <c r="BY370" s="9">
        <v>0</v>
      </c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39">
        <v>0.35</v>
      </c>
      <c r="DC370" s="39">
        <v>0.4</v>
      </c>
      <c r="DD370" s="39">
        <v>0.45</v>
      </c>
      <c r="DE370" s="11">
        <f>Tabelle5897112140[[#This Row],[Durchschnittsauslastung min]]*Tabelle5897112140[[#This Row],[installierte Leistung MW min]]</f>
        <v>14</v>
      </c>
      <c r="DF370" s="11">
        <f>Tabelle5897112140[[#This Row],[Durchschnittsauslastung durch]]*Tabelle5897112140[[#This Row],[installierte Leistung MW durch]]</f>
        <v>23.6</v>
      </c>
      <c r="DG370" s="46">
        <f>Tabelle5897112140[[#This Row],[Durchschnittsauslastung max]]*Tabelle5897112140[[#This Row],[installierte Leistung MW max]]</f>
        <v>35.1</v>
      </c>
      <c r="DH370" s="46">
        <f>Tabelle5897112140[[#This Row],[Maximalauslastung min]]*Tabelle5897112140[[#This Row],[installierte Leistung MW min]]</f>
        <v>37.599999999999994</v>
      </c>
      <c r="DI370" s="46">
        <f>Tabelle5897112140[[#This Row],[Maximalauslastung durch]]*Tabelle5897112140[[#This Row],[installierte Leistung MW durch]]</f>
        <v>56.05</v>
      </c>
      <c r="DJ370" s="11">
        <f>Tabelle5897112140[[#This Row],[Maximalauslastung max]]*Tabelle5897112140[[#This Row],[installierte Leistung MW durch]]</f>
        <v>56.64</v>
      </c>
      <c r="DK370" s="9">
        <v>0.94</v>
      </c>
      <c r="DL370" s="9">
        <v>0.95</v>
      </c>
      <c r="DM370" s="9">
        <v>0.96</v>
      </c>
      <c r="DN370" s="11">
        <v>59</v>
      </c>
      <c r="DO370" s="11">
        <v>40</v>
      </c>
      <c r="DP370" s="11">
        <v>78</v>
      </c>
      <c r="DQ370" s="1">
        <v>2.8763888888888891E-2</v>
      </c>
      <c r="DR370" s="1">
        <v>0</v>
      </c>
      <c r="DS370" s="54">
        <v>8.3333333333333329E-2</v>
      </c>
      <c r="DT370" s="1">
        <v>2.8763888888888891E-2</v>
      </c>
      <c r="DU370" s="1">
        <v>0</v>
      </c>
      <c r="DV370" s="54">
        <v>8.3333333333333329E-2</v>
      </c>
      <c r="DW370" s="1">
        <v>6</v>
      </c>
      <c r="DX370" s="1">
        <v>4.8</v>
      </c>
      <c r="DY370" s="54">
        <v>7.2</v>
      </c>
      <c r="DZ370" s="1">
        <v>10.4</v>
      </c>
      <c r="EA370" s="1">
        <v>6.4</v>
      </c>
      <c r="EB370" s="54">
        <v>14.4</v>
      </c>
      <c r="EC370" s="1">
        <v>11</v>
      </c>
      <c r="ED370" s="1">
        <v>11</v>
      </c>
      <c r="EE370" s="54">
        <v>11</v>
      </c>
      <c r="EF370" s="1">
        <v>10.4</v>
      </c>
      <c r="EG370" s="1">
        <v>6.4</v>
      </c>
      <c r="EH370" s="54">
        <v>14.4</v>
      </c>
      <c r="EJ370" s="1" t="s">
        <v>646</v>
      </c>
      <c r="EL370" s="1">
        <v>600</v>
      </c>
      <c r="EM370" s="1">
        <v>450</v>
      </c>
      <c r="EN370" s="1">
        <v>750</v>
      </c>
      <c r="EO370" s="1">
        <v>0</v>
      </c>
      <c r="EP370" s="1">
        <v>0</v>
      </c>
      <c r="EQ370" s="1">
        <v>0</v>
      </c>
      <c r="ER370" s="1">
        <v>600</v>
      </c>
      <c r="ES370" s="1">
        <v>450</v>
      </c>
      <c r="ET370" s="1">
        <v>750</v>
      </c>
      <c r="EU370" s="1">
        <v>1.5151515151515151</v>
      </c>
      <c r="EV370" s="19">
        <v>0.50505050505050508</v>
      </c>
      <c r="EW370" s="19">
        <v>2.5252525252525251</v>
      </c>
      <c r="EX370" s="19">
        <v>121.21212121212122</v>
      </c>
      <c r="EY370" s="8">
        <v>70.707070707070713</v>
      </c>
      <c r="EZ370" s="8">
        <v>171.71717171717171</v>
      </c>
      <c r="FA370" s="8">
        <v>828.28282828282829</v>
      </c>
      <c r="FB370" s="8">
        <v>785.85858585858591</v>
      </c>
      <c r="FC370" s="8">
        <v>870.70707070707067</v>
      </c>
      <c r="FD370" s="8">
        <v>45.454545454545453</v>
      </c>
      <c r="FE370" s="8">
        <v>29.292929292929294</v>
      </c>
      <c r="FF370" s="8">
        <v>61.616161616161619</v>
      </c>
      <c r="FG370" s="8">
        <v>93.939393939393938</v>
      </c>
      <c r="FH370" s="8">
        <v>60.606060606060609</v>
      </c>
      <c r="FI370" s="8">
        <v>127.27272727272728</v>
      </c>
      <c r="FJ370" s="8">
        <v>19.292929292929294</v>
      </c>
      <c r="FK370" s="8">
        <v>16.262626262626263</v>
      </c>
      <c r="FL370" s="8">
        <v>22.323232323232325</v>
      </c>
      <c r="FO370" s="1">
        <v>220</v>
      </c>
      <c r="FP370" s="1">
        <v>220</v>
      </c>
      <c r="FR370" s="13" t="s">
        <v>643</v>
      </c>
      <c r="FS370" s="1" t="s">
        <v>643</v>
      </c>
      <c r="FT370" s="13">
        <v>182</v>
      </c>
      <c r="FU370" s="13"/>
      <c r="FV370" s="13">
        <v>182</v>
      </c>
      <c r="FW370" s="13">
        <v>182</v>
      </c>
      <c r="FX370" s="1">
        <v>182</v>
      </c>
      <c r="FY370" s="13" t="s">
        <v>642</v>
      </c>
      <c r="FZ370" s="13" t="s">
        <v>641</v>
      </c>
      <c r="GA370" s="1">
        <v>202</v>
      </c>
      <c r="GB370" s="1">
        <v>202</v>
      </c>
      <c r="GD370" s="1" t="s">
        <v>645</v>
      </c>
      <c r="GE370" s="1">
        <v>211</v>
      </c>
      <c r="GF370" s="1">
        <v>214</v>
      </c>
      <c r="GG370" s="1">
        <v>220</v>
      </c>
      <c r="GH370" s="1">
        <v>214</v>
      </c>
      <c r="GK370" s="1" t="s">
        <v>644</v>
      </c>
    </row>
    <row r="371" spans="1:193" ht="12.75" customHeight="1" x14ac:dyDescent="0.25">
      <c r="A371" s="1" t="s">
        <v>189</v>
      </c>
      <c r="D371" s="1" t="s">
        <v>583</v>
      </c>
      <c r="E371" s="1" t="s">
        <v>126</v>
      </c>
      <c r="F371" s="1">
        <v>1</v>
      </c>
      <c r="G371" s="1">
        <v>2020</v>
      </c>
      <c r="H371" s="1">
        <v>1</v>
      </c>
      <c r="I371" s="1">
        <v>1</v>
      </c>
      <c r="J371" s="1">
        <v>0</v>
      </c>
      <c r="K371" s="11">
        <v>15</v>
      </c>
      <c r="L371" s="11">
        <v>25</v>
      </c>
      <c r="M371" s="11">
        <v>35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9"/>
      <c r="BQ371" s="11">
        <v>22</v>
      </c>
      <c r="BR371" s="11">
        <v>35</v>
      </c>
      <c r="BS371" s="11">
        <v>48</v>
      </c>
      <c r="BT371" s="11">
        <f>Tabelle5897112140[[#This Row],[Mindestauslastung min]]*Tabelle5897112140[[#This Row],[installierte Leistung MW min]]</f>
        <v>0</v>
      </c>
      <c r="BU371" s="11">
        <f>Tabelle5897112140[[#This Row],[Mindestauslastung durch]]*Tabelle5897112140[[#This Row],[installierte Leistung MW durch]]</f>
        <v>0</v>
      </c>
      <c r="BV371" s="19">
        <f>Tabelle5897112140[[#This Row],[Mindestauslastung max]]*Tabelle5897112140[[#This Row],[installierte Leistung MW max]]</f>
        <v>0</v>
      </c>
      <c r="BW371" s="9">
        <v>0</v>
      </c>
      <c r="BX371" s="9"/>
      <c r="BY371" s="9">
        <v>0</v>
      </c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39">
        <v>0.35</v>
      </c>
      <c r="DC371" s="39">
        <v>0.4</v>
      </c>
      <c r="DD371" s="39">
        <v>0.45</v>
      </c>
      <c r="DE371" s="11">
        <f>Tabelle5897112140[[#This Row],[Durchschnittsauslastung min]]*Tabelle5897112140[[#This Row],[installierte Leistung MW min]]</f>
        <v>14</v>
      </c>
      <c r="DF371" s="11">
        <f>Tabelle5897112140[[#This Row],[Durchschnittsauslastung durch]]*Tabelle5897112140[[#This Row],[installierte Leistung MW durch]]</f>
        <v>23.6</v>
      </c>
      <c r="DG371" s="46">
        <f>Tabelle5897112140[[#This Row],[Durchschnittsauslastung max]]*Tabelle5897112140[[#This Row],[installierte Leistung MW max]]</f>
        <v>35.1</v>
      </c>
      <c r="DH371" s="46">
        <f>Tabelle5897112140[[#This Row],[Maximalauslastung min]]*Tabelle5897112140[[#This Row],[installierte Leistung MW min]]</f>
        <v>37.599999999999994</v>
      </c>
      <c r="DI371" s="46">
        <f>Tabelle5897112140[[#This Row],[Maximalauslastung durch]]*Tabelle5897112140[[#This Row],[installierte Leistung MW durch]]</f>
        <v>56.05</v>
      </c>
      <c r="DJ371" s="11">
        <f>Tabelle5897112140[[#This Row],[Maximalauslastung max]]*Tabelle5897112140[[#This Row],[installierte Leistung MW durch]]</f>
        <v>56.64</v>
      </c>
      <c r="DK371" s="9">
        <v>0.94</v>
      </c>
      <c r="DL371" s="9">
        <v>0.95</v>
      </c>
      <c r="DM371" s="9">
        <v>0.96</v>
      </c>
      <c r="DN371" s="11">
        <v>59</v>
      </c>
      <c r="DO371" s="11">
        <v>40</v>
      </c>
      <c r="DP371" s="11">
        <v>78</v>
      </c>
      <c r="DQ371" s="1">
        <v>2.8763888888888891E-2</v>
      </c>
      <c r="DR371" s="1">
        <v>0</v>
      </c>
      <c r="DS371" s="54">
        <v>8.3333333333333329E-2</v>
      </c>
      <c r="DT371" s="1">
        <v>2.8763888888888891E-2</v>
      </c>
      <c r="DU371" s="1">
        <v>0</v>
      </c>
      <c r="DV371" s="54">
        <v>8.3333333333333329E-2</v>
      </c>
      <c r="DW371" s="1">
        <v>6</v>
      </c>
      <c r="DX371" s="1">
        <v>4.8</v>
      </c>
      <c r="DY371" s="54">
        <v>7.2</v>
      </c>
      <c r="DZ371" s="1">
        <v>10.4</v>
      </c>
      <c r="EA371" s="1">
        <v>6.4</v>
      </c>
      <c r="EB371" s="54">
        <v>14.4</v>
      </c>
      <c r="EC371" s="1">
        <v>11</v>
      </c>
      <c r="ED371" s="1">
        <v>11</v>
      </c>
      <c r="EE371" s="54">
        <v>11</v>
      </c>
      <c r="EF371" s="1">
        <v>10.4</v>
      </c>
      <c r="EG371" s="1">
        <v>6.4</v>
      </c>
      <c r="EH371" s="54">
        <v>14.4</v>
      </c>
      <c r="EJ371" s="1" t="s">
        <v>646</v>
      </c>
      <c r="EL371" s="1">
        <v>280</v>
      </c>
      <c r="EM371" s="1">
        <v>252</v>
      </c>
      <c r="EN371" s="1">
        <v>308</v>
      </c>
      <c r="EO371" s="1">
        <v>0</v>
      </c>
      <c r="EP371" s="1">
        <v>0</v>
      </c>
      <c r="EQ371" s="1">
        <v>0</v>
      </c>
      <c r="ER371" s="1">
        <v>280</v>
      </c>
      <c r="ES371" s="1">
        <v>252</v>
      </c>
      <c r="ET371" s="1">
        <v>308</v>
      </c>
      <c r="EU371" s="1">
        <v>1.5151515151515151</v>
      </c>
      <c r="EV371" s="19">
        <v>0.50505050505050508</v>
      </c>
      <c r="EW371" s="19">
        <v>2.5252525252525251</v>
      </c>
      <c r="EX371" s="19">
        <v>121.21212121212122</v>
      </c>
      <c r="EY371" s="8">
        <v>70.707070707070713</v>
      </c>
      <c r="EZ371" s="8">
        <v>171.71717171717171</v>
      </c>
      <c r="FA371" s="8">
        <v>828.28282828282829</v>
      </c>
      <c r="FB371" s="8">
        <v>785.85858585858591</v>
      </c>
      <c r="FC371" s="8">
        <v>870.70707070707067</v>
      </c>
      <c r="FD371" s="8">
        <v>45.454545454545453</v>
      </c>
      <c r="FE371" s="8">
        <v>29.292929292929294</v>
      </c>
      <c r="FF371" s="8">
        <v>61.616161616161619</v>
      </c>
      <c r="FG371" s="8">
        <v>93.939393939393938</v>
      </c>
      <c r="FH371" s="8">
        <v>60.606060606060609</v>
      </c>
      <c r="FI371" s="8">
        <v>127.27272727272728</v>
      </c>
      <c r="FJ371" s="8">
        <v>19.292929292929294</v>
      </c>
      <c r="FK371" s="8">
        <v>16.262626262626263</v>
      </c>
      <c r="FL371" s="8">
        <v>22.323232323232325</v>
      </c>
      <c r="FO371" s="1">
        <v>220</v>
      </c>
      <c r="FP371" s="1">
        <v>220</v>
      </c>
      <c r="FR371" s="13" t="s">
        <v>643</v>
      </c>
      <c r="FS371" s="1" t="s">
        <v>643</v>
      </c>
      <c r="FT371" s="13">
        <v>182</v>
      </c>
      <c r="FU371" s="13"/>
      <c r="FV371" s="13">
        <v>182</v>
      </c>
      <c r="FW371" s="13">
        <v>182</v>
      </c>
      <c r="FX371" s="1">
        <v>182</v>
      </c>
      <c r="FY371" s="13" t="s">
        <v>642</v>
      </c>
      <c r="FZ371" s="13" t="s">
        <v>641</v>
      </c>
      <c r="GA371" s="1">
        <v>202</v>
      </c>
      <c r="GB371" s="1">
        <v>202</v>
      </c>
      <c r="GD371" s="1" t="s">
        <v>645</v>
      </c>
      <c r="GE371" s="1">
        <v>211</v>
      </c>
      <c r="GF371" s="1">
        <v>214</v>
      </c>
      <c r="GG371" s="1">
        <v>220</v>
      </c>
      <c r="GH371" s="1">
        <v>214</v>
      </c>
      <c r="GK371" s="1" t="s">
        <v>644</v>
      </c>
    </row>
    <row r="372" spans="1:193" ht="12.75" customHeight="1" x14ac:dyDescent="0.25">
      <c r="A372" s="1" t="s">
        <v>189</v>
      </c>
      <c r="D372" s="1" t="s">
        <v>583</v>
      </c>
      <c r="E372" s="1" t="s">
        <v>126</v>
      </c>
      <c r="F372" s="1">
        <v>1</v>
      </c>
      <c r="G372" s="1">
        <v>2025</v>
      </c>
      <c r="H372" s="1">
        <v>1</v>
      </c>
      <c r="I372" s="1">
        <v>1</v>
      </c>
      <c r="J372" s="1">
        <v>0</v>
      </c>
      <c r="K372" s="11">
        <v>15</v>
      </c>
      <c r="L372" s="11">
        <v>25</v>
      </c>
      <c r="M372" s="11">
        <v>35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9"/>
      <c r="BQ372" s="11">
        <v>22</v>
      </c>
      <c r="BR372" s="11">
        <v>35</v>
      </c>
      <c r="BS372" s="11">
        <v>48</v>
      </c>
      <c r="BT372" s="11">
        <f>Tabelle5897112140[[#This Row],[Mindestauslastung min]]*Tabelle5897112140[[#This Row],[installierte Leistung MW min]]</f>
        <v>0</v>
      </c>
      <c r="BU372" s="11">
        <f>Tabelle5897112140[[#This Row],[Mindestauslastung durch]]*Tabelle5897112140[[#This Row],[installierte Leistung MW durch]]</f>
        <v>0</v>
      </c>
      <c r="BV372" s="19">
        <f>Tabelle5897112140[[#This Row],[Mindestauslastung max]]*Tabelle5897112140[[#This Row],[installierte Leistung MW max]]</f>
        <v>0</v>
      </c>
      <c r="BW372" s="9">
        <v>0</v>
      </c>
      <c r="BX372" s="9"/>
      <c r="BY372" s="9">
        <v>0</v>
      </c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39">
        <v>0.35</v>
      </c>
      <c r="DC372" s="39">
        <v>0.4</v>
      </c>
      <c r="DD372" s="39">
        <v>0.45</v>
      </c>
      <c r="DE372" s="11">
        <f>Tabelle5897112140[[#This Row],[Durchschnittsauslastung min]]*Tabelle5897112140[[#This Row],[installierte Leistung MW min]]</f>
        <v>14</v>
      </c>
      <c r="DF372" s="11">
        <f>Tabelle5897112140[[#This Row],[Durchschnittsauslastung durch]]*Tabelle5897112140[[#This Row],[installierte Leistung MW durch]]</f>
        <v>23.6</v>
      </c>
      <c r="DG372" s="46">
        <f>Tabelle5897112140[[#This Row],[Durchschnittsauslastung max]]*Tabelle5897112140[[#This Row],[installierte Leistung MW max]]</f>
        <v>35.1</v>
      </c>
      <c r="DH372" s="46">
        <f>Tabelle5897112140[[#This Row],[Maximalauslastung min]]*Tabelle5897112140[[#This Row],[installierte Leistung MW min]]</f>
        <v>37.599999999999994</v>
      </c>
      <c r="DI372" s="46">
        <f>Tabelle5897112140[[#This Row],[Maximalauslastung durch]]*Tabelle5897112140[[#This Row],[installierte Leistung MW durch]]</f>
        <v>56.05</v>
      </c>
      <c r="DJ372" s="11">
        <f>Tabelle5897112140[[#This Row],[Maximalauslastung max]]*Tabelle5897112140[[#This Row],[installierte Leistung MW durch]]</f>
        <v>56.64</v>
      </c>
      <c r="DK372" s="9">
        <v>0.94</v>
      </c>
      <c r="DL372" s="9">
        <v>0.95</v>
      </c>
      <c r="DM372" s="9">
        <v>0.96</v>
      </c>
      <c r="DN372" s="11">
        <v>59</v>
      </c>
      <c r="DO372" s="11">
        <v>40</v>
      </c>
      <c r="DP372" s="11">
        <v>78</v>
      </c>
      <c r="DQ372" s="1">
        <v>2.8763888888888891E-2</v>
      </c>
      <c r="DR372" s="1">
        <v>0</v>
      </c>
      <c r="DS372" s="54">
        <v>8.3333333333333329E-2</v>
      </c>
      <c r="DT372" s="1">
        <v>2.8763888888888891E-2</v>
      </c>
      <c r="DU372" s="1">
        <v>0</v>
      </c>
      <c r="DV372" s="54">
        <v>8.3333333333333329E-2</v>
      </c>
      <c r="DW372" s="1">
        <v>6</v>
      </c>
      <c r="DX372" s="1">
        <v>4.8</v>
      </c>
      <c r="DY372" s="54">
        <v>7.2</v>
      </c>
      <c r="DZ372" s="1">
        <v>10.4</v>
      </c>
      <c r="EA372" s="1">
        <v>6.4</v>
      </c>
      <c r="EB372" s="54">
        <v>14.4</v>
      </c>
      <c r="EC372" s="1">
        <v>11</v>
      </c>
      <c r="ED372" s="1">
        <v>11</v>
      </c>
      <c r="EE372" s="54">
        <v>11</v>
      </c>
      <c r="EF372" s="1">
        <v>10.4</v>
      </c>
      <c r="EG372" s="1">
        <v>6.4</v>
      </c>
      <c r="EH372" s="54">
        <v>14.4</v>
      </c>
      <c r="EJ372" s="1" t="s">
        <v>646</v>
      </c>
      <c r="EL372" s="1">
        <v>365</v>
      </c>
      <c r="EM372" s="1">
        <v>328</v>
      </c>
      <c r="EN372" s="1">
        <v>402</v>
      </c>
      <c r="EO372" s="1">
        <v>0</v>
      </c>
      <c r="EP372" s="1">
        <v>0</v>
      </c>
      <c r="EQ372" s="1">
        <v>0</v>
      </c>
      <c r="ER372" s="1">
        <v>600</v>
      </c>
      <c r="ES372" s="1">
        <v>450</v>
      </c>
      <c r="ET372" s="1">
        <v>750</v>
      </c>
      <c r="EU372" s="1">
        <v>1.5151515151515151</v>
      </c>
      <c r="EV372" s="19">
        <v>0.50505050505050508</v>
      </c>
      <c r="EW372" s="19">
        <v>2.5252525252525251</v>
      </c>
      <c r="EX372" s="19">
        <v>121.21212121212122</v>
      </c>
      <c r="EY372" s="8">
        <v>70.707070707070713</v>
      </c>
      <c r="EZ372" s="8">
        <v>171.71717171717171</v>
      </c>
      <c r="FA372" s="8">
        <v>828.28282828282829</v>
      </c>
      <c r="FB372" s="8">
        <v>785.85858585858591</v>
      </c>
      <c r="FC372" s="8">
        <v>870.70707070707067</v>
      </c>
      <c r="FD372" s="8">
        <v>45.454545454545453</v>
      </c>
      <c r="FE372" s="8">
        <v>29.292929292929294</v>
      </c>
      <c r="FF372" s="8">
        <v>61.616161616161619</v>
      </c>
      <c r="FG372" s="8">
        <v>93.939393939393938</v>
      </c>
      <c r="FH372" s="8">
        <v>60.606060606060609</v>
      </c>
      <c r="FI372" s="8">
        <v>127.27272727272728</v>
      </c>
      <c r="FJ372" s="8">
        <v>19.292929292929294</v>
      </c>
      <c r="FK372" s="8">
        <v>16.262626262626263</v>
      </c>
      <c r="FL372" s="8">
        <v>22.323232323232325</v>
      </c>
      <c r="FO372" s="1">
        <v>220</v>
      </c>
      <c r="FP372" s="1">
        <v>220</v>
      </c>
      <c r="FR372" s="13" t="s">
        <v>643</v>
      </c>
      <c r="FS372" s="1" t="s">
        <v>643</v>
      </c>
      <c r="FT372" s="13">
        <v>182</v>
      </c>
      <c r="FU372" s="13"/>
      <c r="FV372" s="13">
        <v>182</v>
      </c>
      <c r="FW372" s="13">
        <v>182</v>
      </c>
      <c r="FX372" s="1">
        <v>182</v>
      </c>
      <c r="FY372" s="13" t="s">
        <v>642</v>
      </c>
      <c r="FZ372" s="13" t="s">
        <v>641</v>
      </c>
      <c r="GA372" s="1">
        <v>202</v>
      </c>
      <c r="GB372" s="1">
        <v>202</v>
      </c>
      <c r="GD372" s="1" t="s">
        <v>645</v>
      </c>
      <c r="GE372" s="1">
        <v>211</v>
      </c>
      <c r="GF372" s="1">
        <v>214</v>
      </c>
      <c r="GG372" s="1">
        <v>220</v>
      </c>
      <c r="GH372" s="1">
        <v>214</v>
      </c>
      <c r="GK372" s="1" t="s">
        <v>644</v>
      </c>
    </row>
    <row r="373" spans="1:193" ht="12.75" customHeight="1" x14ac:dyDescent="0.25">
      <c r="A373" s="1" t="s">
        <v>189</v>
      </c>
      <c r="D373" s="1" t="s">
        <v>583</v>
      </c>
      <c r="E373" s="1" t="s">
        <v>126</v>
      </c>
      <c r="F373" s="1">
        <v>1</v>
      </c>
      <c r="G373" s="1">
        <v>2030</v>
      </c>
      <c r="H373" s="1">
        <v>1</v>
      </c>
      <c r="I373" s="1">
        <v>1</v>
      </c>
      <c r="J373" s="1">
        <v>0</v>
      </c>
      <c r="K373" s="11">
        <v>15</v>
      </c>
      <c r="L373" s="11">
        <v>25</v>
      </c>
      <c r="M373" s="11">
        <v>35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9"/>
      <c r="BQ373" s="11">
        <v>22</v>
      </c>
      <c r="BR373" s="11">
        <v>35</v>
      </c>
      <c r="BS373" s="11">
        <v>48</v>
      </c>
      <c r="BT373" s="11">
        <f>Tabelle5897112140[[#This Row],[Mindestauslastung min]]*Tabelle5897112140[[#This Row],[installierte Leistung MW min]]</f>
        <v>0</v>
      </c>
      <c r="BU373" s="11">
        <f>Tabelle5897112140[[#This Row],[Mindestauslastung durch]]*Tabelle5897112140[[#This Row],[installierte Leistung MW durch]]</f>
        <v>0</v>
      </c>
      <c r="BV373" s="19">
        <f>Tabelle5897112140[[#This Row],[Mindestauslastung max]]*Tabelle5897112140[[#This Row],[installierte Leistung MW max]]</f>
        <v>0</v>
      </c>
      <c r="BW373" s="9">
        <v>0</v>
      </c>
      <c r="BX373" s="9"/>
      <c r="BY373" s="9">
        <v>0</v>
      </c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39">
        <v>0.35</v>
      </c>
      <c r="DC373" s="39">
        <v>0.4</v>
      </c>
      <c r="DD373" s="39">
        <v>0.45</v>
      </c>
      <c r="DE373" s="11">
        <f>Tabelle5897112140[[#This Row],[Durchschnittsauslastung min]]*Tabelle5897112140[[#This Row],[installierte Leistung MW min]]</f>
        <v>14</v>
      </c>
      <c r="DF373" s="11">
        <f>Tabelle5897112140[[#This Row],[Durchschnittsauslastung durch]]*Tabelle5897112140[[#This Row],[installierte Leistung MW durch]]</f>
        <v>23.6</v>
      </c>
      <c r="DG373" s="46">
        <f>Tabelle5897112140[[#This Row],[Durchschnittsauslastung max]]*Tabelle5897112140[[#This Row],[installierte Leistung MW max]]</f>
        <v>35.1</v>
      </c>
      <c r="DH373" s="46">
        <f>Tabelle5897112140[[#This Row],[Maximalauslastung min]]*Tabelle5897112140[[#This Row],[installierte Leistung MW min]]</f>
        <v>37.599999999999994</v>
      </c>
      <c r="DI373" s="46">
        <f>Tabelle5897112140[[#This Row],[Maximalauslastung durch]]*Tabelle5897112140[[#This Row],[installierte Leistung MW durch]]</f>
        <v>56.05</v>
      </c>
      <c r="DJ373" s="11">
        <f>Tabelle5897112140[[#This Row],[Maximalauslastung max]]*Tabelle5897112140[[#This Row],[installierte Leistung MW durch]]</f>
        <v>56.64</v>
      </c>
      <c r="DK373" s="9">
        <v>0.94</v>
      </c>
      <c r="DL373" s="9">
        <v>0.95</v>
      </c>
      <c r="DM373" s="9">
        <v>0.96</v>
      </c>
      <c r="DN373" s="11">
        <v>59</v>
      </c>
      <c r="DO373" s="11">
        <v>40</v>
      </c>
      <c r="DP373" s="11">
        <v>78</v>
      </c>
      <c r="DQ373" s="1">
        <v>2.8763888888888891E-2</v>
      </c>
      <c r="DR373" s="1">
        <v>0</v>
      </c>
      <c r="DS373" s="54">
        <v>8.3333333333333329E-2</v>
      </c>
      <c r="DT373" s="1">
        <v>2.8763888888888891E-2</v>
      </c>
      <c r="DU373" s="1">
        <v>0</v>
      </c>
      <c r="DV373" s="54">
        <v>8.3333333333333329E-2</v>
      </c>
      <c r="DW373" s="1">
        <v>6</v>
      </c>
      <c r="DX373" s="1">
        <v>4.8</v>
      </c>
      <c r="DY373" s="54">
        <v>7.2</v>
      </c>
      <c r="DZ373" s="1">
        <v>10.4</v>
      </c>
      <c r="EA373" s="1">
        <v>6.4</v>
      </c>
      <c r="EB373" s="54">
        <v>14.4</v>
      </c>
      <c r="EC373" s="1">
        <v>11</v>
      </c>
      <c r="ED373" s="1">
        <v>11</v>
      </c>
      <c r="EE373" s="54">
        <v>11</v>
      </c>
      <c r="EF373" s="1">
        <v>10.4</v>
      </c>
      <c r="EG373" s="1">
        <v>6.4</v>
      </c>
      <c r="EH373" s="54">
        <v>14.4</v>
      </c>
      <c r="EJ373" s="1" t="s">
        <v>646</v>
      </c>
      <c r="EL373" s="1">
        <v>6570</v>
      </c>
      <c r="EM373" s="1">
        <v>4380</v>
      </c>
      <c r="EN373" s="1">
        <v>8760</v>
      </c>
      <c r="EO373" s="1">
        <v>0</v>
      </c>
      <c r="EP373" s="1">
        <v>0</v>
      </c>
      <c r="EQ373" s="1">
        <v>0</v>
      </c>
      <c r="ER373" s="1">
        <v>600</v>
      </c>
      <c r="ES373" s="1">
        <v>450</v>
      </c>
      <c r="ET373" s="1">
        <v>750</v>
      </c>
      <c r="EU373" s="1">
        <v>1.5151515151515151</v>
      </c>
      <c r="EV373" s="19">
        <v>0.50505050505050508</v>
      </c>
      <c r="EW373" s="19">
        <v>2.5252525252525251</v>
      </c>
      <c r="EX373" s="19">
        <v>121.21212121212122</v>
      </c>
      <c r="EY373" s="8">
        <v>70.707070707070713</v>
      </c>
      <c r="EZ373" s="8">
        <v>171.71717171717171</v>
      </c>
      <c r="FA373" s="8">
        <v>828.28282828282829</v>
      </c>
      <c r="FB373" s="8">
        <v>785.85858585858591</v>
      </c>
      <c r="FC373" s="8">
        <v>870.70707070707067</v>
      </c>
      <c r="FD373" s="8">
        <v>45.454545454545453</v>
      </c>
      <c r="FE373" s="8">
        <v>29.292929292929294</v>
      </c>
      <c r="FF373" s="8">
        <v>61.616161616161619</v>
      </c>
      <c r="FG373" s="8">
        <v>93.939393939393938</v>
      </c>
      <c r="FH373" s="8">
        <v>60.606060606060609</v>
      </c>
      <c r="FI373" s="8">
        <v>127.27272727272728</v>
      </c>
      <c r="FJ373" s="8">
        <v>19.292929292929294</v>
      </c>
      <c r="FK373" s="8">
        <v>16.262626262626263</v>
      </c>
      <c r="FL373" s="8">
        <v>22.323232323232325</v>
      </c>
      <c r="FO373" s="1">
        <v>220</v>
      </c>
      <c r="FP373" s="1">
        <v>220</v>
      </c>
      <c r="FR373" s="13" t="s">
        <v>643</v>
      </c>
      <c r="FS373" s="1" t="s">
        <v>643</v>
      </c>
      <c r="FT373" s="13">
        <v>182</v>
      </c>
      <c r="FU373" s="13"/>
      <c r="FV373" s="13">
        <v>182</v>
      </c>
      <c r="FW373" s="13">
        <v>182</v>
      </c>
      <c r="FX373" s="1">
        <v>182</v>
      </c>
      <c r="FY373" s="13" t="s">
        <v>642</v>
      </c>
      <c r="FZ373" s="13" t="s">
        <v>641</v>
      </c>
      <c r="GA373" s="1">
        <v>202</v>
      </c>
      <c r="GB373" s="1">
        <v>202</v>
      </c>
      <c r="GD373" s="1" t="s">
        <v>645</v>
      </c>
      <c r="GE373" s="1">
        <v>211</v>
      </c>
      <c r="GF373" s="1">
        <v>214</v>
      </c>
      <c r="GG373" s="1">
        <v>220</v>
      </c>
      <c r="GH373" s="1">
        <v>214</v>
      </c>
      <c r="GK373" s="1" t="s">
        <v>644</v>
      </c>
    </row>
    <row r="374" spans="1:193" ht="12.75" customHeight="1" x14ac:dyDescent="0.25">
      <c r="A374" s="1" t="s">
        <v>189</v>
      </c>
      <c r="D374" s="1" t="s">
        <v>583</v>
      </c>
      <c r="E374" s="1" t="s">
        <v>126</v>
      </c>
      <c r="F374" s="1">
        <v>1</v>
      </c>
      <c r="G374" s="1">
        <v>2035</v>
      </c>
      <c r="H374" s="1">
        <v>1</v>
      </c>
      <c r="I374" s="1">
        <v>1</v>
      </c>
      <c r="J374" s="1">
        <v>0</v>
      </c>
      <c r="K374" s="11">
        <v>15</v>
      </c>
      <c r="L374" s="11">
        <v>25</v>
      </c>
      <c r="M374" s="11">
        <v>35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9"/>
      <c r="BQ374" s="11">
        <v>22</v>
      </c>
      <c r="BR374" s="11">
        <v>35</v>
      </c>
      <c r="BS374" s="11">
        <v>48</v>
      </c>
      <c r="BT374" s="11">
        <f>Tabelle5897112140[[#This Row],[Mindestauslastung min]]*Tabelle5897112140[[#This Row],[installierte Leistung MW min]]</f>
        <v>0</v>
      </c>
      <c r="BU374" s="11">
        <f>Tabelle5897112140[[#This Row],[Mindestauslastung durch]]*Tabelle5897112140[[#This Row],[installierte Leistung MW durch]]</f>
        <v>0</v>
      </c>
      <c r="BV374" s="19">
        <f>Tabelle5897112140[[#This Row],[Mindestauslastung max]]*Tabelle5897112140[[#This Row],[installierte Leistung MW max]]</f>
        <v>0</v>
      </c>
      <c r="BW374" s="9">
        <v>0</v>
      </c>
      <c r="BX374" s="9"/>
      <c r="BY374" s="9">
        <v>0</v>
      </c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39">
        <v>0.35</v>
      </c>
      <c r="DC374" s="39">
        <v>0.4</v>
      </c>
      <c r="DD374" s="39">
        <v>0.45</v>
      </c>
      <c r="DE374" s="11">
        <f>Tabelle5897112140[[#This Row],[Durchschnittsauslastung min]]*Tabelle5897112140[[#This Row],[installierte Leistung MW min]]</f>
        <v>14</v>
      </c>
      <c r="DF374" s="11">
        <f>Tabelle5897112140[[#This Row],[Durchschnittsauslastung durch]]*Tabelle5897112140[[#This Row],[installierte Leistung MW durch]]</f>
        <v>23.6</v>
      </c>
      <c r="DG374" s="46">
        <f>Tabelle5897112140[[#This Row],[Durchschnittsauslastung max]]*Tabelle5897112140[[#This Row],[installierte Leistung MW max]]</f>
        <v>35.1</v>
      </c>
      <c r="DH374" s="46">
        <f>Tabelle5897112140[[#This Row],[Maximalauslastung min]]*Tabelle5897112140[[#This Row],[installierte Leistung MW min]]</f>
        <v>37.599999999999994</v>
      </c>
      <c r="DI374" s="46">
        <f>Tabelle5897112140[[#This Row],[Maximalauslastung durch]]*Tabelle5897112140[[#This Row],[installierte Leistung MW durch]]</f>
        <v>56.05</v>
      </c>
      <c r="DJ374" s="11">
        <f>Tabelle5897112140[[#This Row],[Maximalauslastung max]]*Tabelle5897112140[[#This Row],[installierte Leistung MW durch]]</f>
        <v>56.64</v>
      </c>
      <c r="DK374" s="9">
        <v>0.94</v>
      </c>
      <c r="DL374" s="9">
        <v>0.95</v>
      </c>
      <c r="DM374" s="9">
        <v>0.96</v>
      </c>
      <c r="DN374" s="11">
        <v>59</v>
      </c>
      <c r="DO374" s="11">
        <v>40</v>
      </c>
      <c r="DP374" s="11">
        <v>78</v>
      </c>
      <c r="DQ374" s="1">
        <v>2.8763888888888891E-2</v>
      </c>
      <c r="DR374" s="1">
        <v>0</v>
      </c>
      <c r="DS374" s="54">
        <v>8.3333333333333329E-2</v>
      </c>
      <c r="DT374" s="1">
        <v>2.8763888888888891E-2</v>
      </c>
      <c r="DU374" s="1">
        <v>0</v>
      </c>
      <c r="DV374" s="54">
        <v>8.3333333333333329E-2</v>
      </c>
      <c r="DW374" s="1">
        <v>6</v>
      </c>
      <c r="DX374" s="1">
        <v>4.8</v>
      </c>
      <c r="DY374" s="54">
        <v>7.2</v>
      </c>
      <c r="DZ374" s="1">
        <v>10.4</v>
      </c>
      <c r="EA374" s="1">
        <v>6.4</v>
      </c>
      <c r="EB374" s="54">
        <v>14.4</v>
      </c>
      <c r="EC374" s="1">
        <v>11</v>
      </c>
      <c r="ED374" s="1">
        <v>11</v>
      </c>
      <c r="EE374" s="54">
        <v>11</v>
      </c>
      <c r="EF374" s="1">
        <v>10.4</v>
      </c>
      <c r="EG374" s="1">
        <v>6.4</v>
      </c>
      <c r="EH374" s="54">
        <v>14.4</v>
      </c>
      <c r="EJ374" s="1" t="s">
        <v>646</v>
      </c>
      <c r="EL374" s="1">
        <v>600</v>
      </c>
      <c r="EM374" s="1">
        <v>450</v>
      </c>
      <c r="EN374" s="1">
        <v>750</v>
      </c>
      <c r="EO374" s="1">
        <v>0</v>
      </c>
      <c r="EP374" s="1">
        <v>0</v>
      </c>
      <c r="EQ374" s="1">
        <v>0</v>
      </c>
      <c r="ER374" s="1">
        <v>600</v>
      </c>
      <c r="ES374" s="1">
        <v>450</v>
      </c>
      <c r="ET374" s="1">
        <v>750</v>
      </c>
      <c r="EU374" s="1">
        <v>1.5151515151515151</v>
      </c>
      <c r="EV374" s="19">
        <v>0.50505050505050508</v>
      </c>
      <c r="EW374" s="19">
        <v>2.5252525252525251</v>
      </c>
      <c r="EX374" s="19">
        <v>121.21212121212122</v>
      </c>
      <c r="EY374" s="8">
        <v>70.707070707070713</v>
      </c>
      <c r="EZ374" s="8">
        <v>171.71717171717171</v>
      </c>
      <c r="FA374" s="8">
        <v>828.28282828282829</v>
      </c>
      <c r="FB374" s="8">
        <v>785.85858585858591</v>
      </c>
      <c r="FC374" s="8">
        <v>870.70707070707067</v>
      </c>
      <c r="FD374" s="8">
        <v>45.454545454545453</v>
      </c>
      <c r="FE374" s="8">
        <v>29.292929292929294</v>
      </c>
      <c r="FF374" s="8">
        <v>61.616161616161619</v>
      </c>
      <c r="FG374" s="8">
        <v>93.939393939393938</v>
      </c>
      <c r="FH374" s="8">
        <v>60.606060606060609</v>
      </c>
      <c r="FI374" s="8">
        <v>127.27272727272728</v>
      </c>
      <c r="FJ374" s="8">
        <v>19.292929292929294</v>
      </c>
      <c r="FK374" s="8">
        <v>16.262626262626263</v>
      </c>
      <c r="FL374" s="8">
        <v>22.323232323232325</v>
      </c>
      <c r="FO374" s="1">
        <v>220</v>
      </c>
      <c r="FP374" s="1">
        <v>220</v>
      </c>
      <c r="FR374" s="13" t="s">
        <v>643</v>
      </c>
      <c r="FS374" s="1" t="s">
        <v>643</v>
      </c>
      <c r="FT374" s="13">
        <v>182</v>
      </c>
      <c r="FU374" s="13"/>
      <c r="FV374" s="13">
        <v>182</v>
      </c>
      <c r="FW374" s="13">
        <v>182</v>
      </c>
      <c r="FX374" s="1">
        <v>182</v>
      </c>
      <c r="FY374" s="13" t="s">
        <v>642</v>
      </c>
      <c r="FZ374" s="13" t="s">
        <v>641</v>
      </c>
      <c r="GA374" s="1">
        <v>202</v>
      </c>
      <c r="GB374" s="1">
        <v>202</v>
      </c>
      <c r="GD374" s="1" t="s">
        <v>645</v>
      </c>
      <c r="GE374" s="1">
        <v>211</v>
      </c>
      <c r="GF374" s="1">
        <v>214</v>
      </c>
      <c r="GG374" s="1">
        <v>220</v>
      </c>
      <c r="GH374" s="1">
        <v>214</v>
      </c>
      <c r="GK374" s="1" t="s">
        <v>644</v>
      </c>
    </row>
    <row r="375" spans="1:193" ht="12.75" customHeight="1" x14ac:dyDescent="0.25">
      <c r="A375" s="1" t="s">
        <v>189</v>
      </c>
      <c r="D375" s="1" t="s">
        <v>583</v>
      </c>
      <c r="E375" s="1" t="s">
        <v>126</v>
      </c>
      <c r="F375" s="1">
        <v>1</v>
      </c>
      <c r="G375" s="1">
        <v>2040</v>
      </c>
      <c r="H375" s="1">
        <v>1</v>
      </c>
      <c r="I375" s="1">
        <v>1</v>
      </c>
      <c r="J375" s="1">
        <v>0</v>
      </c>
      <c r="K375" s="11">
        <v>15</v>
      </c>
      <c r="L375" s="11">
        <v>25</v>
      </c>
      <c r="M375" s="11">
        <v>35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9"/>
      <c r="BQ375" s="11">
        <v>22</v>
      </c>
      <c r="BR375" s="11">
        <v>35</v>
      </c>
      <c r="BS375" s="11">
        <v>48</v>
      </c>
      <c r="BT375" s="11">
        <f>Tabelle5897112140[[#This Row],[Mindestauslastung min]]*Tabelle5897112140[[#This Row],[installierte Leistung MW min]]</f>
        <v>0</v>
      </c>
      <c r="BU375" s="11">
        <f>Tabelle5897112140[[#This Row],[Mindestauslastung durch]]*Tabelle5897112140[[#This Row],[installierte Leistung MW durch]]</f>
        <v>0</v>
      </c>
      <c r="BV375" s="19">
        <f>Tabelle5897112140[[#This Row],[Mindestauslastung max]]*Tabelle5897112140[[#This Row],[installierte Leistung MW max]]</f>
        <v>0</v>
      </c>
      <c r="BW375" s="9">
        <v>0</v>
      </c>
      <c r="BX375" s="9"/>
      <c r="BY375" s="9">
        <v>0</v>
      </c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39">
        <v>0.35</v>
      </c>
      <c r="DC375" s="39">
        <v>0.4</v>
      </c>
      <c r="DD375" s="39">
        <v>0.45</v>
      </c>
      <c r="DE375" s="11">
        <f>Tabelle5897112140[[#This Row],[Durchschnittsauslastung min]]*Tabelle5897112140[[#This Row],[installierte Leistung MW min]]</f>
        <v>14</v>
      </c>
      <c r="DF375" s="11">
        <f>Tabelle5897112140[[#This Row],[Durchschnittsauslastung durch]]*Tabelle5897112140[[#This Row],[installierte Leistung MW durch]]</f>
        <v>23.6</v>
      </c>
      <c r="DG375" s="46">
        <f>Tabelle5897112140[[#This Row],[Durchschnittsauslastung max]]*Tabelle5897112140[[#This Row],[installierte Leistung MW max]]</f>
        <v>35.1</v>
      </c>
      <c r="DH375" s="46">
        <f>Tabelle5897112140[[#This Row],[Maximalauslastung min]]*Tabelle5897112140[[#This Row],[installierte Leistung MW min]]</f>
        <v>37.599999999999994</v>
      </c>
      <c r="DI375" s="46">
        <f>Tabelle5897112140[[#This Row],[Maximalauslastung durch]]*Tabelle5897112140[[#This Row],[installierte Leistung MW durch]]</f>
        <v>56.05</v>
      </c>
      <c r="DJ375" s="11">
        <f>Tabelle5897112140[[#This Row],[Maximalauslastung max]]*Tabelle5897112140[[#This Row],[installierte Leistung MW durch]]</f>
        <v>56.64</v>
      </c>
      <c r="DK375" s="9">
        <v>0.94</v>
      </c>
      <c r="DL375" s="9">
        <v>0.95</v>
      </c>
      <c r="DM375" s="9">
        <v>0.96</v>
      </c>
      <c r="DN375" s="11">
        <v>59</v>
      </c>
      <c r="DO375" s="11">
        <v>40</v>
      </c>
      <c r="DP375" s="11">
        <v>78</v>
      </c>
      <c r="DQ375" s="1">
        <v>2.8763888888888891E-2</v>
      </c>
      <c r="DR375" s="1">
        <v>0</v>
      </c>
      <c r="DS375" s="54">
        <v>8.3333333333333329E-2</v>
      </c>
      <c r="DT375" s="1">
        <v>2.8763888888888891E-2</v>
      </c>
      <c r="DU375" s="1">
        <v>0</v>
      </c>
      <c r="DV375" s="54">
        <v>8.3333333333333329E-2</v>
      </c>
      <c r="DW375" s="1">
        <v>6</v>
      </c>
      <c r="DX375" s="1">
        <v>4.8</v>
      </c>
      <c r="DY375" s="54">
        <v>7.2</v>
      </c>
      <c r="DZ375" s="1">
        <v>10.4</v>
      </c>
      <c r="EA375" s="1">
        <v>6.4</v>
      </c>
      <c r="EB375" s="54">
        <v>14.4</v>
      </c>
      <c r="EC375" s="1">
        <v>11</v>
      </c>
      <c r="ED375" s="1">
        <v>11</v>
      </c>
      <c r="EE375" s="54">
        <v>11</v>
      </c>
      <c r="EF375" s="1">
        <v>10.4</v>
      </c>
      <c r="EG375" s="1">
        <v>6.4</v>
      </c>
      <c r="EH375" s="54">
        <v>14.4</v>
      </c>
      <c r="EJ375" s="1" t="s">
        <v>646</v>
      </c>
      <c r="EL375" s="1">
        <v>365</v>
      </c>
      <c r="EM375" s="1">
        <v>328</v>
      </c>
      <c r="EN375" s="1">
        <v>402</v>
      </c>
      <c r="EO375" s="1">
        <v>0</v>
      </c>
      <c r="EP375" s="1">
        <v>0</v>
      </c>
      <c r="EQ375" s="1">
        <v>0</v>
      </c>
      <c r="ER375" s="1">
        <v>600</v>
      </c>
      <c r="ES375" s="1">
        <v>450</v>
      </c>
      <c r="ET375" s="1">
        <v>750</v>
      </c>
      <c r="EU375" s="1">
        <v>1.5151515151515151</v>
      </c>
      <c r="EV375" s="19">
        <v>0.50505050505050508</v>
      </c>
      <c r="EW375" s="19">
        <v>2.5252525252525251</v>
      </c>
      <c r="EX375" s="19">
        <v>121.21212121212122</v>
      </c>
      <c r="EY375" s="8">
        <v>70.707070707070713</v>
      </c>
      <c r="EZ375" s="8">
        <v>171.71717171717171</v>
      </c>
      <c r="FA375" s="8">
        <v>828.28282828282829</v>
      </c>
      <c r="FB375" s="8">
        <v>785.85858585858591</v>
      </c>
      <c r="FC375" s="8">
        <v>870.70707070707067</v>
      </c>
      <c r="FD375" s="8">
        <v>45.454545454545453</v>
      </c>
      <c r="FE375" s="8">
        <v>29.292929292929294</v>
      </c>
      <c r="FF375" s="8">
        <v>61.616161616161619</v>
      </c>
      <c r="FG375" s="8">
        <v>93.939393939393938</v>
      </c>
      <c r="FH375" s="8">
        <v>60.606060606060609</v>
      </c>
      <c r="FI375" s="8">
        <v>127.27272727272728</v>
      </c>
      <c r="FJ375" s="8">
        <v>19.292929292929294</v>
      </c>
      <c r="FK375" s="8">
        <v>16.262626262626263</v>
      </c>
      <c r="FL375" s="8">
        <v>22.323232323232325</v>
      </c>
      <c r="FO375" s="1">
        <v>220</v>
      </c>
      <c r="FP375" s="1">
        <v>220</v>
      </c>
      <c r="FR375" s="13" t="s">
        <v>643</v>
      </c>
      <c r="FS375" s="1" t="s">
        <v>643</v>
      </c>
      <c r="FT375" s="13">
        <v>182</v>
      </c>
      <c r="FU375" s="13"/>
      <c r="FV375" s="13">
        <v>182</v>
      </c>
      <c r="FW375" s="13">
        <v>182</v>
      </c>
      <c r="FX375" s="1">
        <v>182</v>
      </c>
      <c r="FY375" s="13" t="s">
        <v>642</v>
      </c>
      <c r="FZ375" s="13" t="s">
        <v>641</v>
      </c>
      <c r="GA375" s="1">
        <v>202</v>
      </c>
      <c r="GB375" s="1">
        <v>202</v>
      </c>
      <c r="GD375" s="1" t="s">
        <v>645</v>
      </c>
      <c r="GE375" s="1">
        <v>211</v>
      </c>
      <c r="GF375" s="1">
        <v>214</v>
      </c>
      <c r="GG375" s="1">
        <v>220</v>
      </c>
      <c r="GH375" s="1">
        <v>214</v>
      </c>
      <c r="GK375" s="1" t="s">
        <v>644</v>
      </c>
    </row>
    <row r="376" spans="1:193" ht="12.75" customHeight="1" x14ac:dyDescent="0.25">
      <c r="A376" s="1" t="s">
        <v>189</v>
      </c>
      <c r="D376" s="1" t="s">
        <v>583</v>
      </c>
      <c r="E376" s="1" t="s">
        <v>126</v>
      </c>
      <c r="F376" s="1">
        <v>1</v>
      </c>
      <c r="G376" s="1">
        <v>2045</v>
      </c>
      <c r="H376" s="1">
        <v>1</v>
      </c>
      <c r="I376" s="1">
        <v>1</v>
      </c>
      <c r="J376" s="1">
        <v>0</v>
      </c>
      <c r="K376" s="11">
        <v>15</v>
      </c>
      <c r="L376" s="11">
        <v>25</v>
      </c>
      <c r="M376" s="11">
        <v>35</v>
      </c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9"/>
      <c r="BQ376" s="11">
        <v>22</v>
      </c>
      <c r="BR376" s="11">
        <v>35</v>
      </c>
      <c r="BS376" s="11">
        <v>48</v>
      </c>
      <c r="BT376" s="11">
        <f>Tabelle5897112140[[#This Row],[Mindestauslastung min]]*Tabelle5897112140[[#This Row],[installierte Leistung MW min]]</f>
        <v>0</v>
      </c>
      <c r="BU376" s="11">
        <f>Tabelle5897112140[[#This Row],[Mindestauslastung durch]]*Tabelle5897112140[[#This Row],[installierte Leistung MW durch]]</f>
        <v>0</v>
      </c>
      <c r="BV376" s="19">
        <f>Tabelle5897112140[[#This Row],[Mindestauslastung max]]*Tabelle5897112140[[#This Row],[installierte Leistung MW max]]</f>
        <v>0</v>
      </c>
      <c r="BW376" s="9">
        <v>0</v>
      </c>
      <c r="BX376" s="9"/>
      <c r="BY376" s="9">
        <v>0</v>
      </c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39">
        <v>0.35</v>
      </c>
      <c r="DC376" s="39">
        <v>0.4</v>
      </c>
      <c r="DD376" s="39">
        <v>0.45</v>
      </c>
      <c r="DE376" s="11">
        <f>Tabelle5897112140[[#This Row],[Durchschnittsauslastung min]]*Tabelle5897112140[[#This Row],[installierte Leistung MW min]]</f>
        <v>14</v>
      </c>
      <c r="DF376" s="11">
        <f>Tabelle5897112140[[#This Row],[Durchschnittsauslastung durch]]*Tabelle5897112140[[#This Row],[installierte Leistung MW durch]]</f>
        <v>23.6</v>
      </c>
      <c r="DG376" s="46">
        <f>Tabelle5897112140[[#This Row],[Durchschnittsauslastung max]]*Tabelle5897112140[[#This Row],[installierte Leistung MW max]]</f>
        <v>35.1</v>
      </c>
      <c r="DH376" s="46">
        <f>Tabelle5897112140[[#This Row],[Maximalauslastung min]]*Tabelle5897112140[[#This Row],[installierte Leistung MW min]]</f>
        <v>37.599999999999994</v>
      </c>
      <c r="DI376" s="46">
        <f>Tabelle5897112140[[#This Row],[Maximalauslastung durch]]*Tabelle5897112140[[#This Row],[installierte Leistung MW durch]]</f>
        <v>56.05</v>
      </c>
      <c r="DJ376" s="11">
        <f>Tabelle5897112140[[#This Row],[Maximalauslastung max]]*Tabelle5897112140[[#This Row],[installierte Leistung MW durch]]</f>
        <v>56.64</v>
      </c>
      <c r="DK376" s="9">
        <v>0.94</v>
      </c>
      <c r="DL376" s="9">
        <v>0.95</v>
      </c>
      <c r="DM376" s="9">
        <v>0.96</v>
      </c>
      <c r="DN376" s="11">
        <v>59</v>
      </c>
      <c r="DO376" s="11">
        <v>40</v>
      </c>
      <c r="DP376" s="11">
        <v>78</v>
      </c>
      <c r="DQ376" s="1">
        <v>2.8763888888888891E-2</v>
      </c>
      <c r="DR376" s="1">
        <v>0</v>
      </c>
      <c r="DS376" s="54">
        <v>8.3333333333333329E-2</v>
      </c>
      <c r="DT376" s="1">
        <v>2.8763888888888891E-2</v>
      </c>
      <c r="DU376" s="1">
        <v>0</v>
      </c>
      <c r="DV376" s="54">
        <v>8.3333333333333329E-2</v>
      </c>
      <c r="DW376" s="1">
        <v>6</v>
      </c>
      <c r="DX376" s="1">
        <v>4.8</v>
      </c>
      <c r="DY376" s="54">
        <v>7.2</v>
      </c>
      <c r="DZ376" s="1">
        <v>10.4</v>
      </c>
      <c r="EA376" s="1">
        <v>6.4</v>
      </c>
      <c r="EB376" s="54">
        <v>14.4</v>
      </c>
      <c r="EC376" s="1">
        <v>11</v>
      </c>
      <c r="ED376" s="1">
        <v>11</v>
      </c>
      <c r="EE376" s="54">
        <v>11</v>
      </c>
      <c r="EF376" s="1">
        <v>10.4</v>
      </c>
      <c r="EG376" s="1">
        <v>6.4</v>
      </c>
      <c r="EH376" s="54">
        <v>14.4</v>
      </c>
      <c r="EJ376" s="1" t="s">
        <v>646</v>
      </c>
      <c r="EL376" s="1">
        <v>639</v>
      </c>
      <c r="EM376" s="1">
        <v>575</v>
      </c>
      <c r="EN376" s="1">
        <v>703</v>
      </c>
      <c r="EO376" s="1">
        <v>0</v>
      </c>
      <c r="EP376" s="1">
        <v>0</v>
      </c>
      <c r="EQ376" s="1">
        <v>0</v>
      </c>
      <c r="ER376" s="1">
        <v>600</v>
      </c>
      <c r="ES376" s="1">
        <v>450</v>
      </c>
      <c r="ET376" s="1">
        <v>750</v>
      </c>
      <c r="EU376" s="1">
        <v>1.5151515151515151</v>
      </c>
      <c r="EV376" s="19">
        <v>0.50505050505050508</v>
      </c>
      <c r="EW376" s="19">
        <v>2.5252525252525251</v>
      </c>
      <c r="EX376" s="19">
        <v>121.21212121212122</v>
      </c>
      <c r="EY376" s="8">
        <v>70.707070707070713</v>
      </c>
      <c r="EZ376" s="8">
        <v>171.71717171717171</v>
      </c>
      <c r="FA376" s="8">
        <v>828.28282828282829</v>
      </c>
      <c r="FB376" s="8">
        <v>785.85858585858591</v>
      </c>
      <c r="FC376" s="8">
        <v>870.70707070707067</v>
      </c>
      <c r="FD376" s="8">
        <v>45.454545454545453</v>
      </c>
      <c r="FE376" s="8">
        <v>29.292929292929294</v>
      </c>
      <c r="FF376" s="8">
        <v>61.616161616161619</v>
      </c>
      <c r="FG376" s="8">
        <v>93.939393939393938</v>
      </c>
      <c r="FH376" s="8">
        <v>60.606060606060609</v>
      </c>
      <c r="FI376" s="8">
        <v>127.27272727272728</v>
      </c>
      <c r="FJ376" s="8">
        <v>19.292929292929294</v>
      </c>
      <c r="FK376" s="8">
        <v>16.262626262626263</v>
      </c>
      <c r="FL376" s="8">
        <v>22.323232323232325</v>
      </c>
      <c r="FO376" s="1">
        <v>220</v>
      </c>
      <c r="FP376" s="1">
        <v>220</v>
      </c>
      <c r="FR376" s="13" t="s">
        <v>643</v>
      </c>
      <c r="FS376" s="1" t="s">
        <v>643</v>
      </c>
      <c r="FT376" s="13">
        <v>182</v>
      </c>
      <c r="FU376" s="13"/>
      <c r="FV376" s="13">
        <v>182</v>
      </c>
      <c r="FW376" s="13">
        <v>182</v>
      </c>
      <c r="FX376" s="1">
        <v>182</v>
      </c>
      <c r="FY376" s="13" t="s">
        <v>642</v>
      </c>
      <c r="FZ376" s="13" t="s">
        <v>641</v>
      </c>
      <c r="GA376" s="1">
        <v>202</v>
      </c>
      <c r="GB376" s="1">
        <v>202</v>
      </c>
      <c r="GD376" s="1" t="s">
        <v>645</v>
      </c>
      <c r="GE376" s="1">
        <v>211</v>
      </c>
      <c r="GF376" s="1">
        <v>214</v>
      </c>
      <c r="GG376" s="1">
        <v>220</v>
      </c>
      <c r="GH376" s="1">
        <v>214</v>
      </c>
      <c r="GK376" s="1" t="s">
        <v>644</v>
      </c>
    </row>
    <row r="377" spans="1:193" ht="12.75" customHeight="1" x14ac:dyDescent="0.25">
      <c r="A377" s="1" t="s">
        <v>189</v>
      </c>
      <c r="D377" s="1" t="s">
        <v>583</v>
      </c>
      <c r="E377" s="1" t="s">
        <v>126</v>
      </c>
      <c r="F377" s="1">
        <v>1</v>
      </c>
      <c r="G377" s="1">
        <v>2050</v>
      </c>
      <c r="H377" s="1">
        <v>1</v>
      </c>
      <c r="I377" s="1">
        <v>1</v>
      </c>
      <c r="J377" s="1">
        <v>0</v>
      </c>
      <c r="K377" s="11">
        <v>15</v>
      </c>
      <c r="L377" s="11">
        <v>25</v>
      </c>
      <c r="M377" s="11">
        <v>35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9"/>
      <c r="BQ377" s="11">
        <v>22</v>
      </c>
      <c r="BR377" s="11">
        <v>35</v>
      </c>
      <c r="BS377" s="11">
        <v>48</v>
      </c>
      <c r="BT377" s="11">
        <f>Tabelle5897112140[[#This Row],[Mindestauslastung min]]*Tabelle5897112140[[#This Row],[installierte Leistung MW min]]</f>
        <v>0</v>
      </c>
      <c r="BU377" s="11">
        <f>Tabelle5897112140[[#This Row],[Mindestauslastung durch]]*Tabelle5897112140[[#This Row],[installierte Leistung MW durch]]</f>
        <v>0</v>
      </c>
      <c r="BV377" s="19">
        <f>Tabelle5897112140[[#This Row],[Mindestauslastung max]]*Tabelle5897112140[[#This Row],[installierte Leistung MW max]]</f>
        <v>0</v>
      </c>
      <c r="BW377" s="9">
        <v>0</v>
      </c>
      <c r="BX377" s="9"/>
      <c r="BY377" s="9">
        <v>0</v>
      </c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39">
        <v>0.35</v>
      </c>
      <c r="DC377" s="39">
        <v>0.4</v>
      </c>
      <c r="DD377" s="39">
        <v>0.45</v>
      </c>
      <c r="DE377" s="11">
        <f>Tabelle5897112140[[#This Row],[Durchschnittsauslastung min]]*Tabelle5897112140[[#This Row],[installierte Leistung MW min]]</f>
        <v>14</v>
      </c>
      <c r="DF377" s="11">
        <f>Tabelle5897112140[[#This Row],[Durchschnittsauslastung durch]]*Tabelle5897112140[[#This Row],[installierte Leistung MW durch]]</f>
        <v>23.6</v>
      </c>
      <c r="DG377" s="46">
        <f>Tabelle5897112140[[#This Row],[Durchschnittsauslastung max]]*Tabelle5897112140[[#This Row],[installierte Leistung MW max]]</f>
        <v>35.1</v>
      </c>
      <c r="DH377" s="46">
        <f>Tabelle5897112140[[#This Row],[Maximalauslastung min]]*Tabelle5897112140[[#This Row],[installierte Leistung MW min]]</f>
        <v>37.599999999999994</v>
      </c>
      <c r="DI377" s="46">
        <f>Tabelle5897112140[[#This Row],[Maximalauslastung durch]]*Tabelle5897112140[[#This Row],[installierte Leistung MW durch]]</f>
        <v>56.05</v>
      </c>
      <c r="DJ377" s="11">
        <f>Tabelle5897112140[[#This Row],[Maximalauslastung max]]*Tabelle5897112140[[#This Row],[installierte Leistung MW durch]]</f>
        <v>56.64</v>
      </c>
      <c r="DK377" s="9">
        <v>0.94</v>
      </c>
      <c r="DL377" s="9">
        <v>0.95</v>
      </c>
      <c r="DM377" s="9">
        <v>0.96</v>
      </c>
      <c r="DN377" s="11">
        <v>59</v>
      </c>
      <c r="DO377" s="11">
        <v>40</v>
      </c>
      <c r="DP377" s="11">
        <v>78</v>
      </c>
      <c r="DQ377" s="1">
        <v>2.8763888888888891E-2</v>
      </c>
      <c r="DR377" s="1">
        <v>0</v>
      </c>
      <c r="DS377" s="54">
        <v>8.3333333333333329E-2</v>
      </c>
      <c r="DT377" s="1">
        <v>2.8763888888888891E-2</v>
      </c>
      <c r="DU377" s="1">
        <v>0</v>
      </c>
      <c r="DV377" s="54">
        <v>8.3333333333333329E-2</v>
      </c>
      <c r="DW377" s="1">
        <v>6</v>
      </c>
      <c r="DX377" s="1">
        <v>4.8</v>
      </c>
      <c r="DY377" s="54">
        <v>7.2</v>
      </c>
      <c r="DZ377" s="1">
        <v>10.4</v>
      </c>
      <c r="EA377" s="1">
        <v>6.4</v>
      </c>
      <c r="EB377" s="54">
        <v>14.4</v>
      </c>
      <c r="EC377" s="1">
        <v>11</v>
      </c>
      <c r="ED377" s="1">
        <v>11</v>
      </c>
      <c r="EE377" s="54">
        <v>11</v>
      </c>
      <c r="EF377" s="1">
        <v>10.4</v>
      </c>
      <c r="EG377" s="1">
        <v>6.4</v>
      </c>
      <c r="EH377" s="54">
        <v>14.4</v>
      </c>
      <c r="EJ377" s="1" t="s">
        <v>646</v>
      </c>
      <c r="EL377" s="1">
        <v>365</v>
      </c>
      <c r="EM377" s="1">
        <v>328</v>
      </c>
      <c r="EN377" s="1">
        <v>402</v>
      </c>
      <c r="EO377" s="1">
        <v>0</v>
      </c>
      <c r="EP377" s="1">
        <v>0</v>
      </c>
      <c r="EQ377" s="1">
        <v>0</v>
      </c>
      <c r="ER377" s="1">
        <v>600</v>
      </c>
      <c r="ES377" s="1">
        <v>450</v>
      </c>
      <c r="ET377" s="1">
        <v>750</v>
      </c>
      <c r="EU377" s="1">
        <v>1.5151515151515151</v>
      </c>
      <c r="EV377" s="19">
        <v>0.50505050505050508</v>
      </c>
      <c r="EW377" s="19">
        <v>2.5252525252525251</v>
      </c>
      <c r="EX377" s="19">
        <v>121.21212121212122</v>
      </c>
      <c r="EY377" s="8">
        <v>70.707070707070713</v>
      </c>
      <c r="EZ377" s="8">
        <v>171.71717171717171</v>
      </c>
      <c r="FA377" s="8">
        <v>828.28282828282829</v>
      </c>
      <c r="FB377" s="8">
        <v>785.85858585858591</v>
      </c>
      <c r="FC377" s="8">
        <v>870.70707070707067</v>
      </c>
      <c r="FD377" s="8">
        <v>45.454545454545453</v>
      </c>
      <c r="FE377" s="8">
        <v>29.292929292929294</v>
      </c>
      <c r="FF377" s="8">
        <v>61.616161616161619</v>
      </c>
      <c r="FG377" s="8">
        <v>93.939393939393938</v>
      </c>
      <c r="FH377" s="8">
        <v>60.606060606060609</v>
      </c>
      <c r="FI377" s="8">
        <v>127.27272727272728</v>
      </c>
      <c r="FJ377" s="8">
        <v>19.292929292929294</v>
      </c>
      <c r="FK377" s="8">
        <v>16.262626262626263</v>
      </c>
      <c r="FL377" s="8">
        <v>22.323232323232325</v>
      </c>
      <c r="FO377" s="1">
        <v>220</v>
      </c>
      <c r="FP377" s="1">
        <v>220</v>
      </c>
      <c r="FR377" s="13" t="s">
        <v>643</v>
      </c>
      <c r="FS377" s="1" t="s">
        <v>643</v>
      </c>
      <c r="FT377" s="13">
        <v>182</v>
      </c>
      <c r="FU377" s="13"/>
      <c r="FV377" s="13">
        <v>182</v>
      </c>
      <c r="FW377" s="13">
        <v>182</v>
      </c>
      <c r="FX377" s="1">
        <v>182</v>
      </c>
      <c r="FY377" s="13" t="s">
        <v>642</v>
      </c>
      <c r="FZ377" s="13" t="s">
        <v>641</v>
      </c>
      <c r="GA377" s="1">
        <v>202</v>
      </c>
      <c r="GB377" s="1">
        <v>202</v>
      </c>
      <c r="GD377" s="1" t="s">
        <v>645</v>
      </c>
      <c r="GE377" s="1">
        <v>211</v>
      </c>
      <c r="GF377" s="1">
        <v>214</v>
      </c>
      <c r="GG377" s="1">
        <v>220</v>
      </c>
      <c r="GH377" s="1">
        <v>214</v>
      </c>
      <c r="GK377" s="1" t="s">
        <v>644</v>
      </c>
    </row>
    <row r="378" spans="1:193" ht="12.75" customHeight="1" x14ac:dyDescent="0.25">
      <c r="A378" s="1" t="s">
        <v>571</v>
      </c>
      <c r="D378" s="1" t="s">
        <v>578</v>
      </c>
      <c r="E378" s="1" t="s">
        <v>126</v>
      </c>
      <c r="F378" s="1">
        <v>1</v>
      </c>
      <c r="G378" s="1">
        <v>2015</v>
      </c>
      <c r="H378" s="1">
        <v>1</v>
      </c>
      <c r="I378" s="1">
        <v>1</v>
      </c>
      <c r="J378" s="1">
        <v>0</v>
      </c>
      <c r="K378" s="11">
        <v>29</v>
      </c>
      <c r="L378" s="11">
        <v>115</v>
      </c>
      <c r="M378" s="11">
        <v>201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9"/>
      <c r="BQ378" s="11">
        <v>3</v>
      </c>
      <c r="BR378" s="11">
        <v>25</v>
      </c>
      <c r="BS378" s="11">
        <v>47</v>
      </c>
      <c r="BT378" s="11">
        <f>Tabelle5897112140[[#This Row],[Mindestauslastung min]]*Tabelle5897112140[[#This Row],[installierte Leistung MW min]]</f>
        <v>0</v>
      </c>
      <c r="BU378" s="11">
        <f>Tabelle5897112140[[#This Row],[Mindestauslastung durch]]*Tabelle5897112140[[#This Row],[installierte Leistung MW durch]]</f>
        <v>0</v>
      </c>
      <c r="BV378" s="19">
        <f>Tabelle5897112140[[#This Row],[Mindestauslastung max]]*Tabelle5897112140[[#This Row],[installierte Leistung MW max]]</f>
        <v>0</v>
      </c>
      <c r="BW378" s="9">
        <v>0</v>
      </c>
      <c r="BX378" s="9">
        <v>0</v>
      </c>
      <c r="BY378" s="9">
        <v>0</v>
      </c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39">
        <v>0.7</v>
      </c>
      <c r="DC378" s="39">
        <v>0.78</v>
      </c>
      <c r="DD378" s="39">
        <v>0.86</v>
      </c>
      <c r="DE378" s="11">
        <f>Tabelle5897112140[[#This Row],[Durchschnittsauslastung min]]*Tabelle5897112140[[#This Row],[installierte Leistung MW min]]</f>
        <v>22.4</v>
      </c>
      <c r="DF378" s="11">
        <f>Tabelle5897112140[[#This Row],[Durchschnittsauslastung durch]]*Tabelle5897112140[[#This Row],[installierte Leistung MW durch]]</f>
        <v>106.08</v>
      </c>
      <c r="DG378" s="46">
        <f>Tabelle5897112140[[#This Row],[Durchschnittsauslastung max]]*Tabelle5897112140[[#This Row],[installierte Leistung MW max]]</f>
        <v>206.4</v>
      </c>
      <c r="DH378" s="46">
        <f>Tabelle5897112140[[#This Row],[Maximalauslastung min]]*Tabelle5897112140[[#This Row],[installierte Leistung MW min]]</f>
        <v>30.08</v>
      </c>
      <c r="DI378" s="46">
        <f>Tabelle5897112140[[#This Row],[Maximalauslastung durch]]*Tabelle5897112140[[#This Row],[installierte Leistung MW durch]]</f>
        <v>129.19999999999999</v>
      </c>
      <c r="DJ378" s="11">
        <f>Tabelle5897112140[[#This Row],[Maximalauslastung max]]*Tabelle5897112140[[#This Row],[installierte Leistung MW durch]]</f>
        <v>130.56</v>
      </c>
      <c r="DK378" s="9">
        <v>0.94</v>
      </c>
      <c r="DL378" s="9">
        <v>0.95</v>
      </c>
      <c r="DM378" s="9">
        <v>0.96</v>
      </c>
      <c r="DN378" s="11">
        <v>136</v>
      </c>
      <c r="DO378" s="11">
        <v>32</v>
      </c>
      <c r="DP378" s="11">
        <v>240</v>
      </c>
      <c r="DQ378" s="1">
        <v>0.16666666666666663</v>
      </c>
      <c r="DR378" s="1">
        <v>8.3333333333333329E-2</v>
      </c>
      <c r="DS378" s="54">
        <v>0.25</v>
      </c>
      <c r="DT378" s="1">
        <v>0.16666666666666663</v>
      </c>
      <c r="DU378" s="1">
        <v>8.3333333333333329E-2</v>
      </c>
      <c r="DV378" s="54">
        <v>0.25</v>
      </c>
      <c r="DW378" s="1">
        <v>2</v>
      </c>
      <c r="DX378" s="1">
        <v>1.6</v>
      </c>
      <c r="DY378" s="54">
        <v>2.4</v>
      </c>
      <c r="DZ378" s="1">
        <v>4.9000000000000004</v>
      </c>
      <c r="EA378" s="1">
        <v>3.3000000000000003</v>
      </c>
      <c r="EB378" s="54">
        <v>6.5</v>
      </c>
      <c r="EC378" s="1">
        <v>6</v>
      </c>
      <c r="ED378" s="1">
        <v>6</v>
      </c>
      <c r="EE378" s="54">
        <v>6</v>
      </c>
      <c r="EF378" s="1">
        <v>4.9000000000000004</v>
      </c>
      <c r="EG378" s="1">
        <v>3.3000000000000003</v>
      </c>
      <c r="EH378" s="54">
        <v>6.5</v>
      </c>
      <c r="EJ378" s="1" t="s">
        <v>646</v>
      </c>
      <c r="EL378" s="1">
        <v>50</v>
      </c>
      <c r="EM378" s="1">
        <v>20</v>
      </c>
      <c r="EN378" s="1">
        <v>80.000000000000014</v>
      </c>
      <c r="EO378" s="1">
        <v>0</v>
      </c>
      <c r="EP378" s="1">
        <v>0</v>
      </c>
      <c r="EQ378" s="1">
        <v>0</v>
      </c>
      <c r="ER378" s="1">
        <v>50</v>
      </c>
      <c r="ES378" s="1">
        <v>20</v>
      </c>
      <c r="ET378" s="1">
        <v>80.000000000000014</v>
      </c>
      <c r="EU378" s="1">
        <v>82.828282828282823</v>
      </c>
      <c r="EV378" s="19">
        <v>77.777777777777771</v>
      </c>
      <c r="EW378" s="19">
        <v>87.878787878787875</v>
      </c>
      <c r="EX378" s="19">
        <v>272.72727272727275</v>
      </c>
      <c r="EY378" s="8">
        <v>121.21212121212122</v>
      </c>
      <c r="EZ378" s="8">
        <v>424.24242424242425</v>
      </c>
      <c r="FA378" s="8">
        <v>1262.0840760546641</v>
      </c>
      <c r="FB378" s="8">
        <v>1410.0378787878788</v>
      </c>
      <c r="FC378" s="8">
        <v>1331.7508417508418</v>
      </c>
      <c r="FD378" s="8">
        <v>30.303030303030305</v>
      </c>
      <c r="FE378" s="8">
        <v>0</v>
      </c>
      <c r="FF378" s="8">
        <v>60.606060606060609</v>
      </c>
      <c r="FG378" s="8">
        <v>101.01010101010101</v>
      </c>
      <c r="FH378" s="8">
        <v>50.505050505050505</v>
      </c>
      <c r="FI378" s="8">
        <v>151.51515151515153</v>
      </c>
      <c r="FJ378" s="8">
        <v>204.04040404040404</v>
      </c>
      <c r="FK378" s="8">
        <v>193.93939393939394</v>
      </c>
      <c r="FL378" s="8">
        <v>214.14141414141415</v>
      </c>
      <c r="FO378" s="1">
        <v>220</v>
      </c>
      <c r="FP378" s="1">
        <v>220</v>
      </c>
      <c r="FR378" s="13" t="s">
        <v>643</v>
      </c>
      <c r="FS378" s="1" t="s">
        <v>643</v>
      </c>
      <c r="FT378" s="13">
        <v>182</v>
      </c>
      <c r="FU378" s="13"/>
      <c r="FV378" s="13">
        <v>182</v>
      </c>
      <c r="FW378" s="13">
        <v>182</v>
      </c>
      <c r="FX378" s="1">
        <v>182</v>
      </c>
      <c r="FY378" s="13" t="s">
        <v>642</v>
      </c>
      <c r="FZ378" s="13" t="s">
        <v>641</v>
      </c>
      <c r="GA378" s="1">
        <v>202</v>
      </c>
      <c r="GB378" s="1">
        <v>202</v>
      </c>
      <c r="GD378" s="1" t="s">
        <v>645</v>
      </c>
      <c r="GE378" s="1">
        <v>211</v>
      </c>
      <c r="GF378" s="1">
        <v>214</v>
      </c>
      <c r="GG378" s="1">
        <v>220</v>
      </c>
      <c r="GH378" s="1">
        <v>214</v>
      </c>
      <c r="GK378" s="1" t="s">
        <v>644</v>
      </c>
    </row>
    <row r="379" spans="1:193" ht="12.75" customHeight="1" x14ac:dyDescent="0.25">
      <c r="A379" s="1" t="s">
        <v>571</v>
      </c>
      <c r="D379" s="1" t="s">
        <v>578</v>
      </c>
      <c r="E379" s="1" t="s">
        <v>126</v>
      </c>
      <c r="F379" s="1">
        <v>1</v>
      </c>
      <c r="G379" s="1">
        <v>2020</v>
      </c>
      <c r="H379" s="1">
        <v>1</v>
      </c>
      <c r="I379" s="1">
        <v>1</v>
      </c>
      <c r="J379" s="1">
        <v>0</v>
      </c>
      <c r="K379" s="11">
        <v>29</v>
      </c>
      <c r="L379" s="11">
        <v>115</v>
      </c>
      <c r="M379" s="11">
        <v>201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9"/>
      <c r="BQ379" s="11">
        <v>3</v>
      </c>
      <c r="BR379" s="11">
        <v>25</v>
      </c>
      <c r="BS379" s="11">
        <v>47</v>
      </c>
      <c r="BT379" s="11">
        <f>Tabelle5897112140[[#This Row],[Mindestauslastung min]]*Tabelle5897112140[[#This Row],[installierte Leistung MW min]]</f>
        <v>0</v>
      </c>
      <c r="BU379" s="11">
        <f>Tabelle5897112140[[#This Row],[Mindestauslastung durch]]*Tabelle5897112140[[#This Row],[installierte Leistung MW durch]]</f>
        <v>0</v>
      </c>
      <c r="BV379" s="19">
        <f>Tabelle5897112140[[#This Row],[Mindestauslastung max]]*Tabelle5897112140[[#This Row],[installierte Leistung MW max]]</f>
        <v>0</v>
      </c>
      <c r="BW379" s="9">
        <v>0</v>
      </c>
      <c r="BX379" s="9">
        <v>0</v>
      </c>
      <c r="BY379" s="9">
        <v>0</v>
      </c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39">
        <v>0.7</v>
      </c>
      <c r="DC379" s="39">
        <v>0.78</v>
      </c>
      <c r="DD379" s="39">
        <v>0.86</v>
      </c>
      <c r="DE379" s="11">
        <f>Tabelle5897112140[[#This Row],[Durchschnittsauslastung min]]*Tabelle5897112140[[#This Row],[installierte Leistung MW min]]</f>
        <v>22.4</v>
      </c>
      <c r="DF379" s="11">
        <f>Tabelle5897112140[[#This Row],[Durchschnittsauslastung durch]]*Tabelle5897112140[[#This Row],[installierte Leistung MW durch]]</f>
        <v>106.08</v>
      </c>
      <c r="DG379" s="46">
        <f>Tabelle5897112140[[#This Row],[Durchschnittsauslastung max]]*Tabelle5897112140[[#This Row],[installierte Leistung MW max]]</f>
        <v>206.4</v>
      </c>
      <c r="DH379" s="46">
        <f>Tabelle5897112140[[#This Row],[Maximalauslastung min]]*Tabelle5897112140[[#This Row],[installierte Leistung MW min]]</f>
        <v>30.08</v>
      </c>
      <c r="DI379" s="46">
        <f>Tabelle5897112140[[#This Row],[Maximalauslastung durch]]*Tabelle5897112140[[#This Row],[installierte Leistung MW durch]]</f>
        <v>129.19999999999999</v>
      </c>
      <c r="DJ379" s="11">
        <f>Tabelle5897112140[[#This Row],[Maximalauslastung max]]*Tabelle5897112140[[#This Row],[installierte Leistung MW durch]]</f>
        <v>130.56</v>
      </c>
      <c r="DK379" s="9">
        <v>0.94</v>
      </c>
      <c r="DL379" s="9">
        <v>0.95</v>
      </c>
      <c r="DM379" s="9">
        <v>0.96</v>
      </c>
      <c r="DN379" s="11">
        <v>136</v>
      </c>
      <c r="DO379" s="11">
        <v>32</v>
      </c>
      <c r="DP379" s="11">
        <v>240</v>
      </c>
      <c r="DQ379" s="1">
        <v>3.8817401960784308E-2</v>
      </c>
      <c r="DR379" s="1">
        <v>8.3333333333333329E-2</v>
      </c>
      <c r="DS379" s="54">
        <v>0.25</v>
      </c>
      <c r="DT379" s="1">
        <v>0.11913296568627449</v>
      </c>
      <c r="DU379" s="1">
        <v>8.3333333333333329E-2</v>
      </c>
      <c r="DV379" s="54">
        <v>0.25</v>
      </c>
      <c r="DW379" s="1">
        <v>2</v>
      </c>
      <c r="DX379" s="1">
        <v>1.6</v>
      </c>
      <c r="DY379" s="54">
        <v>2.4</v>
      </c>
      <c r="DZ379" s="1">
        <v>4.9000000000000004</v>
      </c>
      <c r="EA379" s="1">
        <v>3.3000000000000003</v>
      </c>
      <c r="EB379" s="54">
        <v>6.5</v>
      </c>
      <c r="EC379" s="1">
        <v>6</v>
      </c>
      <c r="ED379" s="1">
        <v>4.9000000000000004</v>
      </c>
      <c r="EE379" s="54">
        <v>4.9000000000000004</v>
      </c>
      <c r="EF379" s="1">
        <v>4.9000000000000004</v>
      </c>
      <c r="EG379" s="1">
        <v>3.3000000000000003</v>
      </c>
      <c r="EH379" s="54">
        <v>6.5</v>
      </c>
      <c r="EJ379" s="1" t="s">
        <v>646</v>
      </c>
      <c r="EL379" s="1">
        <v>280</v>
      </c>
      <c r="EM379" s="1">
        <v>252</v>
      </c>
      <c r="EN379" s="1">
        <v>308</v>
      </c>
      <c r="EO379" s="1">
        <v>0</v>
      </c>
      <c r="EP379" s="1">
        <v>0</v>
      </c>
      <c r="EQ379" s="1">
        <v>0</v>
      </c>
      <c r="ER379" s="1">
        <v>280</v>
      </c>
      <c r="ES379" s="1">
        <v>252</v>
      </c>
      <c r="ET379" s="1">
        <v>308</v>
      </c>
      <c r="EU379" s="1">
        <v>82.828282828282823</v>
      </c>
      <c r="EV379" s="19">
        <v>77.777777777777771</v>
      </c>
      <c r="EW379" s="19">
        <v>87.878787878787875</v>
      </c>
      <c r="EX379" s="19">
        <v>272.72727272727275</v>
      </c>
      <c r="EY379" s="8">
        <v>121.21212121212122</v>
      </c>
      <c r="EZ379" s="8">
        <v>424.24242424242425</v>
      </c>
      <c r="FA379" s="8">
        <v>1262.0840760546641</v>
      </c>
      <c r="FB379" s="8">
        <v>1410.0378787878788</v>
      </c>
      <c r="FC379" s="8">
        <v>1331.7508417508418</v>
      </c>
      <c r="FD379" s="8">
        <v>30.303030303030305</v>
      </c>
      <c r="FE379" s="8">
        <v>0</v>
      </c>
      <c r="FF379" s="8">
        <v>60.606060606060609</v>
      </c>
      <c r="FG379" s="8">
        <v>101.01010101010101</v>
      </c>
      <c r="FH379" s="8">
        <v>50.505050505050505</v>
      </c>
      <c r="FI379" s="8">
        <v>151.51515151515153</v>
      </c>
      <c r="FJ379" s="8">
        <v>204.04040404040404</v>
      </c>
      <c r="FK379" s="8">
        <v>193.93939393939394</v>
      </c>
      <c r="FL379" s="8">
        <v>214.14141414141415</v>
      </c>
      <c r="FO379" s="1">
        <v>220</v>
      </c>
      <c r="FP379" s="1">
        <v>220</v>
      </c>
      <c r="FR379" s="13" t="s">
        <v>643</v>
      </c>
      <c r="FS379" s="1" t="s">
        <v>643</v>
      </c>
      <c r="FT379" s="13">
        <v>182</v>
      </c>
      <c r="FU379" s="13"/>
      <c r="FV379" s="13">
        <v>182</v>
      </c>
      <c r="FW379" s="13">
        <v>182</v>
      </c>
      <c r="FX379" s="1">
        <v>182</v>
      </c>
      <c r="FY379" s="13" t="s">
        <v>642</v>
      </c>
      <c r="FZ379" s="13" t="s">
        <v>641</v>
      </c>
      <c r="GA379" s="1">
        <v>202</v>
      </c>
      <c r="GB379" s="1">
        <v>202</v>
      </c>
      <c r="GD379" s="1" t="s">
        <v>645</v>
      </c>
      <c r="GE379" s="1">
        <v>211</v>
      </c>
      <c r="GF379" s="1">
        <v>214</v>
      </c>
      <c r="GG379" s="1">
        <v>220</v>
      </c>
      <c r="GH379" s="1">
        <v>214</v>
      </c>
      <c r="GK379" s="1" t="s">
        <v>644</v>
      </c>
    </row>
    <row r="380" spans="1:193" ht="12.75" customHeight="1" x14ac:dyDescent="0.25">
      <c r="A380" s="1" t="s">
        <v>571</v>
      </c>
      <c r="D380" s="1" t="s">
        <v>578</v>
      </c>
      <c r="E380" s="1" t="s">
        <v>126</v>
      </c>
      <c r="F380" s="1">
        <v>1</v>
      </c>
      <c r="G380" s="1">
        <v>2025</v>
      </c>
      <c r="H380" s="1">
        <v>1</v>
      </c>
      <c r="I380" s="1">
        <v>1</v>
      </c>
      <c r="J380" s="1">
        <v>0</v>
      </c>
      <c r="K380" s="11">
        <v>29</v>
      </c>
      <c r="L380" s="11">
        <v>115</v>
      </c>
      <c r="M380" s="11">
        <v>201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9"/>
      <c r="BQ380" s="11">
        <v>3</v>
      </c>
      <c r="BR380" s="11">
        <v>25</v>
      </c>
      <c r="BS380" s="11">
        <v>47</v>
      </c>
      <c r="BT380" s="11">
        <f>Tabelle5897112140[[#This Row],[Mindestauslastung min]]*Tabelle5897112140[[#This Row],[installierte Leistung MW min]]</f>
        <v>0</v>
      </c>
      <c r="BU380" s="11">
        <f>Tabelle5897112140[[#This Row],[Mindestauslastung durch]]*Tabelle5897112140[[#This Row],[installierte Leistung MW durch]]</f>
        <v>0</v>
      </c>
      <c r="BV380" s="19">
        <f>Tabelle5897112140[[#This Row],[Mindestauslastung max]]*Tabelle5897112140[[#This Row],[installierte Leistung MW max]]</f>
        <v>0</v>
      </c>
      <c r="BW380" s="9">
        <v>0</v>
      </c>
      <c r="BX380" s="9">
        <v>0</v>
      </c>
      <c r="BY380" s="9">
        <v>0</v>
      </c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39">
        <v>0.7</v>
      </c>
      <c r="DC380" s="39">
        <v>0.78</v>
      </c>
      <c r="DD380" s="39">
        <v>0.86</v>
      </c>
      <c r="DE380" s="11">
        <f>Tabelle5897112140[[#This Row],[Durchschnittsauslastung min]]*Tabelle5897112140[[#This Row],[installierte Leistung MW min]]</f>
        <v>22.4</v>
      </c>
      <c r="DF380" s="11">
        <f>Tabelle5897112140[[#This Row],[Durchschnittsauslastung durch]]*Tabelle5897112140[[#This Row],[installierte Leistung MW durch]]</f>
        <v>106.08</v>
      </c>
      <c r="DG380" s="46">
        <f>Tabelle5897112140[[#This Row],[Durchschnittsauslastung max]]*Tabelle5897112140[[#This Row],[installierte Leistung MW max]]</f>
        <v>206.4</v>
      </c>
      <c r="DH380" s="46">
        <f>Tabelle5897112140[[#This Row],[Maximalauslastung min]]*Tabelle5897112140[[#This Row],[installierte Leistung MW min]]</f>
        <v>30.08</v>
      </c>
      <c r="DI380" s="46">
        <f>Tabelle5897112140[[#This Row],[Maximalauslastung durch]]*Tabelle5897112140[[#This Row],[installierte Leistung MW durch]]</f>
        <v>129.19999999999999</v>
      </c>
      <c r="DJ380" s="11">
        <f>Tabelle5897112140[[#This Row],[Maximalauslastung max]]*Tabelle5897112140[[#This Row],[installierte Leistung MW durch]]</f>
        <v>130.56</v>
      </c>
      <c r="DK380" s="9">
        <v>0.94</v>
      </c>
      <c r="DL380" s="9">
        <v>0.95</v>
      </c>
      <c r="DM380" s="9">
        <v>0.96</v>
      </c>
      <c r="DN380" s="11">
        <v>136</v>
      </c>
      <c r="DO380" s="11">
        <v>32</v>
      </c>
      <c r="DP380" s="11">
        <v>240</v>
      </c>
      <c r="DQ380" s="1">
        <v>3.8817401960784308E-2</v>
      </c>
      <c r="DR380" s="1">
        <v>8.3333333333333329E-2</v>
      </c>
      <c r="DS380" s="54">
        <v>0.25</v>
      </c>
      <c r="DT380" s="1">
        <v>0.11913296568627449</v>
      </c>
      <c r="DU380" s="1">
        <v>8.3333333333333329E-2</v>
      </c>
      <c r="DV380" s="54">
        <v>0.25</v>
      </c>
      <c r="DW380" s="1">
        <v>2</v>
      </c>
      <c r="DX380" s="1">
        <v>1.6</v>
      </c>
      <c r="DY380" s="54">
        <v>2.4</v>
      </c>
      <c r="DZ380" s="1">
        <v>4.9000000000000004</v>
      </c>
      <c r="EA380" s="1">
        <v>3.3000000000000003</v>
      </c>
      <c r="EB380" s="54">
        <v>6.5</v>
      </c>
      <c r="EC380" s="1">
        <v>6</v>
      </c>
      <c r="ED380" s="1">
        <v>4.9000000000000004</v>
      </c>
      <c r="EE380" s="54">
        <v>4.9000000000000004</v>
      </c>
      <c r="EF380" s="1">
        <v>4.9000000000000004</v>
      </c>
      <c r="EG380" s="1">
        <v>3.3000000000000003</v>
      </c>
      <c r="EH380" s="54">
        <v>6.5</v>
      </c>
      <c r="EJ380" s="1" t="s">
        <v>646</v>
      </c>
      <c r="EL380" s="1">
        <v>365</v>
      </c>
      <c r="EM380" s="1">
        <v>328</v>
      </c>
      <c r="EN380" s="1">
        <v>402</v>
      </c>
      <c r="EO380" s="1">
        <v>0</v>
      </c>
      <c r="EP380" s="1">
        <v>0</v>
      </c>
      <c r="EQ380" s="1">
        <v>0</v>
      </c>
      <c r="ER380" s="1">
        <v>50</v>
      </c>
      <c r="ES380" s="1">
        <v>20</v>
      </c>
      <c r="ET380" s="1">
        <v>80.000000000000014</v>
      </c>
      <c r="EU380" s="1">
        <v>82.828282828282823</v>
      </c>
      <c r="EV380" s="19">
        <v>77.777777777777771</v>
      </c>
      <c r="EW380" s="19">
        <v>87.878787878787875</v>
      </c>
      <c r="EX380" s="19">
        <v>272.72727272727275</v>
      </c>
      <c r="EY380" s="8">
        <v>121.21212121212122</v>
      </c>
      <c r="EZ380" s="8">
        <v>424.24242424242425</v>
      </c>
      <c r="FA380" s="8">
        <v>1262.0840760546641</v>
      </c>
      <c r="FB380" s="8">
        <v>1410.0378787878788</v>
      </c>
      <c r="FC380" s="8">
        <v>1331.7508417508418</v>
      </c>
      <c r="FD380" s="8">
        <v>30.303030303030305</v>
      </c>
      <c r="FE380" s="8">
        <v>0</v>
      </c>
      <c r="FF380" s="8">
        <v>60.606060606060609</v>
      </c>
      <c r="FG380" s="8">
        <v>101.01010101010101</v>
      </c>
      <c r="FH380" s="8">
        <v>50.505050505050505</v>
      </c>
      <c r="FI380" s="8">
        <v>151.51515151515153</v>
      </c>
      <c r="FJ380" s="8">
        <v>204.04040404040404</v>
      </c>
      <c r="FK380" s="8">
        <v>193.93939393939394</v>
      </c>
      <c r="FL380" s="8">
        <v>214.14141414141415</v>
      </c>
      <c r="FO380" s="1">
        <v>220</v>
      </c>
      <c r="FP380" s="1">
        <v>220</v>
      </c>
      <c r="FR380" s="13" t="s">
        <v>643</v>
      </c>
      <c r="FS380" s="1" t="s">
        <v>643</v>
      </c>
      <c r="FT380" s="13">
        <v>182</v>
      </c>
      <c r="FU380" s="13"/>
      <c r="FV380" s="13">
        <v>182</v>
      </c>
      <c r="FW380" s="13">
        <v>182</v>
      </c>
      <c r="FX380" s="1">
        <v>182</v>
      </c>
      <c r="FY380" s="13" t="s">
        <v>642</v>
      </c>
      <c r="FZ380" s="13" t="s">
        <v>641</v>
      </c>
      <c r="GA380" s="1">
        <v>202</v>
      </c>
      <c r="GB380" s="1">
        <v>202</v>
      </c>
      <c r="GD380" s="1" t="s">
        <v>645</v>
      </c>
      <c r="GE380" s="1">
        <v>211</v>
      </c>
      <c r="GF380" s="1">
        <v>214</v>
      </c>
      <c r="GG380" s="1">
        <v>220</v>
      </c>
      <c r="GH380" s="1">
        <v>214</v>
      </c>
      <c r="GK380" s="1" t="s">
        <v>644</v>
      </c>
    </row>
    <row r="381" spans="1:193" ht="12.75" customHeight="1" x14ac:dyDescent="0.25">
      <c r="A381" s="1" t="s">
        <v>571</v>
      </c>
      <c r="D381" s="1" t="s">
        <v>578</v>
      </c>
      <c r="E381" s="1" t="s">
        <v>126</v>
      </c>
      <c r="F381" s="1">
        <v>1</v>
      </c>
      <c r="G381" s="1">
        <v>2030</v>
      </c>
      <c r="H381" s="1">
        <v>1</v>
      </c>
      <c r="I381" s="1">
        <v>1</v>
      </c>
      <c r="J381" s="1">
        <v>0</v>
      </c>
      <c r="K381" s="11">
        <v>29</v>
      </c>
      <c r="L381" s="11">
        <v>115</v>
      </c>
      <c r="M381" s="11">
        <v>201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9"/>
      <c r="BQ381" s="11">
        <v>3</v>
      </c>
      <c r="BR381" s="11">
        <v>25</v>
      </c>
      <c r="BS381" s="11">
        <v>47</v>
      </c>
      <c r="BT381" s="11">
        <f>Tabelle5897112140[[#This Row],[Mindestauslastung min]]*Tabelle5897112140[[#This Row],[installierte Leistung MW min]]</f>
        <v>0</v>
      </c>
      <c r="BU381" s="11">
        <f>Tabelle5897112140[[#This Row],[Mindestauslastung durch]]*Tabelle5897112140[[#This Row],[installierte Leistung MW durch]]</f>
        <v>0</v>
      </c>
      <c r="BV381" s="19">
        <f>Tabelle5897112140[[#This Row],[Mindestauslastung max]]*Tabelle5897112140[[#This Row],[installierte Leistung MW max]]</f>
        <v>0</v>
      </c>
      <c r="BW381" s="9">
        <v>0</v>
      </c>
      <c r="BX381" s="9">
        <v>0</v>
      </c>
      <c r="BY381" s="9">
        <v>0</v>
      </c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39">
        <v>0.7</v>
      </c>
      <c r="DC381" s="39">
        <v>0.78</v>
      </c>
      <c r="DD381" s="39">
        <v>0.86</v>
      </c>
      <c r="DE381" s="11">
        <f>Tabelle5897112140[[#This Row],[Durchschnittsauslastung min]]*Tabelle5897112140[[#This Row],[installierte Leistung MW min]]</f>
        <v>22.4</v>
      </c>
      <c r="DF381" s="11">
        <f>Tabelle5897112140[[#This Row],[Durchschnittsauslastung durch]]*Tabelle5897112140[[#This Row],[installierte Leistung MW durch]]</f>
        <v>106.08</v>
      </c>
      <c r="DG381" s="46">
        <f>Tabelle5897112140[[#This Row],[Durchschnittsauslastung max]]*Tabelle5897112140[[#This Row],[installierte Leistung MW max]]</f>
        <v>206.4</v>
      </c>
      <c r="DH381" s="46">
        <f>Tabelle5897112140[[#This Row],[Maximalauslastung min]]*Tabelle5897112140[[#This Row],[installierte Leistung MW min]]</f>
        <v>30.08</v>
      </c>
      <c r="DI381" s="46">
        <f>Tabelle5897112140[[#This Row],[Maximalauslastung durch]]*Tabelle5897112140[[#This Row],[installierte Leistung MW durch]]</f>
        <v>129.19999999999999</v>
      </c>
      <c r="DJ381" s="11">
        <f>Tabelle5897112140[[#This Row],[Maximalauslastung max]]*Tabelle5897112140[[#This Row],[installierte Leistung MW durch]]</f>
        <v>130.56</v>
      </c>
      <c r="DK381" s="9">
        <v>0.94</v>
      </c>
      <c r="DL381" s="9">
        <v>0.95</v>
      </c>
      <c r="DM381" s="9">
        <v>0.96</v>
      </c>
      <c r="DN381" s="11">
        <v>136</v>
      </c>
      <c r="DO381" s="11">
        <v>32</v>
      </c>
      <c r="DP381" s="11">
        <v>240</v>
      </c>
      <c r="DQ381" s="1">
        <v>3.8817401960784308E-2</v>
      </c>
      <c r="DR381" s="1">
        <v>8.3333333333333329E-2</v>
      </c>
      <c r="DS381" s="54">
        <v>0.25</v>
      </c>
      <c r="DT381" s="1">
        <v>0.11913296568627449</v>
      </c>
      <c r="DU381" s="1">
        <v>8.3333333333333329E-2</v>
      </c>
      <c r="DV381" s="54">
        <v>0.25</v>
      </c>
      <c r="DW381" s="1">
        <v>2</v>
      </c>
      <c r="DX381" s="1">
        <v>1.6</v>
      </c>
      <c r="DY381" s="54">
        <v>2.4</v>
      </c>
      <c r="DZ381" s="1">
        <v>4.9000000000000004</v>
      </c>
      <c r="EA381" s="1">
        <v>3.3000000000000003</v>
      </c>
      <c r="EB381" s="54">
        <v>6.5</v>
      </c>
      <c r="EC381" s="1">
        <v>6</v>
      </c>
      <c r="ED381" s="1">
        <v>4.9000000000000004</v>
      </c>
      <c r="EE381" s="54">
        <v>4.9000000000000004</v>
      </c>
      <c r="EF381" s="1">
        <v>4.9000000000000004</v>
      </c>
      <c r="EG381" s="1">
        <v>3.3000000000000003</v>
      </c>
      <c r="EH381" s="54">
        <v>6.5</v>
      </c>
      <c r="EJ381" s="1" t="s">
        <v>646</v>
      </c>
      <c r="EL381" s="1">
        <v>6570</v>
      </c>
      <c r="EM381" s="1">
        <v>4380</v>
      </c>
      <c r="EN381" s="1">
        <v>8760</v>
      </c>
      <c r="EO381" s="1">
        <v>0</v>
      </c>
      <c r="EP381" s="1">
        <v>0</v>
      </c>
      <c r="EQ381" s="1">
        <v>0</v>
      </c>
      <c r="ER381" s="1">
        <v>50</v>
      </c>
      <c r="ES381" s="1">
        <v>20</v>
      </c>
      <c r="ET381" s="1">
        <v>80.000000000000014</v>
      </c>
      <c r="EU381" s="1">
        <v>82.828282828282823</v>
      </c>
      <c r="EV381" s="19">
        <v>77.777777777777771</v>
      </c>
      <c r="EW381" s="19">
        <v>87.878787878787875</v>
      </c>
      <c r="EX381" s="19">
        <v>272.72727272727275</v>
      </c>
      <c r="EY381" s="8">
        <v>121.21212121212122</v>
      </c>
      <c r="EZ381" s="8">
        <v>424.24242424242425</v>
      </c>
      <c r="FA381" s="8">
        <v>1262.0840760546641</v>
      </c>
      <c r="FB381" s="8">
        <v>1410.0378787878788</v>
      </c>
      <c r="FC381" s="8">
        <v>1331.7508417508418</v>
      </c>
      <c r="FD381" s="8">
        <v>30.303030303030305</v>
      </c>
      <c r="FE381" s="8">
        <v>0</v>
      </c>
      <c r="FF381" s="8">
        <v>60.606060606060609</v>
      </c>
      <c r="FG381" s="8">
        <v>101.01010101010101</v>
      </c>
      <c r="FH381" s="8">
        <v>50.505050505050505</v>
      </c>
      <c r="FI381" s="8">
        <v>151.51515151515153</v>
      </c>
      <c r="FJ381" s="8">
        <v>204.04040404040404</v>
      </c>
      <c r="FK381" s="8">
        <v>193.93939393939394</v>
      </c>
      <c r="FL381" s="8">
        <v>214.14141414141415</v>
      </c>
      <c r="FO381" s="1">
        <v>220</v>
      </c>
      <c r="FP381" s="1">
        <v>220</v>
      </c>
      <c r="FR381" s="13" t="s">
        <v>643</v>
      </c>
      <c r="FS381" s="1" t="s">
        <v>643</v>
      </c>
      <c r="FT381" s="13">
        <v>182</v>
      </c>
      <c r="FU381" s="13"/>
      <c r="FV381" s="13">
        <v>182</v>
      </c>
      <c r="FW381" s="13">
        <v>182</v>
      </c>
      <c r="FX381" s="1">
        <v>182</v>
      </c>
      <c r="FY381" s="13" t="s">
        <v>642</v>
      </c>
      <c r="FZ381" s="13" t="s">
        <v>641</v>
      </c>
      <c r="GA381" s="1">
        <v>202</v>
      </c>
      <c r="GB381" s="1">
        <v>202</v>
      </c>
      <c r="GD381" s="1" t="s">
        <v>645</v>
      </c>
      <c r="GE381" s="1">
        <v>211</v>
      </c>
      <c r="GF381" s="1">
        <v>214</v>
      </c>
      <c r="GG381" s="1">
        <v>220</v>
      </c>
      <c r="GH381" s="1">
        <v>214</v>
      </c>
      <c r="GK381" s="1" t="s">
        <v>644</v>
      </c>
    </row>
    <row r="382" spans="1:193" ht="12.75" customHeight="1" x14ac:dyDescent="0.25">
      <c r="A382" s="1" t="s">
        <v>571</v>
      </c>
      <c r="D382" s="1" t="s">
        <v>578</v>
      </c>
      <c r="E382" s="1" t="s">
        <v>126</v>
      </c>
      <c r="F382" s="1">
        <v>1</v>
      </c>
      <c r="G382" s="1">
        <v>2035</v>
      </c>
      <c r="H382" s="1">
        <v>1</v>
      </c>
      <c r="I382" s="1">
        <v>1</v>
      </c>
      <c r="J382" s="1">
        <v>0</v>
      </c>
      <c r="K382" s="11">
        <v>29</v>
      </c>
      <c r="L382" s="11">
        <v>115</v>
      </c>
      <c r="M382" s="11">
        <v>201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9"/>
      <c r="BQ382" s="11">
        <v>3</v>
      </c>
      <c r="BR382" s="11">
        <v>25</v>
      </c>
      <c r="BS382" s="11">
        <v>47</v>
      </c>
      <c r="BT382" s="11">
        <f>Tabelle5897112140[[#This Row],[Mindestauslastung min]]*Tabelle5897112140[[#This Row],[installierte Leistung MW min]]</f>
        <v>0</v>
      </c>
      <c r="BU382" s="11">
        <f>Tabelle5897112140[[#This Row],[Mindestauslastung durch]]*Tabelle5897112140[[#This Row],[installierte Leistung MW durch]]</f>
        <v>0</v>
      </c>
      <c r="BV382" s="19">
        <f>Tabelle5897112140[[#This Row],[Mindestauslastung max]]*Tabelle5897112140[[#This Row],[installierte Leistung MW max]]</f>
        <v>0</v>
      </c>
      <c r="BW382" s="9">
        <v>0</v>
      </c>
      <c r="BX382" s="9">
        <v>0</v>
      </c>
      <c r="BY382" s="9">
        <v>0</v>
      </c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39">
        <v>0.7</v>
      </c>
      <c r="DC382" s="39">
        <v>0.78</v>
      </c>
      <c r="DD382" s="39">
        <v>0.86</v>
      </c>
      <c r="DE382" s="11">
        <f>Tabelle5897112140[[#This Row],[Durchschnittsauslastung min]]*Tabelle5897112140[[#This Row],[installierte Leistung MW min]]</f>
        <v>22.4</v>
      </c>
      <c r="DF382" s="11">
        <f>Tabelle5897112140[[#This Row],[Durchschnittsauslastung durch]]*Tabelle5897112140[[#This Row],[installierte Leistung MW durch]]</f>
        <v>106.08</v>
      </c>
      <c r="DG382" s="46">
        <f>Tabelle5897112140[[#This Row],[Durchschnittsauslastung max]]*Tabelle5897112140[[#This Row],[installierte Leistung MW max]]</f>
        <v>206.4</v>
      </c>
      <c r="DH382" s="46">
        <f>Tabelle5897112140[[#This Row],[Maximalauslastung min]]*Tabelle5897112140[[#This Row],[installierte Leistung MW min]]</f>
        <v>30.08</v>
      </c>
      <c r="DI382" s="46">
        <f>Tabelle5897112140[[#This Row],[Maximalauslastung durch]]*Tabelle5897112140[[#This Row],[installierte Leistung MW durch]]</f>
        <v>129.19999999999999</v>
      </c>
      <c r="DJ382" s="11">
        <f>Tabelle5897112140[[#This Row],[Maximalauslastung max]]*Tabelle5897112140[[#This Row],[installierte Leistung MW durch]]</f>
        <v>130.56</v>
      </c>
      <c r="DK382" s="9">
        <v>0.94</v>
      </c>
      <c r="DL382" s="9">
        <v>0.95</v>
      </c>
      <c r="DM382" s="9">
        <v>0.96</v>
      </c>
      <c r="DN382" s="11">
        <v>136</v>
      </c>
      <c r="DO382" s="11">
        <v>32</v>
      </c>
      <c r="DP382" s="11">
        <v>240</v>
      </c>
      <c r="DQ382" s="1">
        <v>3.8817401960784308E-2</v>
      </c>
      <c r="DR382" s="1">
        <v>8.3333333333333329E-2</v>
      </c>
      <c r="DS382" s="54">
        <v>0.25</v>
      </c>
      <c r="DT382" s="1">
        <v>0.11913296568627449</v>
      </c>
      <c r="DU382" s="1">
        <v>8.3333333333333329E-2</v>
      </c>
      <c r="DV382" s="54">
        <v>0.25</v>
      </c>
      <c r="DW382" s="1">
        <v>2</v>
      </c>
      <c r="DX382" s="1">
        <v>1.6</v>
      </c>
      <c r="DY382" s="54">
        <v>2.4</v>
      </c>
      <c r="DZ382" s="1">
        <v>4.9000000000000004</v>
      </c>
      <c r="EA382" s="1">
        <v>3.3000000000000003</v>
      </c>
      <c r="EB382" s="54">
        <v>6.5</v>
      </c>
      <c r="EC382" s="1">
        <v>6</v>
      </c>
      <c r="ED382" s="1">
        <v>4.9000000000000004</v>
      </c>
      <c r="EE382" s="54">
        <v>4.9000000000000004</v>
      </c>
      <c r="EF382" s="1">
        <v>4.9000000000000004</v>
      </c>
      <c r="EG382" s="1">
        <v>3.3000000000000003</v>
      </c>
      <c r="EH382" s="54">
        <v>6.5</v>
      </c>
      <c r="EJ382" s="1" t="s">
        <v>646</v>
      </c>
      <c r="EL382" s="1">
        <v>50</v>
      </c>
      <c r="EM382" s="1">
        <v>20</v>
      </c>
      <c r="EN382" s="1">
        <v>80.000000000000014</v>
      </c>
      <c r="EO382" s="1">
        <v>0</v>
      </c>
      <c r="EP382" s="1">
        <v>0</v>
      </c>
      <c r="EQ382" s="1">
        <v>0</v>
      </c>
      <c r="ER382" s="1">
        <v>50</v>
      </c>
      <c r="ES382" s="1">
        <v>20</v>
      </c>
      <c r="ET382" s="1">
        <v>80.000000000000014</v>
      </c>
      <c r="EU382" s="1">
        <v>82.828282828282823</v>
      </c>
      <c r="EV382" s="19">
        <v>77.777777777777771</v>
      </c>
      <c r="EW382" s="19">
        <v>87.878787878787875</v>
      </c>
      <c r="EX382" s="19">
        <v>272.72727272727275</v>
      </c>
      <c r="EY382" s="8">
        <v>121.21212121212122</v>
      </c>
      <c r="EZ382" s="8">
        <v>424.24242424242425</v>
      </c>
      <c r="FA382" s="8">
        <v>1262.0840760546641</v>
      </c>
      <c r="FB382" s="8">
        <v>1410.0378787878788</v>
      </c>
      <c r="FC382" s="8">
        <v>1331.7508417508418</v>
      </c>
      <c r="FD382" s="8">
        <v>30.303030303030305</v>
      </c>
      <c r="FE382" s="8">
        <v>0</v>
      </c>
      <c r="FF382" s="8">
        <v>60.606060606060609</v>
      </c>
      <c r="FG382" s="8">
        <v>101.01010101010101</v>
      </c>
      <c r="FH382" s="8">
        <v>50.505050505050505</v>
      </c>
      <c r="FI382" s="8">
        <v>151.51515151515153</v>
      </c>
      <c r="FJ382" s="8">
        <v>204.04040404040404</v>
      </c>
      <c r="FK382" s="8">
        <v>193.93939393939394</v>
      </c>
      <c r="FL382" s="8">
        <v>214.14141414141415</v>
      </c>
      <c r="FO382" s="1">
        <v>220</v>
      </c>
      <c r="FP382" s="1">
        <v>220</v>
      </c>
      <c r="FR382" s="13" t="s">
        <v>643</v>
      </c>
      <c r="FS382" s="1" t="s">
        <v>643</v>
      </c>
      <c r="FT382" s="13">
        <v>182</v>
      </c>
      <c r="FU382" s="13"/>
      <c r="FV382" s="13">
        <v>182</v>
      </c>
      <c r="FW382" s="13">
        <v>182</v>
      </c>
      <c r="FX382" s="1">
        <v>182</v>
      </c>
      <c r="FY382" s="13" t="s">
        <v>642</v>
      </c>
      <c r="FZ382" s="13" t="s">
        <v>641</v>
      </c>
      <c r="GA382" s="1">
        <v>202</v>
      </c>
      <c r="GB382" s="1">
        <v>202</v>
      </c>
      <c r="GD382" s="1" t="s">
        <v>645</v>
      </c>
      <c r="GE382" s="1">
        <v>211</v>
      </c>
      <c r="GF382" s="1">
        <v>214</v>
      </c>
      <c r="GG382" s="1">
        <v>220</v>
      </c>
      <c r="GH382" s="1">
        <v>214</v>
      </c>
      <c r="GK382" s="1" t="s">
        <v>644</v>
      </c>
    </row>
    <row r="383" spans="1:193" ht="12.75" customHeight="1" x14ac:dyDescent="0.25">
      <c r="A383" s="1" t="s">
        <v>571</v>
      </c>
      <c r="D383" s="1" t="s">
        <v>578</v>
      </c>
      <c r="E383" s="1" t="s">
        <v>126</v>
      </c>
      <c r="F383" s="1">
        <v>1</v>
      </c>
      <c r="G383" s="1">
        <v>2040</v>
      </c>
      <c r="H383" s="1">
        <v>1</v>
      </c>
      <c r="I383" s="1">
        <v>1</v>
      </c>
      <c r="J383" s="1">
        <v>0</v>
      </c>
      <c r="K383" s="11">
        <v>29</v>
      </c>
      <c r="L383" s="11">
        <v>115</v>
      </c>
      <c r="M383" s="11">
        <v>201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9"/>
      <c r="BQ383" s="11">
        <v>3</v>
      </c>
      <c r="BR383" s="11">
        <v>25</v>
      </c>
      <c r="BS383" s="11">
        <v>47</v>
      </c>
      <c r="BT383" s="11">
        <f>Tabelle5897112140[[#This Row],[Mindestauslastung min]]*Tabelle5897112140[[#This Row],[installierte Leistung MW min]]</f>
        <v>0</v>
      </c>
      <c r="BU383" s="11">
        <f>Tabelle5897112140[[#This Row],[Mindestauslastung durch]]*Tabelle5897112140[[#This Row],[installierte Leistung MW durch]]</f>
        <v>0</v>
      </c>
      <c r="BV383" s="19">
        <f>Tabelle5897112140[[#This Row],[Mindestauslastung max]]*Tabelle5897112140[[#This Row],[installierte Leistung MW max]]</f>
        <v>0</v>
      </c>
      <c r="BW383" s="9">
        <v>0</v>
      </c>
      <c r="BX383" s="9">
        <v>0</v>
      </c>
      <c r="BY383" s="9">
        <v>0</v>
      </c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39">
        <v>0.7</v>
      </c>
      <c r="DC383" s="39">
        <v>0.78</v>
      </c>
      <c r="DD383" s="39">
        <v>0.86</v>
      </c>
      <c r="DE383" s="11">
        <f>Tabelle5897112140[[#This Row],[Durchschnittsauslastung min]]*Tabelle5897112140[[#This Row],[installierte Leistung MW min]]</f>
        <v>22.4</v>
      </c>
      <c r="DF383" s="11">
        <f>Tabelle5897112140[[#This Row],[Durchschnittsauslastung durch]]*Tabelle5897112140[[#This Row],[installierte Leistung MW durch]]</f>
        <v>106.08</v>
      </c>
      <c r="DG383" s="46">
        <f>Tabelle5897112140[[#This Row],[Durchschnittsauslastung max]]*Tabelle5897112140[[#This Row],[installierte Leistung MW max]]</f>
        <v>206.4</v>
      </c>
      <c r="DH383" s="46">
        <f>Tabelle5897112140[[#This Row],[Maximalauslastung min]]*Tabelle5897112140[[#This Row],[installierte Leistung MW min]]</f>
        <v>30.08</v>
      </c>
      <c r="DI383" s="46">
        <f>Tabelle5897112140[[#This Row],[Maximalauslastung durch]]*Tabelle5897112140[[#This Row],[installierte Leistung MW durch]]</f>
        <v>129.19999999999999</v>
      </c>
      <c r="DJ383" s="11">
        <f>Tabelle5897112140[[#This Row],[Maximalauslastung max]]*Tabelle5897112140[[#This Row],[installierte Leistung MW durch]]</f>
        <v>130.56</v>
      </c>
      <c r="DK383" s="9">
        <v>0.94</v>
      </c>
      <c r="DL383" s="9">
        <v>0.95</v>
      </c>
      <c r="DM383" s="9">
        <v>0.96</v>
      </c>
      <c r="DN383" s="11">
        <v>136</v>
      </c>
      <c r="DO383" s="11">
        <v>32</v>
      </c>
      <c r="DP383" s="11">
        <v>240</v>
      </c>
      <c r="DQ383" s="1">
        <v>3.8817401960784308E-2</v>
      </c>
      <c r="DR383" s="1">
        <v>8.3333333333333329E-2</v>
      </c>
      <c r="DS383" s="54">
        <v>0.25</v>
      </c>
      <c r="DT383" s="1">
        <v>0.11913296568627449</v>
      </c>
      <c r="DU383" s="1">
        <v>8.3333333333333329E-2</v>
      </c>
      <c r="DV383" s="54">
        <v>0.25</v>
      </c>
      <c r="DW383" s="1">
        <v>2</v>
      </c>
      <c r="DX383" s="1">
        <v>1.6</v>
      </c>
      <c r="DY383" s="54">
        <v>2.4</v>
      </c>
      <c r="DZ383" s="1">
        <v>4.9000000000000004</v>
      </c>
      <c r="EA383" s="1">
        <v>3.3000000000000003</v>
      </c>
      <c r="EB383" s="54">
        <v>6.5</v>
      </c>
      <c r="EC383" s="1">
        <v>6</v>
      </c>
      <c r="ED383" s="1">
        <v>4.9000000000000004</v>
      </c>
      <c r="EE383" s="54">
        <v>4.9000000000000004</v>
      </c>
      <c r="EF383" s="1">
        <v>4.9000000000000004</v>
      </c>
      <c r="EG383" s="1">
        <v>3.3000000000000003</v>
      </c>
      <c r="EH383" s="54">
        <v>6.5</v>
      </c>
      <c r="EJ383" s="1" t="s">
        <v>646</v>
      </c>
      <c r="EL383" s="1">
        <v>365</v>
      </c>
      <c r="EM383" s="1">
        <v>328</v>
      </c>
      <c r="EN383" s="1">
        <v>402</v>
      </c>
      <c r="EO383" s="1">
        <v>0</v>
      </c>
      <c r="EP383" s="1">
        <v>0</v>
      </c>
      <c r="EQ383" s="1">
        <v>0</v>
      </c>
      <c r="ER383" s="1">
        <v>50</v>
      </c>
      <c r="ES383" s="1">
        <v>20</v>
      </c>
      <c r="ET383" s="1">
        <v>80.000000000000014</v>
      </c>
      <c r="EU383" s="1">
        <v>82.828282828282823</v>
      </c>
      <c r="EV383" s="19">
        <v>77.777777777777771</v>
      </c>
      <c r="EW383" s="19">
        <v>87.878787878787875</v>
      </c>
      <c r="EX383" s="19">
        <v>272.72727272727275</v>
      </c>
      <c r="EY383" s="8">
        <v>121.21212121212122</v>
      </c>
      <c r="EZ383" s="8">
        <v>424.24242424242425</v>
      </c>
      <c r="FA383" s="8">
        <v>1262.0840760546641</v>
      </c>
      <c r="FB383" s="8">
        <v>1410.0378787878788</v>
      </c>
      <c r="FC383" s="8">
        <v>1331.7508417508418</v>
      </c>
      <c r="FD383" s="8">
        <v>30.303030303030305</v>
      </c>
      <c r="FE383" s="8">
        <v>0</v>
      </c>
      <c r="FF383" s="8">
        <v>60.606060606060609</v>
      </c>
      <c r="FG383" s="8">
        <v>101.01010101010101</v>
      </c>
      <c r="FH383" s="8">
        <v>50.505050505050505</v>
      </c>
      <c r="FI383" s="8">
        <v>151.51515151515153</v>
      </c>
      <c r="FJ383" s="8">
        <v>204.04040404040404</v>
      </c>
      <c r="FK383" s="8">
        <v>193.93939393939394</v>
      </c>
      <c r="FL383" s="8">
        <v>214.14141414141415</v>
      </c>
      <c r="FO383" s="1">
        <v>220</v>
      </c>
      <c r="FP383" s="1">
        <v>220</v>
      </c>
      <c r="FR383" s="13" t="s">
        <v>643</v>
      </c>
      <c r="FS383" s="1" t="s">
        <v>643</v>
      </c>
      <c r="FT383" s="13">
        <v>182</v>
      </c>
      <c r="FU383" s="13"/>
      <c r="FV383" s="13">
        <v>182</v>
      </c>
      <c r="FW383" s="13">
        <v>182</v>
      </c>
      <c r="FX383" s="1">
        <v>182</v>
      </c>
      <c r="FY383" s="13" t="s">
        <v>642</v>
      </c>
      <c r="FZ383" s="13" t="s">
        <v>641</v>
      </c>
      <c r="GA383" s="1">
        <v>202</v>
      </c>
      <c r="GB383" s="1">
        <v>202</v>
      </c>
      <c r="GD383" s="1" t="s">
        <v>645</v>
      </c>
      <c r="GE383" s="1">
        <v>211</v>
      </c>
      <c r="GF383" s="1">
        <v>214</v>
      </c>
      <c r="GG383" s="1">
        <v>220</v>
      </c>
      <c r="GH383" s="1">
        <v>214</v>
      </c>
      <c r="GK383" s="1" t="s">
        <v>644</v>
      </c>
    </row>
    <row r="384" spans="1:193" ht="12.75" customHeight="1" x14ac:dyDescent="0.25">
      <c r="A384" s="1" t="s">
        <v>571</v>
      </c>
      <c r="D384" s="1" t="s">
        <v>578</v>
      </c>
      <c r="E384" s="1" t="s">
        <v>126</v>
      </c>
      <c r="F384" s="1">
        <v>1</v>
      </c>
      <c r="G384" s="1">
        <v>2045</v>
      </c>
      <c r="H384" s="1">
        <v>1</v>
      </c>
      <c r="I384" s="1">
        <v>1</v>
      </c>
      <c r="J384" s="1">
        <v>0</v>
      </c>
      <c r="K384" s="11">
        <v>29</v>
      </c>
      <c r="L384" s="11">
        <v>115</v>
      </c>
      <c r="M384" s="11">
        <v>201</v>
      </c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9"/>
      <c r="BQ384" s="11">
        <v>3</v>
      </c>
      <c r="BR384" s="11">
        <v>25</v>
      </c>
      <c r="BS384" s="11">
        <v>47</v>
      </c>
      <c r="BT384" s="11">
        <f>Tabelle5897112140[[#This Row],[Mindestauslastung min]]*Tabelle5897112140[[#This Row],[installierte Leistung MW min]]</f>
        <v>0</v>
      </c>
      <c r="BU384" s="11">
        <f>Tabelle5897112140[[#This Row],[Mindestauslastung durch]]*Tabelle5897112140[[#This Row],[installierte Leistung MW durch]]</f>
        <v>0</v>
      </c>
      <c r="BV384" s="19">
        <f>Tabelle5897112140[[#This Row],[Mindestauslastung max]]*Tabelle5897112140[[#This Row],[installierte Leistung MW max]]</f>
        <v>0</v>
      </c>
      <c r="BW384" s="9">
        <v>0</v>
      </c>
      <c r="BX384" s="9">
        <v>0</v>
      </c>
      <c r="BY384" s="9">
        <v>0</v>
      </c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39">
        <v>0.7</v>
      </c>
      <c r="DC384" s="39">
        <v>0.78</v>
      </c>
      <c r="DD384" s="39">
        <v>0.86</v>
      </c>
      <c r="DE384" s="11">
        <f>Tabelle5897112140[[#This Row],[Durchschnittsauslastung min]]*Tabelle5897112140[[#This Row],[installierte Leistung MW min]]</f>
        <v>22.4</v>
      </c>
      <c r="DF384" s="11">
        <f>Tabelle5897112140[[#This Row],[Durchschnittsauslastung durch]]*Tabelle5897112140[[#This Row],[installierte Leistung MW durch]]</f>
        <v>106.08</v>
      </c>
      <c r="DG384" s="46">
        <f>Tabelle5897112140[[#This Row],[Durchschnittsauslastung max]]*Tabelle5897112140[[#This Row],[installierte Leistung MW max]]</f>
        <v>206.4</v>
      </c>
      <c r="DH384" s="46">
        <f>Tabelle5897112140[[#This Row],[Maximalauslastung min]]*Tabelle5897112140[[#This Row],[installierte Leistung MW min]]</f>
        <v>30.08</v>
      </c>
      <c r="DI384" s="46">
        <f>Tabelle5897112140[[#This Row],[Maximalauslastung durch]]*Tabelle5897112140[[#This Row],[installierte Leistung MW durch]]</f>
        <v>129.19999999999999</v>
      </c>
      <c r="DJ384" s="11">
        <f>Tabelle5897112140[[#This Row],[Maximalauslastung max]]*Tabelle5897112140[[#This Row],[installierte Leistung MW durch]]</f>
        <v>130.56</v>
      </c>
      <c r="DK384" s="9">
        <v>0.94</v>
      </c>
      <c r="DL384" s="9">
        <v>0.95</v>
      </c>
      <c r="DM384" s="9">
        <v>0.96</v>
      </c>
      <c r="DN384" s="11">
        <v>136</v>
      </c>
      <c r="DO384" s="11">
        <v>32</v>
      </c>
      <c r="DP384" s="11">
        <v>240</v>
      </c>
      <c r="DQ384" s="1">
        <v>3.8817401960784308E-2</v>
      </c>
      <c r="DR384" s="1">
        <v>8.3333333333333329E-2</v>
      </c>
      <c r="DS384" s="54">
        <v>0.25</v>
      </c>
      <c r="DT384" s="1">
        <v>0.11913296568627449</v>
      </c>
      <c r="DU384" s="1">
        <v>8.3333333333333329E-2</v>
      </c>
      <c r="DV384" s="54">
        <v>0.25</v>
      </c>
      <c r="DW384" s="1">
        <v>2</v>
      </c>
      <c r="DX384" s="1">
        <v>1.6</v>
      </c>
      <c r="DY384" s="54">
        <v>2.4</v>
      </c>
      <c r="DZ384" s="1">
        <v>4.9000000000000004</v>
      </c>
      <c r="EA384" s="1">
        <v>3.3000000000000003</v>
      </c>
      <c r="EB384" s="54">
        <v>6.5</v>
      </c>
      <c r="EC384" s="1">
        <v>6</v>
      </c>
      <c r="ED384" s="1">
        <v>4.9000000000000004</v>
      </c>
      <c r="EE384" s="54">
        <v>4.9000000000000004</v>
      </c>
      <c r="EF384" s="1">
        <v>4.9000000000000004</v>
      </c>
      <c r="EG384" s="1">
        <v>3.3000000000000003</v>
      </c>
      <c r="EH384" s="54">
        <v>6.5</v>
      </c>
      <c r="EJ384" s="1" t="s">
        <v>646</v>
      </c>
      <c r="EL384" s="1">
        <v>639</v>
      </c>
      <c r="EM384" s="1">
        <v>575</v>
      </c>
      <c r="EN384" s="1">
        <v>703</v>
      </c>
      <c r="EO384" s="1">
        <v>0</v>
      </c>
      <c r="EP384" s="1">
        <v>0</v>
      </c>
      <c r="EQ384" s="1">
        <v>0</v>
      </c>
      <c r="ER384" s="1">
        <v>50</v>
      </c>
      <c r="ES384" s="1">
        <v>20</v>
      </c>
      <c r="ET384" s="1">
        <v>80.000000000000014</v>
      </c>
      <c r="EU384" s="1">
        <v>82.828282828282823</v>
      </c>
      <c r="EV384" s="19">
        <v>77.777777777777771</v>
      </c>
      <c r="EW384" s="19">
        <v>87.878787878787875</v>
      </c>
      <c r="EX384" s="19">
        <v>272.72727272727275</v>
      </c>
      <c r="EY384" s="8">
        <v>121.21212121212122</v>
      </c>
      <c r="EZ384" s="8">
        <v>424.24242424242425</v>
      </c>
      <c r="FA384" s="8">
        <v>1262.0840760546641</v>
      </c>
      <c r="FB384" s="8">
        <v>1410.0378787878788</v>
      </c>
      <c r="FC384" s="8">
        <v>1331.7508417508418</v>
      </c>
      <c r="FD384" s="8">
        <v>30.303030303030305</v>
      </c>
      <c r="FE384" s="8">
        <v>0</v>
      </c>
      <c r="FF384" s="8">
        <v>60.606060606060609</v>
      </c>
      <c r="FG384" s="8">
        <v>101.01010101010101</v>
      </c>
      <c r="FH384" s="8">
        <v>50.505050505050505</v>
      </c>
      <c r="FI384" s="8">
        <v>151.51515151515153</v>
      </c>
      <c r="FJ384" s="8">
        <v>204.04040404040404</v>
      </c>
      <c r="FK384" s="8">
        <v>193.93939393939394</v>
      </c>
      <c r="FL384" s="8">
        <v>214.14141414141415</v>
      </c>
      <c r="FO384" s="1">
        <v>220</v>
      </c>
      <c r="FP384" s="1">
        <v>220</v>
      </c>
      <c r="FR384" s="13" t="s">
        <v>643</v>
      </c>
      <c r="FS384" s="1" t="s">
        <v>643</v>
      </c>
      <c r="FT384" s="13">
        <v>182</v>
      </c>
      <c r="FU384" s="13"/>
      <c r="FV384" s="13">
        <v>182</v>
      </c>
      <c r="FW384" s="13">
        <v>182</v>
      </c>
      <c r="FX384" s="1">
        <v>182</v>
      </c>
      <c r="FY384" s="13" t="s">
        <v>642</v>
      </c>
      <c r="FZ384" s="13" t="s">
        <v>641</v>
      </c>
      <c r="GA384" s="1">
        <v>202</v>
      </c>
      <c r="GB384" s="1">
        <v>202</v>
      </c>
      <c r="GD384" s="1" t="s">
        <v>645</v>
      </c>
      <c r="GE384" s="1">
        <v>211</v>
      </c>
      <c r="GF384" s="1">
        <v>214</v>
      </c>
      <c r="GG384" s="1">
        <v>220</v>
      </c>
      <c r="GH384" s="1">
        <v>214</v>
      </c>
      <c r="GK384" s="1" t="s">
        <v>644</v>
      </c>
    </row>
    <row r="385" spans="1:193" ht="12.75" customHeight="1" x14ac:dyDescent="0.25">
      <c r="A385" s="1" t="s">
        <v>571</v>
      </c>
      <c r="D385" s="1" t="s">
        <v>578</v>
      </c>
      <c r="E385" s="1" t="s">
        <v>126</v>
      </c>
      <c r="F385" s="1">
        <v>1</v>
      </c>
      <c r="G385" s="1">
        <v>2050</v>
      </c>
      <c r="H385" s="1">
        <v>1</v>
      </c>
      <c r="I385" s="1">
        <v>1</v>
      </c>
      <c r="J385" s="1">
        <v>0</v>
      </c>
      <c r="K385" s="11">
        <v>29</v>
      </c>
      <c r="L385" s="11">
        <v>115</v>
      </c>
      <c r="M385" s="11">
        <v>201</v>
      </c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9"/>
      <c r="BQ385" s="11">
        <v>3</v>
      </c>
      <c r="BR385" s="11">
        <v>25</v>
      </c>
      <c r="BS385" s="11">
        <v>47</v>
      </c>
      <c r="BT385" s="11">
        <f>Tabelle5897112140[[#This Row],[Mindestauslastung min]]*Tabelle5897112140[[#This Row],[installierte Leistung MW min]]</f>
        <v>0</v>
      </c>
      <c r="BU385" s="11">
        <f>Tabelle5897112140[[#This Row],[Mindestauslastung durch]]*Tabelle5897112140[[#This Row],[installierte Leistung MW durch]]</f>
        <v>0</v>
      </c>
      <c r="BV385" s="19">
        <f>Tabelle5897112140[[#This Row],[Mindestauslastung max]]*Tabelle5897112140[[#This Row],[installierte Leistung MW max]]</f>
        <v>0</v>
      </c>
      <c r="BW385" s="9">
        <v>0</v>
      </c>
      <c r="BX385" s="9">
        <v>0</v>
      </c>
      <c r="BY385" s="9">
        <v>0</v>
      </c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39">
        <v>0.7</v>
      </c>
      <c r="DC385" s="39">
        <v>0.78</v>
      </c>
      <c r="DD385" s="39">
        <v>0.86</v>
      </c>
      <c r="DE385" s="11">
        <f>Tabelle5897112140[[#This Row],[Durchschnittsauslastung min]]*Tabelle5897112140[[#This Row],[installierte Leistung MW min]]</f>
        <v>22.4</v>
      </c>
      <c r="DF385" s="11">
        <f>Tabelle5897112140[[#This Row],[Durchschnittsauslastung durch]]*Tabelle5897112140[[#This Row],[installierte Leistung MW durch]]</f>
        <v>106.08</v>
      </c>
      <c r="DG385" s="46">
        <f>Tabelle5897112140[[#This Row],[Durchschnittsauslastung max]]*Tabelle5897112140[[#This Row],[installierte Leistung MW max]]</f>
        <v>206.4</v>
      </c>
      <c r="DH385" s="46">
        <f>Tabelle5897112140[[#This Row],[Maximalauslastung min]]*Tabelle5897112140[[#This Row],[installierte Leistung MW min]]</f>
        <v>30.08</v>
      </c>
      <c r="DI385" s="46">
        <f>Tabelle5897112140[[#This Row],[Maximalauslastung durch]]*Tabelle5897112140[[#This Row],[installierte Leistung MW durch]]</f>
        <v>129.19999999999999</v>
      </c>
      <c r="DJ385" s="11">
        <f>Tabelle5897112140[[#This Row],[Maximalauslastung max]]*Tabelle5897112140[[#This Row],[installierte Leistung MW durch]]</f>
        <v>130.56</v>
      </c>
      <c r="DK385" s="9">
        <v>0.94</v>
      </c>
      <c r="DL385" s="9">
        <v>0.95</v>
      </c>
      <c r="DM385" s="9">
        <v>0.96</v>
      </c>
      <c r="DN385" s="11">
        <v>136</v>
      </c>
      <c r="DO385" s="11">
        <v>32</v>
      </c>
      <c r="DP385" s="11">
        <v>240</v>
      </c>
      <c r="DQ385" s="1">
        <v>3.8817401960784308E-2</v>
      </c>
      <c r="DR385" s="1">
        <v>8.3333333333333329E-2</v>
      </c>
      <c r="DS385" s="54">
        <v>0.25</v>
      </c>
      <c r="DT385" s="1">
        <v>0.11913296568627449</v>
      </c>
      <c r="DU385" s="1">
        <v>8.3333333333333329E-2</v>
      </c>
      <c r="DV385" s="54">
        <v>0.25</v>
      </c>
      <c r="DW385" s="1">
        <v>2</v>
      </c>
      <c r="DX385" s="1">
        <v>1.6</v>
      </c>
      <c r="DY385" s="54">
        <v>2.4</v>
      </c>
      <c r="DZ385" s="1">
        <v>4.9000000000000004</v>
      </c>
      <c r="EA385" s="1">
        <v>3.3000000000000003</v>
      </c>
      <c r="EB385" s="54">
        <v>6.5</v>
      </c>
      <c r="EC385" s="1">
        <v>6</v>
      </c>
      <c r="ED385" s="1">
        <v>4.9000000000000004</v>
      </c>
      <c r="EE385" s="54">
        <v>4.9000000000000004</v>
      </c>
      <c r="EF385" s="1">
        <v>4.9000000000000004</v>
      </c>
      <c r="EG385" s="1">
        <v>3.3000000000000003</v>
      </c>
      <c r="EH385" s="54">
        <v>6.5</v>
      </c>
      <c r="EJ385" s="1" t="s">
        <v>646</v>
      </c>
      <c r="EL385" s="1">
        <v>365</v>
      </c>
      <c r="EM385" s="1">
        <v>328</v>
      </c>
      <c r="EN385" s="1">
        <v>402</v>
      </c>
      <c r="EO385" s="1">
        <v>0</v>
      </c>
      <c r="EP385" s="1">
        <v>0</v>
      </c>
      <c r="EQ385" s="1">
        <v>0</v>
      </c>
      <c r="ER385" s="1">
        <v>50</v>
      </c>
      <c r="ES385" s="1">
        <v>20</v>
      </c>
      <c r="ET385" s="1">
        <v>80.000000000000014</v>
      </c>
      <c r="EU385" s="1">
        <v>82.828282828282823</v>
      </c>
      <c r="EV385" s="19">
        <v>77.777777777777771</v>
      </c>
      <c r="EW385" s="19">
        <v>87.878787878787875</v>
      </c>
      <c r="EX385" s="19">
        <v>272.72727272727275</v>
      </c>
      <c r="EY385" s="8">
        <v>121.21212121212122</v>
      </c>
      <c r="EZ385" s="8">
        <v>424.24242424242425</v>
      </c>
      <c r="FA385" s="8">
        <v>1262.0840760546641</v>
      </c>
      <c r="FB385" s="8">
        <v>1410.0378787878788</v>
      </c>
      <c r="FC385" s="8">
        <v>1331.7508417508418</v>
      </c>
      <c r="FD385" s="8">
        <v>30.303030303030305</v>
      </c>
      <c r="FE385" s="8">
        <v>0</v>
      </c>
      <c r="FF385" s="8">
        <v>60.606060606060609</v>
      </c>
      <c r="FG385" s="8">
        <v>101.01010101010101</v>
      </c>
      <c r="FH385" s="8">
        <v>50.505050505050505</v>
      </c>
      <c r="FI385" s="8">
        <v>151.51515151515153</v>
      </c>
      <c r="FJ385" s="8">
        <v>204.04040404040404</v>
      </c>
      <c r="FK385" s="8">
        <v>193.93939393939394</v>
      </c>
      <c r="FL385" s="8">
        <v>214.14141414141415</v>
      </c>
      <c r="FO385" s="1">
        <v>220</v>
      </c>
      <c r="FP385" s="1">
        <v>220</v>
      </c>
      <c r="FR385" s="13" t="s">
        <v>643</v>
      </c>
      <c r="FS385" s="1" t="s">
        <v>643</v>
      </c>
      <c r="FT385" s="13">
        <v>182</v>
      </c>
      <c r="FU385" s="13"/>
      <c r="FV385" s="13">
        <v>182</v>
      </c>
      <c r="FW385" s="13">
        <v>182</v>
      </c>
      <c r="FX385" s="1">
        <v>182</v>
      </c>
      <c r="FY385" s="13" t="s">
        <v>642</v>
      </c>
      <c r="FZ385" s="13" t="s">
        <v>641</v>
      </c>
      <c r="GA385" s="1">
        <v>202</v>
      </c>
      <c r="GB385" s="1">
        <v>202</v>
      </c>
      <c r="GD385" s="1" t="s">
        <v>645</v>
      </c>
      <c r="GE385" s="1">
        <v>211</v>
      </c>
      <c r="GF385" s="1">
        <v>214</v>
      </c>
      <c r="GG385" s="1">
        <v>220</v>
      </c>
      <c r="GH385" s="1">
        <v>214</v>
      </c>
      <c r="GK385" s="1" t="s">
        <v>644</v>
      </c>
    </row>
    <row r="386" spans="1:193" ht="12.75" customHeight="1" x14ac:dyDescent="0.25">
      <c r="A386" s="1" t="s">
        <v>74</v>
      </c>
      <c r="D386" s="1" t="s">
        <v>579</v>
      </c>
      <c r="E386" s="1" t="s">
        <v>126</v>
      </c>
      <c r="F386" s="1">
        <v>1</v>
      </c>
      <c r="G386" s="1">
        <v>2015</v>
      </c>
      <c r="H386" s="1">
        <v>1</v>
      </c>
      <c r="I386" s="1">
        <v>1</v>
      </c>
      <c r="J386" s="1">
        <v>0</v>
      </c>
      <c r="K386" s="11">
        <v>133</v>
      </c>
      <c r="L386" s="11">
        <v>245</v>
      </c>
      <c r="M386" s="11">
        <v>357</v>
      </c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9"/>
      <c r="BQ386" s="11">
        <v>31</v>
      </c>
      <c r="BR386" s="11">
        <v>74</v>
      </c>
      <c r="BS386" s="11">
        <v>117</v>
      </c>
      <c r="BT386" s="11">
        <f>Tabelle5897112140[[#This Row],[Mindestauslastung min]]*Tabelle5897112140[[#This Row],[installierte Leistung MW min]]</f>
        <v>0</v>
      </c>
      <c r="BU386" s="11">
        <f>Tabelle5897112140[[#This Row],[Mindestauslastung durch]]*Tabelle5897112140[[#This Row],[installierte Leistung MW durch]]</f>
        <v>0</v>
      </c>
      <c r="BV386" s="19">
        <f>Tabelle5897112140[[#This Row],[Mindestauslastung max]]*Tabelle5897112140[[#This Row],[installierte Leistung MW max]]</f>
        <v>0</v>
      </c>
      <c r="BW386" s="9">
        <v>0</v>
      </c>
      <c r="BX386" s="9">
        <v>0</v>
      </c>
      <c r="BY386" s="9">
        <v>0</v>
      </c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39">
        <v>0.69</v>
      </c>
      <c r="DC386" s="39">
        <v>0.73</v>
      </c>
      <c r="DD386" s="39">
        <v>0.77</v>
      </c>
      <c r="DE386" s="11">
        <f>Tabelle5897112140[[#This Row],[Durchschnittsauslastung min]]*Tabelle5897112140[[#This Row],[installierte Leistung MW min]]</f>
        <v>130.41</v>
      </c>
      <c r="DF386" s="11">
        <f>Tabelle5897112140[[#This Row],[Durchschnittsauslastung durch]]*Tabelle5897112140[[#This Row],[installierte Leistung MW durch]]</f>
        <v>248.2</v>
      </c>
      <c r="DG386" s="46">
        <f>Tabelle5897112140[[#This Row],[Durchschnittsauslastung max]]*Tabelle5897112140[[#This Row],[installierte Leistung MW max]]</f>
        <v>378.07</v>
      </c>
      <c r="DH386" s="46">
        <f>Tabelle5897112140[[#This Row],[Maximalauslastung min]]*Tabelle5897112140[[#This Row],[installierte Leistung MW min]]</f>
        <v>177.66</v>
      </c>
      <c r="DI386" s="46">
        <f>Tabelle5897112140[[#This Row],[Maximalauslastung durch]]*Tabelle5897112140[[#This Row],[installierte Leistung MW durch]]</f>
        <v>323</v>
      </c>
      <c r="DJ386" s="11">
        <f>Tabelle5897112140[[#This Row],[Maximalauslastung max]]*Tabelle5897112140[[#This Row],[installierte Leistung MW durch]]</f>
        <v>326.39999999999998</v>
      </c>
      <c r="DK386" s="9">
        <v>0.94</v>
      </c>
      <c r="DL386" s="9">
        <v>0.95</v>
      </c>
      <c r="DM386" s="9">
        <v>0.96</v>
      </c>
      <c r="DN386" s="11">
        <v>340</v>
      </c>
      <c r="DO386" s="11">
        <v>189</v>
      </c>
      <c r="DP386" s="11">
        <v>491</v>
      </c>
      <c r="DQ386" s="1">
        <v>0.30041666666666667</v>
      </c>
      <c r="DR386" s="1">
        <v>8.3333333333333332E-3</v>
      </c>
      <c r="DS386" s="54">
        <v>0.5</v>
      </c>
      <c r="DT386" s="1">
        <v>0.77166666666666672</v>
      </c>
      <c r="DU386" s="1">
        <v>8.3333333333333329E-2</v>
      </c>
      <c r="DV386" s="54">
        <v>3</v>
      </c>
      <c r="DW386" s="1">
        <v>4.8</v>
      </c>
      <c r="DX386" s="1">
        <v>4.3</v>
      </c>
      <c r="DY386" s="54">
        <v>5.3</v>
      </c>
      <c r="DZ386" s="1">
        <v>7.8</v>
      </c>
      <c r="EA386" s="1">
        <v>5.8</v>
      </c>
      <c r="EB386" s="54">
        <v>9.8000000000000007</v>
      </c>
      <c r="EC386" s="1">
        <v>10.8</v>
      </c>
      <c r="ED386" s="1">
        <v>10.8</v>
      </c>
      <c r="EE386" s="54">
        <v>10.8</v>
      </c>
      <c r="EF386" s="1">
        <v>7.8</v>
      </c>
      <c r="EG386" s="1">
        <v>5.8</v>
      </c>
      <c r="EH386" s="54">
        <v>9.8000000000000007</v>
      </c>
      <c r="EJ386" s="1" t="s">
        <v>647</v>
      </c>
      <c r="EL386" s="1">
        <v>1000</v>
      </c>
      <c r="EM386" s="1">
        <v>500</v>
      </c>
      <c r="EN386" s="1">
        <v>1500</v>
      </c>
      <c r="EO386" s="1">
        <v>0</v>
      </c>
      <c r="EP386" s="1">
        <v>0</v>
      </c>
      <c r="EQ386" s="1">
        <v>0</v>
      </c>
      <c r="ER386" s="1">
        <v>700</v>
      </c>
      <c r="ES386" s="1">
        <v>650</v>
      </c>
      <c r="ET386" s="1">
        <v>750</v>
      </c>
      <c r="EU386" s="1">
        <v>2.3232323232323231</v>
      </c>
      <c r="EV386" s="19">
        <v>0.80808080808080796</v>
      </c>
      <c r="EW386" s="19">
        <v>3.8383838383838382</v>
      </c>
      <c r="EX386" s="19">
        <v>202.02020202020202</v>
      </c>
      <c r="EY386" s="8">
        <v>151.51515151515153</v>
      </c>
      <c r="EZ386" s="8">
        <v>252.52525252525254</v>
      </c>
      <c r="FA386" s="8">
        <v>465.65656565656565</v>
      </c>
      <c r="FB386" s="8">
        <v>393.93939393939394</v>
      </c>
      <c r="FC386" s="8">
        <v>537.37373737373741</v>
      </c>
      <c r="FD386" s="8">
        <v>0</v>
      </c>
      <c r="FE386" s="8">
        <v>0</v>
      </c>
      <c r="FF386" s="8">
        <v>30.303030303030305</v>
      </c>
      <c r="FG386" s="8">
        <v>44.444444444444443</v>
      </c>
      <c r="FH386" s="8">
        <v>24.242424242424242</v>
      </c>
      <c r="FI386" s="8">
        <v>64.646464646464651</v>
      </c>
      <c r="FJ386" s="8">
        <v>22.525252525252526</v>
      </c>
      <c r="FK386" s="8">
        <v>20.505050505050505</v>
      </c>
      <c r="FL386" s="8">
        <v>24.54545454545455</v>
      </c>
      <c r="FO386" s="1">
        <v>220</v>
      </c>
      <c r="FP386" s="1">
        <v>220</v>
      </c>
      <c r="FR386" s="13" t="s">
        <v>643</v>
      </c>
      <c r="FS386" s="1" t="s">
        <v>643</v>
      </c>
      <c r="FT386" s="13">
        <v>182</v>
      </c>
      <c r="FU386" s="13"/>
      <c r="FV386" s="13">
        <v>182</v>
      </c>
      <c r="FW386" s="13">
        <v>182</v>
      </c>
      <c r="FX386" s="1">
        <v>182</v>
      </c>
      <c r="FY386" s="13" t="s">
        <v>642</v>
      </c>
      <c r="FZ386" s="13" t="s">
        <v>641</v>
      </c>
      <c r="GA386" s="1">
        <v>202</v>
      </c>
      <c r="GB386" s="1">
        <v>202</v>
      </c>
      <c r="GD386" s="1" t="s">
        <v>645</v>
      </c>
      <c r="GE386" s="1">
        <v>211</v>
      </c>
      <c r="GF386" s="1">
        <v>214</v>
      </c>
      <c r="GG386" s="1">
        <v>220</v>
      </c>
      <c r="GH386" s="1">
        <v>214</v>
      </c>
      <c r="GK386" s="1" t="s">
        <v>644</v>
      </c>
    </row>
    <row r="387" spans="1:193" ht="12.75" customHeight="1" x14ac:dyDescent="0.25">
      <c r="A387" s="1" t="s">
        <v>74</v>
      </c>
      <c r="D387" s="1" t="s">
        <v>579</v>
      </c>
      <c r="E387" s="1" t="s">
        <v>126</v>
      </c>
      <c r="F387" s="1">
        <v>1</v>
      </c>
      <c r="G387" s="1">
        <v>2020</v>
      </c>
      <c r="H387" s="1">
        <v>1</v>
      </c>
      <c r="I387" s="1">
        <v>1</v>
      </c>
      <c r="J387" s="1">
        <v>0</v>
      </c>
      <c r="K387" s="11">
        <v>131.66999999999999</v>
      </c>
      <c r="L387" s="11">
        <v>242.54999999999998</v>
      </c>
      <c r="M387" s="11">
        <v>353.42999999999995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9"/>
      <c r="BQ387" s="11">
        <v>30.69</v>
      </c>
      <c r="BR387" s="11">
        <v>73.259999999999991</v>
      </c>
      <c r="BS387" s="11">
        <v>115.82999999999998</v>
      </c>
      <c r="BT387" s="11">
        <f>Tabelle5897112140[[#This Row],[Mindestauslastung min]]*Tabelle5897112140[[#This Row],[installierte Leistung MW min]]</f>
        <v>0</v>
      </c>
      <c r="BU387" s="11">
        <f>Tabelle5897112140[[#This Row],[Mindestauslastung durch]]*Tabelle5897112140[[#This Row],[installierte Leistung MW durch]]</f>
        <v>0</v>
      </c>
      <c r="BV387" s="19">
        <f>Tabelle5897112140[[#This Row],[Mindestauslastung max]]*Tabelle5897112140[[#This Row],[installierte Leistung MW max]]</f>
        <v>0</v>
      </c>
      <c r="BW387" s="9">
        <v>0</v>
      </c>
      <c r="BX387" s="9">
        <v>0</v>
      </c>
      <c r="BY387" s="9">
        <v>0</v>
      </c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39">
        <v>0.69</v>
      </c>
      <c r="DC387" s="39">
        <v>0.72999999999999987</v>
      </c>
      <c r="DD387" s="39">
        <v>0.77</v>
      </c>
      <c r="DE387" s="11">
        <f>Tabelle5897112140[[#This Row],[Durchschnittsauslastung min]]*Tabelle5897112140[[#This Row],[installierte Leistung MW min]]</f>
        <v>129.10589999999999</v>
      </c>
      <c r="DF387" s="11">
        <f>Tabelle5897112140[[#This Row],[Durchschnittsauslastung durch]]*Tabelle5897112140[[#This Row],[installierte Leistung MW durch]]</f>
        <v>245.71799999999996</v>
      </c>
      <c r="DG387" s="46">
        <f>Tabelle5897112140[[#This Row],[Durchschnittsauslastung max]]*Tabelle5897112140[[#This Row],[installierte Leistung MW max]]</f>
        <v>374.28929999999997</v>
      </c>
      <c r="DH387" s="46">
        <f>Tabelle5897112140[[#This Row],[Maximalauslastung min]]*Tabelle5897112140[[#This Row],[installierte Leistung MW min]]</f>
        <v>175.88339999999997</v>
      </c>
      <c r="DI387" s="46">
        <f>Tabelle5897112140[[#This Row],[Maximalauslastung durch]]*Tabelle5897112140[[#This Row],[installierte Leistung MW durch]]</f>
        <v>319.77</v>
      </c>
      <c r="DJ387" s="11">
        <f>Tabelle5897112140[[#This Row],[Maximalauslastung max]]*Tabelle5897112140[[#This Row],[installierte Leistung MW durch]]</f>
        <v>323.13600000000002</v>
      </c>
      <c r="DK387" s="9">
        <v>0.94</v>
      </c>
      <c r="DL387" s="9">
        <v>0.95</v>
      </c>
      <c r="DM387" s="9">
        <v>0.96</v>
      </c>
      <c r="DN387" s="11">
        <v>336.6</v>
      </c>
      <c r="DO387" s="11">
        <v>187.10999999999999</v>
      </c>
      <c r="DP387" s="11">
        <v>486.09</v>
      </c>
      <c r="DQ387" s="1">
        <v>0.30041666666666667</v>
      </c>
      <c r="DR387" s="1">
        <v>8.3333333333333332E-3</v>
      </c>
      <c r="DS387" s="54">
        <v>0.5</v>
      </c>
      <c r="DT387" s="1">
        <v>0.77166666666666672</v>
      </c>
      <c r="DU387" s="1">
        <v>8.3333333333333329E-2</v>
      </c>
      <c r="DV387" s="54">
        <v>3</v>
      </c>
      <c r="DW387" s="1">
        <v>4.7999999999999989</v>
      </c>
      <c r="DX387" s="1">
        <v>4.3</v>
      </c>
      <c r="DY387" s="54">
        <v>5.3</v>
      </c>
      <c r="DZ387" s="1">
        <v>7.7999999999999989</v>
      </c>
      <c r="EA387" s="1">
        <v>5.8</v>
      </c>
      <c r="EB387" s="54">
        <v>9.8000000000000007</v>
      </c>
      <c r="EC387" s="1">
        <v>10.8</v>
      </c>
      <c r="ED387" s="1">
        <v>7.8</v>
      </c>
      <c r="EE387" s="54">
        <v>7.7999999999999989</v>
      </c>
      <c r="EF387" s="1">
        <v>7.7999999999999989</v>
      </c>
      <c r="EG387" s="1">
        <v>5.8</v>
      </c>
      <c r="EH387" s="54">
        <v>9.8000000000000007</v>
      </c>
      <c r="EJ387" s="1" t="s">
        <v>647</v>
      </c>
      <c r="EL387" s="1">
        <v>280</v>
      </c>
      <c r="EM387" s="1">
        <v>252</v>
      </c>
      <c r="EN387" s="1">
        <v>308</v>
      </c>
      <c r="EO387" s="1">
        <v>0</v>
      </c>
      <c r="EP387" s="1">
        <v>0</v>
      </c>
      <c r="EQ387" s="1">
        <v>0</v>
      </c>
      <c r="ER387" s="1">
        <v>280</v>
      </c>
      <c r="ES387" s="1">
        <v>252</v>
      </c>
      <c r="ET387" s="1">
        <v>308</v>
      </c>
      <c r="EU387" s="1">
        <v>2.3232323232323226</v>
      </c>
      <c r="EV387" s="19">
        <v>0.80808080808080796</v>
      </c>
      <c r="EW387" s="19">
        <v>3.8383838383838382</v>
      </c>
      <c r="EX387" s="19">
        <v>202.02020202020199</v>
      </c>
      <c r="EY387" s="8">
        <v>151.51515151515153</v>
      </c>
      <c r="EZ387" s="8">
        <v>252.52525252525251</v>
      </c>
      <c r="FA387" s="8">
        <v>465.65656565656559</v>
      </c>
      <c r="FB387" s="8">
        <v>393.93939393939394</v>
      </c>
      <c r="FC387" s="8">
        <v>537.37373737373741</v>
      </c>
      <c r="FD387" s="8">
        <v>0</v>
      </c>
      <c r="FE387" s="8">
        <v>0</v>
      </c>
      <c r="FF387" s="8">
        <v>30.303030303030305</v>
      </c>
      <c r="FG387" s="8">
        <v>44.444444444444443</v>
      </c>
      <c r="FH387" s="8">
        <v>24.242424242424242</v>
      </c>
      <c r="FI387" s="8">
        <v>64.646464646464651</v>
      </c>
      <c r="FJ387" s="8">
        <v>22.525252525252522</v>
      </c>
      <c r="FK387" s="8">
        <v>20.505050505050505</v>
      </c>
      <c r="FL387" s="8">
        <v>24.545454545454543</v>
      </c>
      <c r="FO387" s="1">
        <v>220</v>
      </c>
      <c r="FP387" s="1">
        <v>220</v>
      </c>
      <c r="FR387" s="13" t="s">
        <v>643</v>
      </c>
      <c r="FS387" s="1" t="s">
        <v>643</v>
      </c>
      <c r="FT387" s="13">
        <v>182</v>
      </c>
      <c r="FU387" s="13"/>
      <c r="FV387" s="13">
        <v>182</v>
      </c>
      <c r="FW387" s="13">
        <v>182</v>
      </c>
      <c r="FX387" s="1">
        <v>182</v>
      </c>
      <c r="FY387" s="13" t="s">
        <v>642</v>
      </c>
      <c r="FZ387" s="13" t="s">
        <v>641</v>
      </c>
      <c r="GA387" s="1">
        <v>202</v>
      </c>
      <c r="GB387" s="1">
        <v>202</v>
      </c>
      <c r="GD387" s="1" t="s">
        <v>645</v>
      </c>
      <c r="GE387" s="1">
        <v>211</v>
      </c>
      <c r="GF387" s="1">
        <v>214</v>
      </c>
      <c r="GG387" s="1">
        <v>220</v>
      </c>
      <c r="GH387" s="1">
        <v>214</v>
      </c>
      <c r="GK387" s="1" t="s">
        <v>644</v>
      </c>
    </row>
    <row r="388" spans="1:193" ht="12.75" customHeight="1" x14ac:dyDescent="0.25">
      <c r="A388" s="1" t="s">
        <v>74</v>
      </c>
      <c r="D388" s="1" t="s">
        <v>579</v>
      </c>
      <c r="E388" s="1" t="s">
        <v>126</v>
      </c>
      <c r="F388" s="1">
        <v>1</v>
      </c>
      <c r="G388" s="1">
        <v>2025</v>
      </c>
      <c r="H388" s="1">
        <v>1</v>
      </c>
      <c r="I388" s="1">
        <v>1</v>
      </c>
      <c r="J388" s="1">
        <v>0</v>
      </c>
      <c r="K388" s="11">
        <v>129.01</v>
      </c>
      <c r="L388" s="11">
        <v>237.65000000000003</v>
      </c>
      <c r="M388" s="11">
        <v>346.28999999999996</v>
      </c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9"/>
      <c r="BQ388" s="11">
        <v>30.07</v>
      </c>
      <c r="BR388" s="11">
        <v>71.78</v>
      </c>
      <c r="BS388" s="11">
        <v>113.49</v>
      </c>
      <c r="BT388" s="11">
        <f>Tabelle5897112140[[#This Row],[Mindestauslastung min]]*Tabelle5897112140[[#This Row],[installierte Leistung MW min]]</f>
        <v>0</v>
      </c>
      <c r="BU388" s="11">
        <f>Tabelle5897112140[[#This Row],[Mindestauslastung durch]]*Tabelle5897112140[[#This Row],[installierte Leistung MW durch]]</f>
        <v>0</v>
      </c>
      <c r="BV388" s="19">
        <f>Tabelle5897112140[[#This Row],[Mindestauslastung max]]*Tabelle5897112140[[#This Row],[installierte Leistung MW max]]</f>
        <v>0</v>
      </c>
      <c r="BW388" s="9">
        <v>0</v>
      </c>
      <c r="BX388" s="9">
        <v>0</v>
      </c>
      <c r="BY388" s="9">
        <v>0</v>
      </c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39">
        <v>0.69</v>
      </c>
      <c r="DC388" s="39">
        <v>0.73000000000000009</v>
      </c>
      <c r="DD388" s="39">
        <v>0.77</v>
      </c>
      <c r="DE388" s="11">
        <f>Tabelle5897112140[[#This Row],[Durchschnittsauslastung min]]*Tabelle5897112140[[#This Row],[installierte Leistung MW min]]</f>
        <v>126.49769999999998</v>
      </c>
      <c r="DF388" s="11">
        <f>Tabelle5897112140[[#This Row],[Durchschnittsauslastung durch]]*Tabelle5897112140[[#This Row],[installierte Leistung MW durch]]</f>
        <v>240.75399999999999</v>
      </c>
      <c r="DG388" s="46">
        <f>Tabelle5897112140[[#This Row],[Durchschnittsauslastung max]]*Tabelle5897112140[[#This Row],[installierte Leistung MW max]]</f>
        <v>366.72789999999998</v>
      </c>
      <c r="DH388" s="46">
        <f>Tabelle5897112140[[#This Row],[Maximalauslastung min]]*Tabelle5897112140[[#This Row],[installierte Leistung MW min]]</f>
        <v>172.33019999999996</v>
      </c>
      <c r="DI388" s="46">
        <f>Tabelle5897112140[[#This Row],[Maximalauslastung durch]]*Tabelle5897112140[[#This Row],[installierte Leistung MW durch]]</f>
        <v>313.31</v>
      </c>
      <c r="DJ388" s="11">
        <f>Tabelle5897112140[[#This Row],[Maximalauslastung max]]*Tabelle5897112140[[#This Row],[installierte Leistung MW durch]]</f>
        <v>316.60799999999995</v>
      </c>
      <c r="DK388" s="9">
        <v>0.94</v>
      </c>
      <c r="DL388" s="9">
        <v>0.95000000000000018</v>
      </c>
      <c r="DM388" s="9">
        <v>0.96</v>
      </c>
      <c r="DN388" s="11">
        <v>329.79999999999995</v>
      </c>
      <c r="DO388" s="11">
        <v>183.32999999999998</v>
      </c>
      <c r="DP388" s="11">
        <v>476.27</v>
      </c>
      <c r="DQ388" s="1">
        <v>0.30041666666666667</v>
      </c>
      <c r="DR388" s="1">
        <v>8.3333333333333332E-3</v>
      </c>
      <c r="DS388" s="54">
        <v>0.5</v>
      </c>
      <c r="DT388" s="1">
        <v>0.77166666666666683</v>
      </c>
      <c r="DU388" s="1">
        <v>8.3333333333333329E-2</v>
      </c>
      <c r="DV388" s="54">
        <v>3</v>
      </c>
      <c r="DW388" s="1">
        <v>4.8000000000000007</v>
      </c>
      <c r="DX388" s="1">
        <v>4.3</v>
      </c>
      <c r="DY388" s="54">
        <v>5.3</v>
      </c>
      <c r="DZ388" s="1">
        <v>7.8000000000000007</v>
      </c>
      <c r="EA388" s="1">
        <v>5.8</v>
      </c>
      <c r="EB388" s="54">
        <v>9.8000000000000007</v>
      </c>
      <c r="EC388" s="1">
        <v>10.8</v>
      </c>
      <c r="ED388" s="1">
        <v>7.8</v>
      </c>
      <c r="EE388" s="54">
        <v>7.8</v>
      </c>
      <c r="EF388" s="1">
        <v>7.8000000000000007</v>
      </c>
      <c r="EG388" s="1">
        <v>5.8</v>
      </c>
      <c r="EH388" s="54">
        <v>9.8000000000000007</v>
      </c>
      <c r="EJ388" s="1" t="s">
        <v>647</v>
      </c>
      <c r="EL388" s="1">
        <v>365</v>
      </c>
      <c r="EM388" s="1">
        <v>328</v>
      </c>
      <c r="EN388" s="1">
        <v>402</v>
      </c>
      <c r="EO388" s="1">
        <v>0</v>
      </c>
      <c r="EP388" s="1">
        <v>0</v>
      </c>
      <c r="EQ388" s="1">
        <v>0</v>
      </c>
      <c r="ER388" s="1">
        <v>700</v>
      </c>
      <c r="ES388" s="1">
        <v>650</v>
      </c>
      <c r="ET388" s="1">
        <v>750</v>
      </c>
      <c r="EU388" s="1">
        <v>2.3232323232323235</v>
      </c>
      <c r="EV388" s="19">
        <v>0.80808080808080796</v>
      </c>
      <c r="EW388" s="19">
        <v>3.8383838383838382</v>
      </c>
      <c r="EX388" s="19">
        <v>202.02020202020202</v>
      </c>
      <c r="EY388" s="8">
        <v>151.51515151515153</v>
      </c>
      <c r="EZ388" s="8">
        <v>252.52525252525254</v>
      </c>
      <c r="FA388" s="8">
        <v>465.6565656565657</v>
      </c>
      <c r="FB388" s="8">
        <v>393.93939393939394</v>
      </c>
      <c r="FC388" s="8">
        <v>537.37373737373741</v>
      </c>
      <c r="FD388" s="8">
        <v>0</v>
      </c>
      <c r="FE388" s="8">
        <v>0</v>
      </c>
      <c r="FF388" s="8">
        <v>30.303030303030305</v>
      </c>
      <c r="FG388" s="8">
        <v>44.44444444444445</v>
      </c>
      <c r="FH388" s="8">
        <v>24.242424242424242</v>
      </c>
      <c r="FI388" s="8">
        <v>64.646464646464651</v>
      </c>
      <c r="FJ388" s="8">
        <v>22.52525252525253</v>
      </c>
      <c r="FK388" s="8">
        <v>20.505050505050505</v>
      </c>
      <c r="FL388" s="8">
        <v>24.545454545454547</v>
      </c>
      <c r="FO388" s="1">
        <v>220</v>
      </c>
      <c r="FP388" s="1">
        <v>220</v>
      </c>
      <c r="FR388" s="13" t="s">
        <v>643</v>
      </c>
      <c r="FS388" s="1" t="s">
        <v>643</v>
      </c>
      <c r="FT388" s="13">
        <v>182</v>
      </c>
      <c r="FU388" s="13"/>
      <c r="FV388" s="13">
        <v>182</v>
      </c>
      <c r="FW388" s="13">
        <v>182</v>
      </c>
      <c r="FX388" s="1">
        <v>182</v>
      </c>
      <c r="FY388" s="13" t="s">
        <v>642</v>
      </c>
      <c r="FZ388" s="13" t="s">
        <v>641</v>
      </c>
      <c r="GA388" s="1">
        <v>202</v>
      </c>
      <c r="GB388" s="1">
        <v>202</v>
      </c>
      <c r="GD388" s="1" t="s">
        <v>645</v>
      </c>
      <c r="GE388" s="1">
        <v>211</v>
      </c>
      <c r="GF388" s="1">
        <v>214</v>
      </c>
      <c r="GG388" s="1">
        <v>220</v>
      </c>
      <c r="GH388" s="1">
        <v>214</v>
      </c>
      <c r="GK388" s="1" t="s">
        <v>644</v>
      </c>
    </row>
    <row r="389" spans="1:193" ht="12.75" customHeight="1" x14ac:dyDescent="0.25">
      <c r="A389" s="1" t="s">
        <v>74</v>
      </c>
      <c r="D389" s="1" t="s">
        <v>579</v>
      </c>
      <c r="E389" s="1" t="s">
        <v>126</v>
      </c>
      <c r="F389" s="1">
        <v>1</v>
      </c>
      <c r="G389" s="1">
        <v>2030</v>
      </c>
      <c r="H389" s="1">
        <v>1</v>
      </c>
      <c r="I389" s="1">
        <v>1</v>
      </c>
      <c r="J389" s="1">
        <v>0</v>
      </c>
      <c r="K389" s="11">
        <v>127.67999999999999</v>
      </c>
      <c r="L389" s="11">
        <v>235.2</v>
      </c>
      <c r="M389" s="11">
        <v>342.71999999999991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9"/>
      <c r="BQ389" s="11">
        <v>29.759999999999998</v>
      </c>
      <c r="BR389" s="11">
        <v>71.039999999999992</v>
      </c>
      <c r="BS389" s="11">
        <v>112.31999999999996</v>
      </c>
      <c r="BT389" s="11">
        <f>Tabelle5897112140[[#This Row],[Mindestauslastung min]]*Tabelle5897112140[[#This Row],[installierte Leistung MW min]]</f>
        <v>0</v>
      </c>
      <c r="BU389" s="11">
        <f>Tabelle5897112140[[#This Row],[Mindestauslastung durch]]*Tabelle5897112140[[#This Row],[installierte Leistung MW durch]]</f>
        <v>0</v>
      </c>
      <c r="BV389" s="19">
        <f>Tabelle5897112140[[#This Row],[Mindestauslastung max]]*Tabelle5897112140[[#This Row],[installierte Leistung MW max]]</f>
        <v>0</v>
      </c>
      <c r="BW389" s="9">
        <v>0</v>
      </c>
      <c r="BX389" s="9">
        <v>0</v>
      </c>
      <c r="BY389" s="9">
        <v>0</v>
      </c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39">
        <v>0.69</v>
      </c>
      <c r="DC389" s="39">
        <v>0.73</v>
      </c>
      <c r="DD389" s="39">
        <v>0.76999999999999991</v>
      </c>
      <c r="DE389" s="11">
        <f>Tabelle5897112140[[#This Row],[Durchschnittsauslastung min]]*Tabelle5897112140[[#This Row],[installierte Leistung MW min]]</f>
        <v>125.19359999999999</v>
      </c>
      <c r="DF389" s="11">
        <f>Tabelle5897112140[[#This Row],[Durchschnittsauslastung durch]]*Tabelle5897112140[[#This Row],[installierte Leistung MW durch]]</f>
        <v>238.27199999999999</v>
      </c>
      <c r="DG389" s="46">
        <f>Tabelle5897112140[[#This Row],[Durchschnittsauslastung max]]*Tabelle5897112140[[#This Row],[installierte Leistung MW max]]</f>
        <v>362.94719999999995</v>
      </c>
      <c r="DH389" s="46">
        <f>Tabelle5897112140[[#This Row],[Maximalauslastung min]]*Tabelle5897112140[[#This Row],[installierte Leistung MW min]]</f>
        <v>170.55359999999999</v>
      </c>
      <c r="DI389" s="46">
        <f>Tabelle5897112140[[#This Row],[Maximalauslastung durch]]*Tabelle5897112140[[#This Row],[installierte Leistung MW durch]]</f>
        <v>310.08</v>
      </c>
      <c r="DJ389" s="11">
        <f>Tabelle5897112140[[#This Row],[Maximalauslastung max]]*Tabelle5897112140[[#This Row],[installierte Leistung MW durch]]</f>
        <v>313.34399999999999</v>
      </c>
      <c r="DK389" s="9">
        <v>0.94</v>
      </c>
      <c r="DL389" s="9">
        <v>0.95</v>
      </c>
      <c r="DM389" s="9">
        <v>0.96</v>
      </c>
      <c r="DN389" s="11">
        <v>326.39999999999998</v>
      </c>
      <c r="DO389" s="11">
        <v>181.44</v>
      </c>
      <c r="DP389" s="11">
        <v>471.36</v>
      </c>
      <c r="DQ389" s="1">
        <v>0.30041666666666667</v>
      </c>
      <c r="DR389" s="1">
        <v>8.3333333333333332E-3</v>
      </c>
      <c r="DS389" s="54">
        <v>0.5</v>
      </c>
      <c r="DT389" s="1">
        <v>0.77166666666666672</v>
      </c>
      <c r="DU389" s="1">
        <v>8.3333333333333329E-2</v>
      </c>
      <c r="DV389" s="54">
        <v>3</v>
      </c>
      <c r="DW389" s="1">
        <v>4.8</v>
      </c>
      <c r="DX389" s="1">
        <v>4.3</v>
      </c>
      <c r="DY389" s="54">
        <v>5.3</v>
      </c>
      <c r="DZ389" s="1">
        <v>7.8</v>
      </c>
      <c r="EA389" s="1">
        <v>5.8</v>
      </c>
      <c r="EB389" s="54">
        <v>9.8000000000000007</v>
      </c>
      <c r="EC389" s="1">
        <v>10.8</v>
      </c>
      <c r="ED389" s="1">
        <v>7.8</v>
      </c>
      <c r="EE389" s="54">
        <v>7.7999999999999989</v>
      </c>
      <c r="EF389" s="1">
        <v>7.8</v>
      </c>
      <c r="EG389" s="1">
        <v>5.8</v>
      </c>
      <c r="EH389" s="54">
        <v>9.8000000000000007</v>
      </c>
      <c r="EJ389" s="1" t="s">
        <v>647</v>
      </c>
      <c r="EL389" s="1">
        <v>6570</v>
      </c>
      <c r="EM389" s="1">
        <v>4380</v>
      </c>
      <c r="EN389" s="1">
        <v>8760</v>
      </c>
      <c r="EO389" s="1">
        <v>0</v>
      </c>
      <c r="EP389" s="1">
        <v>0</v>
      </c>
      <c r="EQ389" s="1">
        <v>0</v>
      </c>
      <c r="ER389" s="1">
        <v>700</v>
      </c>
      <c r="ES389" s="1">
        <v>650</v>
      </c>
      <c r="ET389" s="1">
        <v>749.99999999999989</v>
      </c>
      <c r="EU389" s="1">
        <v>2.3232323232323231</v>
      </c>
      <c r="EV389" s="19">
        <v>0.80808080808080796</v>
      </c>
      <c r="EW389" s="19">
        <v>3.8383838383838378</v>
      </c>
      <c r="EX389" s="19">
        <v>202.02020202020202</v>
      </c>
      <c r="EY389" s="8">
        <v>151.51515151515153</v>
      </c>
      <c r="EZ389" s="8">
        <v>252.52525252525248</v>
      </c>
      <c r="FA389" s="8">
        <v>465.65656565656565</v>
      </c>
      <c r="FB389" s="8">
        <v>393.93939393939394</v>
      </c>
      <c r="FC389" s="8">
        <v>537.37373737373741</v>
      </c>
      <c r="FD389" s="8">
        <v>0</v>
      </c>
      <c r="FE389" s="8">
        <v>0</v>
      </c>
      <c r="FF389" s="8">
        <v>30.303030303030301</v>
      </c>
      <c r="FG389" s="8">
        <v>44.444444444444443</v>
      </c>
      <c r="FH389" s="8">
        <v>24.242424242424242</v>
      </c>
      <c r="FI389" s="8">
        <v>64.646464646464636</v>
      </c>
      <c r="FJ389" s="8">
        <v>22.525252525252526</v>
      </c>
      <c r="FK389" s="8">
        <v>20.505050505050505</v>
      </c>
      <c r="FL389" s="8">
        <v>24.545454545454543</v>
      </c>
      <c r="FO389" s="1">
        <v>220</v>
      </c>
      <c r="FP389" s="1">
        <v>220</v>
      </c>
      <c r="FR389" s="13" t="s">
        <v>643</v>
      </c>
      <c r="FS389" s="1" t="s">
        <v>643</v>
      </c>
      <c r="FT389" s="13">
        <v>182</v>
      </c>
      <c r="FU389" s="13"/>
      <c r="FV389" s="13">
        <v>182</v>
      </c>
      <c r="FW389" s="13">
        <v>182</v>
      </c>
      <c r="FX389" s="1">
        <v>182</v>
      </c>
      <c r="FY389" s="13" t="s">
        <v>642</v>
      </c>
      <c r="FZ389" s="13" t="s">
        <v>641</v>
      </c>
      <c r="GA389" s="1">
        <v>202</v>
      </c>
      <c r="GB389" s="1">
        <v>202</v>
      </c>
      <c r="GD389" s="1" t="s">
        <v>645</v>
      </c>
      <c r="GE389" s="1">
        <v>211</v>
      </c>
      <c r="GF389" s="1">
        <v>214</v>
      </c>
      <c r="GG389" s="1">
        <v>220</v>
      </c>
      <c r="GH389" s="1">
        <v>214</v>
      </c>
      <c r="GK389" s="1" t="s">
        <v>644</v>
      </c>
    </row>
    <row r="390" spans="1:193" ht="12.75" customHeight="1" x14ac:dyDescent="0.25">
      <c r="A390" s="1" t="s">
        <v>74</v>
      </c>
      <c r="D390" s="1" t="s">
        <v>579</v>
      </c>
      <c r="E390" s="1" t="s">
        <v>126</v>
      </c>
      <c r="F390" s="1">
        <v>1</v>
      </c>
      <c r="G390" s="1">
        <v>2035</v>
      </c>
      <c r="H390" s="1">
        <v>1</v>
      </c>
      <c r="I390" s="1">
        <v>1</v>
      </c>
      <c r="J390" s="1">
        <v>0</v>
      </c>
      <c r="K390" s="11">
        <v>126.35</v>
      </c>
      <c r="L390" s="11">
        <v>232.74999999999994</v>
      </c>
      <c r="M390" s="11">
        <v>339.15</v>
      </c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9"/>
      <c r="BQ390" s="11">
        <v>29.45</v>
      </c>
      <c r="BR390" s="11">
        <v>70.299999999999983</v>
      </c>
      <c r="BS390" s="11">
        <v>111.14999999999999</v>
      </c>
      <c r="BT390" s="11">
        <f>Tabelle5897112140[[#This Row],[Mindestauslastung min]]*Tabelle5897112140[[#This Row],[installierte Leistung MW min]]</f>
        <v>0</v>
      </c>
      <c r="BU390" s="11">
        <f>Tabelle5897112140[[#This Row],[Mindestauslastung durch]]*Tabelle5897112140[[#This Row],[installierte Leistung MW durch]]</f>
        <v>0</v>
      </c>
      <c r="BV390" s="19">
        <f>Tabelle5897112140[[#This Row],[Mindestauslastung max]]*Tabelle5897112140[[#This Row],[installierte Leistung MW max]]</f>
        <v>0</v>
      </c>
      <c r="BW390" s="9">
        <v>0</v>
      </c>
      <c r="BX390" s="9">
        <v>0</v>
      </c>
      <c r="BY390" s="9">
        <v>0</v>
      </c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39">
        <v>0.69</v>
      </c>
      <c r="DC390" s="39">
        <v>0.72999999999999987</v>
      </c>
      <c r="DD390" s="39">
        <v>0.77</v>
      </c>
      <c r="DE390" s="11">
        <f>Tabelle5897112140[[#This Row],[Durchschnittsauslastung min]]*Tabelle5897112140[[#This Row],[installierte Leistung MW min]]</f>
        <v>123.88949999999998</v>
      </c>
      <c r="DF390" s="11">
        <f>Tabelle5897112140[[#This Row],[Durchschnittsauslastung durch]]*Tabelle5897112140[[#This Row],[installierte Leistung MW durch]]</f>
        <v>235.78999999999996</v>
      </c>
      <c r="DG390" s="46">
        <f>Tabelle5897112140[[#This Row],[Durchschnittsauslastung max]]*Tabelle5897112140[[#This Row],[installierte Leistung MW max]]</f>
        <v>359.16649999999993</v>
      </c>
      <c r="DH390" s="46">
        <f>Tabelle5897112140[[#This Row],[Maximalauslastung min]]*Tabelle5897112140[[#This Row],[installierte Leistung MW min]]</f>
        <v>168.77699999999999</v>
      </c>
      <c r="DI390" s="46">
        <f>Tabelle5897112140[[#This Row],[Maximalauslastung durch]]*Tabelle5897112140[[#This Row],[installierte Leistung MW durch]]</f>
        <v>306.84999999999997</v>
      </c>
      <c r="DJ390" s="11">
        <f>Tabelle5897112140[[#This Row],[Maximalauslastung max]]*Tabelle5897112140[[#This Row],[installierte Leistung MW durch]]</f>
        <v>310.08</v>
      </c>
      <c r="DK390" s="9">
        <v>0.94</v>
      </c>
      <c r="DL390" s="9">
        <v>0.95</v>
      </c>
      <c r="DM390" s="9">
        <v>0.96</v>
      </c>
      <c r="DN390" s="11">
        <v>323</v>
      </c>
      <c r="DO390" s="11">
        <v>179.54999999999998</v>
      </c>
      <c r="DP390" s="11">
        <v>466.44999999999993</v>
      </c>
      <c r="DQ390" s="1">
        <v>0.30041666666666667</v>
      </c>
      <c r="DR390" s="1">
        <v>8.3333333333333332E-3</v>
      </c>
      <c r="DS390" s="54">
        <v>0.5</v>
      </c>
      <c r="DT390" s="1">
        <v>0.77166666666666672</v>
      </c>
      <c r="DU390" s="1">
        <v>8.3333333333333329E-2</v>
      </c>
      <c r="DV390" s="54">
        <v>3</v>
      </c>
      <c r="DW390" s="1">
        <v>4.7999999999999989</v>
      </c>
      <c r="DX390" s="1">
        <v>4.3</v>
      </c>
      <c r="DY390" s="54">
        <v>5.3</v>
      </c>
      <c r="DZ390" s="1">
        <v>7.7999999999999989</v>
      </c>
      <c r="EA390" s="1">
        <v>5.8</v>
      </c>
      <c r="EB390" s="54">
        <v>9.8000000000000007</v>
      </c>
      <c r="EC390" s="1">
        <v>10.8</v>
      </c>
      <c r="ED390" s="1">
        <v>7.8</v>
      </c>
      <c r="EE390" s="54">
        <v>7.8000000000000007</v>
      </c>
      <c r="EF390" s="1">
        <v>7.7999999999999989</v>
      </c>
      <c r="EG390" s="1">
        <v>5.8</v>
      </c>
      <c r="EH390" s="54">
        <v>9.8000000000000007</v>
      </c>
      <c r="EJ390" s="1" t="s">
        <v>647</v>
      </c>
      <c r="EL390" s="1">
        <v>999.99999999999989</v>
      </c>
      <c r="EM390" s="1">
        <v>500</v>
      </c>
      <c r="EN390" s="1">
        <v>1500</v>
      </c>
      <c r="EO390" s="1">
        <v>0</v>
      </c>
      <c r="EP390" s="1">
        <v>0</v>
      </c>
      <c r="EQ390" s="1">
        <v>0</v>
      </c>
      <c r="ER390" s="1">
        <v>700</v>
      </c>
      <c r="ES390" s="1">
        <v>650</v>
      </c>
      <c r="ET390" s="1">
        <v>750</v>
      </c>
      <c r="EU390" s="1">
        <v>2.3232323232323226</v>
      </c>
      <c r="EV390" s="19">
        <v>0.80808080808080796</v>
      </c>
      <c r="EW390" s="19">
        <v>3.8383838383838382</v>
      </c>
      <c r="EX390" s="19">
        <v>202.02020202020199</v>
      </c>
      <c r="EY390" s="8">
        <v>151.51515151515153</v>
      </c>
      <c r="EZ390" s="8">
        <v>252.52525252525254</v>
      </c>
      <c r="FA390" s="8">
        <v>465.65656565656559</v>
      </c>
      <c r="FB390" s="8">
        <v>393.93939393939394</v>
      </c>
      <c r="FC390" s="8">
        <v>537.37373737373741</v>
      </c>
      <c r="FD390" s="8">
        <v>0</v>
      </c>
      <c r="FE390" s="8">
        <v>0</v>
      </c>
      <c r="FF390" s="8">
        <v>30.303030303030305</v>
      </c>
      <c r="FG390" s="8">
        <v>44.444444444444443</v>
      </c>
      <c r="FH390" s="8">
        <v>24.242424242424242</v>
      </c>
      <c r="FI390" s="8">
        <v>64.646464646464651</v>
      </c>
      <c r="FJ390" s="8">
        <v>22.525252525252522</v>
      </c>
      <c r="FK390" s="8">
        <v>20.505050505050505</v>
      </c>
      <c r="FL390" s="8">
        <v>24.54545454545455</v>
      </c>
      <c r="FO390" s="1">
        <v>220</v>
      </c>
      <c r="FP390" s="1">
        <v>220</v>
      </c>
      <c r="FR390" s="13" t="s">
        <v>643</v>
      </c>
      <c r="FS390" s="1" t="s">
        <v>643</v>
      </c>
      <c r="FT390" s="13">
        <v>182</v>
      </c>
      <c r="FU390" s="13"/>
      <c r="FV390" s="13">
        <v>182</v>
      </c>
      <c r="FW390" s="13">
        <v>182</v>
      </c>
      <c r="FX390" s="1">
        <v>182</v>
      </c>
      <c r="FY390" s="13" t="s">
        <v>642</v>
      </c>
      <c r="FZ390" s="13" t="s">
        <v>641</v>
      </c>
      <c r="GA390" s="1">
        <v>202</v>
      </c>
      <c r="GB390" s="1">
        <v>202</v>
      </c>
      <c r="GD390" s="1" t="s">
        <v>645</v>
      </c>
      <c r="GE390" s="1">
        <v>211</v>
      </c>
      <c r="GF390" s="1">
        <v>214</v>
      </c>
      <c r="GG390" s="1">
        <v>220</v>
      </c>
      <c r="GH390" s="1">
        <v>214</v>
      </c>
      <c r="GK390" s="1" t="s">
        <v>644</v>
      </c>
    </row>
    <row r="391" spans="1:193" ht="12.75" customHeight="1" x14ac:dyDescent="0.25">
      <c r="A391" s="1" t="s">
        <v>74</v>
      </c>
      <c r="D391" s="1" t="s">
        <v>579</v>
      </c>
      <c r="E391" s="1" t="s">
        <v>126</v>
      </c>
      <c r="F391" s="1">
        <v>1</v>
      </c>
      <c r="G391" s="1">
        <v>2040</v>
      </c>
      <c r="H391" s="1">
        <v>1</v>
      </c>
      <c r="I391" s="1">
        <v>1</v>
      </c>
      <c r="J391" s="1">
        <v>0</v>
      </c>
      <c r="K391" s="11">
        <v>123.69000000000003</v>
      </c>
      <c r="L391" s="11">
        <v>227.85000000000002</v>
      </c>
      <c r="M391" s="11">
        <v>332.01000000000005</v>
      </c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9"/>
      <c r="BQ391" s="11">
        <v>28.830000000000005</v>
      </c>
      <c r="BR391" s="11">
        <v>68.820000000000007</v>
      </c>
      <c r="BS391" s="11">
        <v>108.81000000000002</v>
      </c>
      <c r="BT391" s="11">
        <f>Tabelle5897112140[[#This Row],[Mindestauslastung min]]*Tabelle5897112140[[#This Row],[installierte Leistung MW min]]</f>
        <v>0</v>
      </c>
      <c r="BU391" s="11">
        <f>Tabelle5897112140[[#This Row],[Mindestauslastung durch]]*Tabelle5897112140[[#This Row],[installierte Leistung MW durch]]</f>
        <v>0</v>
      </c>
      <c r="BV391" s="19">
        <f>Tabelle5897112140[[#This Row],[Mindestauslastung max]]*Tabelle5897112140[[#This Row],[installierte Leistung MW max]]</f>
        <v>0</v>
      </c>
      <c r="BW391" s="9">
        <v>0</v>
      </c>
      <c r="BX391" s="9">
        <v>0</v>
      </c>
      <c r="BY391" s="9">
        <v>0</v>
      </c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39">
        <v>0.69</v>
      </c>
      <c r="DC391" s="39">
        <v>0.73</v>
      </c>
      <c r="DD391" s="39">
        <v>0.77</v>
      </c>
      <c r="DE391" s="11">
        <f>Tabelle5897112140[[#This Row],[Durchschnittsauslastung min]]*Tabelle5897112140[[#This Row],[installierte Leistung MW min]]</f>
        <v>121.2813</v>
      </c>
      <c r="DF391" s="11">
        <f>Tabelle5897112140[[#This Row],[Durchschnittsauslastung durch]]*Tabelle5897112140[[#This Row],[installierte Leistung MW durch]]</f>
        <v>230.82600000000002</v>
      </c>
      <c r="DG391" s="46">
        <f>Tabelle5897112140[[#This Row],[Durchschnittsauslastung max]]*Tabelle5897112140[[#This Row],[installierte Leistung MW max]]</f>
        <v>351.60510000000005</v>
      </c>
      <c r="DH391" s="46">
        <f>Tabelle5897112140[[#This Row],[Maximalauslastung min]]*Tabelle5897112140[[#This Row],[installierte Leistung MW min]]</f>
        <v>165.22380000000001</v>
      </c>
      <c r="DI391" s="46">
        <f>Tabelle5897112140[[#This Row],[Maximalauslastung durch]]*Tabelle5897112140[[#This Row],[installierte Leistung MW durch]]</f>
        <v>300.39000000000004</v>
      </c>
      <c r="DJ391" s="11">
        <f>Tabelle5897112140[[#This Row],[Maximalauslastung max]]*Tabelle5897112140[[#This Row],[installierte Leistung MW durch]]</f>
        <v>303.55200000000002</v>
      </c>
      <c r="DK391" s="9">
        <v>0.94</v>
      </c>
      <c r="DL391" s="9">
        <v>0.95</v>
      </c>
      <c r="DM391" s="9">
        <v>0.96</v>
      </c>
      <c r="DN391" s="11">
        <v>316.20000000000005</v>
      </c>
      <c r="DO391" s="11">
        <v>175.77</v>
      </c>
      <c r="DP391" s="11">
        <v>456.63000000000005</v>
      </c>
      <c r="DQ391" s="1">
        <v>0.30041666666666667</v>
      </c>
      <c r="DR391" s="1">
        <v>8.3333333333333332E-3</v>
      </c>
      <c r="DS391" s="54">
        <v>0.5</v>
      </c>
      <c r="DT391" s="1">
        <v>0.77166666666666672</v>
      </c>
      <c r="DU391" s="1">
        <v>8.3333333333333329E-2</v>
      </c>
      <c r="DV391" s="54">
        <v>3</v>
      </c>
      <c r="DW391" s="1">
        <v>4.7999999999999989</v>
      </c>
      <c r="DX391" s="1">
        <v>4.3</v>
      </c>
      <c r="DY391" s="54">
        <v>5.3</v>
      </c>
      <c r="DZ391" s="1">
        <v>7.7999999999999989</v>
      </c>
      <c r="EA391" s="1">
        <v>5.8</v>
      </c>
      <c r="EB391" s="54">
        <v>9.8000000000000007</v>
      </c>
      <c r="EC391" s="1">
        <v>10.8</v>
      </c>
      <c r="ED391" s="1">
        <v>7.8000000000000007</v>
      </c>
      <c r="EE391" s="54">
        <v>7.8000000000000007</v>
      </c>
      <c r="EF391" s="1">
        <v>7.7999999999999989</v>
      </c>
      <c r="EG391" s="1">
        <v>5.8</v>
      </c>
      <c r="EH391" s="54">
        <v>9.8000000000000007</v>
      </c>
      <c r="EJ391" s="1" t="s">
        <v>647</v>
      </c>
      <c r="EL391" s="1">
        <v>365</v>
      </c>
      <c r="EM391" s="1">
        <v>328</v>
      </c>
      <c r="EN391" s="1">
        <v>402</v>
      </c>
      <c r="EO391" s="1">
        <v>0</v>
      </c>
      <c r="EP391" s="1">
        <v>0</v>
      </c>
      <c r="EQ391" s="1">
        <v>0</v>
      </c>
      <c r="ER391" s="1">
        <v>700</v>
      </c>
      <c r="ES391" s="1">
        <v>650</v>
      </c>
      <c r="ET391" s="1">
        <v>750</v>
      </c>
      <c r="EU391" s="1">
        <v>2.3232323232323231</v>
      </c>
      <c r="EV391" s="19">
        <v>0.80808080808080796</v>
      </c>
      <c r="EW391" s="19">
        <v>3.8383838383838382</v>
      </c>
      <c r="EX391" s="19">
        <v>202.02020202020202</v>
      </c>
      <c r="EY391" s="8">
        <v>151.51515151515153</v>
      </c>
      <c r="EZ391" s="8">
        <v>252.52525252525254</v>
      </c>
      <c r="FA391" s="8">
        <v>465.65656565656565</v>
      </c>
      <c r="FB391" s="8">
        <v>393.93939393939394</v>
      </c>
      <c r="FC391" s="8">
        <v>537.37373737373741</v>
      </c>
      <c r="FD391" s="8">
        <v>0</v>
      </c>
      <c r="FE391" s="8">
        <v>0</v>
      </c>
      <c r="FF391" s="8">
        <v>30.303030303030305</v>
      </c>
      <c r="FG391" s="8">
        <v>44.444444444444443</v>
      </c>
      <c r="FH391" s="8">
        <v>24.242424242424242</v>
      </c>
      <c r="FI391" s="8">
        <v>64.646464646464651</v>
      </c>
      <c r="FJ391" s="8">
        <v>22.525252525252526</v>
      </c>
      <c r="FK391" s="8">
        <v>20.505050505050509</v>
      </c>
      <c r="FL391" s="8">
        <v>24.54545454545455</v>
      </c>
      <c r="FO391" s="1">
        <v>220</v>
      </c>
      <c r="FP391" s="1">
        <v>220</v>
      </c>
      <c r="FR391" s="13" t="s">
        <v>643</v>
      </c>
      <c r="FS391" s="1" t="s">
        <v>643</v>
      </c>
      <c r="FT391" s="13">
        <v>182</v>
      </c>
      <c r="FU391" s="13"/>
      <c r="FV391" s="13">
        <v>182</v>
      </c>
      <c r="FW391" s="13">
        <v>182</v>
      </c>
      <c r="FX391" s="1">
        <v>182</v>
      </c>
      <c r="FY391" s="13" t="s">
        <v>642</v>
      </c>
      <c r="FZ391" s="13" t="s">
        <v>641</v>
      </c>
      <c r="GA391" s="1">
        <v>202</v>
      </c>
      <c r="GB391" s="1">
        <v>202</v>
      </c>
      <c r="GD391" s="1" t="s">
        <v>645</v>
      </c>
      <c r="GE391" s="1">
        <v>211</v>
      </c>
      <c r="GF391" s="1">
        <v>214</v>
      </c>
      <c r="GG391" s="1">
        <v>220</v>
      </c>
      <c r="GH391" s="1">
        <v>214</v>
      </c>
      <c r="GK391" s="1" t="s">
        <v>644</v>
      </c>
    </row>
    <row r="392" spans="1:193" ht="12.75" customHeight="1" x14ac:dyDescent="0.25">
      <c r="A392" s="1" t="s">
        <v>74</v>
      </c>
      <c r="D392" s="1" t="s">
        <v>579</v>
      </c>
      <c r="E392" s="1" t="s">
        <v>126</v>
      </c>
      <c r="F392" s="1">
        <v>1</v>
      </c>
      <c r="G392" s="1">
        <v>2045</v>
      </c>
      <c r="H392" s="1">
        <v>1</v>
      </c>
      <c r="I392" s="1">
        <v>1</v>
      </c>
      <c r="J392" s="1">
        <v>0</v>
      </c>
      <c r="K392" s="11">
        <v>122.35999999999999</v>
      </c>
      <c r="L392" s="11">
        <v>225.40000000000003</v>
      </c>
      <c r="M392" s="11">
        <v>328.44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9"/>
      <c r="BQ392" s="11">
        <v>28.519999999999996</v>
      </c>
      <c r="BR392" s="11">
        <v>68.080000000000013</v>
      </c>
      <c r="BS392" s="11">
        <v>107.64</v>
      </c>
      <c r="BT392" s="11">
        <f>Tabelle5897112140[[#This Row],[Mindestauslastung min]]*Tabelle5897112140[[#This Row],[installierte Leistung MW min]]</f>
        <v>0</v>
      </c>
      <c r="BU392" s="11">
        <f>Tabelle5897112140[[#This Row],[Mindestauslastung durch]]*Tabelle5897112140[[#This Row],[installierte Leistung MW durch]]</f>
        <v>0</v>
      </c>
      <c r="BV392" s="19">
        <f>Tabelle5897112140[[#This Row],[Mindestauslastung max]]*Tabelle5897112140[[#This Row],[installierte Leistung MW max]]</f>
        <v>0</v>
      </c>
      <c r="BW392" s="9">
        <v>0</v>
      </c>
      <c r="BX392" s="9">
        <v>0</v>
      </c>
      <c r="BY392" s="9">
        <v>0</v>
      </c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39">
        <v>0.69</v>
      </c>
      <c r="DC392" s="39">
        <v>0.73</v>
      </c>
      <c r="DD392" s="39">
        <v>0.77</v>
      </c>
      <c r="DE392" s="11">
        <f>Tabelle5897112140[[#This Row],[Durchschnittsauslastung min]]*Tabelle5897112140[[#This Row],[installierte Leistung MW min]]</f>
        <v>119.97719999999998</v>
      </c>
      <c r="DF392" s="11">
        <f>Tabelle5897112140[[#This Row],[Durchschnittsauslastung durch]]*Tabelle5897112140[[#This Row],[installierte Leistung MW durch]]</f>
        <v>228.34399999999999</v>
      </c>
      <c r="DG392" s="46">
        <f>Tabelle5897112140[[#This Row],[Durchschnittsauslastung max]]*Tabelle5897112140[[#This Row],[installierte Leistung MW max]]</f>
        <v>347.82440000000003</v>
      </c>
      <c r="DH392" s="46">
        <f>Tabelle5897112140[[#This Row],[Maximalauslastung min]]*Tabelle5897112140[[#This Row],[installierte Leistung MW min]]</f>
        <v>163.44719999999998</v>
      </c>
      <c r="DI392" s="46">
        <f>Tabelle5897112140[[#This Row],[Maximalauslastung durch]]*Tabelle5897112140[[#This Row],[installierte Leistung MW durch]]</f>
        <v>297.16000000000003</v>
      </c>
      <c r="DJ392" s="11">
        <f>Tabelle5897112140[[#This Row],[Maximalauslastung max]]*Tabelle5897112140[[#This Row],[installierte Leistung MW durch]]</f>
        <v>300.28800000000001</v>
      </c>
      <c r="DK392" s="9">
        <v>0.94</v>
      </c>
      <c r="DL392" s="9">
        <v>0.95</v>
      </c>
      <c r="DM392" s="9">
        <v>0.96</v>
      </c>
      <c r="DN392" s="11">
        <v>312.8</v>
      </c>
      <c r="DO392" s="11">
        <v>173.88</v>
      </c>
      <c r="DP392" s="11">
        <v>451.72</v>
      </c>
      <c r="DQ392" s="1">
        <v>0.30041666666666667</v>
      </c>
      <c r="DR392" s="1">
        <v>8.3333333333333332E-3</v>
      </c>
      <c r="DS392" s="54">
        <v>0.5</v>
      </c>
      <c r="DT392" s="1">
        <v>0.77166666666666672</v>
      </c>
      <c r="DU392" s="1">
        <v>8.3333333333333329E-2</v>
      </c>
      <c r="DV392" s="54">
        <v>3</v>
      </c>
      <c r="DW392" s="1">
        <v>4.8</v>
      </c>
      <c r="DX392" s="1">
        <v>4.3</v>
      </c>
      <c r="DY392" s="54">
        <v>5.3</v>
      </c>
      <c r="DZ392" s="1">
        <v>7.8</v>
      </c>
      <c r="EA392" s="1">
        <v>5.8</v>
      </c>
      <c r="EB392" s="54">
        <v>9.8000000000000007</v>
      </c>
      <c r="EC392" s="1">
        <v>10.8</v>
      </c>
      <c r="ED392" s="1">
        <v>7.8</v>
      </c>
      <c r="EE392" s="54">
        <v>7.7999999999999989</v>
      </c>
      <c r="EF392" s="1">
        <v>7.8</v>
      </c>
      <c r="EG392" s="1">
        <v>5.8</v>
      </c>
      <c r="EH392" s="54">
        <v>9.8000000000000007</v>
      </c>
      <c r="EJ392" s="1" t="s">
        <v>647</v>
      </c>
      <c r="EL392" s="1">
        <v>639</v>
      </c>
      <c r="EM392" s="1">
        <v>575</v>
      </c>
      <c r="EN392" s="1">
        <v>703</v>
      </c>
      <c r="EO392" s="1">
        <v>0</v>
      </c>
      <c r="EP392" s="1">
        <v>0</v>
      </c>
      <c r="EQ392" s="1">
        <v>0</v>
      </c>
      <c r="ER392" s="1">
        <v>700</v>
      </c>
      <c r="ES392" s="1">
        <v>650</v>
      </c>
      <c r="ET392" s="1">
        <v>750</v>
      </c>
      <c r="EU392" s="1">
        <v>2.3232323232323231</v>
      </c>
      <c r="EV392" s="19">
        <v>0.80808080808080796</v>
      </c>
      <c r="EW392" s="19">
        <v>3.8383838383838382</v>
      </c>
      <c r="EX392" s="19">
        <v>202.02020202020202</v>
      </c>
      <c r="EY392" s="8">
        <v>151.51515151515153</v>
      </c>
      <c r="EZ392" s="8">
        <v>252.52525252525251</v>
      </c>
      <c r="FA392" s="8">
        <v>465.65656565656565</v>
      </c>
      <c r="FB392" s="8">
        <v>393.93939393939394</v>
      </c>
      <c r="FC392" s="8">
        <v>537.37373737373741</v>
      </c>
      <c r="FD392" s="8">
        <v>0</v>
      </c>
      <c r="FE392" s="8">
        <v>0</v>
      </c>
      <c r="FF392" s="8">
        <v>30.303030303030305</v>
      </c>
      <c r="FG392" s="8">
        <v>44.444444444444443</v>
      </c>
      <c r="FH392" s="8">
        <v>24.242424242424242</v>
      </c>
      <c r="FI392" s="8">
        <v>64.646464646464651</v>
      </c>
      <c r="FJ392" s="8">
        <v>22.525252525252526</v>
      </c>
      <c r="FK392" s="8">
        <v>20.505050505050505</v>
      </c>
      <c r="FL392" s="8">
        <v>24.545454545454543</v>
      </c>
      <c r="FO392" s="1">
        <v>220</v>
      </c>
      <c r="FP392" s="1">
        <v>220</v>
      </c>
      <c r="FR392" s="13" t="s">
        <v>643</v>
      </c>
      <c r="FS392" s="1" t="s">
        <v>643</v>
      </c>
      <c r="FT392" s="13">
        <v>182</v>
      </c>
      <c r="FU392" s="13"/>
      <c r="FV392" s="13">
        <v>182</v>
      </c>
      <c r="FW392" s="13">
        <v>182</v>
      </c>
      <c r="FX392" s="1">
        <v>182</v>
      </c>
      <c r="FY392" s="13" t="s">
        <v>642</v>
      </c>
      <c r="FZ392" s="13" t="s">
        <v>641</v>
      </c>
      <c r="GA392" s="1">
        <v>202</v>
      </c>
      <c r="GB392" s="1">
        <v>202</v>
      </c>
      <c r="GD392" s="1" t="s">
        <v>645</v>
      </c>
      <c r="GE392" s="1">
        <v>211</v>
      </c>
      <c r="GF392" s="1">
        <v>214</v>
      </c>
      <c r="GG392" s="1">
        <v>220</v>
      </c>
      <c r="GH392" s="1">
        <v>214</v>
      </c>
      <c r="GK392" s="1" t="s">
        <v>644</v>
      </c>
    </row>
    <row r="393" spans="1:193" ht="12.75" customHeight="1" x14ac:dyDescent="0.25">
      <c r="A393" s="1" t="s">
        <v>74</v>
      </c>
      <c r="D393" s="1" t="s">
        <v>579</v>
      </c>
      <c r="E393" s="1" t="s">
        <v>126</v>
      </c>
      <c r="F393" s="1">
        <v>1</v>
      </c>
      <c r="G393" s="1">
        <v>2050</v>
      </c>
      <c r="H393" s="1">
        <v>1</v>
      </c>
      <c r="I393" s="1">
        <v>1</v>
      </c>
      <c r="J393" s="1">
        <v>0</v>
      </c>
      <c r="K393" s="11">
        <v>121.02999999999999</v>
      </c>
      <c r="L393" s="11">
        <v>222.95</v>
      </c>
      <c r="M393" s="11">
        <v>324.86999999999995</v>
      </c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9"/>
      <c r="BQ393" s="11">
        <v>28.209999999999997</v>
      </c>
      <c r="BR393" s="11">
        <v>67.339999999999989</v>
      </c>
      <c r="BS393" s="11">
        <v>106.46999999999998</v>
      </c>
      <c r="BT393" s="11">
        <f>Tabelle5897112140[[#This Row],[Mindestauslastung min]]*Tabelle5897112140[[#This Row],[installierte Leistung MW min]]</f>
        <v>0</v>
      </c>
      <c r="BU393" s="11">
        <f>Tabelle5897112140[[#This Row],[Mindestauslastung durch]]*Tabelle5897112140[[#This Row],[installierte Leistung MW durch]]</f>
        <v>0</v>
      </c>
      <c r="BV393" s="19">
        <f>Tabelle5897112140[[#This Row],[Mindestauslastung max]]*Tabelle5897112140[[#This Row],[installierte Leistung MW max]]</f>
        <v>0</v>
      </c>
      <c r="BW393" s="9">
        <v>0</v>
      </c>
      <c r="BX393" s="9">
        <v>0</v>
      </c>
      <c r="BY393" s="9">
        <v>0</v>
      </c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39">
        <v>0.69</v>
      </c>
      <c r="DC393" s="39">
        <v>0.73</v>
      </c>
      <c r="DD393" s="39">
        <v>0.77</v>
      </c>
      <c r="DE393" s="11">
        <f>Tabelle5897112140[[#This Row],[Durchschnittsauslastung min]]*Tabelle5897112140[[#This Row],[installierte Leistung MW min]]</f>
        <v>118.67309999999999</v>
      </c>
      <c r="DF393" s="11">
        <f>Tabelle5897112140[[#This Row],[Durchschnittsauslastung durch]]*Tabelle5897112140[[#This Row],[installierte Leistung MW durch]]</f>
        <v>225.86199999999997</v>
      </c>
      <c r="DG393" s="46">
        <f>Tabelle5897112140[[#This Row],[Durchschnittsauslastung max]]*Tabelle5897112140[[#This Row],[installierte Leistung MW max]]</f>
        <v>344.04369999999994</v>
      </c>
      <c r="DH393" s="46">
        <f>Tabelle5897112140[[#This Row],[Maximalauslastung min]]*Tabelle5897112140[[#This Row],[installierte Leistung MW min]]</f>
        <v>161.67060000000001</v>
      </c>
      <c r="DI393" s="46">
        <f>Tabelle5897112140[[#This Row],[Maximalauslastung durch]]*Tabelle5897112140[[#This Row],[installierte Leistung MW durch]]</f>
        <v>293.92999999999995</v>
      </c>
      <c r="DJ393" s="11">
        <f>Tabelle5897112140[[#This Row],[Maximalauslastung max]]*Tabelle5897112140[[#This Row],[installierte Leistung MW durch]]</f>
        <v>297.02399999999994</v>
      </c>
      <c r="DK393" s="9">
        <v>0.94</v>
      </c>
      <c r="DL393" s="9">
        <v>0.95</v>
      </c>
      <c r="DM393" s="9">
        <v>0.96</v>
      </c>
      <c r="DN393" s="11">
        <v>309.39999999999998</v>
      </c>
      <c r="DO393" s="11">
        <v>171.99</v>
      </c>
      <c r="DP393" s="11">
        <v>446.80999999999995</v>
      </c>
      <c r="DQ393" s="1">
        <v>0.30041666666666667</v>
      </c>
      <c r="DR393" s="1">
        <v>8.3333333333333332E-3</v>
      </c>
      <c r="DS393" s="54">
        <v>0.5</v>
      </c>
      <c r="DT393" s="1">
        <v>0.77166666666666672</v>
      </c>
      <c r="DU393" s="1">
        <v>8.3333333333333329E-2</v>
      </c>
      <c r="DV393" s="54">
        <v>3</v>
      </c>
      <c r="DW393" s="1">
        <v>4.8</v>
      </c>
      <c r="DX393" s="1">
        <v>4.3</v>
      </c>
      <c r="DY393" s="54">
        <v>5.3</v>
      </c>
      <c r="DZ393" s="1">
        <v>7.8</v>
      </c>
      <c r="EA393" s="1">
        <v>5.8</v>
      </c>
      <c r="EB393" s="54">
        <v>9.8000000000000007</v>
      </c>
      <c r="EC393" s="1">
        <v>10.8</v>
      </c>
      <c r="ED393" s="1">
        <v>7.8</v>
      </c>
      <c r="EE393" s="54">
        <v>7.8000000000000007</v>
      </c>
      <c r="EF393" s="1">
        <v>7.8</v>
      </c>
      <c r="EG393" s="1">
        <v>5.8</v>
      </c>
      <c r="EH393" s="54">
        <v>9.8000000000000007</v>
      </c>
      <c r="EJ393" s="1" t="s">
        <v>647</v>
      </c>
      <c r="EL393" s="1">
        <v>365</v>
      </c>
      <c r="EM393" s="1">
        <v>328</v>
      </c>
      <c r="EN393" s="1">
        <v>402</v>
      </c>
      <c r="EO393" s="1">
        <v>0</v>
      </c>
      <c r="EP393" s="1">
        <v>0</v>
      </c>
      <c r="EQ393" s="1">
        <v>0</v>
      </c>
      <c r="ER393" s="1">
        <v>700</v>
      </c>
      <c r="ES393" s="1">
        <v>650</v>
      </c>
      <c r="ET393" s="1">
        <v>750.00000000000011</v>
      </c>
      <c r="EU393" s="1">
        <v>2.3232323232323231</v>
      </c>
      <c r="EV393" s="19">
        <v>0.80808080808080796</v>
      </c>
      <c r="EW393" s="19">
        <v>3.8383838383838387</v>
      </c>
      <c r="EX393" s="19">
        <v>202.02020202020202</v>
      </c>
      <c r="EY393" s="8">
        <v>151.51515151515153</v>
      </c>
      <c r="EZ393" s="8">
        <v>252.52525252525254</v>
      </c>
      <c r="FA393" s="8">
        <v>465.65656565656565</v>
      </c>
      <c r="FB393" s="8">
        <v>393.93939393939394</v>
      </c>
      <c r="FC393" s="8">
        <v>537.37373737373741</v>
      </c>
      <c r="FD393" s="8">
        <v>0</v>
      </c>
      <c r="FE393" s="8">
        <v>0</v>
      </c>
      <c r="FF393" s="8">
        <v>30.303030303030308</v>
      </c>
      <c r="FG393" s="8">
        <v>44.444444444444443</v>
      </c>
      <c r="FH393" s="8">
        <v>24.242424242424242</v>
      </c>
      <c r="FI393" s="8">
        <v>64.646464646464651</v>
      </c>
      <c r="FJ393" s="8">
        <v>22.525252525252526</v>
      </c>
      <c r="FK393" s="8">
        <v>20.505050505050505</v>
      </c>
      <c r="FL393" s="8">
        <v>24.54545454545455</v>
      </c>
      <c r="FO393" s="1">
        <v>220</v>
      </c>
      <c r="FP393" s="1">
        <v>220</v>
      </c>
      <c r="FR393" s="13" t="s">
        <v>643</v>
      </c>
      <c r="FS393" s="1" t="s">
        <v>643</v>
      </c>
      <c r="FT393" s="13">
        <v>182</v>
      </c>
      <c r="FU393" s="13"/>
      <c r="FV393" s="13">
        <v>182</v>
      </c>
      <c r="FW393" s="13">
        <v>182</v>
      </c>
      <c r="FX393" s="1">
        <v>182</v>
      </c>
      <c r="FY393" s="13" t="s">
        <v>642</v>
      </c>
      <c r="FZ393" s="13" t="s">
        <v>641</v>
      </c>
      <c r="GA393" s="1">
        <v>202</v>
      </c>
      <c r="GB393" s="1">
        <v>202</v>
      </c>
      <c r="GD393" s="1" t="s">
        <v>645</v>
      </c>
      <c r="GE393" s="1">
        <v>211</v>
      </c>
      <c r="GF393" s="1">
        <v>214</v>
      </c>
      <c r="GG393" s="1">
        <v>220</v>
      </c>
      <c r="GH393" s="1">
        <v>214</v>
      </c>
      <c r="GK393" s="1" t="s">
        <v>644</v>
      </c>
    </row>
    <row r="394" spans="1:193" ht="12.75" customHeight="1" x14ac:dyDescent="0.25">
      <c r="A394" s="1" t="s">
        <v>78</v>
      </c>
      <c r="D394" s="1" t="s">
        <v>78</v>
      </c>
      <c r="E394" s="1" t="s">
        <v>126</v>
      </c>
      <c r="F394" s="1">
        <v>1</v>
      </c>
      <c r="G394" s="1">
        <v>2015</v>
      </c>
      <c r="H394" s="1">
        <v>1</v>
      </c>
      <c r="I394" s="1">
        <v>1</v>
      </c>
      <c r="J394" s="1">
        <v>0</v>
      </c>
      <c r="K394" s="11">
        <v>811</v>
      </c>
      <c r="L394" s="11">
        <v>1214</v>
      </c>
      <c r="M394" s="11">
        <v>1617</v>
      </c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9"/>
      <c r="BQ394" s="11">
        <v>44</v>
      </c>
      <c r="BR394" s="11">
        <v>127</v>
      </c>
      <c r="BS394" s="11">
        <v>210</v>
      </c>
      <c r="BT394" s="11">
        <f>Tabelle5897112140[[#This Row],[Mindestauslastung min]]*Tabelle5897112140[[#This Row],[installierte Leistung MW min]]</f>
        <v>0</v>
      </c>
      <c r="BU394" s="11">
        <f>Tabelle5897112140[[#This Row],[Mindestauslastung durch]]*Tabelle5897112140[[#This Row],[installierte Leistung MW durch]]</f>
        <v>0</v>
      </c>
      <c r="BV394" s="19">
        <f>Tabelle5897112140[[#This Row],[Mindestauslastung max]]*Tabelle5897112140[[#This Row],[installierte Leistung MW max]]</f>
        <v>0</v>
      </c>
      <c r="BW394" s="9">
        <v>0</v>
      </c>
      <c r="BX394" s="9">
        <v>0</v>
      </c>
      <c r="BY394" s="9">
        <v>0</v>
      </c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39">
        <v>0.83</v>
      </c>
      <c r="DC394" s="39">
        <v>0.86</v>
      </c>
      <c r="DD394" s="39">
        <v>0.89</v>
      </c>
      <c r="DE394" s="11">
        <f>Tabelle5897112140[[#This Row],[Durchschnittsauslastung min]]*Tabelle5897112140[[#This Row],[installierte Leistung MW min]]</f>
        <v>1139.5899999999999</v>
      </c>
      <c r="DF394" s="11">
        <f>Tabelle5897112140[[#This Row],[Durchschnittsauslastung durch]]*Tabelle5897112140[[#This Row],[installierte Leistung MW durch]]</f>
        <v>1218.6199999999999</v>
      </c>
      <c r="DG394" s="46">
        <f>Tabelle5897112140[[#This Row],[Durchschnittsauslastung max]]*Tabelle5897112140[[#This Row],[installierte Leistung MW max]]</f>
        <v>1300.29</v>
      </c>
      <c r="DH394" s="46">
        <f>Tabelle5897112140[[#This Row],[Maximalauslastung min]]*Tabelle5897112140[[#This Row],[installierte Leistung MW min]]</f>
        <v>1290.6199999999999</v>
      </c>
      <c r="DI394" s="46">
        <f>Tabelle5897112140[[#This Row],[Maximalauslastung durch]]*Tabelle5897112140[[#This Row],[installierte Leistung MW durch]]</f>
        <v>1346.1499999999999</v>
      </c>
      <c r="DJ394" s="11">
        <f>Tabelle5897112140[[#This Row],[Maximalauslastung max]]*Tabelle5897112140[[#This Row],[installierte Leistung MW durch]]</f>
        <v>1360.32</v>
      </c>
      <c r="DK394" s="9">
        <v>0.94</v>
      </c>
      <c r="DL394" s="9">
        <v>0.95</v>
      </c>
      <c r="DM394" s="9">
        <v>0.96</v>
      </c>
      <c r="DN394" s="11">
        <v>1417</v>
      </c>
      <c r="DO394" s="11">
        <v>1373</v>
      </c>
      <c r="DP394" s="11">
        <v>1461</v>
      </c>
      <c r="DQ394" s="1">
        <v>1.4624999999999999</v>
      </c>
      <c r="DR394" s="1">
        <v>0.25</v>
      </c>
      <c r="DS394" s="54">
        <v>3</v>
      </c>
      <c r="DT394" s="1">
        <v>1.625</v>
      </c>
      <c r="DU394" s="1">
        <v>0.5</v>
      </c>
      <c r="DV394" s="54">
        <v>3</v>
      </c>
      <c r="DW394" s="1">
        <v>5.2</v>
      </c>
      <c r="DX394" s="1">
        <v>4.7</v>
      </c>
      <c r="DY394" s="54">
        <v>5.7</v>
      </c>
      <c r="DZ394" s="1">
        <v>6.6</v>
      </c>
      <c r="EA394" s="1">
        <v>4.8999999999999995</v>
      </c>
      <c r="EB394" s="54">
        <v>8.2999999999999989</v>
      </c>
      <c r="EC394" s="1">
        <v>11.2</v>
      </c>
      <c r="ED394" s="1">
        <v>11.2</v>
      </c>
      <c r="EE394" s="54">
        <v>11.2</v>
      </c>
      <c r="EF394" s="1">
        <v>6.6</v>
      </c>
      <c r="EG394" s="1">
        <v>4.8999999999999995</v>
      </c>
      <c r="EH394" s="54">
        <v>8.2999999999999989</v>
      </c>
      <c r="EJ394" s="1" t="s">
        <v>646</v>
      </c>
      <c r="EL394" s="1">
        <v>500</v>
      </c>
      <c r="EM394" s="1">
        <v>200</v>
      </c>
      <c r="EN394" s="1">
        <v>800</v>
      </c>
      <c r="EO394" s="1">
        <v>0</v>
      </c>
      <c r="EP394" s="1">
        <v>0</v>
      </c>
      <c r="EQ394" s="1">
        <v>0</v>
      </c>
      <c r="ER394" s="1">
        <v>50</v>
      </c>
      <c r="ES394" s="1">
        <v>20</v>
      </c>
      <c r="ET394" s="1">
        <v>80</v>
      </c>
      <c r="EU394" s="1">
        <v>2.3232323232323231</v>
      </c>
      <c r="EV394" s="19">
        <v>0.80808080808080796</v>
      </c>
      <c r="EW394" s="19">
        <v>3.8383838383838382</v>
      </c>
      <c r="EX394" s="19">
        <v>202.02020202020202</v>
      </c>
      <c r="EY394" s="8">
        <v>151.51515151515153</v>
      </c>
      <c r="EZ394" s="8">
        <v>252.52525252525254</v>
      </c>
      <c r="FA394" s="8">
        <v>393.93939393939394</v>
      </c>
      <c r="FB394" s="8">
        <v>368.68686868686871</v>
      </c>
      <c r="FC394" s="8">
        <v>419.19191919191917</v>
      </c>
      <c r="FD394" s="8">
        <v>0</v>
      </c>
      <c r="FE394" s="8">
        <v>0</v>
      </c>
      <c r="FF394" s="8">
        <v>30.303030303030305</v>
      </c>
      <c r="FG394" s="8">
        <v>44.444444444444443</v>
      </c>
      <c r="FH394" s="8">
        <v>24.242424242424242</v>
      </c>
      <c r="FI394" s="8">
        <v>64.646464646464651</v>
      </c>
      <c r="FJ394" s="8">
        <v>22.525252525252526</v>
      </c>
      <c r="FK394" s="8">
        <v>20.505050505050505</v>
      </c>
      <c r="FL394" s="8">
        <v>24.545454545454547</v>
      </c>
      <c r="FO394" s="1">
        <v>220</v>
      </c>
      <c r="FP394" s="1">
        <v>220</v>
      </c>
      <c r="FR394" s="13" t="s">
        <v>643</v>
      </c>
      <c r="FS394" s="1" t="s">
        <v>643</v>
      </c>
      <c r="FT394" s="13">
        <v>182</v>
      </c>
      <c r="FU394" s="13"/>
      <c r="FV394" s="13">
        <v>182</v>
      </c>
      <c r="FW394" s="13">
        <v>182</v>
      </c>
      <c r="FX394" s="1">
        <v>182</v>
      </c>
      <c r="FY394" s="13" t="s">
        <v>642</v>
      </c>
      <c r="FZ394" s="13" t="s">
        <v>641</v>
      </c>
      <c r="GA394" s="1">
        <v>202</v>
      </c>
      <c r="GB394" s="1">
        <v>202</v>
      </c>
      <c r="GD394" s="1" t="s">
        <v>645</v>
      </c>
      <c r="GE394" s="1">
        <v>211</v>
      </c>
      <c r="GF394" s="1">
        <v>214</v>
      </c>
      <c r="GG394" s="1">
        <v>220</v>
      </c>
      <c r="GH394" s="1">
        <v>214</v>
      </c>
      <c r="GK394" s="1" t="s">
        <v>644</v>
      </c>
    </row>
    <row r="395" spans="1:193" ht="12.75" customHeight="1" x14ac:dyDescent="0.25">
      <c r="A395" s="1" t="s">
        <v>78</v>
      </c>
      <c r="D395" s="1" t="s">
        <v>78</v>
      </c>
      <c r="E395" s="1" t="s">
        <v>126</v>
      </c>
      <c r="F395" s="1">
        <v>1</v>
      </c>
      <c r="G395" s="1">
        <v>2020</v>
      </c>
      <c r="H395" s="1">
        <v>1</v>
      </c>
      <c r="I395" s="1">
        <v>1</v>
      </c>
      <c r="J395" s="1">
        <v>0</v>
      </c>
      <c r="K395" s="11">
        <v>843.44</v>
      </c>
      <c r="L395" s="11">
        <v>1262.56</v>
      </c>
      <c r="M395" s="11">
        <v>1681.68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9"/>
      <c r="BQ395" s="11">
        <v>45.760000000000005</v>
      </c>
      <c r="BR395" s="11">
        <v>132.08000000000001</v>
      </c>
      <c r="BS395" s="11">
        <v>218.4</v>
      </c>
      <c r="BT395" s="11">
        <f>Tabelle5897112140[[#This Row],[Mindestauslastung min]]*Tabelle5897112140[[#This Row],[installierte Leistung MW min]]</f>
        <v>0</v>
      </c>
      <c r="BU395" s="11">
        <f>Tabelle5897112140[[#This Row],[Mindestauslastung durch]]*Tabelle5897112140[[#This Row],[installierte Leistung MW durch]]</f>
        <v>0</v>
      </c>
      <c r="BV395" s="19">
        <f>Tabelle5897112140[[#This Row],[Mindestauslastung max]]*Tabelle5897112140[[#This Row],[installierte Leistung MW max]]</f>
        <v>0</v>
      </c>
      <c r="BW395" s="9">
        <v>0</v>
      </c>
      <c r="BX395" s="9">
        <v>0</v>
      </c>
      <c r="BY395" s="9">
        <v>0</v>
      </c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39">
        <v>0.83</v>
      </c>
      <c r="DC395" s="39">
        <v>0.86</v>
      </c>
      <c r="DD395" s="39">
        <v>0.89</v>
      </c>
      <c r="DE395" s="11">
        <f>Tabelle5897112140[[#This Row],[Durchschnittsauslastung min]]*Tabelle5897112140[[#This Row],[installierte Leistung MW min]]</f>
        <v>1185.1736000000001</v>
      </c>
      <c r="DF395" s="11">
        <f>Tabelle5897112140[[#This Row],[Durchschnittsauslastung durch]]*Tabelle5897112140[[#This Row],[installierte Leistung MW durch]]</f>
        <v>1267.3648000000001</v>
      </c>
      <c r="DG395" s="46">
        <f>Tabelle5897112140[[#This Row],[Durchschnittsauslastung max]]*Tabelle5897112140[[#This Row],[installierte Leistung MW max]]</f>
        <v>1352.3016</v>
      </c>
      <c r="DH395" s="46">
        <f>Tabelle5897112140[[#This Row],[Maximalauslastung min]]*Tabelle5897112140[[#This Row],[installierte Leistung MW min]]</f>
        <v>1342.2447999999999</v>
      </c>
      <c r="DI395" s="46">
        <f>Tabelle5897112140[[#This Row],[Maximalauslastung durch]]*Tabelle5897112140[[#This Row],[installierte Leistung MW durch]]</f>
        <v>1399.9960000000001</v>
      </c>
      <c r="DJ395" s="11">
        <f>Tabelle5897112140[[#This Row],[Maximalauslastung max]]*Tabelle5897112140[[#This Row],[installierte Leistung MW durch]]</f>
        <v>1414.7328</v>
      </c>
      <c r="DK395" s="9">
        <v>0.94</v>
      </c>
      <c r="DL395" s="9">
        <v>0.95</v>
      </c>
      <c r="DM395" s="9">
        <v>0.96</v>
      </c>
      <c r="DN395" s="11">
        <v>1473.68</v>
      </c>
      <c r="DO395" s="11">
        <v>1427.92</v>
      </c>
      <c r="DP395" s="11">
        <v>1519.44</v>
      </c>
      <c r="DQ395" s="1">
        <v>1.4624999999999999</v>
      </c>
      <c r="DR395" s="1">
        <v>0.25</v>
      </c>
      <c r="DS395" s="54">
        <v>3</v>
      </c>
      <c r="DT395" s="1">
        <v>1.625</v>
      </c>
      <c r="DU395" s="1">
        <v>0.5</v>
      </c>
      <c r="DV395" s="54">
        <v>3</v>
      </c>
      <c r="DW395" s="1">
        <v>5.2</v>
      </c>
      <c r="DX395" s="1">
        <v>4.7</v>
      </c>
      <c r="DY395" s="54">
        <v>5.7</v>
      </c>
      <c r="DZ395" s="1">
        <v>6.6</v>
      </c>
      <c r="EA395" s="1">
        <v>4.8999999999999995</v>
      </c>
      <c r="EB395" s="54">
        <v>8.2999999999999989</v>
      </c>
      <c r="EC395" s="1">
        <v>11.2</v>
      </c>
      <c r="ED395" s="1">
        <v>11.2</v>
      </c>
      <c r="EE395" s="54">
        <v>11.2</v>
      </c>
      <c r="EF395" s="1">
        <v>6.6</v>
      </c>
      <c r="EG395" s="1">
        <v>4.8999999999999995</v>
      </c>
      <c r="EH395" s="54">
        <v>8.2999999999999989</v>
      </c>
      <c r="EJ395" s="1" t="s">
        <v>646</v>
      </c>
      <c r="EL395" s="1">
        <v>280</v>
      </c>
      <c r="EM395" s="1">
        <v>252</v>
      </c>
      <c r="EN395" s="1">
        <v>308</v>
      </c>
      <c r="EO395" s="1">
        <v>0</v>
      </c>
      <c r="EP395" s="1">
        <v>0</v>
      </c>
      <c r="EQ395" s="1">
        <v>0</v>
      </c>
      <c r="ER395" s="1">
        <v>280</v>
      </c>
      <c r="ES395" s="1">
        <v>252</v>
      </c>
      <c r="ET395" s="1">
        <v>308</v>
      </c>
      <c r="EU395" s="1">
        <v>2.3232323232323231</v>
      </c>
      <c r="EV395" s="19">
        <v>0.80808080808080796</v>
      </c>
      <c r="EW395" s="19">
        <v>3.8383838383838382</v>
      </c>
      <c r="EX395" s="19">
        <v>202.02020202020202</v>
      </c>
      <c r="EY395" s="8">
        <v>151.51515151515153</v>
      </c>
      <c r="EZ395" s="8">
        <v>252.52525252525254</v>
      </c>
      <c r="FA395" s="8">
        <v>393.93939393939394</v>
      </c>
      <c r="FB395" s="8">
        <v>368.68686868686871</v>
      </c>
      <c r="FC395" s="8">
        <v>419.19191919191917</v>
      </c>
      <c r="FD395" s="8">
        <v>0</v>
      </c>
      <c r="FE395" s="8">
        <v>0</v>
      </c>
      <c r="FF395" s="8">
        <v>30.303030303030305</v>
      </c>
      <c r="FG395" s="8">
        <v>44.444444444444443</v>
      </c>
      <c r="FH395" s="8">
        <v>24.242424242424242</v>
      </c>
      <c r="FI395" s="8">
        <v>64.646464646464651</v>
      </c>
      <c r="FJ395" s="8">
        <v>22.525252525252526</v>
      </c>
      <c r="FK395" s="8">
        <v>20.505050505050505</v>
      </c>
      <c r="FL395" s="8">
        <v>24.545454545454547</v>
      </c>
      <c r="FO395" s="1">
        <v>220</v>
      </c>
      <c r="FP395" s="1">
        <v>220</v>
      </c>
      <c r="FR395" s="13" t="s">
        <v>643</v>
      </c>
      <c r="FS395" s="1" t="s">
        <v>643</v>
      </c>
      <c r="FT395" s="13">
        <v>182</v>
      </c>
      <c r="FU395" s="13"/>
      <c r="FV395" s="13">
        <v>182</v>
      </c>
      <c r="FW395" s="13">
        <v>182</v>
      </c>
      <c r="FX395" s="1">
        <v>182</v>
      </c>
      <c r="FY395" s="13" t="s">
        <v>642</v>
      </c>
      <c r="FZ395" s="13" t="s">
        <v>641</v>
      </c>
      <c r="GA395" s="1">
        <v>202</v>
      </c>
      <c r="GB395" s="1">
        <v>202</v>
      </c>
      <c r="GD395" s="1" t="s">
        <v>645</v>
      </c>
      <c r="GE395" s="1">
        <v>211</v>
      </c>
      <c r="GF395" s="1">
        <v>214</v>
      </c>
      <c r="GG395" s="1">
        <v>220</v>
      </c>
      <c r="GH395" s="1">
        <v>214</v>
      </c>
      <c r="GK395" s="1" t="s">
        <v>644</v>
      </c>
    </row>
    <row r="396" spans="1:193" ht="12.75" customHeight="1" x14ac:dyDescent="0.25">
      <c r="A396" s="1" t="s">
        <v>78</v>
      </c>
      <c r="D396" s="1" t="s">
        <v>78</v>
      </c>
      <c r="E396" s="1" t="s">
        <v>126</v>
      </c>
      <c r="F396" s="1">
        <v>1</v>
      </c>
      <c r="G396" s="1">
        <v>2025</v>
      </c>
      <c r="H396" s="1">
        <v>1</v>
      </c>
      <c r="I396" s="1">
        <v>1</v>
      </c>
      <c r="J396" s="1">
        <v>0</v>
      </c>
      <c r="K396" s="11">
        <v>875.88000000000011</v>
      </c>
      <c r="L396" s="11">
        <v>1311.1200000000001</v>
      </c>
      <c r="M396" s="11">
        <v>1746.3600000000001</v>
      </c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9"/>
      <c r="BQ396" s="11">
        <v>47.52</v>
      </c>
      <c r="BR396" s="11">
        <v>137.16</v>
      </c>
      <c r="BS396" s="11">
        <v>226.8</v>
      </c>
      <c r="BT396" s="11">
        <f>Tabelle5897112140[[#This Row],[Mindestauslastung min]]*Tabelle5897112140[[#This Row],[installierte Leistung MW min]]</f>
        <v>0</v>
      </c>
      <c r="BU396" s="11">
        <f>Tabelle5897112140[[#This Row],[Mindestauslastung durch]]*Tabelle5897112140[[#This Row],[installierte Leistung MW durch]]</f>
        <v>0</v>
      </c>
      <c r="BV396" s="19">
        <f>Tabelle5897112140[[#This Row],[Mindestauslastung max]]*Tabelle5897112140[[#This Row],[installierte Leistung MW max]]</f>
        <v>0</v>
      </c>
      <c r="BW396" s="9">
        <v>0</v>
      </c>
      <c r="BX396" s="9">
        <v>0</v>
      </c>
      <c r="BY396" s="9">
        <v>0</v>
      </c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39">
        <v>0.83</v>
      </c>
      <c r="DC396" s="39">
        <v>0.86</v>
      </c>
      <c r="DD396" s="39">
        <v>0.89</v>
      </c>
      <c r="DE396" s="11">
        <f>Tabelle5897112140[[#This Row],[Durchschnittsauslastung min]]*Tabelle5897112140[[#This Row],[installierte Leistung MW min]]</f>
        <v>1230.7572</v>
      </c>
      <c r="DF396" s="11">
        <f>Tabelle5897112140[[#This Row],[Durchschnittsauslastung durch]]*Tabelle5897112140[[#This Row],[installierte Leistung MW durch]]</f>
        <v>1316.1096</v>
      </c>
      <c r="DG396" s="46">
        <f>Tabelle5897112140[[#This Row],[Durchschnittsauslastung max]]*Tabelle5897112140[[#This Row],[installierte Leistung MW max]]</f>
        <v>1404.3132000000001</v>
      </c>
      <c r="DH396" s="46">
        <f>Tabelle5897112140[[#This Row],[Maximalauslastung min]]*Tabelle5897112140[[#This Row],[installierte Leistung MW min]]</f>
        <v>1393.8696</v>
      </c>
      <c r="DI396" s="46">
        <f>Tabelle5897112140[[#This Row],[Maximalauslastung durch]]*Tabelle5897112140[[#This Row],[installierte Leistung MW durch]]</f>
        <v>1453.8420000000001</v>
      </c>
      <c r="DJ396" s="11">
        <f>Tabelle5897112140[[#This Row],[Maximalauslastung max]]*Tabelle5897112140[[#This Row],[installierte Leistung MW durch]]</f>
        <v>1469.1456000000001</v>
      </c>
      <c r="DK396" s="9">
        <v>0.94</v>
      </c>
      <c r="DL396" s="9">
        <v>0.95</v>
      </c>
      <c r="DM396" s="9">
        <v>0.96</v>
      </c>
      <c r="DN396" s="11">
        <v>1530.3600000000001</v>
      </c>
      <c r="DO396" s="11">
        <v>1482.8400000000001</v>
      </c>
      <c r="DP396" s="11">
        <v>1577.88</v>
      </c>
      <c r="DQ396" s="1">
        <v>1.4624999999999999</v>
      </c>
      <c r="DR396" s="1">
        <v>0.25</v>
      </c>
      <c r="DS396" s="54">
        <v>3</v>
      </c>
      <c r="DT396" s="1">
        <v>1.625</v>
      </c>
      <c r="DU396" s="1">
        <v>0.5</v>
      </c>
      <c r="DV396" s="54">
        <v>3</v>
      </c>
      <c r="DW396" s="1">
        <v>5.2</v>
      </c>
      <c r="DX396" s="1">
        <v>4.7</v>
      </c>
      <c r="DY396" s="54">
        <v>5.7</v>
      </c>
      <c r="DZ396" s="1">
        <v>6.6</v>
      </c>
      <c r="EA396" s="1">
        <v>4.8999999999999995</v>
      </c>
      <c r="EB396" s="54">
        <v>8.2999999999999989</v>
      </c>
      <c r="EC396" s="1">
        <v>11.2</v>
      </c>
      <c r="ED396" s="1">
        <v>11.2</v>
      </c>
      <c r="EE396" s="54">
        <v>11.2</v>
      </c>
      <c r="EF396" s="1">
        <v>6.6</v>
      </c>
      <c r="EG396" s="1">
        <v>4.8999999999999995</v>
      </c>
      <c r="EH396" s="54">
        <v>8.2999999999999989</v>
      </c>
      <c r="EJ396" s="1" t="s">
        <v>646</v>
      </c>
      <c r="EL396" s="1">
        <v>365</v>
      </c>
      <c r="EM396" s="1">
        <v>328</v>
      </c>
      <c r="EN396" s="1">
        <v>402</v>
      </c>
      <c r="EO396" s="1">
        <v>0</v>
      </c>
      <c r="EP396" s="1">
        <v>0</v>
      </c>
      <c r="EQ396" s="1">
        <v>0</v>
      </c>
      <c r="ER396" s="1">
        <v>50</v>
      </c>
      <c r="ES396" s="1">
        <v>20</v>
      </c>
      <c r="ET396" s="1">
        <v>80</v>
      </c>
      <c r="EU396" s="1">
        <v>2.3232323232323231</v>
      </c>
      <c r="EV396" s="19">
        <v>0.80808080808080796</v>
      </c>
      <c r="EW396" s="19">
        <v>3.8383838383838382</v>
      </c>
      <c r="EX396" s="19">
        <v>202.02020202020202</v>
      </c>
      <c r="EY396" s="8">
        <v>151.51515151515153</v>
      </c>
      <c r="EZ396" s="8">
        <v>252.52525252525254</v>
      </c>
      <c r="FA396" s="8">
        <v>393.93939393939394</v>
      </c>
      <c r="FB396" s="8">
        <v>368.68686868686871</v>
      </c>
      <c r="FC396" s="8">
        <v>419.19191919191917</v>
      </c>
      <c r="FD396" s="8">
        <v>0</v>
      </c>
      <c r="FE396" s="8">
        <v>0</v>
      </c>
      <c r="FF396" s="8">
        <v>30.303030303030305</v>
      </c>
      <c r="FG396" s="8">
        <v>44.444444444444443</v>
      </c>
      <c r="FH396" s="8">
        <v>24.242424242424242</v>
      </c>
      <c r="FI396" s="8">
        <v>64.646464646464651</v>
      </c>
      <c r="FJ396" s="8">
        <v>22.525252525252526</v>
      </c>
      <c r="FK396" s="8">
        <v>20.505050505050505</v>
      </c>
      <c r="FL396" s="8">
        <v>24.545454545454547</v>
      </c>
      <c r="FO396" s="1">
        <v>220</v>
      </c>
      <c r="FP396" s="1">
        <v>220</v>
      </c>
      <c r="FR396" s="13" t="s">
        <v>643</v>
      </c>
      <c r="FS396" s="1" t="s">
        <v>643</v>
      </c>
      <c r="FT396" s="13">
        <v>182</v>
      </c>
      <c r="FU396" s="13"/>
      <c r="FV396" s="13">
        <v>182</v>
      </c>
      <c r="FW396" s="13">
        <v>182</v>
      </c>
      <c r="FX396" s="1">
        <v>182</v>
      </c>
      <c r="FY396" s="13" t="s">
        <v>642</v>
      </c>
      <c r="FZ396" s="13" t="s">
        <v>641</v>
      </c>
      <c r="GA396" s="1">
        <v>202</v>
      </c>
      <c r="GB396" s="1">
        <v>202</v>
      </c>
      <c r="GD396" s="1" t="s">
        <v>645</v>
      </c>
      <c r="GE396" s="1">
        <v>211</v>
      </c>
      <c r="GF396" s="1">
        <v>214</v>
      </c>
      <c r="GG396" s="1">
        <v>220</v>
      </c>
      <c r="GH396" s="1">
        <v>214</v>
      </c>
      <c r="GK396" s="1" t="s">
        <v>644</v>
      </c>
    </row>
    <row r="397" spans="1:193" ht="12.75" customHeight="1" x14ac:dyDescent="0.25">
      <c r="A397" s="1" t="s">
        <v>78</v>
      </c>
      <c r="D397" s="1" t="s">
        <v>78</v>
      </c>
      <c r="E397" s="1" t="s">
        <v>126</v>
      </c>
      <c r="F397" s="1">
        <v>1</v>
      </c>
      <c r="G397" s="1">
        <v>2030</v>
      </c>
      <c r="H397" s="1">
        <v>1</v>
      </c>
      <c r="I397" s="1">
        <v>1</v>
      </c>
      <c r="J397" s="1">
        <v>0</v>
      </c>
      <c r="K397" s="11">
        <v>948.86999999999989</v>
      </c>
      <c r="L397" s="11">
        <v>1420.3799999999999</v>
      </c>
      <c r="M397" s="11">
        <v>1891.8899999999999</v>
      </c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9"/>
      <c r="BQ397" s="11">
        <v>51.48</v>
      </c>
      <c r="BR397" s="11">
        <v>148.59</v>
      </c>
      <c r="BS397" s="11">
        <v>245.7</v>
      </c>
      <c r="BT397" s="11">
        <f>Tabelle5897112140[[#This Row],[Mindestauslastung min]]*Tabelle5897112140[[#This Row],[installierte Leistung MW min]]</f>
        <v>0</v>
      </c>
      <c r="BU397" s="11">
        <f>Tabelle5897112140[[#This Row],[Mindestauslastung durch]]*Tabelle5897112140[[#This Row],[installierte Leistung MW durch]]</f>
        <v>0</v>
      </c>
      <c r="BV397" s="19">
        <f>Tabelle5897112140[[#This Row],[Mindestauslastung max]]*Tabelle5897112140[[#This Row],[installierte Leistung MW max]]</f>
        <v>0</v>
      </c>
      <c r="BW397" s="9">
        <v>0</v>
      </c>
      <c r="BX397" s="9">
        <v>0</v>
      </c>
      <c r="BY397" s="9">
        <v>0</v>
      </c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39">
        <v>0.83</v>
      </c>
      <c r="DC397" s="39">
        <v>0.86</v>
      </c>
      <c r="DD397" s="39">
        <v>0.89</v>
      </c>
      <c r="DE397" s="11">
        <f>Tabelle5897112140[[#This Row],[Durchschnittsauslastung min]]*Tabelle5897112140[[#This Row],[installierte Leistung MW min]]</f>
        <v>1333.3202999999999</v>
      </c>
      <c r="DF397" s="11">
        <f>Tabelle5897112140[[#This Row],[Durchschnittsauslastung durch]]*Tabelle5897112140[[#This Row],[installierte Leistung MW durch]]</f>
        <v>1425.7854</v>
      </c>
      <c r="DG397" s="46">
        <f>Tabelle5897112140[[#This Row],[Durchschnittsauslastung max]]*Tabelle5897112140[[#This Row],[installierte Leistung MW max]]</f>
        <v>1521.3392999999999</v>
      </c>
      <c r="DH397" s="46">
        <f>Tabelle5897112140[[#This Row],[Maximalauslastung min]]*Tabelle5897112140[[#This Row],[installierte Leistung MW min]]</f>
        <v>1510.0253999999998</v>
      </c>
      <c r="DI397" s="46">
        <f>Tabelle5897112140[[#This Row],[Maximalauslastung durch]]*Tabelle5897112140[[#This Row],[installierte Leistung MW durch]]</f>
        <v>1574.9954999999998</v>
      </c>
      <c r="DJ397" s="11">
        <f>Tabelle5897112140[[#This Row],[Maximalauslastung max]]*Tabelle5897112140[[#This Row],[installierte Leistung MW durch]]</f>
        <v>1591.5743999999997</v>
      </c>
      <c r="DK397" s="9">
        <v>0.94</v>
      </c>
      <c r="DL397" s="9">
        <v>0.95</v>
      </c>
      <c r="DM397" s="9">
        <v>0.96</v>
      </c>
      <c r="DN397" s="11">
        <v>1657.8899999999999</v>
      </c>
      <c r="DO397" s="11">
        <v>1606.4099999999999</v>
      </c>
      <c r="DP397" s="11">
        <v>1709.37</v>
      </c>
      <c r="DQ397" s="1">
        <v>1.4624999999999999</v>
      </c>
      <c r="DR397" s="1">
        <v>0.25</v>
      </c>
      <c r="DS397" s="54">
        <v>3</v>
      </c>
      <c r="DT397" s="1">
        <v>1.625</v>
      </c>
      <c r="DU397" s="1">
        <v>0.5</v>
      </c>
      <c r="DV397" s="54">
        <v>3</v>
      </c>
      <c r="DW397" s="1">
        <v>5.2</v>
      </c>
      <c r="DX397" s="1">
        <v>4.7</v>
      </c>
      <c r="DY397" s="54">
        <v>5.7</v>
      </c>
      <c r="DZ397" s="1">
        <v>6.6</v>
      </c>
      <c r="EA397" s="1">
        <v>4.8999999999999995</v>
      </c>
      <c r="EB397" s="54">
        <v>8.2999999999999989</v>
      </c>
      <c r="EC397" s="1">
        <v>11.2</v>
      </c>
      <c r="ED397" s="1">
        <v>11.2</v>
      </c>
      <c r="EE397" s="54">
        <v>11.2</v>
      </c>
      <c r="EF397" s="1">
        <v>6.6</v>
      </c>
      <c r="EG397" s="1">
        <v>4.8999999999999995</v>
      </c>
      <c r="EH397" s="54">
        <v>8.2999999999999989</v>
      </c>
      <c r="EJ397" s="1" t="s">
        <v>646</v>
      </c>
      <c r="EL397" s="1">
        <v>6570</v>
      </c>
      <c r="EM397" s="1">
        <v>4380</v>
      </c>
      <c r="EN397" s="1">
        <v>8760</v>
      </c>
      <c r="EO397" s="1">
        <v>0</v>
      </c>
      <c r="EP397" s="1">
        <v>0</v>
      </c>
      <c r="EQ397" s="1">
        <v>0</v>
      </c>
      <c r="ER397" s="1">
        <v>50</v>
      </c>
      <c r="ES397" s="1">
        <v>20</v>
      </c>
      <c r="ET397" s="1">
        <v>80</v>
      </c>
      <c r="EU397" s="1">
        <v>2.3232323232323231</v>
      </c>
      <c r="EV397" s="19">
        <v>0.80808080808080796</v>
      </c>
      <c r="EW397" s="19">
        <v>3.8383838383838382</v>
      </c>
      <c r="EX397" s="19">
        <v>202.02020202020202</v>
      </c>
      <c r="EY397" s="8">
        <v>151.51515151515153</v>
      </c>
      <c r="EZ397" s="8">
        <v>252.52525252525254</v>
      </c>
      <c r="FA397" s="8">
        <v>393.93939393939394</v>
      </c>
      <c r="FB397" s="8">
        <v>368.68686868686871</v>
      </c>
      <c r="FC397" s="8">
        <v>419.19191919191917</v>
      </c>
      <c r="FD397" s="8">
        <v>0</v>
      </c>
      <c r="FE397" s="8">
        <v>0</v>
      </c>
      <c r="FF397" s="8">
        <v>30.303030303030305</v>
      </c>
      <c r="FG397" s="8">
        <v>44.444444444444443</v>
      </c>
      <c r="FH397" s="8">
        <v>24.242424242424242</v>
      </c>
      <c r="FI397" s="8">
        <v>64.646464646464651</v>
      </c>
      <c r="FJ397" s="8">
        <v>22.525252525252526</v>
      </c>
      <c r="FK397" s="8">
        <v>20.505050505050505</v>
      </c>
      <c r="FL397" s="8">
        <v>24.545454545454547</v>
      </c>
      <c r="FO397" s="1">
        <v>220</v>
      </c>
      <c r="FP397" s="1">
        <v>220</v>
      </c>
      <c r="FR397" s="13" t="s">
        <v>643</v>
      </c>
      <c r="FS397" s="1" t="s">
        <v>643</v>
      </c>
      <c r="FT397" s="13">
        <v>182</v>
      </c>
      <c r="FU397" s="13"/>
      <c r="FV397" s="13">
        <v>182</v>
      </c>
      <c r="FW397" s="13">
        <v>182</v>
      </c>
      <c r="FX397" s="1">
        <v>182</v>
      </c>
      <c r="FY397" s="13" t="s">
        <v>642</v>
      </c>
      <c r="FZ397" s="13" t="s">
        <v>641</v>
      </c>
      <c r="GA397" s="1">
        <v>202</v>
      </c>
      <c r="GB397" s="1">
        <v>202</v>
      </c>
      <c r="GD397" s="1" t="s">
        <v>645</v>
      </c>
      <c r="GE397" s="1">
        <v>211</v>
      </c>
      <c r="GF397" s="1">
        <v>214</v>
      </c>
      <c r="GG397" s="1">
        <v>220</v>
      </c>
      <c r="GH397" s="1">
        <v>214</v>
      </c>
      <c r="GK397" s="1" t="s">
        <v>644</v>
      </c>
    </row>
    <row r="398" spans="1:193" ht="12.75" customHeight="1" x14ac:dyDescent="0.25">
      <c r="A398" s="1" t="s">
        <v>78</v>
      </c>
      <c r="D398" s="1" t="s">
        <v>78</v>
      </c>
      <c r="E398" s="1" t="s">
        <v>126</v>
      </c>
      <c r="F398" s="1">
        <v>1</v>
      </c>
      <c r="G398" s="1">
        <v>2035</v>
      </c>
      <c r="H398" s="1">
        <v>1</v>
      </c>
      <c r="I398" s="1">
        <v>1</v>
      </c>
      <c r="J398" s="1">
        <v>0</v>
      </c>
      <c r="K398" s="11">
        <v>1021.86</v>
      </c>
      <c r="L398" s="11">
        <v>1529.64</v>
      </c>
      <c r="M398" s="11">
        <v>2037.42</v>
      </c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9"/>
      <c r="BQ398" s="11">
        <v>55.44</v>
      </c>
      <c r="BR398" s="11">
        <v>160.02000000000001</v>
      </c>
      <c r="BS398" s="11">
        <v>264.60000000000002</v>
      </c>
      <c r="BT398" s="11">
        <f>Tabelle5897112140[[#This Row],[Mindestauslastung min]]*Tabelle5897112140[[#This Row],[installierte Leistung MW min]]</f>
        <v>0</v>
      </c>
      <c r="BU398" s="11">
        <f>Tabelle5897112140[[#This Row],[Mindestauslastung durch]]*Tabelle5897112140[[#This Row],[installierte Leistung MW durch]]</f>
        <v>0</v>
      </c>
      <c r="BV398" s="19">
        <f>Tabelle5897112140[[#This Row],[Mindestauslastung max]]*Tabelle5897112140[[#This Row],[installierte Leistung MW max]]</f>
        <v>0</v>
      </c>
      <c r="BW398" s="9">
        <v>0</v>
      </c>
      <c r="BX398" s="9">
        <v>0</v>
      </c>
      <c r="BY398" s="9">
        <v>0</v>
      </c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39">
        <v>0.83</v>
      </c>
      <c r="DC398" s="39">
        <v>0.86</v>
      </c>
      <c r="DD398" s="39">
        <v>0.89</v>
      </c>
      <c r="DE398" s="11">
        <f>Tabelle5897112140[[#This Row],[Durchschnittsauslastung min]]*Tabelle5897112140[[#This Row],[installierte Leistung MW min]]</f>
        <v>1435.8833999999999</v>
      </c>
      <c r="DF398" s="11">
        <f>Tabelle5897112140[[#This Row],[Durchschnittsauslastung durch]]*Tabelle5897112140[[#This Row],[installierte Leistung MW durch]]</f>
        <v>1535.4612</v>
      </c>
      <c r="DG398" s="46">
        <f>Tabelle5897112140[[#This Row],[Durchschnittsauslastung max]]*Tabelle5897112140[[#This Row],[installierte Leistung MW max]]</f>
        <v>1638.3653999999999</v>
      </c>
      <c r="DH398" s="46">
        <f>Tabelle5897112140[[#This Row],[Maximalauslastung min]]*Tabelle5897112140[[#This Row],[installierte Leistung MW min]]</f>
        <v>1626.1812</v>
      </c>
      <c r="DI398" s="46">
        <f>Tabelle5897112140[[#This Row],[Maximalauslastung durch]]*Tabelle5897112140[[#This Row],[installierte Leistung MW durch]]</f>
        <v>1696.1489999999999</v>
      </c>
      <c r="DJ398" s="11">
        <f>Tabelle5897112140[[#This Row],[Maximalauslastung max]]*Tabelle5897112140[[#This Row],[installierte Leistung MW durch]]</f>
        <v>1714.0032000000001</v>
      </c>
      <c r="DK398" s="9">
        <v>0.94</v>
      </c>
      <c r="DL398" s="9">
        <v>0.95</v>
      </c>
      <c r="DM398" s="9">
        <v>0.96</v>
      </c>
      <c r="DN398" s="11">
        <v>1785.42</v>
      </c>
      <c r="DO398" s="11">
        <v>1729.98</v>
      </c>
      <c r="DP398" s="11">
        <v>1840.86</v>
      </c>
      <c r="DQ398" s="1">
        <v>1.4624999999999999</v>
      </c>
      <c r="DR398" s="1">
        <v>0.25</v>
      </c>
      <c r="DS398" s="54">
        <v>3</v>
      </c>
      <c r="DT398" s="1">
        <v>1.625</v>
      </c>
      <c r="DU398" s="1">
        <v>0.5</v>
      </c>
      <c r="DV398" s="54">
        <v>3</v>
      </c>
      <c r="DW398" s="1">
        <v>5.2</v>
      </c>
      <c r="DX398" s="1">
        <v>4.7</v>
      </c>
      <c r="DY398" s="54">
        <v>5.7</v>
      </c>
      <c r="DZ398" s="1">
        <v>6.6</v>
      </c>
      <c r="EA398" s="1">
        <v>4.8999999999999995</v>
      </c>
      <c r="EB398" s="54">
        <v>8.2999999999999989</v>
      </c>
      <c r="EC398" s="1">
        <v>11.2</v>
      </c>
      <c r="ED398" s="1">
        <v>11.2</v>
      </c>
      <c r="EE398" s="54">
        <v>11.2</v>
      </c>
      <c r="EF398" s="1">
        <v>6.6</v>
      </c>
      <c r="EG398" s="1">
        <v>4.8999999999999995</v>
      </c>
      <c r="EH398" s="54">
        <v>8.2999999999999989</v>
      </c>
      <c r="EJ398" s="1" t="s">
        <v>646</v>
      </c>
      <c r="EL398" s="1">
        <v>500</v>
      </c>
      <c r="EM398" s="1">
        <v>200</v>
      </c>
      <c r="EN398" s="1">
        <v>800</v>
      </c>
      <c r="EO398" s="1">
        <v>0</v>
      </c>
      <c r="EP398" s="1">
        <v>0</v>
      </c>
      <c r="EQ398" s="1">
        <v>0</v>
      </c>
      <c r="ER398" s="1">
        <v>50</v>
      </c>
      <c r="ES398" s="1">
        <v>20</v>
      </c>
      <c r="ET398" s="1">
        <v>80</v>
      </c>
      <c r="EU398" s="1">
        <v>2.3232323232323231</v>
      </c>
      <c r="EV398" s="19">
        <v>0.80808080808080796</v>
      </c>
      <c r="EW398" s="19">
        <v>3.8383838383838382</v>
      </c>
      <c r="EX398" s="19">
        <v>202.02020202020202</v>
      </c>
      <c r="EY398" s="8">
        <v>151.51515151515153</v>
      </c>
      <c r="EZ398" s="8">
        <v>252.52525252525254</v>
      </c>
      <c r="FA398" s="8">
        <v>393.93939393939394</v>
      </c>
      <c r="FB398" s="8">
        <v>368.68686868686871</v>
      </c>
      <c r="FC398" s="8">
        <v>419.19191919191917</v>
      </c>
      <c r="FD398" s="8">
        <v>0</v>
      </c>
      <c r="FE398" s="8">
        <v>0</v>
      </c>
      <c r="FF398" s="8">
        <v>30.303030303030305</v>
      </c>
      <c r="FG398" s="8">
        <v>44.444444444444443</v>
      </c>
      <c r="FH398" s="8">
        <v>24.242424242424242</v>
      </c>
      <c r="FI398" s="8">
        <v>64.646464646464651</v>
      </c>
      <c r="FJ398" s="8">
        <v>22.525252525252526</v>
      </c>
      <c r="FK398" s="8">
        <v>20.505050505050505</v>
      </c>
      <c r="FL398" s="8">
        <v>24.545454545454547</v>
      </c>
      <c r="FO398" s="1">
        <v>220</v>
      </c>
      <c r="FP398" s="1">
        <v>220</v>
      </c>
      <c r="FR398" s="13" t="s">
        <v>643</v>
      </c>
      <c r="FS398" s="1" t="s">
        <v>643</v>
      </c>
      <c r="FT398" s="13">
        <v>182</v>
      </c>
      <c r="FU398" s="13"/>
      <c r="FV398" s="13">
        <v>182</v>
      </c>
      <c r="FW398" s="13">
        <v>182</v>
      </c>
      <c r="FX398" s="1">
        <v>182</v>
      </c>
      <c r="FY398" s="13" t="s">
        <v>642</v>
      </c>
      <c r="FZ398" s="13" t="s">
        <v>641</v>
      </c>
      <c r="GA398" s="1">
        <v>202</v>
      </c>
      <c r="GB398" s="1">
        <v>202</v>
      </c>
      <c r="GD398" s="1" t="s">
        <v>645</v>
      </c>
      <c r="GE398" s="1">
        <v>211</v>
      </c>
      <c r="GF398" s="1">
        <v>214</v>
      </c>
      <c r="GG398" s="1">
        <v>220</v>
      </c>
      <c r="GH398" s="1">
        <v>214</v>
      </c>
      <c r="GK398" s="1" t="s">
        <v>644</v>
      </c>
    </row>
    <row r="399" spans="1:193" ht="12.75" customHeight="1" x14ac:dyDescent="0.25">
      <c r="A399" s="1" t="s">
        <v>78</v>
      </c>
      <c r="D399" s="1" t="s">
        <v>78</v>
      </c>
      <c r="E399" s="1" t="s">
        <v>126</v>
      </c>
      <c r="F399" s="1">
        <v>1</v>
      </c>
      <c r="G399" s="1">
        <v>2040</v>
      </c>
      <c r="H399" s="1">
        <v>1</v>
      </c>
      <c r="I399" s="1">
        <v>1</v>
      </c>
      <c r="J399" s="1">
        <v>0</v>
      </c>
      <c r="K399" s="11">
        <v>1094.8500000000001</v>
      </c>
      <c r="L399" s="11">
        <v>1638.9</v>
      </c>
      <c r="M399" s="11">
        <v>2182.9500000000003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9"/>
      <c r="BQ399" s="11">
        <v>59.400000000000006</v>
      </c>
      <c r="BR399" s="11">
        <v>171.45000000000002</v>
      </c>
      <c r="BS399" s="11">
        <v>283.5</v>
      </c>
      <c r="BT399" s="11">
        <f>Tabelle5897112140[[#This Row],[Mindestauslastung min]]*Tabelle5897112140[[#This Row],[installierte Leistung MW min]]</f>
        <v>0</v>
      </c>
      <c r="BU399" s="11">
        <f>Tabelle5897112140[[#This Row],[Mindestauslastung durch]]*Tabelle5897112140[[#This Row],[installierte Leistung MW durch]]</f>
        <v>0</v>
      </c>
      <c r="BV399" s="19">
        <f>Tabelle5897112140[[#This Row],[Mindestauslastung max]]*Tabelle5897112140[[#This Row],[installierte Leistung MW max]]</f>
        <v>0</v>
      </c>
      <c r="BW399" s="9">
        <v>0</v>
      </c>
      <c r="BX399" s="9">
        <v>0</v>
      </c>
      <c r="BY399" s="9">
        <v>0</v>
      </c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39">
        <v>0.83</v>
      </c>
      <c r="DC399" s="39">
        <v>0.86</v>
      </c>
      <c r="DD399" s="39">
        <v>0.89</v>
      </c>
      <c r="DE399" s="11">
        <f>Tabelle5897112140[[#This Row],[Durchschnittsauslastung min]]*Tabelle5897112140[[#This Row],[installierte Leistung MW min]]</f>
        <v>1538.4465</v>
      </c>
      <c r="DF399" s="11">
        <f>Tabelle5897112140[[#This Row],[Durchschnittsauslastung durch]]*Tabelle5897112140[[#This Row],[installierte Leistung MW durch]]</f>
        <v>1645.1369999999999</v>
      </c>
      <c r="DG399" s="46">
        <f>Tabelle5897112140[[#This Row],[Durchschnittsauslastung max]]*Tabelle5897112140[[#This Row],[installierte Leistung MW max]]</f>
        <v>1755.3915000000002</v>
      </c>
      <c r="DH399" s="46">
        <f>Tabelle5897112140[[#This Row],[Maximalauslastung min]]*Tabelle5897112140[[#This Row],[installierte Leistung MW min]]</f>
        <v>1742.337</v>
      </c>
      <c r="DI399" s="46">
        <f>Tabelle5897112140[[#This Row],[Maximalauslastung durch]]*Tabelle5897112140[[#This Row],[installierte Leistung MW durch]]</f>
        <v>1817.3025</v>
      </c>
      <c r="DJ399" s="11">
        <f>Tabelle5897112140[[#This Row],[Maximalauslastung max]]*Tabelle5897112140[[#This Row],[installierte Leistung MW durch]]</f>
        <v>1836.432</v>
      </c>
      <c r="DK399" s="9">
        <v>0.94</v>
      </c>
      <c r="DL399" s="9">
        <v>0.95</v>
      </c>
      <c r="DM399" s="9">
        <v>0.96</v>
      </c>
      <c r="DN399" s="11">
        <v>1912.95</v>
      </c>
      <c r="DO399" s="11">
        <v>1853.5500000000002</v>
      </c>
      <c r="DP399" s="11">
        <v>1972.3500000000001</v>
      </c>
      <c r="DQ399" s="1">
        <v>1.4624999999999999</v>
      </c>
      <c r="DR399" s="1">
        <v>0.25</v>
      </c>
      <c r="DS399" s="54">
        <v>3</v>
      </c>
      <c r="DT399" s="1">
        <v>1.625</v>
      </c>
      <c r="DU399" s="1">
        <v>0.5</v>
      </c>
      <c r="DV399" s="54">
        <v>3</v>
      </c>
      <c r="DW399" s="1">
        <v>5.2</v>
      </c>
      <c r="DX399" s="1">
        <v>4.7</v>
      </c>
      <c r="DY399" s="54">
        <v>5.7</v>
      </c>
      <c r="DZ399" s="1">
        <v>6.6</v>
      </c>
      <c r="EA399" s="1">
        <v>4.8999999999999995</v>
      </c>
      <c r="EB399" s="54">
        <v>8.2999999999999989</v>
      </c>
      <c r="EC399" s="1">
        <v>11.2</v>
      </c>
      <c r="ED399" s="1">
        <v>11.2</v>
      </c>
      <c r="EE399" s="54">
        <v>11.2</v>
      </c>
      <c r="EF399" s="1">
        <v>6.6</v>
      </c>
      <c r="EG399" s="1">
        <v>4.8999999999999995</v>
      </c>
      <c r="EH399" s="54">
        <v>8.2999999999999989</v>
      </c>
      <c r="EJ399" s="1" t="s">
        <v>646</v>
      </c>
      <c r="EL399" s="1">
        <v>365</v>
      </c>
      <c r="EM399" s="1">
        <v>328</v>
      </c>
      <c r="EN399" s="1">
        <v>402</v>
      </c>
      <c r="EO399" s="1">
        <v>0</v>
      </c>
      <c r="EP399" s="1">
        <v>0</v>
      </c>
      <c r="EQ399" s="1">
        <v>0</v>
      </c>
      <c r="ER399" s="1">
        <v>50</v>
      </c>
      <c r="ES399" s="1">
        <v>20</v>
      </c>
      <c r="ET399" s="1">
        <v>80</v>
      </c>
      <c r="EU399" s="1">
        <v>2.3232323232323231</v>
      </c>
      <c r="EV399" s="19">
        <v>0.80808080808080796</v>
      </c>
      <c r="EW399" s="19">
        <v>3.8383838383838382</v>
      </c>
      <c r="EX399" s="19">
        <v>202.02020202020202</v>
      </c>
      <c r="EY399" s="8">
        <v>151.51515151515153</v>
      </c>
      <c r="EZ399" s="8">
        <v>252.52525252525254</v>
      </c>
      <c r="FA399" s="8">
        <v>393.93939393939394</v>
      </c>
      <c r="FB399" s="8">
        <v>368.68686868686871</v>
      </c>
      <c r="FC399" s="8">
        <v>419.19191919191917</v>
      </c>
      <c r="FD399" s="8">
        <v>0</v>
      </c>
      <c r="FE399" s="8">
        <v>0</v>
      </c>
      <c r="FF399" s="8">
        <v>30.303030303030305</v>
      </c>
      <c r="FG399" s="8">
        <v>44.444444444444443</v>
      </c>
      <c r="FH399" s="8">
        <v>24.242424242424242</v>
      </c>
      <c r="FI399" s="8">
        <v>64.646464646464651</v>
      </c>
      <c r="FJ399" s="8">
        <v>22.525252525252526</v>
      </c>
      <c r="FK399" s="8">
        <v>20.505050505050505</v>
      </c>
      <c r="FL399" s="8">
        <v>24.545454545454547</v>
      </c>
      <c r="FO399" s="1">
        <v>220</v>
      </c>
      <c r="FP399" s="1">
        <v>220</v>
      </c>
      <c r="FR399" s="13" t="s">
        <v>643</v>
      </c>
      <c r="FS399" s="1" t="s">
        <v>643</v>
      </c>
      <c r="FT399" s="13">
        <v>182</v>
      </c>
      <c r="FU399" s="13"/>
      <c r="FV399" s="13">
        <v>182</v>
      </c>
      <c r="FW399" s="13">
        <v>182</v>
      </c>
      <c r="FX399" s="1">
        <v>182</v>
      </c>
      <c r="FY399" s="13" t="s">
        <v>642</v>
      </c>
      <c r="FZ399" s="13" t="s">
        <v>641</v>
      </c>
      <c r="GA399" s="1">
        <v>202</v>
      </c>
      <c r="GB399" s="1">
        <v>202</v>
      </c>
      <c r="GD399" s="1" t="s">
        <v>645</v>
      </c>
      <c r="GE399" s="1">
        <v>211</v>
      </c>
      <c r="GF399" s="1">
        <v>214</v>
      </c>
      <c r="GG399" s="1">
        <v>220</v>
      </c>
      <c r="GH399" s="1">
        <v>214</v>
      </c>
      <c r="GK399" s="1" t="s">
        <v>644</v>
      </c>
    </row>
    <row r="400" spans="1:193" ht="12.75" customHeight="1" x14ac:dyDescent="0.25">
      <c r="A400" s="1" t="s">
        <v>78</v>
      </c>
      <c r="D400" s="1" t="s">
        <v>78</v>
      </c>
      <c r="E400" s="1" t="s">
        <v>126</v>
      </c>
      <c r="F400" s="1">
        <v>1</v>
      </c>
      <c r="G400" s="1">
        <v>2045</v>
      </c>
      <c r="H400" s="1">
        <v>1</v>
      </c>
      <c r="I400" s="1">
        <v>1</v>
      </c>
      <c r="J400" s="1">
        <v>0</v>
      </c>
      <c r="K400" s="11">
        <v>1184.06</v>
      </c>
      <c r="L400" s="11">
        <v>1772.4400000000003</v>
      </c>
      <c r="M400" s="11">
        <v>2360.8200000000002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9"/>
      <c r="BQ400" s="11">
        <v>64.239999999999995</v>
      </c>
      <c r="BR400" s="11">
        <v>185.42000000000002</v>
      </c>
      <c r="BS400" s="11">
        <v>306.59999999999997</v>
      </c>
      <c r="BT400" s="11">
        <f>Tabelle5897112140[[#This Row],[Mindestauslastung min]]*Tabelle5897112140[[#This Row],[installierte Leistung MW min]]</f>
        <v>0</v>
      </c>
      <c r="BU400" s="11">
        <f>Tabelle5897112140[[#This Row],[Mindestauslastung durch]]*Tabelle5897112140[[#This Row],[installierte Leistung MW durch]]</f>
        <v>0</v>
      </c>
      <c r="BV400" s="19">
        <f>Tabelle5897112140[[#This Row],[Mindestauslastung max]]*Tabelle5897112140[[#This Row],[installierte Leistung MW max]]</f>
        <v>0</v>
      </c>
      <c r="BW400" s="9">
        <v>0</v>
      </c>
      <c r="BX400" s="9">
        <v>0</v>
      </c>
      <c r="BY400" s="9">
        <v>0</v>
      </c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39">
        <v>0.83</v>
      </c>
      <c r="DC400" s="39">
        <v>0.86</v>
      </c>
      <c r="DD400" s="39">
        <v>0.89</v>
      </c>
      <c r="DE400" s="11">
        <f>Tabelle5897112140[[#This Row],[Durchschnittsauslastung min]]*Tabelle5897112140[[#This Row],[installierte Leistung MW min]]</f>
        <v>1663.8013999999998</v>
      </c>
      <c r="DF400" s="11">
        <f>Tabelle5897112140[[#This Row],[Durchschnittsauslastung durch]]*Tabelle5897112140[[#This Row],[installierte Leistung MW durch]]</f>
        <v>1779.1852000000001</v>
      </c>
      <c r="DG400" s="46">
        <f>Tabelle5897112140[[#This Row],[Durchschnittsauslastung max]]*Tabelle5897112140[[#This Row],[installierte Leistung MW max]]</f>
        <v>1898.4233999999999</v>
      </c>
      <c r="DH400" s="46">
        <f>Tabelle5897112140[[#This Row],[Maximalauslastung min]]*Tabelle5897112140[[#This Row],[installierte Leistung MW min]]</f>
        <v>1884.3051999999998</v>
      </c>
      <c r="DI400" s="46">
        <f>Tabelle5897112140[[#This Row],[Maximalauslastung durch]]*Tabelle5897112140[[#This Row],[installierte Leistung MW durch]]</f>
        <v>1965.3790000000001</v>
      </c>
      <c r="DJ400" s="11">
        <f>Tabelle5897112140[[#This Row],[Maximalauslastung max]]*Tabelle5897112140[[#This Row],[installierte Leistung MW durch]]</f>
        <v>1986.0672000000002</v>
      </c>
      <c r="DK400" s="9">
        <v>0.94</v>
      </c>
      <c r="DL400" s="9">
        <v>0.95</v>
      </c>
      <c r="DM400" s="9">
        <v>0.96</v>
      </c>
      <c r="DN400" s="11">
        <v>2068.8200000000002</v>
      </c>
      <c r="DO400" s="11">
        <v>2004.58</v>
      </c>
      <c r="DP400" s="11">
        <v>2133.06</v>
      </c>
      <c r="DQ400" s="1">
        <v>1.4624999999999999</v>
      </c>
      <c r="DR400" s="1">
        <v>0.25</v>
      </c>
      <c r="DS400" s="54">
        <v>3</v>
      </c>
      <c r="DT400" s="1">
        <v>1.625</v>
      </c>
      <c r="DU400" s="1">
        <v>0.5</v>
      </c>
      <c r="DV400" s="54">
        <v>3</v>
      </c>
      <c r="DW400" s="1">
        <v>5.2</v>
      </c>
      <c r="DX400" s="1">
        <v>4.7</v>
      </c>
      <c r="DY400" s="54">
        <v>5.7</v>
      </c>
      <c r="DZ400" s="1">
        <v>6.6</v>
      </c>
      <c r="EA400" s="1">
        <v>4.8999999999999995</v>
      </c>
      <c r="EB400" s="54">
        <v>8.2999999999999989</v>
      </c>
      <c r="EC400" s="1">
        <v>11.2</v>
      </c>
      <c r="ED400" s="1">
        <v>11.2</v>
      </c>
      <c r="EE400" s="54">
        <v>11.2</v>
      </c>
      <c r="EF400" s="1">
        <v>6.6</v>
      </c>
      <c r="EG400" s="1">
        <v>4.8999999999999995</v>
      </c>
      <c r="EH400" s="54">
        <v>8.2999999999999989</v>
      </c>
      <c r="EJ400" s="1" t="s">
        <v>646</v>
      </c>
      <c r="EL400" s="1">
        <v>639</v>
      </c>
      <c r="EM400" s="1">
        <v>575</v>
      </c>
      <c r="EN400" s="1">
        <v>703</v>
      </c>
      <c r="EO400" s="1">
        <v>0</v>
      </c>
      <c r="EP400" s="1">
        <v>0</v>
      </c>
      <c r="EQ400" s="1">
        <v>0</v>
      </c>
      <c r="ER400" s="1">
        <v>50</v>
      </c>
      <c r="ES400" s="1">
        <v>20</v>
      </c>
      <c r="ET400" s="1">
        <v>80</v>
      </c>
      <c r="EU400" s="1">
        <v>2.3232323232323231</v>
      </c>
      <c r="EV400" s="19">
        <v>0.80808080808080796</v>
      </c>
      <c r="EW400" s="19">
        <v>3.8383838383838382</v>
      </c>
      <c r="EX400" s="19">
        <v>202.02020202020202</v>
      </c>
      <c r="EY400" s="8">
        <v>151.51515151515153</v>
      </c>
      <c r="EZ400" s="8">
        <v>252.52525252525254</v>
      </c>
      <c r="FA400" s="8">
        <v>393.93939393939394</v>
      </c>
      <c r="FB400" s="8">
        <v>368.68686868686871</v>
      </c>
      <c r="FC400" s="8">
        <v>419.19191919191917</v>
      </c>
      <c r="FD400" s="8">
        <v>0</v>
      </c>
      <c r="FE400" s="8">
        <v>0</v>
      </c>
      <c r="FF400" s="8">
        <v>30.303030303030305</v>
      </c>
      <c r="FG400" s="8">
        <v>44.444444444444443</v>
      </c>
      <c r="FH400" s="8">
        <v>24.242424242424242</v>
      </c>
      <c r="FI400" s="8">
        <v>64.646464646464651</v>
      </c>
      <c r="FJ400" s="8">
        <v>22.525252525252526</v>
      </c>
      <c r="FK400" s="8">
        <v>20.505050505050505</v>
      </c>
      <c r="FL400" s="8">
        <v>24.545454545454547</v>
      </c>
      <c r="FO400" s="1">
        <v>220</v>
      </c>
      <c r="FP400" s="1">
        <v>220</v>
      </c>
      <c r="FR400" s="13" t="s">
        <v>643</v>
      </c>
      <c r="FS400" s="1" t="s">
        <v>643</v>
      </c>
      <c r="FT400" s="13">
        <v>182</v>
      </c>
      <c r="FU400" s="13"/>
      <c r="FV400" s="13">
        <v>182</v>
      </c>
      <c r="FW400" s="13">
        <v>182</v>
      </c>
      <c r="FX400" s="1">
        <v>182</v>
      </c>
      <c r="FY400" s="13" t="s">
        <v>642</v>
      </c>
      <c r="FZ400" s="13" t="s">
        <v>641</v>
      </c>
      <c r="GA400" s="1">
        <v>202</v>
      </c>
      <c r="GB400" s="1">
        <v>202</v>
      </c>
      <c r="GD400" s="1" t="s">
        <v>645</v>
      </c>
      <c r="GE400" s="1">
        <v>211</v>
      </c>
      <c r="GF400" s="1">
        <v>214</v>
      </c>
      <c r="GG400" s="1">
        <v>220</v>
      </c>
      <c r="GH400" s="1">
        <v>214</v>
      </c>
      <c r="GK400" s="1" t="s">
        <v>644</v>
      </c>
    </row>
    <row r="401" spans="1:193" ht="12.75" customHeight="1" x14ac:dyDescent="0.25">
      <c r="A401" s="1" t="s">
        <v>78</v>
      </c>
      <c r="D401" s="1" t="s">
        <v>78</v>
      </c>
      <c r="E401" s="1" t="s">
        <v>126</v>
      </c>
      <c r="F401" s="1">
        <v>1</v>
      </c>
      <c r="G401" s="1">
        <v>2050</v>
      </c>
      <c r="H401" s="1">
        <v>1</v>
      </c>
      <c r="I401" s="1">
        <v>1</v>
      </c>
      <c r="J401" s="1">
        <v>0</v>
      </c>
      <c r="K401" s="11">
        <v>1273.27</v>
      </c>
      <c r="L401" s="11">
        <v>1905.98</v>
      </c>
      <c r="M401" s="11">
        <v>2538.69</v>
      </c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9"/>
      <c r="BQ401" s="11">
        <v>69.08</v>
      </c>
      <c r="BR401" s="11">
        <v>199.39000000000001</v>
      </c>
      <c r="BS401" s="11">
        <v>329.7</v>
      </c>
      <c r="BT401" s="11">
        <f>Tabelle5897112140[[#This Row],[Mindestauslastung min]]*Tabelle5897112140[[#This Row],[installierte Leistung MW min]]</f>
        <v>0</v>
      </c>
      <c r="BU401" s="11">
        <f>Tabelle5897112140[[#This Row],[Mindestauslastung durch]]*Tabelle5897112140[[#This Row],[installierte Leistung MW durch]]</f>
        <v>0</v>
      </c>
      <c r="BV401" s="19">
        <f>Tabelle5897112140[[#This Row],[Mindestauslastung max]]*Tabelle5897112140[[#This Row],[installierte Leistung MW max]]</f>
        <v>0</v>
      </c>
      <c r="BW401" s="9">
        <v>0</v>
      </c>
      <c r="BX401" s="9">
        <v>0</v>
      </c>
      <c r="BY401" s="9">
        <v>0</v>
      </c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39">
        <v>0.83</v>
      </c>
      <c r="DC401" s="39">
        <v>0.86</v>
      </c>
      <c r="DD401" s="39">
        <v>0.89</v>
      </c>
      <c r="DE401" s="11">
        <f>Tabelle5897112140[[#This Row],[Durchschnittsauslastung min]]*Tabelle5897112140[[#This Row],[installierte Leistung MW min]]</f>
        <v>1789.1563000000001</v>
      </c>
      <c r="DF401" s="11">
        <f>Tabelle5897112140[[#This Row],[Durchschnittsauslastung durch]]*Tabelle5897112140[[#This Row],[installierte Leistung MW durch]]</f>
        <v>1913.2334000000001</v>
      </c>
      <c r="DG401" s="46">
        <f>Tabelle5897112140[[#This Row],[Durchschnittsauslastung max]]*Tabelle5897112140[[#This Row],[installierte Leistung MW max]]</f>
        <v>2041.4553000000001</v>
      </c>
      <c r="DH401" s="46">
        <f>Tabelle5897112140[[#This Row],[Maximalauslastung min]]*Tabelle5897112140[[#This Row],[installierte Leistung MW min]]</f>
        <v>2026.2734</v>
      </c>
      <c r="DI401" s="46">
        <f>Tabelle5897112140[[#This Row],[Maximalauslastung durch]]*Tabelle5897112140[[#This Row],[installierte Leistung MW durch]]</f>
        <v>2113.4555</v>
      </c>
      <c r="DJ401" s="11">
        <f>Tabelle5897112140[[#This Row],[Maximalauslastung max]]*Tabelle5897112140[[#This Row],[installierte Leistung MW durch]]</f>
        <v>2135.7024000000001</v>
      </c>
      <c r="DK401" s="9">
        <v>0.94</v>
      </c>
      <c r="DL401" s="9">
        <v>0.95</v>
      </c>
      <c r="DM401" s="9">
        <v>0.96</v>
      </c>
      <c r="DN401" s="11">
        <v>2224.69</v>
      </c>
      <c r="DO401" s="11">
        <v>2155.61</v>
      </c>
      <c r="DP401" s="11">
        <v>2293.77</v>
      </c>
      <c r="DQ401" s="1">
        <v>1.4624999999999999</v>
      </c>
      <c r="DR401" s="1">
        <v>0.25</v>
      </c>
      <c r="DS401" s="54">
        <v>3</v>
      </c>
      <c r="DT401" s="1">
        <v>1.625</v>
      </c>
      <c r="DU401" s="1">
        <v>0.5</v>
      </c>
      <c r="DV401" s="54">
        <v>3</v>
      </c>
      <c r="DW401" s="1">
        <v>5.2</v>
      </c>
      <c r="DX401" s="1">
        <v>4.7</v>
      </c>
      <c r="DY401" s="54">
        <v>5.7</v>
      </c>
      <c r="DZ401" s="1">
        <v>6.6</v>
      </c>
      <c r="EA401" s="1">
        <v>4.8999999999999995</v>
      </c>
      <c r="EB401" s="54">
        <v>8.2999999999999989</v>
      </c>
      <c r="EC401" s="1">
        <v>11.2</v>
      </c>
      <c r="ED401" s="1">
        <v>11.2</v>
      </c>
      <c r="EE401" s="54">
        <v>11.2</v>
      </c>
      <c r="EF401" s="1">
        <v>6.6</v>
      </c>
      <c r="EG401" s="1">
        <v>4.8999999999999995</v>
      </c>
      <c r="EH401" s="54">
        <v>8.2999999999999989</v>
      </c>
      <c r="EJ401" s="1" t="s">
        <v>646</v>
      </c>
      <c r="EL401" s="1">
        <v>365</v>
      </c>
      <c r="EM401" s="1">
        <v>328</v>
      </c>
      <c r="EN401" s="1">
        <v>402</v>
      </c>
      <c r="EO401" s="1">
        <v>0</v>
      </c>
      <c r="EP401" s="1">
        <v>0</v>
      </c>
      <c r="EQ401" s="1">
        <v>0</v>
      </c>
      <c r="ER401" s="1">
        <v>50</v>
      </c>
      <c r="ES401" s="1">
        <v>20</v>
      </c>
      <c r="ET401" s="1">
        <v>80</v>
      </c>
      <c r="EU401" s="1">
        <v>2.3232323232323231</v>
      </c>
      <c r="EV401" s="19">
        <v>0.80808080808080796</v>
      </c>
      <c r="EW401" s="19">
        <v>3.8383838383838382</v>
      </c>
      <c r="EX401" s="19">
        <v>202.02020202020202</v>
      </c>
      <c r="EY401" s="8">
        <v>151.51515151515153</v>
      </c>
      <c r="EZ401" s="8">
        <v>252.52525252525254</v>
      </c>
      <c r="FA401" s="8">
        <v>393.93939393939394</v>
      </c>
      <c r="FB401" s="8">
        <v>368.68686868686871</v>
      </c>
      <c r="FC401" s="8">
        <v>419.19191919191917</v>
      </c>
      <c r="FD401" s="8">
        <v>0</v>
      </c>
      <c r="FE401" s="8">
        <v>0</v>
      </c>
      <c r="FF401" s="8">
        <v>30.303030303030305</v>
      </c>
      <c r="FG401" s="8">
        <v>44.444444444444443</v>
      </c>
      <c r="FH401" s="8">
        <v>24.242424242424242</v>
      </c>
      <c r="FI401" s="8">
        <v>64.646464646464651</v>
      </c>
      <c r="FJ401" s="8">
        <v>22.525252525252526</v>
      </c>
      <c r="FK401" s="8">
        <v>20.505050505050505</v>
      </c>
      <c r="FL401" s="8">
        <v>24.545454545454547</v>
      </c>
      <c r="FO401" s="1">
        <v>220</v>
      </c>
      <c r="FP401" s="1">
        <v>220</v>
      </c>
      <c r="FR401" s="13" t="s">
        <v>643</v>
      </c>
      <c r="FS401" s="1" t="s">
        <v>643</v>
      </c>
      <c r="FT401" s="13">
        <v>182</v>
      </c>
      <c r="FU401" s="13"/>
      <c r="FV401" s="13">
        <v>182</v>
      </c>
      <c r="FW401" s="13">
        <v>182</v>
      </c>
      <c r="FX401" s="1">
        <v>182</v>
      </c>
      <c r="FY401" s="13" t="s">
        <v>642</v>
      </c>
      <c r="FZ401" s="13" t="s">
        <v>641</v>
      </c>
      <c r="GA401" s="1">
        <v>202</v>
      </c>
      <c r="GB401" s="1">
        <v>202</v>
      </c>
      <c r="GD401" s="1" t="s">
        <v>645</v>
      </c>
      <c r="GE401" s="1">
        <v>211</v>
      </c>
      <c r="GF401" s="1">
        <v>214</v>
      </c>
      <c r="GG401" s="1">
        <v>220</v>
      </c>
      <c r="GH401" s="1">
        <v>214</v>
      </c>
      <c r="GK401" s="1" t="s">
        <v>644</v>
      </c>
    </row>
    <row r="402" spans="1:193" ht="12.75" customHeight="1" x14ac:dyDescent="0.25">
      <c r="A402" s="1" t="s">
        <v>39</v>
      </c>
      <c r="D402" s="1" t="s">
        <v>573</v>
      </c>
      <c r="E402" s="1" t="s">
        <v>126</v>
      </c>
      <c r="F402" s="1">
        <v>1</v>
      </c>
      <c r="G402" s="1">
        <v>2015</v>
      </c>
      <c r="H402" s="1">
        <v>1</v>
      </c>
      <c r="I402" s="1">
        <v>1</v>
      </c>
      <c r="J402" s="1">
        <v>0</v>
      </c>
      <c r="K402" s="11">
        <v>114</v>
      </c>
      <c r="L402" s="11">
        <v>146</v>
      </c>
      <c r="M402" s="11">
        <v>178</v>
      </c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9"/>
      <c r="BQ402" s="11">
        <v>9</v>
      </c>
      <c r="BR402" s="11">
        <v>27</v>
      </c>
      <c r="BS402" s="11">
        <v>45</v>
      </c>
      <c r="BT402" s="11">
        <f>Tabelle5897112140[[#This Row],[Mindestauslastung min]]*Tabelle5897112140[[#This Row],[installierte Leistung MW min]]</f>
        <v>0</v>
      </c>
      <c r="BU402" s="11">
        <f>Tabelle5897112140[[#This Row],[Mindestauslastung durch]]*Tabelle5897112140[[#This Row],[installierte Leistung MW durch]]</f>
        <v>0</v>
      </c>
      <c r="BV402" s="19">
        <f>Tabelle5897112140[[#This Row],[Mindestauslastung max]]*Tabelle5897112140[[#This Row],[installierte Leistung MW max]]</f>
        <v>0</v>
      </c>
      <c r="BW402" s="9">
        <v>0</v>
      </c>
      <c r="BX402" s="9">
        <v>0</v>
      </c>
      <c r="BY402" s="9">
        <v>0</v>
      </c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39">
        <v>0.72</v>
      </c>
      <c r="DC402" s="39">
        <v>0.8</v>
      </c>
      <c r="DD402" s="39">
        <v>0.88</v>
      </c>
      <c r="DE402" s="11">
        <f>Tabelle5897112140[[#This Row],[Durchschnittsauslastung min]]*Tabelle5897112140[[#This Row],[installierte Leistung MW min]]</f>
        <v>115.92</v>
      </c>
      <c r="DF402" s="11">
        <f>Tabelle5897112140[[#This Row],[Durchschnittsauslastung durch]]*Tabelle5897112140[[#This Row],[installierte Leistung MW durch]]</f>
        <v>146.4</v>
      </c>
      <c r="DG402" s="46">
        <f>Tabelle5897112140[[#This Row],[Durchschnittsauslastung max]]*Tabelle5897112140[[#This Row],[installierte Leistung MW max]]</f>
        <v>180.4</v>
      </c>
      <c r="DH402" s="46">
        <f>Tabelle5897112140[[#This Row],[Maximalauslastung min]]*Tabelle5897112140[[#This Row],[installierte Leistung MW min]]</f>
        <v>151.34</v>
      </c>
      <c r="DI402" s="46">
        <f>Tabelle5897112140[[#This Row],[Maximalauslastung durch]]*Tabelle5897112140[[#This Row],[installierte Leistung MW durch]]</f>
        <v>173.85</v>
      </c>
      <c r="DJ402" s="11">
        <f>Tabelle5897112140[[#This Row],[Maximalauslastung max]]*Tabelle5897112140[[#This Row],[installierte Leistung MW durch]]</f>
        <v>175.68</v>
      </c>
      <c r="DK402" s="9">
        <v>0.94</v>
      </c>
      <c r="DL402" s="9">
        <v>0.95</v>
      </c>
      <c r="DM402" s="9">
        <v>0.96</v>
      </c>
      <c r="DN402" s="11">
        <v>183</v>
      </c>
      <c r="DO402" s="11">
        <v>161</v>
      </c>
      <c r="DP402" s="11">
        <v>205</v>
      </c>
      <c r="DQ402" s="1">
        <v>0.24374999999999999</v>
      </c>
      <c r="DR402" s="1">
        <v>2.7777777777777778E-4</v>
      </c>
      <c r="DS402" s="54">
        <v>1</v>
      </c>
      <c r="DT402" s="1">
        <v>0.24374999999999999</v>
      </c>
      <c r="DU402" s="1">
        <v>2.7777777777777778E-4</v>
      </c>
      <c r="DV402" s="54">
        <v>1</v>
      </c>
      <c r="DW402" s="1">
        <v>2.8</v>
      </c>
      <c r="DX402" s="1">
        <v>2.5</v>
      </c>
      <c r="DY402" s="54">
        <v>3.0999999999999996</v>
      </c>
      <c r="DZ402" s="1">
        <v>3.6</v>
      </c>
      <c r="EA402" s="1">
        <v>2.9000000000000004</v>
      </c>
      <c r="EB402" s="54">
        <v>4.3</v>
      </c>
      <c r="EC402" s="1">
        <v>5.8</v>
      </c>
      <c r="ED402" s="1">
        <v>5.8</v>
      </c>
      <c r="EE402" s="54">
        <v>5.8</v>
      </c>
      <c r="EF402" s="1">
        <v>3.6</v>
      </c>
      <c r="EG402" s="1">
        <v>2.9000000000000004</v>
      </c>
      <c r="EH402" s="54">
        <v>4.3</v>
      </c>
      <c r="EJ402" s="1" t="s">
        <v>646</v>
      </c>
      <c r="EL402" s="1">
        <v>315</v>
      </c>
      <c r="EM402" s="1">
        <v>265</v>
      </c>
      <c r="EN402" s="1">
        <v>365</v>
      </c>
      <c r="EO402" s="1">
        <v>35</v>
      </c>
      <c r="EP402" s="1">
        <v>20</v>
      </c>
      <c r="EQ402" s="1">
        <v>50</v>
      </c>
      <c r="ER402" s="1">
        <v>315</v>
      </c>
      <c r="ES402" s="1">
        <v>265</v>
      </c>
      <c r="ET402" s="1">
        <v>365</v>
      </c>
      <c r="EU402" s="1">
        <v>7.8080808080808088</v>
      </c>
      <c r="EV402" s="19">
        <v>4.7777777777777786</v>
      </c>
      <c r="EW402" s="19">
        <v>10.838383838383839</v>
      </c>
      <c r="EX402" s="19">
        <v>222.22222222222223</v>
      </c>
      <c r="EY402" s="8">
        <v>181.81818181818181</v>
      </c>
      <c r="EZ402" s="8">
        <v>262.62626262626264</v>
      </c>
      <c r="FA402" s="8">
        <v>258.5858585858586</v>
      </c>
      <c r="FB402" s="8">
        <v>226.26262626262627</v>
      </c>
      <c r="FC402" s="8">
        <v>290.90909090909093</v>
      </c>
      <c r="FD402" s="8">
        <v>0</v>
      </c>
      <c r="FE402" s="8">
        <v>0</v>
      </c>
      <c r="FF402" s="8">
        <v>0</v>
      </c>
      <c r="FG402" s="8">
        <v>0</v>
      </c>
      <c r="FH402" s="8">
        <v>0</v>
      </c>
      <c r="FI402" s="8">
        <v>0</v>
      </c>
      <c r="FJ402" s="8">
        <v>23.232323232323232</v>
      </c>
      <c r="FK402" s="8">
        <v>21.212121212121211</v>
      </c>
      <c r="FL402" s="8">
        <v>25.252525252525253</v>
      </c>
      <c r="FO402" s="1">
        <v>220</v>
      </c>
      <c r="FP402" s="1">
        <v>220</v>
      </c>
      <c r="FR402" s="13" t="s">
        <v>643</v>
      </c>
      <c r="FS402" s="1" t="s">
        <v>643</v>
      </c>
      <c r="FT402" s="13">
        <v>182</v>
      </c>
      <c r="FU402" s="13"/>
      <c r="FV402" s="13">
        <v>182</v>
      </c>
      <c r="FW402" s="13">
        <v>182</v>
      </c>
      <c r="FX402" s="1">
        <v>182</v>
      </c>
      <c r="FY402" s="13" t="s">
        <v>642</v>
      </c>
      <c r="FZ402" s="13" t="s">
        <v>641</v>
      </c>
      <c r="GA402" s="1">
        <v>202</v>
      </c>
      <c r="GB402" s="1">
        <v>202</v>
      </c>
      <c r="GD402" s="1" t="s">
        <v>645</v>
      </c>
      <c r="GE402" s="1">
        <v>211</v>
      </c>
      <c r="GF402" s="1">
        <v>214</v>
      </c>
      <c r="GG402" s="1">
        <v>220</v>
      </c>
      <c r="GH402" s="1">
        <v>214</v>
      </c>
      <c r="GK402" s="1" t="s">
        <v>644</v>
      </c>
    </row>
    <row r="403" spans="1:193" ht="12.75" customHeight="1" x14ac:dyDescent="0.25">
      <c r="A403" s="1" t="s">
        <v>39</v>
      </c>
      <c r="D403" s="1" t="s">
        <v>573</v>
      </c>
      <c r="E403" s="1" t="s">
        <v>126</v>
      </c>
      <c r="F403" s="1">
        <v>1</v>
      </c>
      <c r="G403" s="1">
        <v>2020</v>
      </c>
      <c r="H403" s="1">
        <v>1</v>
      </c>
      <c r="I403" s="1">
        <v>1</v>
      </c>
      <c r="J403" s="1">
        <v>0</v>
      </c>
      <c r="K403" s="11">
        <v>115.14</v>
      </c>
      <c r="L403" s="11">
        <v>147.46</v>
      </c>
      <c r="M403" s="11">
        <v>179.78</v>
      </c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9"/>
      <c r="BQ403" s="11">
        <v>9.09</v>
      </c>
      <c r="BR403" s="11">
        <v>27.27</v>
      </c>
      <c r="BS403" s="11">
        <v>45.45</v>
      </c>
      <c r="BT403" s="11">
        <f>Tabelle5897112140[[#This Row],[Mindestauslastung min]]*Tabelle5897112140[[#This Row],[installierte Leistung MW min]]</f>
        <v>0</v>
      </c>
      <c r="BU403" s="11">
        <f>Tabelle5897112140[[#This Row],[Mindestauslastung durch]]*Tabelle5897112140[[#This Row],[installierte Leistung MW durch]]</f>
        <v>0</v>
      </c>
      <c r="BV403" s="19">
        <f>Tabelle5897112140[[#This Row],[Mindestauslastung max]]*Tabelle5897112140[[#This Row],[installierte Leistung MW max]]</f>
        <v>0</v>
      </c>
      <c r="BW403" s="9">
        <v>0</v>
      </c>
      <c r="BX403" s="9">
        <v>0</v>
      </c>
      <c r="BY403" s="9">
        <v>0</v>
      </c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39">
        <v>0.72</v>
      </c>
      <c r="DC403" s="39">
        <v>0.8</v>
      </c>
      <c r="DD403" s="39">
        <v>0.88</v>
      </c>
      <c r="DE403" s="11">
        <f>Tabelle5897112140[[#This Row],[Durchschnittsauslastung min]]*Tabelle5897112140[[#This Row],[installierte Leistung MW min]]</f>
        <v>117.0792</v>
      </c>
      <c r="DF403" s="11">
        <f>Tabelle5897112140[[#This Row],[Durchschnittsauslastung durch]]*Tabelle5897112140[[#This Row],[installierte Leistung MW durch]]</f>
        <v>147.864</v>
      </c>
      <c r="DG403" s="46">
        <f>Tabelle5897112140[[#This Row],[Durchschnittsauslastung max]]*Tabelle5897112140[[#This Row],[installierte Leistung MW max]]</f>
        <v>182.20400000000001</v>
      </c>
      <c r="DH403" s="46">
        <f>Tabelle5897112140[[#This Row],[Maximalauslastung min]]*Tabelle5897112140[[#This Row],[installierte Leistung MW min]]</f>
        <v>152.85339999999999</v>
      </c>
      <c r="DI403" s="46">
        <f>Tabelle5897112140[[#This Row],[Maximalauslastung durch]]*Tabelle5897112140[[#This Row],[installierte Leistung MW durch]]</f>
        <v>175.58850000000001</v>
      </c>
      <c r="DJ403" s="11">
        <f>Tabelle5897112140[[#This Row],[Maximalauslastung max]]*Tabelle5897112140[[#This Row],[installierte Leistung MW durch]]</f>
        <v>177.43680000000001</v>
      </c>
      <c r="DK403" s="9">
        <v>0.94</v>
      </c>
      <c r="DL403" s="9">
        <v>0.95</v>
      </c>
      <c r="DM403" s="9">
        <v>0.96</v>
      </c>
      <c r="DN403" s="11">
        <v>184.83</v>
      </c>
      <c r="DO403" s="11">
        <v>162.61000000000001</v>
      </c>
      <c r="DP403" s="11">
        <v>207.05</v>
      </c>
      <c r="DQ403" s="1">
        <v>0.24374999999999999</v>
      </c>
      <c r="DR403" s="1">
        <v>2.7777777777777778E-4</v>
      </c>
      <c r="DS403" s="54">
        <v>1</v>
      </c>
      <c r="DT403" s="1">
        <v>0.24374999999999999</v>
      </c>
      <c r="DU403" s="1">
        <v>2.7777777777777778E-4</v>
      </c>
      <c r="DV403" s="54">
        <v>1</v>
      </c>
      <c r="DW403" s="1">
        <v>2.8</v>
      </c>
      <c r="DX403" s="1">
        <v>2.5</v>
      </c>
      <c r="DY403" s="54">
        <v>3.0999999999999996</v>
      </c>
      <c r="DZ403" s="1">
        <v>3.6</v>
      </c>
      <c r="EA403" s="1">
        <v>2.9000000000000004</v>
      </c>
      <c r="EB403" s="54">
        <v>4.3</v>
      </c>
      <c r="EC403" s="1">
        <v>5.8</v>
      </c>
      <c r="ED403" s="1">
        <v>5.8</v>
      </c>
      <c r="EE403" s="54">
        <v>5.8</v>
      </c>
      <c r="EF403" s="1">
        <v>3.6</v>
      </c>
      <c r="EG403" s="1">
        <v>2.9000000000000004</v>
      </c>
      <c r="EH403" s="54">
        <v>4.3</v>
      </c>
      <c r="EJ403" s="1" t="s">
        <v>646</v>
      </c>
      <c r="EL403" s="1">
        <v>280</v>
      </c>
      <c r="EM403" s="1">
        <v>252</v>
      </c>
      <c r="EN403" s="1">
        <v>308</v>
      </c>
      <c r="EO403" s="1">
        <v>0</v>
      </c>
      <c r="EP403" s="1">
        <v>0</v>
      </c>
      <c r="EQ403" s="1">
        <v>0</v>
      </c>
      <c r="ER403" s="1">
        <v>280</v>
      </c>
      <c r="ES403" s="1">
        <v>252</v>
      </c>
      <c r="ET403" s="1">
        <v>308</v>
      </c>
      <c r="EU403" s="1">
        <v>2.3232323232323231</v>
      </c>
      <c r="EV403" s="19">
        <v>0.80808080808080796</v>
      </c>
      <c r="EW403" s="19">
        <v>3.8383838383838382</v>
      </c>
      <c r="EX403" s="19">
        <v>101.01010101010101</v>
      </c>
      <c r="EY403" s="8">
        <v>0</v>
      </c>
      <c r="EZ403" s="8">
        <v>202.02020202020202</v>
      </c>
      <c r="FA403" s="8">
        <v>393.93939393939394</v>
      </c>
      <c r="FB403" s="8">
        <v>368.68686868686871</v>
      </c>
      <c r="FC403" s="8">
        <v>419.19191919191917</v>
      </c>
      <c r="FD403" s="8">
        <v>0</v>
      </c>
      <c r="FE403" s="8">
        <v>0</v>
      </c>
      <c r="FF403" s="8">
        <v>30.303030303030305</v>
      </c>
      <c r="FG403" s="8">
        <v>44.444444444444443</v>
      </c>
      <c r="FH403" s="8">
        <v>24.242424242424242</v>
      </c>
      <c r="FI403" s="8">
        <v>64.646464646464651</v>
      </c>
      <c r="FJ403" s="8">
        <v>22.525252525252526</v>
      </c>
      <c r="FK403" s="8">
        <v>20.505050505050505</v>
      </c>
      <c r="FL403" s="8">
        <v>24.545454545454547</v>
      </c>
      <c r="FO403" s="1">
        <v>220</v>
      </c>
      <c r="FP403" s="1">
        <v>220</v>
      </c>
      <c r="FR403" s="13" t="s">
        <v>643</v>
      </c>
      <c r="FS403" s="1" t="s">
        <v>643</v>
      </c>
      <c r="FT403" s="13">
        <v>182</v>
      </c>
      <c r="FU403" s="13"/>
      <c r="FV403" s="13">
        <v>182</v>
      </c>
      <c r="FW403" s="13">
        <v>182</v>
      </c>
      <c r="FX403" s="1">
        <v>182</v>
      </c>
      <c r="FY403" s="13" t="s">
        <v>642</v>
      </c>
      <c r="FZ403" s="13" t="s">
        <v>641</v>
      </c>
      <c r="GA403" s="1">
        <v>202</v>
      </c>
      <c r="GB403" s="1">
        <v>202</v>
      </c>
      <c r="GD403" s="1" t="s">
        <v>645</v>
      </c>
      <c r="GE403" s="1">
        <v>211</v>
      </c>
      <c r="GF403" s="1">
        <v>214</v>
      </c>
      <c r="GG403" s="1">
        <v>220</v>
      </c>
      <c r="GH403" s="1">
        <v>214</v>
      </c>
      <c r="GK403" s="1" t="s">
        <v>644</v>
      </c>
    </row>
    <row r="404" spans="1:193" ht="12.75" customHeight="1" x14ac:dyDescent="0.25">
      <c r="A404" s="1" t="s">
        <v>39</v>
      </c>
      <c r="D404" s="1" t="s">
        <v>573</v>
      </c>
      <c r="E404" s="1" t="s">
        <v>126</v>
      </c>
      <c r="F404" s="1">
        <v>1</v>
      </c>
      <c r="G404" s="1">
        <v>2025</v>
      </c>
      <c r="H404" s="1">
        <v>1</v>
      </c>
      <c r="I404" s="1">
        <v>1</v>
      </c>
      <c r="J404" s="1">
        <v>0</v>
      </c>
      <c r="K404" s="11">
        <v>116.28</v>
      </c>
      <c r="L404" s="11">
        <v>148.92000000000002</v>
      </c>
      <c r="M404" s="11">
        <v>181.56</v>
      </c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9"/>
      <c r="BQ404" s="11">
        <v>9.18</v>
      </c>
      <c r="BR404" s="11">
        <v>27.54</v>
      </c>
      <c r="BS404" s="11">
        <v>45.9</v>
      </c>
      <c r="BT404" s="11">
        <f>Tabelle5897112140[[#This Row],[Mindestauslastung min]]*Tabelle5897112140[[#This Row],[installierte Leistung MW min]]</f>
        <v>0</v>
      </c>
      <c r="BU404" s="11">
        <f>Tabelle5897112140[[#This Row],[Mindestauslastung durch]]*Tabelle5897112140[[#This Row],[installierte Leistung MW durch]]</f>
        <v>0</v>
      </c>
      <c r="BV404" s="19">
        <f>Tabelle5897112140[[#This Row],[Mindestauslastung max]]*Tabelle5897112140[[#This Row],[installierte Leistung MW max]]</f>
        <v>0</v>
      </c>
      <c r="BW404" s="9">
        <v>0</v>
      </c>
      <c r="BX404" s="9">
        <v>0</v>
      </c>
      <c r="BY404" s="9">
        <v>0</v>
      </c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39">
        <v>0.72</v>
      </c>
      <c r="DC404" s="39">
        <v>0.8</v>
      </c>
      <c r="DD404" s="39">
        <v>0.88</v>
      </c>
      <c r="DE404" s="11">
        <f>Tabelle5897112140[[#This Row],[Durchschnittsauslastung min]]*Tabelle5897112140[[#This Row],[installierte Leistung MW min]]</f>
        <v>118.2384</v>
      </c>
      <c r="DF404" s="11">
        <f>Tabelle5897112140[[#This Row],[Durchschnittsauslastung durch]]*Tabelle5897112140[[#This Row],[installierte Leistung MW durch]]</f>
        <v>149.328</v>
      </c>
      <c r="DG404" s="46">
        <f>Tabelle5897112140[[#This Row],[Durchschnittsauslastung max]]*Tabelle5897112140[[#This Row],[installierte Leistung MW max]]</f>
        <v>184.00800000000001</v>
      </c>
      <c r="DH404" s="46">
        <f>Tabelle5897112140[[#This Row],[Maximalauslastung min]]*Tabelle5897112140[[#This Row],[installierte Leistung MW min]]</f>
        <v>154.36679999999998</v>
      </c>
      <c r="DI404" s="46">
        <f>Tabelle5897112140[[#This Row],[Maximalauslastung durch]]*Tabelle5897112140[[#This Row],[installierte Leistung MW durch]]</f>
        <v>177.327</v>
      </c>
      <c r="DJ404" s="11">
        <f>Tabelle5897112140[[#This Row],[Maximalauslastung max]]*Tabelle5897112140[[#This Row],[installierte Leistung MW durch]]</f>
        <v>179.1936</v>
      </c>
      <c r="DK404" s="9">
        <v>0.94</v>
      </c>
      <c r="DL404" s="9">
        <v>0.95</v>
      </c>
      <c r="DM404" s="9">
        <v>0.96</v>
      </c>
      <c r="DN404" s="11">
        <v>186.66</v>
      </c>
      <c r="DO404" s="11">
        <v>164.22</v>
      </c>
      <c r="DP404" s="11">
        <v>209.1</v>
      </c>
      <c r="DQ404" s="1">
        <v>0.24374999999999999</v>
      </c>
      <c r="DR404" s="1">
        <v>2.7777777777777778E-4</v>
      </c>
      <c r="DS404" s="54">
        <v>1</v>
      </c>
      <c r="DT404" s="1">
        <v>0.24374999999999999</v>
      </c>
      <c r="DU404" s="1">
        <v>2.7777777777777778E-4</v>
      </c>
      <c r="DV404" s="54">
        <v>1</v>
      </c>
      <c r="DW404" s="1">
        <v>2.8</v>
      </c>
      <c r="DX404" s="1">
        <v>2.5</v>
      </c>
      <c r="DY404" s="54">
        <v>3.0999999999999996</v>
      </c>
      <c r="DZ404" s="1">
        <v>3.6</v>
      </c>
      <c r="EA404" s="1">
        <v>2.9000000000000004</v>
      </c>
      <c r="EB404" s="54">
        <v>4.3</v>
      </c>
      <c r="EC404" s="1">
        <v>5.8</v>
      </c>
      <c r="ED404" s="1">
        <v>5.8</v>
      </c>
      <c r="EE404" s="54">
        <v>5.8</v>
      </c>
      <c r="EF404" s="1">
        <v>3.6</v>
      </c>
      <c r="EG404" s="1">
        <v>2.9000000000000004</v>
      </c>
      <c r="EH404" s="54">
        <v>4.3</v>
      </c>
      <c r="EJ404" s="1" t="s">
        <v>646</v>
      </c>
      <c r="EL404" s="1">
        <v>365</v>
      </c>
      <c r="EM404" s="1">
        <v>328</v>
      </c>
      <c r="EN404" s="1">
        <v>402</v>
      </c>
      <c r="EO404" s="1">
        <v>35</v>
      </c>
      <c r="EP404" s="1">
        <v>20</v>
      </c>
      <c r="EQ404" s="1">
        <v>50</v>
      </c>
      <c r="ER404" s="1">
        <v>315</v>
      </c>
      <c r="ES404" s="1">
        <v>265</v>
      </c>
      <c r="ET404" s="1">
        <v>365</v>
      </c>
      <c r="EU404" s="1">
        <v>7.8080808080808088</v>
      </c>
      <c r="EV404" s="19">
        <v>4.7777777777777786</v>
      </c>
      <c r="EW404" s="19">
        <v>10.838383838383839</v>
      </c>
      <c r="EX404" s="19">
        <v>222.22222222222223</v>
      </c>
      <c r="EY404" s="8">
        <v>181.81818181818181</v>
      </c>
      <c r="EZ404" s="8">
        <v>262.62626262626264</v>
      </c>
      <c r="FA404" s="8">
        <v>258.5858585858586</v>
      </c>
      <c r="FB404" s="8">
        <v>226.26262626262627</v>
      </c>
      <c r="FC404" s="8">
        <v>290.90909090909093</v>
      </c>
      <c r="FD404" s="8">
        <v>0</v>
      </c>
      <c r="FE404" s="8">
        <v>0</v>
      </c>
      <c r="FF404" s="8">
        <v>0</v>
      </c>
      <c r="FG404" s="8">
        <v>0</v>
      </c>
      <c r="FH404" s="8">
        <v>0</v>
      </c>
      <c r="FI404" s="8">
        <v>0</v>
      </c>
      <c r="FJ404" s="8">
        <v>23.232323232323232</v>
      </c>
      <c r="FK404" s="8">
        <v>21.212121212121211</v>
      </c>
      <c r="FL404" s="8">
        <v>25.252525252525253</v>
      </c>
      <c r="FO404" s="1">
        <v>220</v>
      </c>
      <c r="FP404" s="1">
        <v>220</v>
      </c>
      <c r="FR404" s="13" t="s">
        <v>643</v>
      </c>
      <c r="FS404" s="1" t="s">
        <v>643</v>
      </c>
      <c r="FT404" s="13">
        <v>182</v>
      </c>
      <c r="FU404" s="13"/>
      <c r="FV404" s="13">
        <v>182</v>
      </c>
      <c r="FW404" s="13">
        <v>182</v>
      </c>
      <c r="FX404" s="1">
        <v>182</v>
      </c>
      <c r="FY404" s="13" t="s">
        <v>642</v>
      </c>
      <c r="FZ404" s="13" t="s">
        <v>641</v>
      </c>
      <c r="GA404" s="1">
        <v>202</v>
      </c>
      <c r="GB404" s="1">
        <v>202</v>
      </c>
      <c r="GD404" s="1" t="s">
        <v>645</v>
      </c>
      <c r="GE404" s="1">
        <v>211</v>
      </c>
      <c r="GF404" s="1">
        <v>214</v>
      </c>
      <c r="GG404" s="1">
        <v>220</v>
      </c>
      <c r="GH404" s="1">
        <v>214</v>
      </c>
      <c r="GK404" s="1" t="s">
        <v>644</v>
      </c>
    </row>
    <row r="405" spans="1:193" ht="12.75" customHeight="1" x14ac:dyDescent="0.25">
      <c r="A405" s="1" t="s">
        <v>39</v>
      </c>
      <c r="D405" s="1" t="s">
        <v>573</v>
      </c>
      <c r="E405" s="1" t="s">
        <v>126</v>
      </c>
      <c r="F405" s="1">
        <v>1</v>
      </c>
      <c r="G405" s="1">
        <v>2030</v>
      </c>
      <c r="H405" s="1">
        <v>1</v>
      </c>
      <c r="I405" s="1">
        <v>1</v>
      </c>
      <c r="J405" s="1">
        <v>0</v>
      </c>
      <c r="K405" s="11">
        <v>117.42</v>
      </c>
      <c r="L405" s="11">
        <v>150.38</v>
      </c>
      <c r="M405" s="11">
        <v>183.34</v>
      </c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9"/>
      <c r="BQ405" s="11">
        <v>9.27</v>
      </c>
      <c r="BR405" s="11">
        <v>27.810000000000002</v>
      </c>
      <c r="BS405" s="11">
        <v>46.35</v>
      </c>
      <c r="BT405" s="11">
        <f>Tabelle5897112140[[#This Row],[Mindestauslastung min]]*Tabelle5897112140[[#This Row],[installierte Leistung MW min]]</f>
        <v>0</v>
      </c>
      <c r="BU405" s="11">
        <f>Tabelle5897112140[[#This Row],[Mindestauslastung durch]]*Tabelle5897112140[[#This Row],[installierte Leistung MW durch]]</f>
        <v>0</v>
      </c>
      <c r="BV405" s="19">
        <f>Tabelle5897112140[[#This Row],[Mindestauslastung max]]*Tabelle5897112140[[#This Row],[installierte Leistung MW max]]</f>
        <v>0</v>
      </c>
      <c r="BW405" s="9">
        <v>0</v>
      </c>
      <c r="BX405" s="9">
        <v>0</v>
      </c>
      <c r="BY405" s="9">
        <v>0</v>
      </c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39">
        <v>0.72</v>
      </c>
      <c r="DC405" s="39">
        <v>0.8</v>
      </c>
      <c r="DD405" s="39">
        <v>0.88</v>
      </c>
      <c r="DE405" s="11">
        <f>Tabelle5897112140[[#This Row],[Durchschnittsauslastung min]]*Tabelle5897112140[[#This Row],[installierte Leistung MW min]]</f>
        <v>119.39760000000001</v>
      </c>
      <c r="DF405" s="11">
        <f>Tabelle5897112140[[#This Row],[Durchschnittsauslastung durch]]*Tabelle5897112140[[#This Row],[installierte Leistung MW durch]]</f>
        <v>150.792</v>
      </c>
      <c r="DG405" s="46">
        <f>Tabelle5897112140[[#This Row],[Durchschnittsauslastung max]]*Tabelle5897112140[[#This Row],[installierte Leistung MW max]]</f>
        <v>185.81200000000001</v>
      </c>
      <c r="DH405" s="46">
        <f>Tabelle5897112140[[#This Row],[Maximalauslastung min]]*Tabelle5897112140[[#This Row],[installierte Leistung MW min]]</f>
        <v>155.8802</v>
      </c>
      <c r="DI405" s="46">
        <f>Tabelle5897112140[[#This Row],[Maximalauslastung durch]]*Tabelle5897112140[[#This Row],[installierte Leistung MW durch]]</f>
        <v>179.06550000000001</v>
      </c>
      <c r="DJ405" s="11">
        <f>Tabelle5897112140[[#This Row],[Maximalauslastung max]]*Tabelle5897112140[[#This Row],[installierte Leistung MW durch]]</f>
        <v>180.9504</v>
      </c>
      <c r="DK405" s="9">
        <v>0.94</v>
      </c>
      <c r="DL405" s="9">
        <v>0.95</v>
      </c>
      <c r="DM405" s="9">
        <v>0.96</v>
      </c>
      <c r="DN405" s="11">
        <v>188.49</v>
      </c>
      <c r="DO405" s="11">
        <v>165.83</v>
      </c>
      <c r="DP405" s="11">
        <v>211.15</v>
      </c>
      <c r="DQ405" s="1">
        <v>0.24374999999999999</v>
      </c>
      <c r="DR405" s="1">
        <v>2.7777777777777778E-4</v>
      </c>
      <c r="DS405" s="54">
        <v>1</v>
      </c>
      <c r="DT405" s="1">
        <v>0.24374999999999999</v>
      </c>
      <c r="DU405" s="1">
        <v>2.7777777777777778E-4</v>
      </c>
      <c r="DV405" s="54">
        <v>1</v>
      </c>
      <c r="DW405" s="1">
        <v>2.8</v>
      </c>
      <c r="DX405" s="1">
        <v>2.5</v>
      </c>
      <c r="DY405" s="54">
        <v>3.0999999999999996</v>
      </c>
      <c r="DZ405" s="1">
        <v>3.6</v>
      </c>
      <c r="EA405" s="1">
        <v>2.9000000000000004</v>
      </c>
      <c r="EB405" s="54">
        <v>4.3</v>
      </c>
      <c r="EC405" s="1">
        <v>5.8</v>
      </c>
      <c r="ED405" s="1">
        <v>5.8</v>
      </c>
      <c r="EE405" s="54">
        <v>5.8</v>
      </c>
      <c r="EF405" s="1">
        <v>3.6</v>
      </c>
      <c r="EG405" s="1">
        <v>2.9000000000000004</v>
      </c>
      <c r="EH405" s="54">
        <v>4.3</v>
      </c>
      <c r="EJ405" s="1" t="s">
        <v>646</v>
      </c>
      <c r="EL405" s="1">
        <v>6570</v>
      </c>
      <c r="EM405" s="1">
        <v>4380</v>
      </c>
      <c r="EN405" s="1">
        <v>8760</v>
      </c>
      <c r="EO405" s="1">
        <v>35</v>
      </c>
      <c r="EP405" s="1">
        <v>20</v>
      </c>
      <c r="EQ405" s="1">
        <v>50</v>
      </c>
      <c r="ER405" s="1">
        <v>315</v>
      </c>
      <c r="ES405" s="1">
        <v>265</v>
      </c>
      <c r="ET405" s="1">
        <v>365</v>
      </c>
      <c r="EU405" s="1">
        <v>7.8080808080808088</v>
      </c>
      <c r="EV405" s="19">
        <v>4.7777777777777786</v>
      </c>
      <c r="EW405" s="19">
        <v>10.838383838383839</v>
      </c>
      <c r="EX405" s="19">
        <v>222.22222222222223</v>
      </c>
      <c r="EY405" s="8">
        <v>181.81818181818181</v>
      </c>
      <c r="EZ405" s="8">
        <v>262.62626262626264</v>
      </c>
      <c r="FA405" s="8">
        <v>258.5858585858586</v>
      </c>
      <c r="FB405" s="8">
        <v>226.26262626262627</v>
      </c>
      <c r="FC405" s="8">
        <v>290.90909090909093</v>
      </c>
      <c r="FD405" s="8">
        <v>0</v>
      </c>
      <c r="FE405" s="8">
        <v>0</v>
      </c>
      <c r="FF405" s="8">
        <v>0</v>
      </c>
      <c r="FG405" s="8">
        <v>0</v>
      </c>
      <c r="FH405" s="8">
        <v>0</v>
      </c>
      <c r="FI405" s="8">
        <v>0</v>
      </c>
      <c r="FJ405" s="8">
        <v>23.232323232323232</v>
      </c>
      <c r="FK405" s="8">
        <v>21.212121212121211</v>
      </c>
      <c r="FL405" s="8">
        <v>25.252525252525253</v>
      </c>
      <c r="FO405" s="1">
        <v>220</v>
      </c>
      <c r="FP405" s="1">
        <v>220</v>
      </c>
      <c r="FR405" s="13" t="s">
        <v>643</v>
      </c>
      <c r="FS405" s="1" t="s">
        <v>643</v>
      </c>
      <c r="FT405" s="13">
        <v>182</v>
      </c>
      <c r="FU405" s="13"/>
      <c r="FV405" s="13">
        <v>182</v>
      </c>
      <c r="FW405" s="13">
        <v>182</v>
      </c>
      <c r="FX405" s="1">
        <v>182</v>
      </c>
      <c r="FY405" s="13" t="s">
        <v>642</v>
      </c>
      <c r="FZ405" s="13" t="s">
        <v>641</v>
      </c>
      <c r="GA405" s="1">
        <v>202</v>
      </c>
      <c r="GB405" s="1">
        <v>202</v>
      </c>
      <c r="GD405" s="1" t="s">
        <v>645</v>
      </c>
      <c r="GE405" s="1">
        <v>211</v>
      </c>
      <c r="GF405" s="1">
        <v>214</v>
      </c>
      <c r="GG405" s="1">
        <v>220</v>
      </c>
      <c r="GH405" s="1">
        <v>214</v>
      </c>
      <c r="GK405" s="1" t="s">
        <v>644</v>
      </c>
    </row>
    <row r="406" spans="1:193" ht="12.75" customHeight="1" x14ac:dyDescent="0.25">
      <c r="A406" s="1" t="s">
        <v>39</v>
      </c>
      <c r="D406" s="1" t="s">
        <v>573</v>
      </c>
      <c r="E406" s="1" t="s">
        <v>126</v>
      </c>
      <c r="F406" s="1">
        <v>1</v>
      </c>
      <c r="G406" s="1">
        <v>2035</v>
      </c>
      <c r="H406" s="1">
        <v>1</v>
      </c>
      <c r="I406" s="1">
        <v>1</v>
      </c>
      <c r="J406" s="1">
        <v>0</v>
      </c>
      <c r="K406" s="11">
        <v>118.56</v>
      </c>
      <c r="L406" s="11">
        <v>151.84</v>
      </c>
      <c r="M406" s="11">
        <v>185.12</v>
      </c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9"/>
      <c r="BQ406" s="11">
        <v>9.36</v>
      </c>
      <c r="BR406" s="11">
        <v>28.080000000000002</v>
      </c>
      <c r="BS406" s="11">
        <v>46.800000000000004</v>
      </c>
      <c r="BT406" s="11">
        <f>Tabelle5897112140[[#This Row],[Mindestauslastung min]]*Tabelle5897112140[[#This Row],[installierte Leistung MW min]]</f>
        <v>0</v>
      </c>
      <c r="BU406" s="11">
        <f>Tabelle5897112140[[#This Row],[Mindestauslastung durch]]*Tabelle5897112140[[#This Row],[installierte Leistung MW durch]]</f>
        <v>0</v>
      </c>
      <c r="BV406" s="19">
        <f>Tabelle5897112140[[#This Row],[Mindestauslastung max]]*Tabelle5897112140[[#This Row],[installierte Leistung MW max]]</f>
        <v>0</v>
      </c>
      <c r="BW406" s="9">
        <v>0</v>
      </c>
      <c r="BX406" s="9">
        <v>0</v>
      </c>
      <c r="BY406" s="9">
        <v>0</v>
      </c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39">
        <v>0.72</v>
      </c>
      <c r="DC406" s="39">
        <v>0.8</v>
      </c>
      <c r="DD406" s="39">
        <v>0.88</v>
      </c>
      <c r="DE406" s="11">
        <f>Tabelle5897112140[[#This Row],[Durchschnittsauslastung min]]*Tabelle5897112140[[#This Row],[installierte Leistung MW min]]</f>
        <v>120.5568</v>
      </c>
      <c r="DF406" s="11">
        <f>Tabelle5897112140[[#This Row],[Durchschnittsauslastung durch]]*Tabelle5897112140[[#This Row],[installierte Leistung MW durch]]</f>
        <v>152.256</v>
      </c>
      <c r="DG406" s="46">
        <f>Tabelle5897112140[[#This Row],[Durchschnittsauslastung max]]*Tabelle5897112140[[#This Row],[installierte Leistung MW max]]</f>
        <v>187.61600000000001</v>
      </c>
      <c r="DH406" s="46">
        <f>Tabelle5897112140[[#This Row],[Maximalauslastung min]]*Tabelle5897112140[[#This Row],[installierte Leistung MW min]]</f>
        <v>157.39359999999999</v>
      </c>
      <c r="DI406" s="46">
        <f>Tabelle5897112140[[#This Row],[Maximalauslastung durch]]*Tabelle5897112140[[#This Row],[installierte Leistung MW durch]]</f>
        <v>180.80399999999997</v>
      </c>
      <c r="DJ406" s="11">
        <f>Tabelle5897112140[[#This Row],[Maximalauslastung max]]*Tabelle5897112140[[#This Row],[installierte Leistung MW durch]]</f>
        <v>182.7072</v>
      </c>
      <c r="DK406" s="9">
        <v>0.94</v>
      </c>
      <c r="DL406" s="9">
        <v>0.95</v>
      </c>
      <c r="DM406" s="9">
        <v>0.96</v>
      </c>
      <c r="DN406" s="11">
        <v>190.32</v>
      </c>
      <c r="DO406" s="11">
        <v>167.44</v>
      </c>
      <c r="DP406" s="11">
        <v>213.20000000000002</v>
      </c>
      <c r="DQ406" s="1">
        <v>0.24374999999999999</v>
      </c>
      <c r="DR406" s="1">
        <v>2.7777777777777778E-4</v>
      </c>
      <c r="DS406" s="54">
        <v>1</v>
      </c>
      <c r="DT406" s="1">
        <v>0.24374999999999999</v>
      </c>
      <c r="DU406" s="1">
        <v>2.7777777777777778E-4</v>
      </c>
      <c r="DV406" s="54">
        <v>1</v>
      </c>
      <c r="DW406" s="1">
        <v>2.8</v>
      </c>
      <c r="DX406" s="1">
        <v>2.5</v>
      </c>
      <c r="DY406" s="54">
        <v>3.0999999999999996</v>
      </c>
      <c r="DZ406" s="1">
        <v>3.6</v>
      </c>
      <c r="EA406" s="1">
        <v>2.9000000000000004</v>
      </c>
      <c r="EB406" s="54">
        <v>4.3</v>
      </c>
      <c r="EC406" s="1">
        <v>5.8</v>
      </c>
      <c r="ED406" s="1">
        <v>5.8</v>
      </c>
      <c r="EE406" s="54">
        <v>5.8</v>
      </c>
      <c r="EF406" s="1">
        <v>3.6</v>
      </c>
      <c r="EG406" s="1">
        <v>2.9000000000000004</v>
      </c>
      <c r="EH406" s="54">
        <v>4.3</v>
      </c>
      <c r="EJ406" s="1" t="s">
        <v>646</v>
      </c>
      <c r="EL406" s="1">
        <v>315</v>
      </c>
      <c r="EM406" s="1">
        <v>265</v>
      </c>
      <c r="EN406" s="1">
        <v>365</v>
      </c>
      <c r="EO406" s="1">
        <v>35</v>
      </c>
      <c r="EP406" s="1">
        <v>20</v>
      </c>
      <c r="EQ406" s="1">
        <v>50</v>
      </c>
      <c r="ER406" s="1">
        <v>315</v>
      </c>
      <c r="ES406" s="1">
        <v>265</v>
      </c>
      <c r="ET406" s="1">
        <v>365</v>
      </c>
      <c r="EU406" s="1">
        <v>7.8080808080808088</v>
      </c>
      <c r="EV406" s="19">
        <v>4.7777777777777786</v>
      </c>
      <c r="EW406" s="19">
        <v>10.838383838383839</v>
      </c>
      <c r="EX406" s="19">
        <v>222.22222222222223</v>
      </c>
      <c r="EY406" s="8">
        <v>181.81818181818181</v>
      </c>
      <c r="EZ406" s="8">
        <v>262.62626262626264</v>
      </c>
      <c r="FA406" s="8">
        <v>258.5858585858586</v>
      </c>
      <c r="FB406" s="8">
        <v>226.26262626262627</v>
      </c>
      <c r="FC406" s="8">
        <v>290.90909090909093</v>
      </c>
      <c r="FD406" s="8">
        <v>0</v>
      </c>
      <c r="FE406" s="8">
        <v>0</v>
      </c>
      <c r="FF406" s="8">
        <v>0</v>
      </c>
      <c r="FG406" s="8">
        <v>0</v>
      </c>
      <c r="FH406" s="8">
        <v>0</v>
      </c>
      <c r="FI406" s="8">
        <v>0</v>
      </c>
      <c r="FJ406" s="8">
        <v>23.232323232323232</v>
      </c>
      <c r="FK406" s="8">
        <v>21.212121212121211</v>
      </c>
      <c r="FL406" s="8">
        <v>25.252525252525253</v>
      </c>
      <c r="FO406" s="1">
        <v>220</v>
      </c>
      <c r="FP406" s="1">
        <v>220</v>
      </c>
      <c r="FR406" s="13" t="s">
        <v>643</v>
      </c>
      <c r="FS406" s="1" t="s">
        <v>643</v>
      </c>
      <c r="FT406" s="13">
        <v>182</v>
      </c>
      <c r="FU406" s="13"/>
      <c r="FV406" s="13">
        <v>182</v>
      </c>
      <c r="FW406" s="13">
        <v>182</v>
      </c>
      <c r="FX406" s="1">
        <v>182</v>
      </c>
      <c r="FY406" s="13" t="s">
        <v>642</v>
      </c>
      <c r="FZ406" s="13" t="s">
        <v>641</v>
      </c>
      <c r="GA406" s="1">
        <v>202</v>
      </c>
      <c r="GB406" s="1">
        <v>202</v>
      </c>
      <c r="GD406" s="1" t="s">
        <v>645</v>
      </c>
      <c r="GE406" s="1">
        <v>211</v>
      </c>
      <c r="GF406" s="1">
        <v>214</v>
      </c>
      <c r="GG406" s="1">
        <v>220</v>
      </c>
      <c r="GH406" s="1">
        <v>214</v>
      </c>
      <c r="GK406" s="1" t="s">
        <v>644</v>
      </c>
    </row>
    <row r="407" spans="1:193" ht="12.75" customHeight="1" x14ac:dyDescent="0.25">
      <c r="A407" s="1" t="s">
        <v>39</v>
      </c>
      <c r="D407" s="1" t="s">
        <v>573</v>
      </c>
      <c r="E407" s="1" t="s">
        <v>126</v>
      </c>
      <c r="F407" s="1">
        <v>1</v>
      </c>
      <c r="G407" s="1">
        <v>2040</v>
      </c>
      <c r="H407" s="1">
        <v>1</v>
      </c>
      <c r="I407" s="1">
        <v>1</v>
      </c>
      <c r="J407" s="1">
        <v>0</v>
      </c>
      <c r="K407" s="11">
        <v>119.7</v>
      </c>
      <c r="L407" s="11">
        <v>153.30000000000001</v>
      </c>
      <c r="M407" s="11">
        <v>186.9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9"/>
      <c r="BQ407" s="11">
        <v>9.4500000000000011</v>
      </c>
      <c r="BR407" s="11">
        <v>28.35</v>
      </c>
      <c r="BS407" s="11">
        <v>47.25</v>
      </c>
      <c r="BT407" s="11">
        <f>Tabelle5897112140[[#This Row],[Mindestauslastung min]]*Tabelle5897112140[[#This Row],[installierte Leistung MW min]]</f>
        <v>0</v>
      </c>
      <c r="BU407" s="11">
        <f>Tabelle5897112140[[#This Row],[Mindestauslastung durch]]*Tabelle5897112140[[#This Row],[installierte Leistung MW durch]]</f>
        <v>0</v>
      </c>
      <c r="BV407" s="19">
        <f>Tabelle5897112140[[#This Row],[Mindestauslastung max]]*Tabelle5897112140[[#This Row],[installierte Leistung MW max]]</f>
        <v>0</v>
      </c>
      <c r="BW407" s="9">
        <v>0</v>
      </c>
      <c r="BX407" s="9">
        <v>0</v>
      </c>
      <c r="BY407" s="9">
        <v>0</v>
      </c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39">
        <v>0.72</v>
      </c>
      <c r="DC407" s="39">
        <v>0.8</v>
      </c>
      <c r="DD407" s="39">
        <v>0.88</v>
      </c>
      <c r="DE407" s="11">
        <f>Tabelle5897112140[[#This Row],[Durchschnittsauslastung min]]*Tabelle5897112140[[#This Row],[installierte Leistung MW min]]</f>
        <v>121.71600000000001</v>
      </c>
      <c r="DF407" s="11">
        <f>Tabelle5897112140[[#This Row],[Durchschnittsauslastung durch]]*Tabelle5897112140[[#This Row],[installierte Leistung MW durch]]</f>
        <v>153.72000000000003</v>
      </c>
      <c r="DG407" s="46">
        <f>Tabelle5897112140[[#This Row],[Durchschnittsauslastung max]]*Tabelle5897112140[[#This Row],[installierte Leistung MW max]]</f>
        <v>189.42</v>
      </c>
      <c r="DH407" s="46">
        <f>Tabelle5897112140[[#This Row],[Maximalauslastung min]]*Tabelle5897112140[[#This Row],[installierte Leistung MW min]]</f>
        <v>158.90700000000001</v>
      </c>
      <c r="DI407" s="46">
        <f>Tabelle5897112140[[#This Row],[Maximalauslastung durch]]*Tabelle5897112140[[#This Row],[installierte Leistung MW durch]]</f>
        <v>182.54249999999999</v>
      </c>
      <c r="DJ407" s="11">
        <f>Tabelle5897112140[[#This Row],[Maximalauslastung max]]*Tabelle5897112140[[#This Row],[installierte Leistung MW durch]]</f>
        <v>184.464</v>
      </c>
      <c r="DK407" s="9">
        <v>0.94</v>
      </c>
      <c r="DL407" s="9">
        <v>0.95</v>
      </c>
      <c r="DM407" s="9">
        <v>0.96</v>
      </c>
      <c r="DN407" s="11">
        <v>192.15</v>
      </c>
      <c r="DO407" s="11">
        <v>169.05</v>
      </c>
      <c r="DP407" s="11">
        <v>215.25</v>
      </c>
      <c r="DQ407" s="1">
        <v>0.24374999999999999</v>
      </c>
      <c r="DR407" s="1">
        <v>2.7777777777777778E-4</v>
      </c>
      <c r="DS407" s="54">
        <v>1</v>
      </c>
      <c r="DT407" s="1">
        <v>0.24374999999999999</v>
      </c>
      <c r="DU407" s="1">
        <v>2.7777777777777778E-4</v>
      </c>
      <c r="DV407" s="54">
        <v>1</v>
      </c>
      <c r="DW407" s="1">
        <v>2.8</v>
      </c>
      <c r="DX407" s="1">
        <v>2.5</v>
      </c>
      <c r="DY407" s="54">
        <v>3.0999999999999996</v>
      </c>
      <c r="DZ407" s="1">
        <v>3.6</v>
      </c>
      <c r="EA407" s="1">
        <v>2.9000000000000004</v>
      </c>
      <c r="EB407" s="54">
        <v>4.3</v>
      </c>
      <c r="EC407" s="1">
        <v>5.8</v>
      </c>
      <c r="ED407" s="1">
        <v>5.8</v>
      </c>
      <c r="EE407" s="54">
        <v>5.8</v>
      </c>
      <c r="EF407" s="1">
        <v>3.6</v>
      </c>
      <c r="EG407" s="1">
        <v>2.9000000000000004</v>
      </c>
      <c r="EH407" s="54">
        <v>4.3</v>
      </c>
      <c r="EJ407" s="1" t="s">
        <v>646</v>
      </c>
      <c r="EL407" s="1">
        <v>365</v>
      </c>
      <c r="EM407" s="1">
        <v>328</v>
      </c>
      <c r="EN407" s="1">
        <v>402</v>
      </c>
      <c r="EO407" s="1">
        <v>35</v>
      </c>
      <c r="EP407" s="1">
        <v>20</v>
      </c>
      <c r="EQ407" s="1">
        <v>50</v>
      </c>
      <c r="ER407" s="1">
        <v>315</v>
      </c>
      <c r="ES407" s="1">
        <v>265</v>
      </c>
      <c r="ET407" s="1">
        <v>365</v>
      </c>
      <c r="EU407" s="1">
        <v>7.8080808080808088</v>
      </c>
      <c r="EV407" s="19">
        <v>4.7777777777777786</v>
      </c>
      <c r="EW407" s="19">
        <v>10.838383838383839</v>
      </c>
      <c r="EX407" s="19">
        <v>222.22222222222223</v>
      </c>
      <c r="EY407" s="8">
        <v>181.81818181818181</v>
      </c>
      <c r="EZ407" s="8">
        <v>262.62626262626264</v>
      </c>
      <c r="FA407" s="8">
        <v>258.5858585858586</v>
      </c>
      <c r="FB407" s="8">
        <v>226.26262626262627</v>
      </c>
      <c r="FC407" s="8">
        <v>290.90909090909093</v>
      </c>
      <c r="FD407" s="8">
        <v>0</v>
      </c>
      <c r="FE407" s="8">
        <v>0</v>
      </c>
      <c r="FF407" s="8">
        <v>0</v>
      </c>
      <c r="FG407" s="8">
        <v>0</v>
      </c>
      <c r="FH407" s="8">
        <v>0</v>
      </c>
      <c r="FI407" s="8">
        <v>0</v>
      </c>
      <c r="FJ407" s="8">
        <v>23.232323232323232</v>
      </c>
      <c r="FK407" s="8">
        <v>21.212121212121211</v>
      </c>
      <c r="FL407" s="8">
        <v>25.252525252525253</v>
      </c>
      <c r="FO407" s="1">
        <v>220</v>
      </c>
      <c r="FP407" s="1">
        <v>220</v>
      </c>
      <c r="FR407" s="13" t="s">
        <v>643</v>
      </c>
      <c r="FS407" s="1" t="s">
        <v>643</v>
      </c>
      <c r="FT407" s="13">
        <v>182</v>
      </c>
      <c r="FU407" s="13"/>
      <c r="FV407" s="13">
        <v>182</v>
      </c>
      <c r="FW407" s="13">
        <v>182</v>
      </c>
      <c r="FX407" s="1">
        <v>182</v>
      </c>
      <c r="FY407" s="13" t="s">
        <v>642</v>
      </c>
      <c r="FZ407" s="13" t="s">
        <v>641</v>
      </c>
      <c r="GA407" s="1">
        <v>202</v>
      </c>
      <c r="GB407" s="1">
        <v>202</v>
      </c>
      <c r="GD407" s="1" t="s">
        <v>645</v>
      </c>
      <c r="GE407" s="1">
        <v>211</v>
      </c>
      <c r="GF407" s="1">
        <v>214</v>
      </c>
      <c r="GG407" s="1">
        <v>220</v>
      </c>
      <c r="GH407" s="1">
        <v>214</v>
      </c>
      <c r="GK407" s="1" t="s">
        <v>644</v>
      </c>
    </row>
    <row r="408" spans="1:193" ht="12.75" customHeight="1" x14ac:dyDescent="0.25">
      <c r="A408" s="1" t="s">
        <v>39</v>
      </c>
      <c r="D408" s="1" t="s">
        <v>573</v>
      </c>
      <c r="E408" s="1" t="s">
        <v>126</v>
      </c>
      <c r="F408" s="1">
        <v>1</v>
      </c>
      <c r="G408" s="1">
        <v>2045</v>
      </c>
      <c r="H408" s="1">
        <v>1</v>
      </c>
      <c r="I408" s="1">
        <v>1</v>
      </c>
      <c r="J408" s="1">
        <v>0</v>
      </c>
      <c r="K408" s="11">
        <v>120.84</v>
      </c>
      <c r="L408" s="11">
        <v>154.76000000000002</v>
      </c>
      <c r="M408" s="11">
        <v>188.68</v>
      </c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9"/>
      <c r="BQ408" s="11">
        <v>9.5400000000000009</v>
      </c>
      <c r="BR408" s="11">
        <v>28.62</v>
      </c>
      <c r="BS408" s="11">
        <v>47.7</v>
      </c>
      <c r="BT408" s="11">
        <f>Tabelle5897112140[[#This Row],[Mindestauslastung min]]*Tabelle5897112140[[#This Row],[installierte Leistung MW min]]</f>
        <v>0</v>
      </c>
      <c r="BU408" s="11">
        <f>Tabelle5897112140[[#This Row],[Mindestauslastung durch]]*Tabelle5897112140[[#This Row],[installierte Leistung MW durch]]</f>
        <v>0</v>
      </c>
      <c r="BV408" s="19">
        <f>Tabelle5897112140[[#This Row],[Mindestauslastung max]]*Tabelle5897112140[[#This Row],[installierte Leistung MW max]]</f>
        <v>0</v>
      </c>
      <c r="BW408" s="9">
        <v>0</v>
      </c>
      <c r="BX408" s="9">
        <v>0</v>
      </c>
      <c r="BY408" s="9">
        <v>0</v>
      </c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39">
        <v>0.72</v>
      </c>
      <c r="DC408" s="39">
        <v>0.8</v>
      </c>
      <c r="DD408" s="39">
        <v>0.88</v>
      </c>
      <c r="DE408" s="11">
        <f>Tabelle5897112140[[#This Row],[Durchschnittsauslastung min]]*Tabelle5897112140[[#This Row],[installierte Leistung MW min]]</f>
        <v>122.87519999999999</v>
      </c>
      <c r="DF408" s="11">
        <f>Tabelle5897112140[[#This Row],[Durchschnittsauslastung durch]]*Tabelle5897112140[[#This Row],[installierte Leistung MW durch]]</f>
        <v>155.18400000000003</v>
      </c>
      <c r="DG408" s="46">
        <f>Tabelle5897112140[[#This Row],[Durchschnittsauslastung max]]*Tabelle5897112140[[#This Row],[installierte Leistung MW max]]</f>
        <v>191.22400000000002</v>
      </c>
      <c r="DH408" s="46">
        <f>Tabelle5897112140[[#This Row],[Maximalauslastung min]]*Tabelle5897112140[[#This Row],[installierte Leistung MW min]]</f>
        <v>160.4204</v>
      </c>
      <c r="DI408" s="46">
        <f>Tabelle5897112140[[#This Row],[Maximalauslastung durch]]*Tabelle5897112140[[#This Row],[installierte Leistung MW durch]]</f>
        <v>184.28100000000001</v>
      </c>
      <c r="DJ408" s="11">
        <f>Tabelle5897112140[[#This Row],[Maximalauslastung max]]*Tabelle5897112140[[#This Row],[installierte Leistung MW durch]]</f>
        <v>186.2208</v>
      </c>
      <c r="DK408" s="9">
        <v>0.94</v>
      </c>
      <c r="DL408" s="9">
        <v>0.95</v>
      </c>
      <c r="DM408" s="9">
        <v>0.96</v>
      </c>
      <c r="DN408" s="11">
        <v>193.98000000000002</v>
      </c>
      <c r="DO408" s="11">
        <v>170.66</v>
      </c>
      <c r="DP408" s="11">
        <v>217.3</v>
      </c>
      <c r="DQ408" s="1">
        <v>0.24374999999999999</v>
      </c>
      <c r="DR408" s="1">
        <v>2.7777777777777778E-4</v>
      </c>
      <c r="DS408" s="54">
        <v>1</v>
      </c>
      <c r="DT408" s="1">
        <v>0.24374999999999999</v>
      </c>
      <c r="DU408" s="1">
        <v>2.7777777777777778E-4</v>
      </c>
      <c r="DV408" s="54">
        <v>1</v>
      </c>
      <c r="DW408" s="1">
        <v>2.8</v>
      </c>
      <c r="DX408" s="1">
        <v>2.5</v>
      </c>
      <c r="DY408" s="54">
        <v>3.0999999999999996</v>
      </c>
      <c r="DZ408" s="1">
        <v>3.6</v>
      </c>
      <c r="EA408" s="1">
        <v>2.9000000000000004</v>
      </c>
      <c r="EB408" s="54">
        <v>4.3</v>
      </c>
      <c r="EC408" s="1">
        <v>5.8</v>
      </c>
      <c r="ED408" s="1">
        <v>5.8</v>
      </c>
      <c r="EE408" s="54">
        <v>5.8</v>
      </c>
      <c r="EF408" s="1">
        <v>3.6</v>
      </c>
      <c r="EG408" s="1">
        <v>2.9000000000000004</v>
      </c>
      <c r="EH408" s="54">
        <v>4.3</v>
      </c>
      <c r="EJ408" s="1" t="s">
        <v>646</v>
      </c>
      <c r="EL408" s="1">
        <v>639</v>
      </c>
      <c r="EM408" s="1">
        <v>575</v>
      </c>
      <c r="EN408" s="1">
        <v>703</v>
      </c>
      <c r="EO408" s="1">
        <v>35</v>
      </c>
      <c r="EP408" s="1">
        <v>20</v>
      </c>
      <c r="EQ408" s="1">
        <v>50</v>
      </c>
      <c r="ER408" s="1">
        <v>315</v>
      </c>
      <c r="ES408" s="1">
        <v>265</v>
      </c>
      <c r="ET408" s="1">
        <v>365</v>
      </c>
      <c r="EU408" s="1">
        <v>7.8080808080808088</v>
      </c>
      <c r="EV408" s="19">
        <v>4.7777777777777786</v>
      </c>
      <c r="EW408" s="19">
        <v>10.838383838383839</v>
      </c>
      <c r="EX408" s="19">
        <v>222.22222222222223</v>
      </c>
      <c r="EY408" s="8">
        <v>181.81818181818181</v>
      </c>
      <c r="EZ408" s="8">
        <v>262.62626262626264</v>
      </c>
      <c r="FA408" s="8">
        <v>258.5858585858586</v>
      </c>
      <c r="FB408" s="8">
        <v>226.26262626262627</v>
      </c>
      <c r="FC408" s="8">
        <v>290.90909090909093</v>
      </c>
      <c r="FD408" s="8">
        <v>0</v>
      </c>
      <c r="FE408" s="8">
        <v>0</v>
      </c>
      <c r="FF408" s="8">
        <v>0</v>
      </c>
      <c r="FG408" s="8">
        <v>0</v>
      </c>
      <c r="FH408" s="8">
        <v>0</v>
      </c>
      <c r="FI408" s="8">
        <v>0</v>
      </c>
      <c r="FJ408" s="8">
        <v>23.232323232323232</v>
      </c>
      <c r="FK408" s="8">
        <v>21.212121212121211</v>
      </c>
      <c r="FL408" s="8">
        <v>25.252525252525253</v>
      </c>
      <c r="FO408" s="1">
        <v>220</v>
      </c>
      <c r="FP408" s="1">
        <v>220</v>
      </c>
      <c r="FR408" s="13" t="s">
        <v>643</v>
      </c>
      <c r="FS408" s="1" t="s">
        <v>643</v>
      </c>
      <c r="FT408" s="13">
        <v>182</v>
      </c>
      <c r="FU408" s="13"/>
      <c r="FV408" s="13">
        <v>182</v>
      </c>
      <c r="FW408" s="13">
        <v>182</v>
      </c>
      <c r="FX408" s="1">
        <v>182</v>
      </c>
      <c r="FY408" s="13" t="s">
        <v>642</v>
      </c>
      <c r="FZ408" s="13" t="s">
        <v>641</v>
      </c>
      <c r="GA408" s="1">
        <v>202</v>
      </c>
      <c r="GB408" s="1">
        <v>202</v>
      </c>
      <c r="GD408" s="1" t="s">
        <v>645</v>
      </c>
      <c r="GE408" s="1">
        <v>211</v>
      </c>
      <c r="GF408" s="1">
        <v>214</v>
      </c>
      <c r="GG408" s="1">
        <v>220</v>
      </c>
      <c r="GH408" s="1">
        <v>214</v>
      </c>
      <c r="GK408" s="1" t="s">
        <v>644</v>
      </c>
    </row>
    <row r="409" spans="1:193" ht="12.75" customHeight="1" x14ac:dyDescent="0.25">
      <c r="A409" s="1" t="s">
        <v>39</v>
      </c>
      <c r="D409" s="1" t="s">
        <v>573</v>
      </c>
      <c r="E409" s="1" t="s">
        <v>126</v>
      </c>
      <c r="F409" s="1">
        <v>1</v>
      </c>
      <c r="G409" s="1">
        <v>2050</v>
      </c>
      <c r="H409" s="1">
        <v>1</v>
      </c>
      <c r="I409" s="1">
        <v>1</v>
      </c>
      <c r="J409" s="1">
        <v>0</v>
      </c>
      <c r="K409" s="11">
        <v>121.98</v>
      </c>
      <c r="L409" s="11">
        <v>156.22</v>
      </c>
      <c r="M409" s="11">
        <v>190.46</v>
      </c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9"/>
      <c r="BQ409" s="11">
        <v>9.6300000000000008</v>
      </c>
      <c r="BR409" s="11">
        <v>28.89</v>
      </c>
      <c r="BS409" s="11">
        <v>48.150000000000006</v>
      </c>
      <c r="BT409" s="11">
        <f>Tabelle5897112140[[#This Row],[Mindestauslastung min]]*Tabelle5897112140[[#This Row],[installierte Leistung MW min]]</f>
        <v>0</v>
      </c>
      <c r="BU409" s="11">
        <f>Tabelle5897112140[[#This Row],[Mindestauslastung durch]]*Tabelle5897112140[[#This Row],[installierte Leistung MW durch]]</f>
        <v>0</v>
      </c>
      <c r="BV409" s="19">
        <f>Tabelle5897112140[[#This Row],[Mindestauslastung max]]*Tabelle5897112140[[#This Row],[installierte Leistung MW max]]</f>
        <v>0</v>
      </c>
      <c r="BW409" s="9">
        <v>0</v>
      </c>
      <c r="BX409" s="9">
        <v>0</v>
      </c>
      <c r="BY409" s="9">
        <v>0</v>
      </c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39">
        <v>0.72</v>
      </c>
      <c r="DC409" s="39">
        <v>0.8</v>
      </c>
      <c r="DD409" s="39">
        <v>0.88</v>
      </c>
      <c r="DE409" s="11">
        <f>Tabelle5897112140[[#This Row],[Durchschnittsauslastung min]]*Tabelle5897112140[[#This Row],[installierte Leistung MW min]]</f>
        <v>124.03440000000001</v>
      </c>
      <c r="DF409" s="11">
        <f>Tabelle5897112140[[#This Row],[Durchschnittsauslastung durch]]*Tabelle5897112140[[#This Row],[installierte Leistung MW durch]]</f>
        <v>156.64800000000002</v>
      </c>
      <c r="DG409" s="46">
        <f>Tabelle5897112140[[#This Row],[Durchschnittsauslastung max]]*Tabelle5897112140[[#This Row],[installierte Leistung MW max]]</f>
        <v>193.02800000000002</v>
      </c>
      <c r="DH409" s="46">
        <f>Tabelle5897112140[[#This Row],[Maximalauslastung min]]*Tabelle5897112140[[#This Row],[installierte Leistung MW min]]</f>
        <v>161.93379999999999</v>
      </c>
      <c r="DI409" s="46">
        <f>Tabelle5897112140[[#This Row],[Maximalauslastung durch]]*Tabelle5897112140[[#This Row],[installierte Leistung MW durch]]</f>
        <v>186.01949999999999</v>
      </c>
      <c r="DJ409" s="11">
        <f>Tabelle5897112140[[#This Row],[Maximalauslastung max]]*Tabelle5897112140[[#This Row],[installierte Leistung MW durch]]</f>
        <v>187.9776</v>
      </c>
      <c r="DK409" s="9">
        <v>0.94</v>
      </c>
      <c r="DL409" s="9">
        <v>0.95</v>
      </c>
      <c r="DM409" s="9">
        <v>0.96</v>
      </c>
      <c r="DN409" s="11">
        <v>195.81</v>
      </c>
      <c r="DO409" s="11">
        <v>172.27</v>
      </c>
      <c r="DP409" s="11">
        <v>219.35000000000002</v>
      </c>
      <c r="DQ409" s="1">
        <v>0.24374999999999999</v>
      </c>
      <c r="DR409" s="1">
        <v>2.7777777777777778E-4</v>
      </c>
      <c r="DS409" s="54">
        <v>1</v>
      </c>
      <c r="DT409" s="1">
        <v>0.24374999999999999</v>
      </c>
      <c r="DU409" s="1">
        <v>2.7777777777777778E-4</v>
      </c>
      <c r="DV409" s="54">
        <v>1</v>
      </c>
      <c r="DW409" s="1">
        <v>2.8</v>
      </c>
      <c r="DX409" s="1">
        <v>2.5</v>
      </c>
      <c r="DY409" s="54">
        <v>3.0999999999999996</v>
      </c>
      <c r="DZ409" s="1">
        <v>3.6</v>
      </c>
      <c r="EA409" s="1">
        <v>2.9000000000000004</v>
      </c>
      <c r="EB409" s="54">
        <v>4.3</v>
      </c>
      <c r="EC409" s="1">
        <v>5.8</v>
      </c>
      <c r="ED409" s="1">
        <v>5.8</v>
      </c>
      <c r="EE409" s="54">
        <v>5.8</v>
      </c>
      <c r="EF409" s="1">
        <v>3.6</v>
      </c>
      <c r="EG409" s="1">
        <v>2.9000000000000004</v>
      </c>
      <c r="EH409" s="54">
        <v>4.3</v>
      </c>
      <c r="EJ409" s="1" t="s">
        <v>646</v>
      </c>
      <c r="EL409" s="1">
        <v>365</v>
      </c>
      <c r="EM409" s="1">
        <v>328</v>
      </c>
      <c r="EN409" s="1">
        <v>402</v>
      </c>
      <c r="EO409" s="1">
        <v>35</v>
      </c>
      <c r="EP409" s="1">
        <v>20</v>
      </c>
      <c r="EQ409" s="1">
        <v>50</v>
      </c>
      <c r="ER409" s="1">
        <v>315</v>
      </c>
      <c r="ES409" s="1">
        <v>265</v>
      </c>
      <c r="ET409" s="1">
        <v>365</v>
      </c>
      <c r="EU409" s="1">
        <v>7.8080808080808088</v>
      </c>
      <c r="EV409" s="19">
        <v>4.7777777777777786</v>
      </c>
      <c r="EW409" s="19">
        <v>10.838383838383839</v>
      </c>
      <c r="EX409" s="19">
        <v>222.22222222222223</v>
      </c>
      <c r="EY409" s="8">
        <v>181.81818181818181</v>
      </c>
      <c r="EZ409" s="8">
        <v>262.62626262626264</v>
      </c>
      <c r="FA409" s="8">
        <v>258.5858585858586</v>
      </c>
      <c r="FB409" s="8">
        <v>226.26262626262627</v>
      </c>
      <c r="FC409" s="8">
        <v>290.90909090909093</v>
      </c>
      <c r="FD409" s="8">
        <v>0</v>
      </c>
      <c r="FE409" s="8">
        <v>0</v>
      </c>
      <c r="FF409" s="8">
        <v>0</v>
      </c>
      <c r="FG409" s="8">
        <v>0</v>
      </c>
      <c r="FH409" s="8">
        <v>0</v>
      </c>
      <c r="FI409" s="8">
        <v>0</v>
      </c>
      <c r="FJ409" s="8">
        <v>23.232323232323232</v>
      </c>
      <c r="FK409" s="8">
        <v>21.212121212121211</v>
      </c>
      <c r="FL409" s="8">
        <v>25.252525252525253</v>
      </c>
      <c r="FO409" s="1">
        <v>220</v>
      </c>
      <c r="FP409" s="1">
        <v>220</v>
      </c>
      <c r="FR409" s="13" t="s">
        <v>643</v>
      </c>
      <c r="FS409" s="1" t="s">
        <v>643</v>
      </c>
      <c r="FT409" s="13">
        <v>182</v>
      </c>
      <c r="FU409" s="13"/>
      <c r="FV409" s="13">
        <v>182</v>
      </c>
      <c r="FW409" s="13">
        <v>182</v>
      </c>
      <c r="FX409" s="1">
        <v>182</v>
      </c>
      <c r="FY409" s="13" t="s">
        <v>642</v>
      </c>
      <c r="FZ409" s="13" t="s">
        <v>641</v>
      </c>
      <c r="GA409" s="1">
        <v>202</v>
      </c>
      <c r="GB409" s="1">
        <v>202</v>
      </c>
      <c r="GD409" s="1" t="s">
        <v>645</v>
      </c>
      <c r="GE409" s="1">
        <v>211</v>
      </c>
      <c r="GF409" s="1">
        <v>214</v>
      </c>
      <c r="GG409" s="1">
        <v>220</v>
      </c>
      <c r="GH409" s="1">
        <v>214</v>
      </c>
      <c r="GK409" s="1" t="s">
        <v>644</v>
      </c>
    </row>
    <row r="410" spans="1:193" ht="12.75" customHeight="1" x14ac:dyDescent="0.25">
      <c r="A410" s="1" t="s">
        <v>77</v>
      </c>
      <c r="D410" s="1" t="s">
        <v>580</v>
      </c>
      <c r="E410" s="1" t="s">
        <v>126</v>
      </c>
      <c r="F410" s="1">
        <v>1</v>
      </c>
      <c r="G410" s="1">
        <v>2015</v>
      </c>
      <c r="H410" s="1">
        <v>1</v>
      </c>
      <c r="I410" s="1">
        <v>1</v>
      </c>
      <c r="J410" s="1">
        <v>0</v>
      </c>
      <c r="K410" s="11">
        <v>391</v>
      </c>
      <c r="L410" s="11">
        <v>588</v>
      </c>
      <c r="M410" s="11">
        <v>785</v>
      </c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9"/>
      <c r="BQ410" s="11">
        <v>21</v>
      </c>
      <c r="BR410" s="11">
        <v>71</v>
      </c>
      <c r="BS410" s="11">
        <v>121</v>
      </c>
      <c r="BT410" s="11">
        <f>Tabelle5897112140[[#This Row],[Mindestauslastung min]]*Tabelle5897112140[[#This Row],[installierte Leistung MW min]]</f>
        <v>0</v>
      </c>
      <c r="BU410" s="11">
        <f>Tabelle5897112140[[#This Row],[Mindestauslastung durch]]*Tabelle5897112140[[#This Row],[installierte Leistung MW durch]]</f>
        <v>0</v>
      </c>
      <c r="BV410" s="19">
        <f>Tabelle5897112140[[#This Row],[Mindestauslastung max]]*Tabelle5897112140[[#This Row],[installierte Leistung MW max]]</f>
        <v>0</v>
      </c>
      <c r="BW410" s="9">
        <v>0</v>
      </c>
      <c r="BX410" s="9">
        <v>0</v>
      </c>
      <c r="BY410" s="9">
        <v>0</v>
      </c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39">
        <v>0.80401221995926675</v>
      </c>
      <c r="DC410" s="39">
        <v>0.84730659025787969</v>
      </c>
      <c r="DD410" s="39">
        <v>0.89307182320441991</v>
      </c>
      <c r="DE410" s="11">
        <f>Tabelle5897112140[[#This Row],[Durchschnittsauslastung min]]*Tabelle5897112140[[#This Row],[installierte Leistung MW min]]</f>
        <v>512.15578411405295</v>
      </c>
      <c r="DF410" s="11">
        <f>Tabelle5897112140[[#This Row],[Durchschnittsauslastung durch]]*Tabelle5897112140[[#This Row],[installierte Leistung MW durch]]</f>
        <v>591.42000000000007</v>
      </c>
      <c r="DG410" s="46">
        <f>Tabelle5897112140[[#This Row],[Durchschnittsauslastung max]]*Tabelle5897112140[[#This Row],[installierte Leistung MW max]]</f>
        <v>677.84151381215474</v>
      </c>
      <c r="DH410" s="46">
        <f>Tabelle5897112140[[#This Row],[Maximalauslastung min]]*Tabelle5897112140[[#This Row],[installierte Leistung MW min]]</f>
        <v>598.78</v>
      </c>
      <c r="DI410" s="46">
        <f>Tabelle5897112140[[#This Row],[Maximalauslastung durch]]*Tabelle5897112140[[#This Row],[installierte Leistung MW durch]]</f>
        <v>663.10000000000014</v>
      </c>
      <c r="DJ410" s="11">
        <f>Tabelle5897112140[[#This Row],[Maximalauslastung max]]*Tabelle5897112140[[#This Row],[installierte Leistung MW durch]]</f>
        <v>670.07999999999993</v>
      </c>
      <c r="DK410" s="9">
        <v>0.94</v>
      </c>
      <c r="DL410" s="9">
        <v>0.95000000000000018</v>
      </c>
      <c r="DM410" s="9">
        <v>0.95999999999999985</v>
      </c>
      <c r="DN410" s="11">
        <v>698</v>
      </c>
      <c r="DO410" s="11">
        <v>637</v>
      </c>
      <c r="DP410" s="11">
        <v>759</v>
      </c>
      <c r="DQ410" s="1">
        <v>0.24916666666666665</v>
      </c>
      <c r="DR410" s="1">
        <v>8.3333333333333332E-3</v>
      </c>
      <c r="DS410" s="54">
        <v>0.5</v>
      </c>
      <c r="DT410" s="1">
        <v>0.77166666666666672</v>
      </c>
      <c r="DU410" s="1">
        <v>8.3333333333333329E-2</v>
      </c>
      <c r="DV410" s="54">
        <v>3</v>
      </c>
      <c r="DW410" s="1">
        <v>1.3</v>
      </c>
      <c r="DX410" s="1">
        <v>0.5</v>
      </c>
      <c r="DY410" s="54">
        <v>2.4</v>
      </c>
      <c r="DZ410" s="1">
        <v>3.4</v>
      </c>
      <c r="EA410" s="1">
        <v>1.6</v>
      </c>
      <c r="EB410" s="54">
        <v>5.8999999999999995</v>
      </c>
      <c r="EC410" s="1">
        <v>4.3</v>
      </c>
      <c r="ED410" s="1">
        <v>4.3</v>
      </c>
      <c r="EE410" s="54">
        <v>4.3</v>
      </c>
      <c r="EF410" s="1">
        <v>3.4</v>
      </c>
      <c r="EG410" s="1">
        <v>1.6</v>
      </c>
      <c r="EH410" s="54">
        <v>5.8999999999999995</v>
      </c>
      <c r="EJ410" s="1" t="s">
        <v>646</v>
      </c>
      <c r="EL410" s="1">
        <v>4333.3810888252146</v>
      </c>
      <c r="EM410" s="1">
        <v>3693.8461538461538</v>
      </c>
      <c r="EN410" s="1">
        <v>4915.836627140975</v>
      </c>
      <c r="EO410" s="1">
        <v>0</v>
      </c>
      <c r="EP410" s="1">
        <v>0</v>
      </c>
      <c r="EQ410" s="1">
        <v>0</v>
      </c>
      <c r="ER410" s="1">
        <v>50</v>
      </c>
      <c r="ES410" s="1">
        <v>20.000000000000004</v>
      </c>
      <c r="ET410" s="1">
        <v>80</v>
      </c>
      <c r="EU410" s="1">
        <v>2.3581951318341008</v>
      </c>
      <c r="EV410" s="19">
        <v>0.84537684537684532</v>
      </c>
      <c r="EW410" s="19">
        <v>3.8713884563686931</v>
      </c>
      <c r="EX410" s="19">
        <v>232.12063326676508</v>
      </c>
      <c r="EY410" s="8">
        <v>93.240093240093245</v>
      </c>
      <c r="EZ410" s="8">
        <v>367.04329194447774</v>
      </c>
      <c r="FA410" s="8">
        <v>455.99837920754828</v>
      </c>
      <c r="FB410" s="8">
        <v>391.99689199689203</v>
      </c>
      <c r="FC410" s="8">
        <v>515.73042679762045</v>
      </c>
      <c r="FD410" s="8">
        <v>0</v>
      </c>
      <c r="FE410" s="8">
        <v>0</v>
      </c>
      <c r="FF410" s="8">
        <v>30.303030303030305</v>
      </c>
      <c r="FG410" s="8">
        <v>44.44444444444445</v>
      </c>
      <c r="FH410" s="8">
        <v>24.242424242424242</v>
      </c>
      <c r="FI410" s="8">
        <v>64.646464646464651</v>
      </c>
      <c r="FJ410" s="8">
        <v>24.011171890828052</v>
      </c>
      <c r="FK410" s="8">
        <v>22.090132090132094</v>
      </c>
      <c r="FL410" s="8">
        <v>25.948150809810887</v>
      </c>
      <c r="FO410" s="1">
        <v>220</v>
      </c>
      <c r="FP410" s="1">
        <v>220</v>
      </c>
      <c r="FR410" s="13" t="s">
        <v>643</v>
      </c>
      <c r="FS410" s="1" t="s">
        <v>643</v>
      </c>
      <c r="FT410" s="13">
        <v>182</v>
      </c>
      <c r="FU410" s="13"/>
      <c r="FV410" s="13">
        <v>182</v>
      </c>
      <c r="FW410" s="13">
        <v>182</v>
      </c>
      <c r="FX410" s="1">
        <v>182</v>
      </c>
      <c r="FY410" s="13" t="s">
        <v>642</v>
      </c>
      <c r="FZ410" s="13" t="s">
        <v>641</v>
      </c>
      <c r="GA410" s="1">
        <v>202</v>
      </c>
      <c r="GB410" s="1">
        <v>202</v>
      </c>
      <c r="GD410" s="1" t="s">
        <v>645</v>
      </c>
      <c r="GE410" s="1">
        <v>211</v>
      </c>
      <c r="GF410" s="1">
        <v>214</v>
      </c>
      <c r="GG410" s="1">
        <v>220</v>
      </c>
      <c r="GH410" s="1">
        <v>214</v>
      </c>
      <c r="GK410" s="1" t="s">
        <v>644</v>
      </c>
    </row>
    <row r="411" spans="1:193" ht="12.75" customHeight="1" x14ac:dyDescent="0.25">
      <c r="A411" s="1" t="s">
        <v>77</v>
      </c>
      <c r="D411" s="1" t="s">
        <v>580</v>
      </c>
      <c r="E411" s="1" t="s">
        <v>126</v>
      </c>
      <c r="F411" s="1">
        <v>1</v>
      </c>
      <c r="G411" s="1">
        <v>2020</v>
      </c>
      <c r="H411" s="1">
        <v>1</v>
      </c>
      <c r="I411" s="1">
        <v>1</v>
      </c>
      <c r="J411" s="1">
        <v>0</v>
      </c>
      <c r="K411" s="11">
        <v>427.09930232558145</v>
      </c>
      <c r="L411" s="11">
        <v>638.85354632587871</v>
      </c>
      <c r="M411" s="11">
        <v>849.00210038920955</v>
      </c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9"/>
      <c r="BQ411" s="11">
        <v>22.938837209302328</v>
      </c>
      <c r="BR411" s="11">
        <v>77.140479233226856</v>
      </c>
      <c r="BS411" s="11">
        <v>130.86529190712656</v>
      </c>
      <c r="BT411" s="11">
        <f>Tabelle5897112140[[#This Row],[Mindestauslastung min]]*Tabelle5897112140[[#This Row],[installierte Leistung MW min]]</f>
        <v>0</v>
      </c>
      <c r="BU411" s="11">
        <f>Tabelle5897112140[[#This Row],[Mindestauslastung durch]]*Tabelle5897112140[[#This Row],[installierte Leistung MW durch]]</f>
        <v>0</v>
      </c>
      <c r="BV411" s="19">
        <f>Tabelle5897112140[[#This Row],[Mindestauslastung max]]*Tabelle5897112140[[#This Row],[installierte Leistung MW max]]</f>
        <v>0</v>
      </c>
      <c r="BW411" s="9">
        <v>0</v>
      </c>
      <c r="BX411" s="9">
        <v>0</v>
      </c>
      <c r="BY411" s="9">
        <v>0</v>
      </c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39">
        <v>0.80581395348837215</v>
      </c>
      <c r="DC411" s="39">
        <v>0.84754284054603546</v>
      </c>
      <c r="DD411" s="39">
        <v>0.89335793853174073</v>
      </c>
      <c r="DE411" s="11">
        <f>Tabelle5897112140[[#This Row],[Durchschnittsauslastung min]]*Tabelle5897112140[[#This Row],[installierte Leistung MW min]]</f>
        <v>560.29050000000007</v>
      </c>
      <c r="DF411" s="11">
        <f>Tabelle5897112140[[#This Row],[Durchschnittsauslastung durch]]*Tabelle5897112140[[#This Row],[installierte Leistung MW durch]]</f>
        <v>641.97980000000007</v>
      </c>
      <c r="DG411" s="46">
        <f>Tabelle5897112140[[#This Row],[Durchschnittsauslastung max]]*Tabelle5897112140[[#This Row],[installierte Leistung MW max]]</f>
        <v>732.20510000000002</v>
      </c>
      <c r="DH411" s="46">
        <f>Tabelle5897112140[[#This Row],[Maximalauslastung min]]*Tabelle5897112140[[#This Row],[installierte Leistung MW min]]</f>
        <v>653.59140000000002</v>
      </c>
      <c r="DI411" s="46">
        <f>Tabelle5897112140[[#This Row],[Maximalauslastung durch]]*Tabelle5897112140[[#This Row],[installierte Leistung MW durch]]</f>
        <v>719.58700000000022</v>
      </c>
      <c r="DJ411" s="11">
        <f>Tabelle5897112140[[#This Row],[Maximalauslastung max]]*Tabelle5897112140[[#This Row],[installierte Leistung MW durch]]</f>
        <v>727.16160000000002</v>
      </c>
      <c r="DK411" s="9">
        <v>0.94</v>
      </c>
      <c r="DL411" s="9">
        <v>0.95000000000000018</v>
      </c>
      <c r="DM411" s="9">
        <v>0.96</v>
      </c>
      <c r="DN411" s="11">
        <v>757.46</v>
      </c>
      <c r="DO411" s="11">
        <v>695.31000000000006</v>
      </c>
      <c r="DP411" s="11">
        <v>819.61</v>
      </c>
      <c r="DQ411" s="1">
        <v>0.21050960886823505</v>
      </c>
      <c r="DR411" s="1">
        <v>8.3333333333333332E-3</v>
      </c>
      <c r="DS411" s="54">
        <v>0.5</v>
      </c>
      <c r="DT411" s="1">
        <v>0.77166666666666683</v>
      </c>
      <c r="DU411" s="1">
        <v>8.3333333333333329E-2</v>
      </c>
      <c r="DV411" s="54">
        <v>3</v>
      </c>
      <c r="DW411" s="1">
        <v>0.77200116177751965</v>
      </c>
      <c r="DX411" s="1">
        <v>0.5</v>
      </c>
      <c r="DY411" s="54">
        <v>2.4</v>
      </c>
      <c r="DZ411" s="1">
        <v>2.4948591344757483</v>
      </c>
      <c r="EA411" s="1">
        <v>1.6</v>
      </c>
      <c r="EB411" s="54">
        <v>5.8999999999999995</v>
      </c>
      <c r="EC411" s="1">
        <v>3.0177171071739766</v>
      </c>
      <c r="ED411" s="1">
        <v>2.3674418604651164</v>
      </c>
      <c r="EE411" s="54">
        <v>2.6029526238088847</v>
      </c>
      <c r="EF411" s="1">
        <v>2.4948591344757483</v>
      </c>
      <c r="EG411" s="1">
        <v>1.6</v>
      </c>
      <c r="EH411" s="54">
        <v>5.8999999999999995</v>
      </c>
      <c r="EJ411" s="1" t="s">
        <v>646</v>
      </c>
      <c r="EL411" s="1">
        <v>280</v>
      </c>
      <c r="EM411" s="1">
        <v>252</v>
      </c>
      <c r="EN411" s="1">
        <v>308</v>
      </c>
      <c r="EO411" s="1">
        <v>0</v>
      </c>
      <c r="EP411" s="1">
        <v>0</v>
      </c>
      <c r="EQ411" s="1">
        <v>0</v>
      </c>
      <c r="ER411" s="1">
        <v>280</v>
      </c>
      <c r="ES411" s="1">
        <v>252</v>
      </c>
      <c r="ET411" s="1">
        <v>308</v>
      </c>
      <c r="EU411" s="1">
        <v>2.3586724051435062</v>
      </c>
      <c r="EV411" s="19">
        <v>0.84566596194503152</v>
      </c>
      <c r="EW411" s="19">
        <v>3.8720041645823415</v>
      </c>
      <c r="EX411" s="19">
        <v>233.91040817703615</v>
      </c>
      <c r="EY411" s="8">
        <v>93.96288466055907</v>
      </c>
      <c r="EZ411" s="8">
        <v>370.12183301272017</v>
      </c>
      <c r="FA411" s="8">
        <v>456.84553933174328</v>
      </c>
      <c r="FB411" s="8">
        <v>392.17758985200845</v>
      </c>
      <c r="FC411" s="8">
        <v>517.53137332254221</v>
      </c>
      <c r="FD411" s="8">
        <v>0</v>
      </c>
      <c r="FE411" s="8">
        <v>0</v>
      </c>
      <c r="FF411" s="8">
        <v>30.303030303030301</v>
      </c>
      <c r="FG411" s="8">
        <v>44.44444444444445</v>
      </c>
      <c r="FH411" s="8">
        <v>24.242424242424242</v>
      </c>
      <c r="FI411" s="8">
        <v>64.646464646464636</v>
      </c>
      <c r="FJ411" s="8">
        <v>24.031456006477793</v>
      </c>
      <c r="FK411" s="8">
        <v>22.102419544280011</v>
      </c>
      <c r="FL411" s="8">
        <v>25.974318408890952</v>
      </c>
      <c r="FO411" s="1">
        <v>220</v>
      </c>
      <c r="FP411" s="1">
        <v>220</v>
      </c>
      <c r="FR411" s="13" t="s">
        <v>643</v>
      </c>
      <c r="FS411" s="1" t="s">
        <v>643</v>
      </c>
      <c r="FT411" s="13">
        <v>182</v>
      </c>
      <c r="FU411" s="13"/>
      <c r="FV411" s="13">
        <v>182</v>
      </c>
      <c r="FW411" s="13">
        <v>182</v>
      </c>
      <c r="FX411" s="1">
        <v>182</v>
      </c>
      <c r="FY411" s="13" t="s">
        <v>642</v>
      </c>
      <c r="FZ411" s="13" t="s">
        <v>641</v>
      </c>
      <c r="GA411" s="1">
        <v>202</v>
      </c>
      <c r="GB411" s="1">
        <v>202</v>
      </c>
      <c r="GD411" s="1" t="s">
        <v>645</v>
      </c>
      <c r="GE411" s="1">
        <v>211</v>
      </c>
      <c r="GF411" s="1">
        <v>214</v>
      </c>
      <c r="GG411" s="1">
        <v>220</v>
      </c>
      <c r="GH411" s="1">
        <v>214</v>
      </c>
      <c r="GK411" s="1" t="s">
        <v>644</v>
      </c>
    </row>
    <row r="412" spans="1:193" ht="12.75" customHeight="1" x14ac:dyDescent="0.25">
      <c r="A412" s="1" t="s">
        <v>77</v>
      </c>
      <c r="D412" s="1" t="s">
        <v>580</v>
      </c>
      <c r="E412" s="1" t="s">
        <v>126</v>
      </c>
      <c r="F412" s="1">
        <v>1</v>
      </c>
      <c r="G412" s="1">
        <v>2025</v>
      </c>
      <c r="H412" s="1">
        <v>1</v>
      </c>
      <c r="I412" s="1">
        <v>1</v>
      </c>
      <c r="J412" s="1">
        <v>0</v>
      </c>
      <c r="K412" s="11">
        <v>467.23364105874754</v>
      </c>
      <c r="L412" s="11">
        <v>695.8267049463517</v>
      </c>
      <c r="M412" s="11">
        <v>921.14817972272112</v>
      </c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9"/>
      <c r="BQ412" s="11">
        <v>25.094389928986441</v>
      </c>
      <c r="BR412" s="11">
        <v>84.019891243522054</v>
      </c>
      <c r="BS412" s="11">
        <v>141.9858977661774</v>
      </c>
      <c r="BT412" s="11">
        <f>Tabelle5897112140[[#This Row],[Mindestauslastung min]]*Tabelle5897112140[[#This Row],[installierte Leistung MW min]]</f>
        <v>0</v>
      </c>
      <c r="BU412" s="11">
        <f>Tabelle5897112140[[#This Row],[Mindestauslastung durch]]*Tabelle5897112140[[#This Row],[installierte Leistung MW durch]]</f>
        <v>0</v>
      </c>
      <c r="BV412" s="19">
        <f>Tabelle5897112140[[#This Row],[Mindestauslastung max]]*Tabelle5897112140[[#This Row],[installierte Leistung MW max]]</f>
        <v>0</v>
      </c>
      <c r="BW412" s="9">
        <v>0</v>
      </c>
      <c r="BX412" s="9">
        <v>0</v>
      </c>
      <c r="BY412" s="9">
        <v>0</v>
      </c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39">
        <v>0.80624273724983864</v>
      </c>
      <c r="DC412" s="39">
        <v>0.84778156249239689</v>
      </c>
      <c r="DD412" s="39">
        <v>0.89304690236489148</v>
      </c>
      <c r="DE412" s="11">
        <f>Tabelle5897112140[[#This Row],[Durchschnittsauslastung min]]*Tabelle5897112140[[#This Row],[installierte Leistung MW min]]</f>
        <v>611.94630000000006</v>
      </c>
      <c r="DF412" s="11">
        <f>Tabelle5897112140[[#This Row],[Durchschnittsauslastung durch]]*Tabelle5897112140[[#This Row],[installierte Leistung MW durch]]</f>
        <v>696.89340000000004</v>
      </c>
      <c r="DG412" s="46">
        <f>Tabelle5897112140[[#This Row],[Durchschnittsauslastung max]]*Tabelle5897112140[[#This Row],[installierte Leistung MW max]]</f>
        <v>790.37329999999986</v>
      </c>
      <c r="DH412" s="46">
        <f>Tabelle5897112140[[#This Row],[Maximalauslastung min]]*Tabelle5897112140[[#This Row],[installierte Leistung MW min]]</f>
        <v>713.46939999999995</v>
      </c>
      <c r="DI412" s="46">
        <f>Tabelle5897112140[[#This Row],[Maximalauslastung durch]]*Tabelle5897112140[[#This Row],[installierte Leistung MW durch]]</f>
        <v>780.9190000000001</v>
      </c>
      <c r="DJ412" s="11">
        <f>Tabelle5897112140[[#This Row],[Maximalauslastung max]]*Tabelle5897112140[[#This Row],[installierte Leistung MW durch]]</f>
        <v>789.13919999999996</v>
      </c>
      <c r="DK412" s="9">
        <v>0.94</v>
      </c>
      <c r="DL412" s="9">
        <v>0.95000000000000018</v>
      </c>
      <c r="DM412" s="9">
        <v>0.96</v>
      </c>
      <c r="DN412" s="11">
        <v>822.02</v>
      </c>
      <c r="DO412" s="11">
        <v>759.01</v>
      </c>
      <c r="DP412" s="11">
        <v>885.03</v>
      </c>
      <c r="DQ412" s="1">
        <v>0.20928615889313315</v>
      </c>
      <c r="DR412" s="1">
        <v>8.3333333333333332E-3</v>
      </c>
      <c r="DS412" s="54">
        <v>0.5</v>
      </c>
      <c r="DT412" s="1">
        <v>0.77166666666666672</v>
      </c>
      <c r="DU412" s="1">
        <v>8.3333333333333329E-2</v>
      </c>
      <c r="DV412" s="54">
        <v>3</v>
      </c>
      <c r="DW412" s="1">
        <v>0.75529062553222559</v>
      </c>
      <c r="DX412" s="1">
        <v>0.5</v>
      </c>
      <c r="DY412" s="54">
        <v>2.4</v>
      </c>
      <c r="DZ412" s="1">
        <v>2.4662125009123868</v>
      </c>
      <c r="EA412" s="1">
        <v>1.6</v>
      </c>
      <c r="EB412" s="54">
        <v>5.8999999999999995</v>
      </c>
      <c r="EC412" s="1">
        <v>2.9771343762925482</v>
      </c>
      <c r="ED412" s="1">
        <v>2.3502905100064559</v>
      </c>
      <c r="EE412" s="54">
        <v>2.5656282837869906</v>
      </c>
      <c r="EF412" s="1">
        <v>2.4662125009123868</v>
      </c>
      <c r="EG412" s="1">
        <v>1.6</v>
      </c>
      <c r="EH412" s="54">
        <v>5.8999999999999995</v>
      </c>
      <c r="EJ412" s="1" t="s">
        <v>646</v>
      </c>
      <c r="EL412" s="1">
        <v>365</v>
      </c>
      <c r="EM412" s="1">
        <v>328</v>
      </c>
      <c r="EN412" s="1">
        <v>402</v>
      </c>
      <c r="EO412" s="1">
        <v>0</v>
      </c>
      <c r="EP412" s="1">
        <v>0</v>
      </c>
      <c r="EQ412" s="1">
        <v>0</v>
      </c>
      <c r="ER412" s="1">
        <v>50.000000000000007</v>
      </c>
      <c r="ES412" s="1">
        <v>20</v>
      </c>
      <c r="ET412" s="1">
        <v>80</v>
      </c>
      <c r="EU412" s="1">
        <v>2.3591546717018117</v>
      </c>
      <c r="EV412" s="19">
        <v>0.84595470521874638</v>
      </c>
      <c r="EW412" s="19">
        <v>3.8726325204749665</v>
      </c>
      <c r="EX412" s="19">
        <v>235.7189077706827</v>
      </c>
      <c r="EY412" s="8">
        <v>94.684742844846141</v>
      </c>
      <c r="EZ412" s="8">
        <v>373.26361247584259</v>
      </c>
      <c r="FA412" s="8">
        <v>457.70156247273599</v>
      </c>
      <c r="FB412" s="8">
        <v>392.35805439808018</v>
      </c>
      <c r="FC412" s="8">
        <v>519.36931430846892</v>
      </c>
      <c r="FD412" s="8">
        <v>0</v>
      </c>
      <c r="FE412" s="8">
        <v>0</v>
      </c>
      <c r="FF412" s="8">
        <v>30.303030303030305</v>
      </c>
      <c r="FG412" s="8">
        <v>44.44444444444445</v>
      </c>
      <c r="FH412" s="8">
        <v>24.242424242424242</v>
      </c>
      <c r="FI412" s="8">
        <v>64.646464646464651</v>
      </c>
      <c r="FJ412" s="8">
        <v>24.05195233520579</v>
      </c>
      <c r="FK412" s="8">
        <v>22.114691133412894</v>
      </c>
      <c r="FL412" s="8">
        <v>26.001023534327494</v>
      </c>
      <c r="FO412" s="1">
        <v>220</v>
      </c>
      <c r="FP412" s="1">
        <v>220</v>
      </c>
      <c r="FR412" s="13" t="s">
        <v>643</v>
      </c>
      <c r="FS412" s="1" t="s">
        <v>643</v>
      </c>
      <c r="FT412" s="13">
        <v>182</v>
      </c>
      <c r="FU412" s="13"/>
      <c r="FV412" s="13">
        <v>182</v>
      </c>
      <c r="FW412" s="13">
        <v>182</v>
      </c>
      <c r="FX412" s="1">
        <v>182</v>
      </c>
      <c r="FY412" s="13" t="s">
        <v>642</v>
      </c>
      <c r="FZ412" s="13" t="s">
        <v>641</v>
      </c>
      <c r="GA412" s="1">
        <v>202</v>
      </c>
      <c r="GB412" s="1">
        <v>202</v>
      </c>
      <c r="GD412" s="1" t="s">
        <v>645</v>
      </c>
      <c r="GE412" s="1">
        <v>211</v>
      </c>
      <c r="GF412" s="1">
        <v>214</v>
      </c>
      <c r="GG412" s="1">
        <v>220</v>
      </c>
      <c r="GH412" s="1">
        <v>214</v>
      </c>
      <c r="GK412" s="1" t="s">
        <v>644</v>
      </c>
    </row>
    <row r="413" spans="1:193" ht="12.75" customHeight="1" x14ac:dyDescent="0.25">
      <c r="A413" s="1" t="s">
        <v>77</v>
      </c>
      <c r="D413" s="1" t="s">
        <v>580</v>
      </c>
      <c r="E413" s="1" t="s">
        <v>126</v>
      </c>
      <c r="F413" s="1">
        <v>1</v>
      </c>
      <c r="G413" s="1">
        <v>2030</v>
      </c>
      <c r="H413" s="1">
        <v>1</v>
      </c>
      <c r="I413" s="1">
        <v>1</v>
      </c>
      <c r="J413" s="1">
        <v>0</v>
      </c>
      <c r="K413" s="11">
        <v>481.92954887218042</v>
      </c>
      <c r="L413" s="11">
        <v>716.79484548767209</v>
      </c>
      <c r="M413" s="11">
        <v>947.81067984677031</v>
      </c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9"/>
      <c r="BQ413" s="11">
        <v>25.883684210526315</v>
      </c>
      <c r="BR413" s="11">
        <v>86.551758553783529</v>
      </c>
      <c r="BS413" s="11">
        <v>146.09565893179516</v>
      </c>
      <c r="BT413" s="11">
        <f>Tabelle5897112140[[#This Row],[Mindestauslastung min]]*Tabelle5897112140[[#This Row],[installierte Leistung MW min]]</f>
        <v>0</v>
      </c>
      <c r="BU413" s="11">
        <f>Tabelle5897112140[[#This Row],[Mindestauslastung durch]]*Tabelle5897112140[[#This Row],[installierte Leistung MW durch]]</f>
        <v>0</v>
      </c>
      <c r="BV413" s="19">
        <f>Tabelle5897112140[[#This Row],[Mindestauslastung max]]*Tabelle5897112140[[#This Row],[installierte Leistung MW max]]</f>
        <v>0</v>
      </c>
      <c r="BW413" s="9">
        <v>0</v>
      </c>
      <c r="BX413" s="9">
        <v>0</v>
      </c>
      <c r="BY413" s="9">
        <v>0</v>
      </c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39">
        <v>0.8063909774436091</v>
      </c>
      <c r="DC413" s="39">
        <v>0.84786474847380633</v>
      </c>
      <c r="DD413" s="39">
        <v>0.89293778345295238</v>
      </c>
      <c r="DE413" s="11">
        <f>Tabelle5897112140[[#This Row],[Durchschnittsauslastung min]]*Tabelle5897112140[[#This Row],[installierte Leistung MW min]]</f>
        <v>630.63</v>
      </c>
      <c r="DF413" s="11">
        <f>Tabelle5897112140[[#This Row],[Durchschnittsauslastung durch]]*Tabelle5897112140[[#This Row],[installierte Leistung MW durch]]</f>
        <v>716.64920000000006</v>
      </c>
      <c r="DG413" s="46">
        <f>Tabelle5897112140[[#This Row],[Durchschnittsauslastung max]]*Tabelle5897112140[[#This Row],[installierte Leistung MW max]]</f>
        <v>811.18040000000008</v>
      </c>
      <c r="DH413" s="46">
        <f>Tabelle5897112140[[#This Row],[Maximalauslastung min]]*Tabelle5897112140[[#This Row],[installierte Leistung MW min]]</f>
        <v>735.11759999999992</v>
      </c>
      <c r="DI413" s="46">
        <f>Tabelle5897112140[[#This Row],[Maximalauslastung durch]]*Tabelle5897112140[[#This Row],[installierte Leistung MW durch]]</f>
        <v>802.97799999999984</v>
      </c>
      <c r="DJ413" s="11">
        <f>Tabelle5897112140[[#This Row],[Maximalauslastung max]]*Tabelle5897112140[[#This Row],[installierte Leistung MW durch]]</f>
        <v>811.43039999999996</v>
      </c>
      <c r="DK413" s="9">
        <v>0.94</v>
      </c>
      <c r="DL413" s="9">
        <v>0.94999999999999984</v>
      </c>
      <c r="DM413" s="9">
        <v>0.96</v>
      </c>
      <c r="DN413" s="11">
        <v>845.24</v>
      </c>
      <c r="DO413" s="11">
        <v>782.04</v>
      </c>
      <c r="DP413" s="11">
        <v>908.44</v>
      </c>
      <c r="DQ413" s="1">
        <v>0.20885983073840958</v>
      </c>
      <c r="DR413" s="1">
        <v>8.3333333333333332E-3</v>
      </c>
      <c r="DS413" s="54">
        <v>0.5</v>
      </c>
      <c r="DT413" s="1">
        <v>0.77166666666666661</v>
      </c>
      <c r="DU413" s="1">
        <v>8.3333333333333329E-2</v>
      </c>
      <c r="DV413" s="54">
        <v>3</v>
      </c>
      <c r="DW413" s="1">
        <v>0.74946760683356195</v>
      </c>
      <c r="DX413" s="1">
        <v>0.5</v>
      </c>
      <c r="DY413" s="54">
        <v>2.4</v>
      </c>
      <c r="DZ413" s="1">
        <v>2.4562301831432491</v>
      </c>
      <c r="EA413" s="1">
        <v>1.6</v>
      </c>
      <c r="EB413" s="54">
        <v>5.8999999999999995</v>
      </c>
      <c r="EC413" s="1">
        <v>2.9629927594529364</v>
      </c>
      <c r="ED413" s="1">
        <v>2.3443609022556395</v>
      </c>
      <c r="EE413" s="54">
        <v>2.5525340143542774</v>
      </c>
      <c r="EF413" s="1">
        <v>2.4562301831432491</v>
      </c>
      <c r="EG413" s="1">
        <v>1.6</v>
      </c>
      <c r="EH413" s="54">
        <v>5.8999999999999995</v>
      </c>
      <c r="EJ413" s="1" t="s">
        <v>646</v>
      </c>
      <c r="EL413" s="1">
        <v>6570</v>
      </c>
      <c r="EM413" s="1">
        <v>4380</v>
      </c>
      <c r="EN413" s="1">
        <v>8760</v>
      </c>
      <c r="EO413" s="1">
        <v>0</v>
      </c>
      <c r="EP413" s="1">
        <v>0</v>
      </c>
      <c r="EQ413" s="1">
        <v>0</v>
      </c>
      <c r="ER413" s="1">
        <v>50</v>
      </c>
      <c r="ES413" s="1">
        <v>20</v>
      </c>
      <c r="ET413" s="1">
        <v>80</v>
      </c>
      <c r="EU413" s="1">
        <v>2.3593227241895072</v>
      </c>
      <c r="EV413" s="19">
        <v>0.8460545302650565</v>
      </c>
      <c r="EW413" s="19">
        <v>3.872852962721308</v>
      </c>
      <c r="EX413" s="19">
        <v>236.34910459954233</v>
      </c>
      <c r="EY413" s="8">
        <v>94.93430546062126</v>
      </c>
      <c r="EZ413" s="8">
        <v>374.36582370755235</v>
      </c>
      <c r="FA413" s="8">
        <v>457.99985563839613</v>
      </c>
      <c r="FB413" s="8">
        <v>392.42044505202404</v>
      </c>
      <c r="FC413" s="8">
        <v>520.01410787901921</v>
      </c>
      <c r="FD413" s="8">
        <v>0</v>
      </c>
      <c r="FE413" s="8">
        <v>0</v>
      </c>
      <c r="FF413" s="8">
        <v>30.303030303030305</v>
      </c>
      <c r="FG413" s="8">
        <v>44.444444444444436</v>
      </c>
      <c r="FH413" s="8">
        <v>24.242424242424242</v>
      </c>
      <c r="FI413" s="8">
        <v>64.646464646464651</v>
      </c>
      <c r="FJ413" s="8">
        <v>24.05909456593286</v>
      </c>
      <c r="FK413" s="8">
        <v>22.118933697881065</v>
      </c>
      <c r="FL413" s="8">
        <v>26.010392329797021</v>
      </c>
      <c r="FO413" s="1">
        <v>220</v>
      </c>
      <c r="FP413" s="1">
        <v>220</v>
      </c>
      <c r="FR413" s="13" t="s">
        <v>643</v>
      </c>
      <c r="FS413" s="1" t="s">
        <v>643</v>
      </c>
      <c r="FT413" s="13">
        <v>182</v>
      </c>
      <c r="FU413" s="13"/>
      <c r="FV413" s="13">
        <v>182</v>
      </c>
      <c r="FW413" s="13">
        <v>182</v>
      </c>
      <c r="FX413" s="1">
        <v>182</v>
      </c>
      <c r="FY413" s="13" t="s">
        <v>642</v>
      </c>
      <c r="FZ413" s="13" t="s">
        <v>641</v>
      </c>
      <c r="GA413" s="1">
        <v>202</v>
      </c>
      <c r="GB413" s="1">
        <v>202</v>
      </c>
      <c r="GD413" s="1" t="s">
        <v>645</v>
      </c>
      <c r="GE413" s="1">
        <v>211</v>
      </c>
      <c r="GF413" s="1">
        <v>214</v>
      </c>
      <c r="GG413" s="1">
        <v>220</v>
      </c>
      <c r="GH413" s="1">
        <v>214</v>
      </c>
      <c r="GK413" s="1" t="s">
        <v>644</v>
      </c>
    </row>
    <row r="414" spans="1:193" ht="12.75" customHeight="1" x14ac:dyDescent="0.25">
      <c r="A414" s="1" t="s">
        <v>77</v>
      </c>
      <c r="D414" s="1" t="s">
        <v>580</v>
      </c>
      <c r="E414" s="1" t="s">
        <v>126</v>
      </c>
      <c r="F414" s="1">
        <v>1</v>
      </c>
      <c r="G414" s="1">
        <v>2035</v>
      </c>
      <c r="H414" s="1">
        <v>1</v>
      </c>
      <c r="I414" s="1">
        <v>1</v>
      </c>
      <c r="J414" s="1">
        <v>0</v>
      </c>
      <c r="K414" s="11">
        <v>500.44456193353477</v>
      </c>
      <c r="L414" s="11">
        <v>743.38463121783889</v>
      </c>
      <c r="M414" s="11">
        <v>981.82323703427335</v>
      </c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9"/>
      <c r="BQ414" s="11">
        <v>26.878096676737162</v>
      </c>
      <c r="BR414" s="11">
        <v>89.76242995997714</v>
      </c>
      <c r="BS414" s="11">
        <v>151.33835882948671</v>
      </c>
      <c r="BT414" s="11">
        <f>Tabelle5897112140[[#This Row],[Mindestauslastung min]]*Tabelle5897112140[[#This Row],[installierte Leistung MW min]]</f>
        <v>0</v>
      </c>
      <c r="BU414" s="11">
        <f>Tabelle5897112140[[#This Row],[Mindestauslastung durch]]*Tabelle5897112140[[#This Row],[installierte Leistung MW durch]]</f>
        <v>0</v>
      </c>
      <c r="BV414" s="19">
        <f>Tabelle5897112140[[#This Row],[Mindestauslastung max]]*Tabelle5897112140[[#This Row],[installierte Leistung MW max]]</f>
        <v>0</v>
      </c>
      <c r="BW414" s="9">
        <v>0</v>
      </c>
      <c r="BX414" s="9">
        <v>0</v>
      </c>
      <c r="BY414" s="9">
        <v>0</v>
      </c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39">
        <v>0.80655589123867055</v>
      </c>
      <c r="DC414" s="39">
        <v>0.84795769010863353</v>
      </c>
      <c r="DD414" s="39">
        <v>0.89281541495655892</v>
      </c>
      <c r="DE414" s="11">
        <f>Tabelle5897112140[[#This Row],[Durchschnittsauslastung min]]*Tabelle5897112140[[#This Row],[installierte Leistung MW min]]</f>
        <v>654.07649999999978</v>
      </c>
      <c r="DF414" s="11">
        <f>Tabelle5897112140[[#This Row],[Durchschnittsauslastung durch]]*Tabelle5897112140[[#This Row],[installierte Leistung MW durch]]</f>
        <v>741.53899999999999</v>
      </c>
      <c r="DG414" s="46">
        <f>Tabelle5897112140[[#This Row],[Durchschnittsauslastung max]]*Tabelle5897112140[[#This Row],[installierte Leistung MW max]]</f>
        <v>837.5055000000001</v>
      </c>
      <c r="DH414" s="46">
        <f>Tabelle5897112140[[#This Row],[Maximalauslastung min]]*Tabelle5897112140[[#This Row],[installierte Leistung MW min]]</f>
        <v>762.29299999999989</v>
      </c>
      <c r="DI414" s="46">
        <f>Tabelle5897112140[[#This Row],[Maximalauslastung durch]]*Tabelle5897112140[[#This Row],[installierte Leistung MW durch]]</f>
        <v>830.7750000000002</v>
      </c>
      <c r="DJ414" s="11">
        <f>Tabelle5897112140[[#This Row],[Maximalauslastung max]]*Tabelle5897112140[[#This Row],[installierte Leistung MW durch]]</f>
        <v>839.52</v>
      </c>
      <c r="DK414" s="9">
        <v>0.94</v>
      </c>
      <c r="DL414" s="9">
        <v>0.95000000000000018</v>
      </c>
      <c r="DM414" s="9">
        <v>0.96</v>
      </c>
      <c r="DN414" s="11">
        <v>874.5</v>
      </c>
      <c r="DO414" s="11">
        <v>810.94999999999993</v>
      </c>
      <c r="DP414" s="11">
        <v>938.05</v>
      </c>
      <c r="DQ414" s="1">
        <v>0.20838350485991994</v>
      </c>
      <c r="DR414" s="1">
        <v>8.3333333333333332E-3</v>
      </c>
      <c r="DS414" s="54">
        <v>0.5</v>
      </c>
      <c r="DT414" s="1">
        <v>0.77166666666666683</v>
      </c>
      <c r="DU414" s="1">
        <v>8.3333333333333329E-2</v>
      </c>
      <c r="DV414" s="54">
        <v>3</v>
      </c>
      <c r="DW414" s="1">
        <v>0.74296169239565468</v>
      </c>
      <c r="DX414" s="1">
        <v>0.5</v>
      </c>
      <c r="DY414" s="54">
        <v>2.4</v>
      </c>
      <c r="DZ414" s="1">
        <v>2.4450771869639798</v>
      </c>
      <c r="EA414" s="1">
        <v>1.6</v>
      </c>
      <c r="EB414" s="54">
        <v>5.8999999999999995</v>
      </c>
      <c r="EC414" s="1">
        <v>2.9471926815323046</v>
      </c>
      <c r="ED414" s="1">
        <v>2.3377643504531727</v>
      </c>
      <c r="EE414" s="54">
        <v>2.5378497947870589</v>
      </c>
      <c r="EF414" s="1">
        <v>2.4450771869639798</v>
      </c>
      <c r="EG414" s="1">
        <v>1.6</v>
      </c>
      <c r="EH414" s="54">
        <v>5.8999999999999995</v>
      </c>
      <c r="EJ414" s="1" t="s">
        <v>646</v>
      </c>
      <c r="EL414" s="1">
        <v>4494.5283018867931</v>
      </c>
      <c r="EM414" s="1">
        <v>3771.5407854984896</v>
      </c>
      <c r="EN414" s="1">
        <v>5166.6371728585909</v>
      </c>
      <c r="EO414" s="1">
        <v>0</v>
      </c>
      <c r="EP414" s="1">
        <v>0</v>
      </c>
      <c r="EQ414" s="1">
        <v>0</v>
      </c>
      <c r="ER414" s="1">
        <v>50</v>
      </c>
      <c r="ES414" s="1">
        <v>20</v>
      </c>
      <c r="ET414" s="1">
        <v>80</v>
      </c>
      <c r="EU414" s="1">
        <v>2.3595104850679465</v>
      </c>
      <c r="EV414" s="19">
        <v>0.84616558332570413</v>
      </c>
      <c r="EW414" s="19">
        <v>3.8731001718049316</v>
      </c>
      <c r="EX414" s="19">
        <v>237.05320789368818</v>
      </c>
      <c r="EY414" s="8">
        <v>95.211938112240233</v>
      </c>
      <c r="EZ414" s="8">
        <v>375.60186912566854</v>
      </c>
      <c r="FA414" s="8">
        <v>458.33313119762522</v>
      </c>
      <c r="FB414" s="8">
        <v>392.48985321492876</v>
      </c>
      <c r="FC414" s="8">
        <v>520.73719444861717</v>
      </c>
      <c r="FD414" s="8">
        <v>0</v>
      </c>
      <c r="FE414" s="8">
        <v>0</v>
      </c>
      <c r="FF414" s="8">
        <v>30.303030303030308</v>
      </c>
      <c r="FG414" s="8">
        <v>44.444444444444443</v>
      </c>
      <c r="FH414" s="8">
        <v>24.242424242424242</v>
      </c>
      <c r="FI414" s="8">
        <v>64.646464646464651</v>
      </c>
      <c r="FJ414" s="8">
        <v>24.067074403266513</v>
      </c>
      <c r="FK414" s="8">
        <v>22.123653452958589</v>
      </c>
      <c r="FL414" s="8">
        <v>26.020898715851015</v>
      </c>
      <c r="FO414" s="1">
        <v>220</v>
      </c>
      <c r="FP414" s="1">
        <v>220</v>
      </c>
      <c r="FR414" s="13" t="s">
        <v>643</v>
      </c>
      <c r="FS414" s="1" t="s">
        <v>643</v>
      </c>
      <c r="FT414" s="13">
        <v>182</v>
      </c>
      <c r="FU414" s="13"/>
      <c r="FV414" s="13">
        <v>182</v>
      </c>
      <c r="FW414" s="13">
        <v>182</v>
      </c>
      <c r="FX414" s="1">
        <v>182</v>
      </c>
      <c r="FY414" s="13" t="s">
        <v>642</v>
      </c>
      <c r="FZ414" s="13" t="s">
        <v>641</v>
      </c>
      <c r="GA414" s="1">
        <v>202</v>
      </c>
      <c r="GB414" s="1">
        <v>202</v>
      </c>
      <c r="GD414" s="1" t="s">
        <v>645</v>
      </c>
      <c r="GE414" s="1">
        <v>211</v>
      </c>
      <c r="GF414" s="1">
        <v>214</v>
      </c>
      <c r="GG414" s="1">
        <v>220</v>
      </c>
      <c r="GH414" s="1">
        <v>214</v>
      </c>
      <c r="GK414" s="1" t="s">
        <v>644</v>
      </c>
    </row>
    <row r="415" spans="1:193" ht="12.75" customHeight="1" x14ac:dyDescent="0.25">
      <c r="A415" s="1" t="s">
        <v>77</v>
      </c>
      <c r="D415" s="1" t="s">
        <v>580</v>
      </c>
      <c r="E415" s="1" t="s">
        <v>126</v>
      </c>
      <c r="F415" s="1">
        <v>1</v>
      </c>
      <c r="G415" s="1">
        <v>2040</v>
      </c>
      <c r="H415" s="1">
        <v>1</v>
      </c>
      <c r="I415" s="1">
        <v>1</v>
      </c>
      <c r="J415" s="1">
        <v>0</v>
      </c>
      <c r="K415" s="11">
        <v>518.93437828371282</v>
      </c>
      <c r="L415" s="11">
        <v>769.88687977669986</v>
      </c>
      <c r="M415" s="11">
        <v>1015.6419153031762</v>
      </c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9"/>
      <c r="BQ415" s="11">
        <v>27.871155866900178</v>
      </c>
      <c r="BR415" s="11">
        <v>92.962531401608317</v>
      </c>
      <c r="BS415" s="11">
        <v>156.5511742059673</v>
      </c>
      <c r="BT415" s="11">
        <f>Tabelle5897112140[[#This Row],[Mindestauslastung min]]*Tabelle5897112140[[#This Row],[installierte Leistung MW min]]</f>
        <v>0</v>
      </c>
      <c r="BU415" s="11">
        <f>Tabelle5897112140[[#This Row],[Mindestauslastung durch]]*Tabelle5897112140[[#This Row],[installierte Leistung MW durch]]</f>
        <v>0</v>
      </c>
      <c r="BV415" s="19">
        <f>Tabelle5897112140[[#This Row],[Mindestauslastung max]]*Tabelle5897112140[[#This Row],[installierte Leistung MW max]]</f>
        <v>0</v>
      </c>
      <c r="BW415" s="9">
        <v>0</v>
      </c>
      <c r="BX415" s="9">
        <v>0</v>
      </c>
      <c r="BY415" s="9">
        <v>0</v>
      </c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39">
        <v>0.80674255691768837</v>
      </c>
      <c r="DC415" s="39">
        <v>0.84806340134246028</v>
      </c>
      <c r="DD415" s="39">
        <v>0.89267564966313762</v>
      </c>
      <c r="DE415" s="11">
        <f>Tabelle5897112140[[#This Row],[Durchschnittsauslastung min]]*Tabelle5897112140[[#This Row],[installierte Leistung MW min]]</f>
        <v>677.15550000000019</v>
      </c>
      <c r="DF415" s="11">
        <f>Tabelle5897112140[[#This Row],[Durchschnittsauslastung durch]]*Tabelle5897112140[[#This Row],[installierte Leistung MW durch]]</f>
        <v>765.64859999999999</v>
      </c>
      <c r="DG415" s="46">
        <f>Tabelle5897112140[[#This Row],[Durchschnittsauslastung max]]*Tabelle5897112140[[#This Row],[installierte Leistung MW max]]</f>
        <v>862.56569999999999</v>
      </c>
      <c r="DH415" s="46">
        <f>Tabelle5897112140[[#This Row],[Maximalauslastung min]]*Tabelle5897112140[[#This Row],[installierte Leistung MW min]]</f>
        <v>789.00780000000009</v>
      </c>
      <c r="DI415" s="46">
        <f>Tabelle5897112140[[#This Row],[Maximalauslastung durch]]*Tabelle5897112140[[#This Row],[installierte Leistung MW durch]]</f>
        <v>857.6790000000002</v>
      </c>
      <c r="DJ415" s="11">
        <f>Tabelle5897112140[[#This Row],[Maximalauslastung max]]*Tabelle5897112140[[#This Row],[installierte Leistung MW durch]]</f>
        <v>866.70720000000017</v>
      </c>
      <c r="DK415" s="9">
        <v>0.94</v>
      </c>
      <c r="DL415" s="9">
        <v>0.95000000000000018</v>
      </c>
      <c r="DM415" s="9">
        <v>0.96000000000000019</v>
      </c>
      <c r="DN415" s="11">
        <v>902.82</v>
      </c>
      <c r="DO415" s="11">
        <v>839.37000000000012</v>
      </c>
      <c r="DP415" s="11">
        <v>966.27</v>
      </c>
      <c r="DQ415" s="1">
        <v>0.20784173478655765</v>
      </c>
      <c r="DR415" s="1">
        <v>8.3333333333333332E-3</v>
      </c>
      <c r="DS415" s="54">
        <v>0.5</v>
      </c>
      <c r="DT415" s="1">
        <v>0.77166666666666683</v>
      </c>
      <c r="DU415" s="1">
        <v>8.3333333333333329E-2</v>
      </c>
      <c r="DV415" s="54">
        <v>3</v>
      </c>
      <c r="DW415" s="1">
        <v>0.7355619060277796</v>
      </c>
      <c r="DX415" s="1">
        <v>0.5</v>
      </c>
      <c r="DY415" s="54">
        <v>2.4</v>
      </c>
      <c r="DZ415" s="1">
        <v>2.4323918389047652</v>
      </c>
      <c r="EA415" s="1">
        <v>1.6</v>
      </c>
      <c r="EB415" s="54">
        <v>5.8999999999999995</v>
      </c>
      <c r="EC415" s="1">
        <v>2.9292217717817506</v>
      </c>
      <c r="ED415" s="1">
        <v>2.3302977232924693</v>
      </c>
      <c r="EE415" s="54">
        <v>2.521077959576516</v>
      </c>
      <c r="EF415" s="1">
        <v>2.4323918389047652</v>
      </c>
      <c r="EG415" s="1">
        <v>1.6</v>
      </c>
      <c r="EH415" s="54">
        <v>5.8999999999999995</v>
      </c>
      <c r="EJ415" s="1" t="s">
        <v>646</v>
      </c>
      <c r="EL415" s="1">
        <v>365</v>
      </c>
      <c r="EM415" s="1">
        <v>328</v>
      </c>
      <c r="EN415" s="1">
        <v>402</v>
      </c>
      <c r="EO415" s="1">
        <v>0</v>
      </c>
      <c r="EP415" s="1">
        <v>0</v>
      </c>
      <c r="EQ415" s="1">
        <v>0</v>
      </c>
      <c r="ER415" s="1">
        <v>50</v>
      </c>
      <c r="ES415" s="1">
        <v>20</v>
      </c>
      <c r="ET415" s="1">
        <v>80.000000000000014</v>
      </c>
      <c r="EU415" s="1">
        <v>2.3597240431160813</v>
      </c>
      <c r="EV415" s="19">
        <v>0.84629128411965526</v>
      </c>
      <c r="EW415" s="19">
        <v>3.8733825259330557</v>
      </c>
      <c r="EX415" s="19">
        <v>237.85405057419413</v>
      </c>
      <c r="EY415" s="8">
        <v>95.526190097118288</v>
      </c>
      <c r="EZ415" s="8">
        <v>377.01363976628659</v>
      </c>
      <c r="FA415" s="8">
        <v>458.71219673306467</v>
      </c>
      <c r="FB415" s="8">
        <v>392.56841621114825</v>
      </c>
      <c r="FC415" s="8">
        <v>521.56308027337866</v>
      </c>
      <c r="FD415" s="8">
        <v>0</v>
      </c>
      <c r="FE415" s="8">
        <v>0</v>
      </c>
      <c r="FF415" s="8">
        <v>30.303030303030305</v>
      </c>
      <c r="FG415" s="8">
        <v>44.444444444444443</v>
      </c>
      <c r="FH415" s="8">
        <v>24.242424242424242</v>
      </c>
      <c r="FI415" s="8">
        <v>64.646464646464651</v>
      </c>
      <c r="FJ415" s="8">
        <v>24.076150620312248</v>
      </c>
      <c r="FK415" s="8">
        <v>22.128995736701516</v>
      </c>
      <c r="FL415" s="8">
        <v>26.032898766296267</v>
      </c>
      <c r="FO415" s="1">
        <v>220</v>
      </c>
      <c r="FP415" s="1">
        <v>220</v>
      </c>
      <c r="FR415" s="13" t="s">
        <v>643</v>
      </c>
      <c r="FS415" s="1" t="s">
        <v>643</v>
      </c>
      <c r="FT415" s="13">
        <v>182</v>
      </c>
      <c r="FU415" s="13"/>
      <c r="FV415" s="13">
        <v>182</v>
      </c>
      <c r="FW415" s="13">
        <v>182</v>
      </c>
      <c r="FX415" s="1">
        <v>182</v>
      </c>
      <c r="FY415" s="13" t="s">
        <v>642</v>
      </c>
      <c r="FZ415" s="13" t="s">
        <v>641</v>
      </c>
      <c r="GA415" s="1">
        <v>202</v>
      </c>
      <c r="GB415" s="1">
        <v>202</v>
      </c>
      <c r="GD415" s="1" t="s">
        <v>645</v>
      </c>
      <c r="GE415" s="1">
        <v>211</v>
      </c>
      <c r="GF415" s="1">
        <v>214</v>
      </c>
      <c r="GG415" s="1">
        <v>220</v>
      </c>
      <c r="GH415" s="1">
        <v>214</v>
      </c>
      <c r="GK415" s="1" t="s">
        <v>644</v>
      </c>
    </row>
    <row r="416" spans="1:193" ht="12.75" customHeight="1" x14ac:dyDescent="0.25">
      <c r="A416" s="1" t="s">
        <v>77</v>
      </c>
      <c r="D416" s="1" t="s">
        <v>580</v>
      </c>
      <c r="E416" s="1" t="s">
        <v>126</v>
      </c>
      <c r="F416" s="1">
        <v>1</v>
      </c>
      <c r="G416" s="1">
        <v>2045</v>
      </c>
      <c r="H416" s="1">
        <v>1</v>
      </c>
      <c r="I416" s="1">
        <v>1</v>
      </c>
      <c r="J416" s="1">
        <v>0</v>
      </c>
      <c r="K416" s="11">
        <v>537.65589164785558</v>
      </c>
      <c r="L416" s="11">
        <v>797.01328298000158</v>
      </c>
      <c r="M416" s="11">
        <v>1050.6154717435834</v>
      </c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9"/>
      <c r="BQ416" s="11">
        <v>28.876659142212191</v>
      </c>
      <c r="BR416" s="11">
        <v>96.237998455068208</v>
      </c>
      <c r="BS416" s="11">
        <v>161.94200265092178</v>
      </c>
      <c r="BT416" s="11">
        <f>Tabelle5897112140[[#This Row],[Mindestauslastung min]]*Tabelle5897112140[[#This Row],[installierte Leistung MW min]]</f>
        <v>0</v>
      </c>
      <c r="BU416" s="11">
        <f>Tabelle5897112140[[#This Row],[Mindestauslastung durch]]*Tabelle5897112140[[#This Row],[installierte Leistung MW durch]]</f>
        <v>0</v>
      </c>
      <c r="BV416" s="19">
        <f>Tabelle5897112140[[#This Row],[Mindestauslastung max]]*Tabelle5897112140[[#This Row],[installierte Leistung MW max]]</f>
        <v>0</v>
      </c>
      <c r="BW416" s="9">
        <v>0</v>
      </c>
      <c r="BX416" s="9">
        <v>0</v>
      </c>
      <c r="BY416" s="9">
        <v>0</v>
      </c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39">
        <v>0.80688487584650104</v>
      </c>
      <c r="DC416" s="39">
        <v>0.84814436529053294</v>
      </c>
      <c r="DD416" s="39">
        <v>0.89256818090533008</v>
      </c>
      <c r="DE416" s="11">
        <f>Tabelle5897112140[[#This Row],[Durchschnittsauslastung min]]*Tabelle5897112140[[#This Row],[installierte Leistung MW min]]</f>
        <v>700.60199999999986</v>
      </c>
      <c r="DF416" s="11">
        <f>Tabelle5897112140[[#This Row],[Durchschnittsauslastung durch]]*Tabelle5897112140[[#This Row],[installierte Leistung MW durch]]</f>
        <v>790.53839999999991</v>
      </c>
      <c r="DG416" s="46">
        <f>Tabelle5897112140[[#This Row],[Durchschnittsauslastung max]]*Tabelle5897112140[[#This Row],[installierte Leistung MW max]]</f>
        <v>888.89080000000013</v>
      </c>
      <c r="DH416" s="46">
        <f>Tabelle5897112140[[#This Row],[Maximalauslastung min]]*Tabelle5897112140[[#This Row],[installierte Leistung MW min]]</f>
        <v>816.18319999999994</v>
      </c>
      <c r="DI416" s="46">
        <f>Tabelle5897112140[[#This Row],[Maximalauslastung durch]]*Tabelle5897112140[[#This Row],[installierte Leistung MW durch]]</f>
        <v>885.47599999999977</v>
      </c>
      <c r="DJ416" s="11">
        <f>Tabelle5897112140[[#This Row],[Maximalauslastung max]]*Tabelle5897112140[[#This Row],[installierte Leistung MW durch]]</f>
        <v>894.79679999999985</v>
      </c>
      <c r="DK416" s="9">
        <v>0.94</v>
      </c>
      <c r="DL416" s="9">
        <v>0.94999999999999984</v>
      </c>
      <c r="DM416" s="9">
        <v>0.96</v>
      </c>
      <c r="DN416" s="11">
        <v>932.07999999999993</v>
      </c>
      <c r="DO416" s="11">
        <v>868.28</v>
      </c>
      <c r="DP416" s="11">
        <v>995.88</v>
      </c>
      <c r="DQ416" s="1">
        <v>0.20742679455268498</v>
      </c>
      <c r="DR416" s="1">
        <v>8.3333333333333332E-3</v>
      </c>
      <c r="DS416" s="54">
        <v>0.5</v>
      </c>
      <c r="DT416" s="1">
        <v>0.77166666666666672</v>
      </c>
      <c r="DU416" s="1">
        <v>8.3333333333333329E-2</v>
      </c>
      <c r="DV416" s="54">
        <v>3</v>
      </c>
      <c r="DW416" s="1">
        <v>0.72989442966268991</v>
      </c>
      <c r="DX416" s="1">
        <v>0.5</v>
      </c>
      <c r="DY416" s="54">
        <v>2.4</v>
      </c>
      <c r="DZ416" s="1">
        <v>2.42267616513604</v>
      </c>
      <c r="EA416" s="1">
        <v>1.6</v>
      </c>
      <c r="EB416" s="54">
        <v>5.8999999999999995</v>
      </c>
      <c r="EC416" s="1">
        <v>2.9154579006093897</v>
      </c>
      <c r="ED416" s="1">
        <v>2.324604966139955</v>
      </c>
      <c r="EE416" s="54">
        <v>2.5081817086395954</v>
      </c>
      <c r="EF416" s="1">
        <v>2.42267616513604</v>
      </c>
      <c r="EG416" s="1">
        <v>1.6</v>
      </c>
      <c r="EH416" s="54">
        <v>5.8999999999999995</v>
      </c>
      <c r="EJ416" s="1" t="s">
        <v>646</v>
      </c>
      <c r="EL416" s="1">
        <v>639</v>
      </c>
      <c r="EM416" s="1">
        <v>575</v>
      </c>
      <c r="EN416" s="1">
        <v>703</v>
      </c>
      <c r="EO416" s="1">
        <v>0</v>
      </c>
      <c r="EP416" s="1">
        <v>0</v>
      </c>
      <c r="EQ416" s="1">
        <v>0</v>
      </c>
      <c r="ER416" s="1">
        <v>50</v>
      </c>
      <c r="ES416" s="1">
        <v>20</v>
      </c>
      <c r="ET416" s="1">
        <v>80</v>
      </c>
      <c r="EU416" s="1">
        <v>2.3598876066475416</v>
      </c>
      <c r="EV416" s="19">
        <v>0.84638712178215547</v>
      </c>
      <c r="EW416" s="19">
        <v>3.873599634534687</v>
      </c>
      <c r="EX416" s="19">
        <v>238.46741381716922</v>
      </c>
      <c r="EY416" s="8">
        <v>95.765784253368906</v>
      </c>
      <c r="EZ416" s="8">
        <v>378.0991827744449</v>
      </c>
      <c r="FA416" s="8">
        <v>459.00252200140619</v>
      </c>
      <c r="FB416" s="8">
        <v>392.6283147502109</v>
      </c>
      <c r="FC416" s="8">
        <v>522.19812293315124</v>
      </c>
      <c r="FD416" s="8">
        <v>0</v>
      </c>
      <c r="FE416" s="8">
        <v>0</v>
      </c>
      <c r="FF416" s="8">
        <v>30.303030303030305</v>
      </c>
      <c r="FG416" s="8">
        <v>44.444444444444436</v>
      </c>
      <c r="FH416" s="8">
        <v>24.242424242424242</v>
      </c>
      <c r="FI416" s="8">
        <v>64.646464646464651</v>
      </c>
      <c r="FJ416" s="8">
        <v>24.083102070399299</v>
      </c>
      <c r="FK416" s="8">
        <v>22.133068837357776</v>
      </c>
      <c r="FL416" s="8">
        <v>26.042125881865612</v>
      </c>
      <c r="FO416" s="1">
        <v>220</v>
      </c>
      <c r="FP416" s="1">
        <v>220</v>
      </c>
      <c r="FR416" s="13" t="s">
        <v>643</v>
      </c>
      <c r="FS416" s="1" t="s">
        <v>643</v>
      </c>
      <c r="FT416" s="13">
        <v>182</v>
      </c>
      <c r="FU416" s="13"/>
      <c r="FV416" s="13">
        <v>182</v>
      </c>
      <c r="FW416" s="13">
        <v>182</v>
      </c>
      <c r="FX416" s="1">
        <v>182</v>
      </c>
      <c r="FY416" s="13" t="s">
        <v>642</v>
      </c>
      <c r="FZ416" s="13" t="s">
        <v>641</v>
      </c>
      <c r="GA416" s="1">
        <v>202</v>
      </c>
      <c r="GB416" s="1">
        <v>202</v>
      </c>
      <c r="GD416" s="1" t="s">
        <v>645</v>
      </c>
      <c r="GE416" s="1">
        <v>211</v>
      </c>
      <c r="GF416" s="1">
        <v>214</v>
      </c>
      <c r="GG416" s="1">
        <v>220</v>
      </c>
      <c r="GH416" s="1">
        <v>214</v>
      </c>
      <c r="GK416" s="1" t="s">
        <v>644</v>
      </c>
    </row>
    <row r="417" spans="1:193" ht="12.75" customHeight="1" x14ac:dyDescent="0.25">
      <c r="A417" s="1" t="s">
        <v>77</v>
      </c>
      <c r="D417" s="1" t="s">
        <v>580</v>
      </c>
      <c r="E417" s="1" t="s">
        <v>126</v>
      </c>
      <c r="F417" s="1">
        <v>1</v>
      </c>
      <c r="G417" s="1">
        <v>2050</v>
      </c>
      <c r="H417" s="1">
        <v>1</v>
      </c>
      <c r="I417" s="1">
        <v>1</v>
      </c>
      <c r="J417" s="1">
        <v>0</v>
      </c>
      <c r="K417" s="11">
        <v>556.45642271982524</v>
      </c>
      <c r="L417" s="11">
        <v>824.34708136559379</v>
      </c>
      <c r="M417" s="11">
        <v>1085.963667612556</v>
      </c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9"/>
      <c r="BQ417" s="11">
        <v>29.886406335335881</v>
      </c>
      <c r="BR417" s="11">
        <v>99.538508124076799</v>
      </c>
      <c r="BS417" s="11">
        <v>167.39057806512008</v>
      </c>
      <c r="BT417" s="11">
        <f>Tabelle5897112140[[#This Row],[Mindestauslastung min]]*Tabelle5897112140[[#This Row],[installierte Leistung MW min]]</f>
        <v>0</v>
      </c>
      <c r="BU417" s="11">
        <f>Tabelle5897112140[[#This Row],[Mindestauslastung durch]]*Tabelle5897112140[[#This Row],[installierte Leistung MW durch]]</f>
        <v>0</v>
      </c>
      <c r="BV417" s="19">
        <f>Tabelle5897112140[[#This Row],[Mindestauslastung max]]*Tabelle5897112140[[#This Row],[installierte Leistung MW max]]</f>
        <v>0</v>
      </c>
      <c r="BW417" s="9">
        <v>0</v>
      </c>
      <c r="BX417" s="9">
        <v>0</v>
      </c>
      <c r="BY417" s="9">
        <v>0</v>
      </c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39">
        <v>0.80701802293828495</v>
      </c>
      <c r="DC417" s="39">
        <v>0.84822040069070259</v>
      </c>
      <c r="DD417" s="39">
        <v>0.89246691825371283</v>
      </c>
      <c r="DE417" s="11">
        <f>Tabelle5897112140[[#This Row],[Durchschnittsauslastung min]]*Tabelle5897112140[[#This Row],[installierte Leistung MW min]]</f>
        <v>724.04849999999988</v>
      </c>
      <c r="DF417" s="11">
        <f>Tabelle5897112140[[#This Row],[Durchschnittsauslastung durch]]*Tabelle5897112140[[#This Row],[installierte Leistung MW durch]]</f>
        <v>815.42819999999995</v>
      </c>
      <c r="DG417" s="46">
        <f>Tabelle5897112140[[#This Row],[Durchschnittsauslastung max]]*Tabelle5897112140[[#This Row],[installierte Leistung MW max]]</f>
        <v>915.21589999999992</v>
      </c>
      <c r="DH417" s="46">
        <f>Tabelle5897112140[[#This Row],[Maximalauslastung min]]*Tabelle5897112140[[#This Row],[installierte Leistung MW min]]</f>
        <v>843.35860000000002</v>
      </c>
      <c r="DI417" s="46">
        <f>Tabelle5897112140[[#This Row],[Maximalauslastung durch]]*Tabelle5897112140[[#This Row],[installierte Leistung MW durch]]</f>
        <v>913.27299999999991</v>
      </c>
      <c r="DJ417" s="11">
        <f>Tabelle5897112140[[#This Row],[Maximalauslastung max]]*Tabelle5897112140[[#This Row],[installierte Leistung MW durch]]</f>
        <v>922.88639999999987</v>
      </c>
      <c r="DK417" s="9">
        <v>0.94</v>
      </c>
      <c r="DL417" s="9">
        <v>0.95</v>
      </c>
      <c r="DM417" s="9">
        <v>0.96</v>
      </c>
      <c r="DN417" s="11">
        <v>961.33999999999992</v>
      </c>
      <c r="DO417" s="11">
        <v>897.19</v>
      </c>
      <c r="DP417" s="11">
        <v>1025.49</v>
      </c>
      <c r="DQ417" s="1">
        <v>0.20703711312681602</v>
      </c>
      <c r="DR417" s="1">
        <v>8.3333333333333332E-3</v>
      </c>
      <c r="DS417" s="54">
        <v>0.5</v>
      </c>
      <c r="DT417" s="1">
        <v>0.77166666666666672</v>
      </c>
      <c r="DU417" s="1">
        <v>8.3333333333333329E-2</v>
      </c>
      <c r="DV417" s="54">
        <v>3</v>
      </c>
      <c r="DW417" s="1">
        <v>0.72457195165082078</v>
      </c>
      <c r="DX417" s="1">
        <v>0.5</v>
      </c>
      <c r="DY417" s="54">
        <v>2.4</v>
      </c>
      <c r="DZ417" s="1">
        <v>2.4135519171156927</v>
      </c>
      <c r="EA417" s="1">
        <v>1.6</v>
      </c>
      <c r="EB417" s="54">
        <v>5.8999999999999995</v>
      </c>
      <c r="EC417" s="1">
        <v>2.9025318825805648</v>
      </c>
      <c r="ED417" s="1">
        <v>2.3192790824685967</v>
      </c>
      <c r="EE417" s="54">
        <v>2.4960301904455431</v>
      </c>
      <c r="EF417" s="1">
        <v>2.4135519171156927</v>
      </c>
      <c r="EG417" s="1">
        <v>1.6</v>
      </c>
      <c r="EH417" s="54">
        <v>5.8999999999999995</v>
      </c>
      <c r="EJ417" s="1" t="s">
        <v>646</v>
      </c>
      <c r="EL417" s="1">
        <v>365</v>
      </c>
      <c r="EM417" s="1">
        <v>328</v>
      </c>
      <c r="EN417" s="1">
        <v>402</v>
      </c>
      <c r="EO417" s="1">
        <v>0</v>
      </c>
      <c r="EP417" s="1">
        <v>0</v>
      </c>
      <c r="EQ417" s="1">
        <v>0</v>
      </c>
      <c r="ER417" s="1">
        <v>50</v>
      </c>
      <c r="ES417" s="1">
        <v>20</v>
      </c>
      <c r="ET417" s="1">
        <v>80</v>
      </c>
      <c r="EU417" s="1">
        <v>2.3600412135165709</v>
      </c>
      <c r="EV417" s="19">
        <v>0.84647678312342423</v>
      </c>
      <c r="EW417" s="19">
        <v>3.8738042055480544</v>
      </c>
      <c r="EX417" s="19">
        <v>239.04343957602953</v>
      </c>
      <c r="EY417" s="8">
        <v>95.989937606540551</v>
      </c>
      <c r="EZ417" s="8">
        <v>379.12203784128428</v>
      </c>
      <c r="FA417" s="8">
        <v>459.27517419393348</v>
      </c>
      <c r="FB417" s="8">
        <v>392.68435308850383</v>
      </c>
      <c r="FC417" s="8">
        <v>522.79649314725236</v>
      </c>
      <c r="FD417" s="8">
        <v>0</v>
      </c>
      <c r="FE417" s="8">
        <v>0</v>
      </c>
      <c r="FF417" s="8">
        <v>30.303030303030305</v>
      </c>
      <c r="FG417" s="8">
        <v>44.444444444444443</v>
      </c>
      <c r="FH417" s="8">
        <v>24.242424242424242</v>
      </c>
      <c r="FI417" s="8">
        <v>64.646464646464651</v>
      </c>
      <c r="FJ417" s="8">
        <v>24.089630362333047</v>
      </c>
      <c r="FK417" s="8">
        <v>22.136879444361693</v>
      </c>
      <c r="FL417" s="8">
        <v>26.050820149933745</v>
      </c>
      <c r="FO417" s="1">
        <v>220</v>
      </c>
      <c r="FP417" s="1">
        <v>220</v>
      </c>
      <c r="FR417" s="13" t="s">
        <v>643</v>
      </c>
      <c r="FS417" s="1" t="s">
        <v>643</v>
      </c>
      <c r="FT417" s="13">
        <v>182</v>
      </c>
      <c r="FU417" s="13"/>
      <c r="FV417" s="13">
        <v>182</v>
      </c>
      <c r="FW417" s="13">
        <v>182</v>
      </c>
      <c r="FX417" s="1">
        <v>182</v>
      </c>
      <c r="FY417" s="13" t="s">
        <v>642</v>
      </c>
      <c r="FZ417" s="13" t="s">
        <v>641</v>
      </c>
      <c r="GA417" s="1">
        <v>202</v>
      </c>
      <c r="GB417" s="1">
        <v>202</v>
      </c>
      <c r="GD417" s="1" t="s">
        <v>645</v>
      </c>
      <c r="GE417" s="1">
        <v>211</v>
      </c>
      <c r="GF417" s="1">
        <v>214</v>
      </c>
      <c r="GG417" s="1">
        <v>220</v>
      </c>
      <c r="GH417" s="1">
        <v>214</v>
      </c>
      <c r="GK417" s="1" t="s">
        <v>644</v>
      </c>
    </row>
    <row r="418" spans="1:193" ht="12.75" customHeight="1" x14ac:dyDescent="0.25">
      <c r="A418" s="1" t="s">
        <v>938</v>
      </c>
      <c r="D418" s="1" t="s">
        <v>582</v>
      </c>
      <c r="E418" s="1" t="s">
        <v>126</v>
      </c>
      <c r="F418" s="1">
        <v>1</v>
      </c>
      <c r="G418" s="1">
        <v>2015</v>
      </c>
      <c r="H418" s="1">
        <v>1</v>
      </c>
      <c r="I418" s="1">
        <v>1</v>
      </c>
      <c r="J418" s="1">
        <v>0</v>
      </c>
      <c r="K418" s="11">
        <v>258</v>
      </c>
      <c r="L418" s="11">
        <v>341</v>
      </c>
      <c r="M418" s="11">
        <v>424</v>
      </c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9"/>
      <c r="BQ418" s="11">
        <v>22</v>
      </c>
      <c r="BR418" s="11">
        <v>62</v>
      </c>
      <c r="BS418" s="11">
        <v>102</v>
      </c>
      <c r="BT418" s="11">
        <f>Tabelle5897112140[[#This Row],[Mindestauslastung min]]*Tabelle5897112140[[#This Row],[installierte Leistung MW min]]</f>
        <v>0</v>
      </c>
      <c r="BU418" s="11">
        <f>Tabelle5897112140[[#This Row],[Mindestauslastung durch]]*Tabelle5897112140[[#This Row],[installierte Leistung MW durch]]</f>
        <v>0</v>
      </c>
      <c r="BV418" s="19">
        <f>Tabelle5897112140[[#This Row],[Mindestauslastung max]]*Tabelle5897112140[[#This Row],[installierte Leistung MW max]]</f>
        <v>0</v>
      </c>
      <c r="BW418" s="9">
        <v>0</v>
      </c>
      <c r="BX418" s="9">
        <v>0</v>
      </c>
      <c r="BY418" s="9">
        <v>0</v>
      </c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39">
        <v>0.66094594594594591</v>
      </c>
      <c r="DC418" s="39">
        <v>0.70128691983122371</v>
      </c>
      <c r="DD418" s="39">
        <v>0.7415051903114187</v>
      </c>
      <c r="DE418" s="11">
        <f>Tabelle5897112140[[#This Row],[Durchschnittsauslastung min]]*Tabelle5897112140[[#This Row],[installierte Leistung MW min]]</f>
        <v>244.54999999999998</v>
      </c>
      <c r="DF418" s="11">
        <f>Tabelle5897112140[[#This Row],[Durchschnittsauslastung durch]]*Tabelle5897112140[[#This Row],[installierte Leistung MW durch]]</f>
        <v>332.41</v>
      </c>
      <c r="DG418" s="46">
        <f>Tabelle5897112140[[#This Row],[Durchschnittsauslastung max]]*Tabelle5897112140[[#This Row],[installierte Leistung MW max]]</f>
        <v>428.59000000000003</v>
      </c>
      <c r="DH418" s="46">
        <f>Tabelle5897112140[[#This Row],[Maximalauslastung min]]*Tabelle5897112140[[#This Row],[installierte Leistung MW min]]</f>
        <v>296.34999999999997</v>
      </c>
      <c r="DI418" s="46">
        <f>Tabelle5897112140[[#This Row],[Maximalauslastung durch]]*Tabelle5897112140[[#This Row],[installierte Leistung MW durch]]</f>
        <v>392.16</v>
      </c>
      <c r="DJ418" s="11">
        <f>Tabelle5897112140[[#This Row],[Maximalauslastung max]]*Tabelle5897112140[[#This Row],[installierte Leistung MW durch]]</f>
        <v>404.59754325259519</v>
      </c>
      <c r="DK418" s="9">
        <v>0.80094594594594581</v>
      </c>
      <c r="DL418" s="9">
        <v>0.82734177215189875</v>
      </c>
      <c r="DM418" s="9">
        <v>0.85358131487889277</v>
      </c>
      <c r="DN418" s="11">
        <v>474</v>
      </c>
      <c r="DO418" s="11">
        <v>370</v>
      </c>
      <c r="DP418" s="11">
        <v>578</v>
      </c>
      <c r="DQ418" s="1">
        <v>0.16666666666666663</v>
      </c>
      <c r="DR418" s="1">
        <v>8.3333333333333329E-2</v>
      </c>
      <c r="DS418" s="54">
        <v>0.25</v>
      </c>
      <c r="DT418" s="1">
        <v>0.27083333333333331</v>
      </c>
      <c r="DU418" s="1">
        <v>8.3333333333333329E-2</v>
      </c>
      <c r="DV418" s="54">
        <v>0.5</v>
      </c>
      <c r="DW418" s="1">
        <v>9.9499999999999993</v>
      </c>
      <c r="DX418" s="1">
        <v>4</v>
      </c>
      <c r="DY418" s="54">
        <v>16.399999999999999</v>
      </c>
      <c r="DZ418" s="1">
        <v>13.600000000000001</v>
      </c>
      <c r="EA418" s="1">
        <v>4.8</v>
      </c>
      <c r="EB418" s="54">
        <v>24.900000000000002</v>
      </c>
      <c r="EC418" s="1">
        <v>21.4</v>
      </c>
      <c r="ED418" s="1">
        <v>21.4</v>
      </c>
      <c r="EE418" s="54">
        <v>21.4</v>
      </c>
      <c r="EF418" s="1">
        <v>13.600000000000001</v>
      </c>
      <c r="EG418" s="1">
        <v>4.8</v>
      </c>
      <c r="EH418" s="54">
        <v>24.900000000000002</v>
      </c>
      <c r="EJ418" s="1" t="s">
        <v>648</v>
      </c>
      <c r="EL418" s="1">
        <v>100</v>
      </c>
      <c r="EM418" s="1">
        <v>50</v>
      </c>
      <c r="EN418" s="1">
        <v>150</v>
      </c>
      <c r="EO418" s="1">
        <v>0</v>
      </c>
      <c r="EP418" s="1">
        <v>0</v>
      </c>
      <c r="EQ418" s="1">
        <v>0</v>
      </c>
      <c r="ER418" s="1">
        <v>100</v>
      </c>
      <c r="ES418" s="1">
        <v>50</v>
      </c>
      <c r="ET418" s="1">
        <v>150</v>
      </c>
      <c r="EU418" s="1">
        <v>1.5151515151515151</v>
      </c>
      <c r="EV418" s="19">
        <v>0.50505050505050508</v>
      </c>
      <c r="EW418" s="19">
        <v>2.5252525252525251</v>
      </c>
      <c r="EX418" s="19">
        <v>202.02020202020202</v>
      </c>
      <c r="EY418" s="8">
        <v>101.01010101010101</v>
      </c>
      <c r="EZ418" s="8">
        <v>303.03030303030306</v>
      </c>
      <c r="FA418" s="8">
        <v>491.91919191919192</v>
      </c>
      <c r="FB418" s="8">
        <v>475.75757575757575</v>
      </c>
      <c r="FC418" s="8">
        <v>508.08080808080808</v>
      </c>
      <c r="FD418" s="8">
        <v>45.454545454545453</v>
      </c>
      <c r="FE418" s="8">
        <v>29.292929292929294</v>
      </c>
      <c r="FF418" s="8">
        <v>61.616161616161627</v>
      </c>
      <c r="FG418" s="8">
        <v>93.939393939393938</v>
      </c>
      <c r="FH418" s="8">
        <v>60.606060606060609</v>
      </c>
      <c r="FI418" s="8">
        <v>127.27272727272729</v>
      </c>
      <c r="FJ418" s="8">
        <v>19.292929292929294</v>
      </c>
      <c r="FK418" s="8">
        <v>16.262626262626263</v>
      </c>
      <c r="FL418" s="8">
        <v>22.323232323232325</v>
      </c>
      <c r="FO418" s="1">
        <v>220</v>
      </c>
      <c r="FP418" s="1">
        <v>220</v>
      </c>
      <c r="FR418" s="13" t="s">
        <v>643</v>
      </c>
      <c r="FS418" s="1" t="s">
        <v>643</v>
      </c>
      <c r="FT418" s="13">
        <v>182</v>
      </c>
      <c r="FU418" s="13"/>
      <c r="FV418" s="13">
        <v>182</v>
      </c>
      <c r="FW418" s="13">
        <v>182</v>
      </c>
      <c r="FX418" s="1">
        <v>182</v>
      </c>
      <c r="FY418" s="13" t="s">
        <v>642</v>
      </c>
      <c r="FZ418" s="13" t="s">
        <v>641</v>
      </c>
      <c r="GA418" s="1">
        <v>202</v>
      </c>
      <c r="GB418" s="1">
        <v>202</v>
      </c>
      <c r="GD418" s="1" t="s">
        <v>645</v>
      </c>
      <c r="GE418" s="1">
        <v>211</v>
      </c>
      <c r="GF418" s="1">
        <v>214</v>
      </c>
      <c r="GG418" s="1">
        <v>220</v>
      </c>
      <c r="GH418" s="1">
        <v>214</v>
      </c>
      <c r="GK418" s="1" t="s">
        <v>644</v>
      </c>
    </row>
    <row r="419" spans="1:193" ht="12.75" customHeight="1" x14ac:dyDescent="0.25">
      <c r="A419" s="1" t="s">
        <v>938</v>
      </c>
      <c r="D419" s="1" t="s">
        <v>582</v>
      </c>
      <c r="E419" s="1" t="s">
        <v>126</v>
      </c>
      <c r="F419" s="1">
        <v>1</v>
      </c>
      <c r="G419" s="1">
        <v>2020</v>
      </c>
      <c r="H419" s="1">
        <v>1</v>
      </c>
      <c r="I419" s="1">
        <v>1</v>
      </c>
      <c r="J419" s="1">
        <v>0</v>
      </c>
      <c r="K419" s="11">
        <v>252.84</v>
      </c>
      <c r="L419" s="11">
        <v>334.18</v>
      </c>
      <c r="M419" s="11">
        <v>415.52</v>
      </c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9"/>
      <c r="BQ419" s="11">
        <v>21.56</v>
      </c>
      <c r="BR419" s="11">
        <v>60.76</v>
      </c>
      <c r="BS419" s="11">
        <v>99.96</v>
      </c>
      <c r="BT419" s="11">
        <f>Tabelle5897112140[[#This Row],[Mindestauslastung min]]*Tabelle5897112140[[#This Row],[installierte Leistung MW min]]</f>
        <v>0</v>
      </c>
      <c r="BU419" s="11">
        <f>Tabelle5897112140[[#This Row],[Mindestauslastung durch]]*Tabelle5897112140[[#This Row],[installierte Leistung MW durch]]</f>
        <v>0</v>
      </c>
      <c r="BV419" s="19">
        <f>Tabelle5897112140[[#This Row],[Mindestauslastung max]]*Tabelle5897112140[[#This Row],[installierte Leistung MW max]]</f>
        <v>0</v>
      </c>
      <c r="BW419" s="9">
        <v>0</v>
      </c>
      <c r="BX419" s="9">
        <v>0</v>
      </c>
      <c r="BY419" s="9">
        <v>0</v>
      </c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39">
        <v>0.66094594594594591</v>
      </c>
      <c r="DC419" s="39">
        <v>0.70128691983122371</v>
      </c>
      <c r="DD419" s="39">
        <v>0.7415051903114187</v>
      </c>
      <c r="DE419" s="11">
        <f>Tabelle5897112140[[#This Row],[Durchschnittsauslastung min]]*Tabelle5897112140[[#This Row],[installierte Leistung MW min]]</f>
        <v>239.65899999999999</v>
      </c>
      <c r="DF419" s="11">
        <f>Tabelle5897112140[[#This Row],[Durchschnittsauslastung durch]]*Tabelle5897112140[[#This Row],[installierte Leistung MW durch]]</f>
        <v>325.76180000000005</v>
      </c>
      <c r="DG419" s="46">
        <f>Tabelle5897112140[[#This Row],[Durchschnittsauslastung max]]*Tabelle5897112140[[#This Row],[installierte Leistung MW max]]</f>
        <v>420.01819999999998</v>
      </c>
      <c r="DH419" s="46">
        <f>Tabelle5897112140[[#This Row],[Maximalauslastung min]]*Tabelle5897112140[[#This Row],[installierte Leistung MW min]]</f>
        <v>290.42299999999994</v>
      </c>
      <c r="DI419" s="46">
        <f>Tabelle5897112140[[#This Row],[Maximalauslastung durch]]*Tabelle5897112140[[#This Row],[installierte Leistung MW durch]]</f>
        <v>384.3168</v>
      </c>
      <c r="DJ419" s="11">
        <f>Tabelle5897112140[[#This Row],[Maximalauslastung max]]*Tabelle5897112140[[#This Row],[installierte Leistung MW durch]]</f>
        <v>396.50559238754323</v>
      </c>
      <c r="DK419" s="9">
        <v>0.80094594594594581</v>
      </c>
      <c r="DL419" s="9">
        <v>0.82734177215189875</v>
      </c>
      <c r="DM419" s="9">
        <v>0.85358131487889277</v>
      </c>
      <c r="DN419" s="11">
        <v>464.52</v>
      </c>
      <c r="DO419" s="11">
        <v>362.6</v>
      </c>
      <c r="DP419" s="11">
        <v>566.43999999999994</v>
      </c>
      <c r="DQ419" s="1">
        <v>0.16666666666666663</v>
      </c>
      <c r="DR419" s="1">
        <v>8.3333333333333329E-2</v>
      </c>
      <c r="DS419" s="54">
        <v>0.25</v>
      </c>
      <c r="DT419" s="1">
        <v>0.27083333333333337</v>
      </c>
      <c r="DU419" s="1">
        <v>8.3333333333333329E-2</v>
      </c>
      <c r="DV419" s="54">
        <v>0.5</v>
      </c>
      <c r="DW419" s="1">
        <v>10.994303797468355</v>
      </c>
      <c r="DX419" s="1">
        <v>4</v>
      </c>
      <c r="DY419" s="54">
        <v>16.399999999999999</v>
      </c>
      <c r="DZ419" s="1">
        <v>15.076793248945149</v>
      </c>
      <c r="EA419" s="1">
        <v>4.8</v>
      </c>
      <c r="EB419" s="54">
        <v>24.900000000000002</v>
      </c>
      <c r="EC419" s="1">
        <v>23.657383966244726</v>
      </c>
      <c r="ED419" s="1">
        <v>15.113513513513514</v>
      </c>
      <c r="EE419" s="54">
        <v>15.053287197231835</v>
      </c>
      <c r="EF419" s="1">
        <v>15.076793248945149</v>
      </c>
      <c r="EG419" s="1">
        <v>4.8</v>
      </c>
      <c r="EH419" s="54">
        <v>24.900000000000002</v>
      </c>
      <c r="EJ419" s="1" t="s">
        <v>648</v>
      </c>
      <c r="EL419" s="1">
        <v>280</v>
      </c>
      <c r="EM419" s="1">
        <v>252</v>
      </c>
      <c r="EN419" s="1">
        <v>308</v>
      </c>
      <c r="EO419" s="1">
        <v>0</v>
      </c>
      <c r="EP419" s="1">
        <v>0</v>
      </c>
      <c r="EQ419" s="1">
        <v>0</v>
      </c>
      <c r="ER419" s="1">
        <v>280</v>
      </c>
      <c r="ES419" s="1">
        <v>252</v>
      </c>
      <c r="ET419" s="1">
        <v>308</v>
      </c>
      <c r="EU419" s="1">
        <v>1.5151515151515151</v>
      </c>
      <c r="EV419" s="19">
        <v>0.50505050505050508</v>
      </c>
      <c r="EW419" s="19">
        <v>2.5252525252525251</v>
      </c>
      <c r="EX419" s="19">
        <v>202.02020202020202</v>
      </c>
      <c r="EY419" s="8">
        <v>101.01010101010101</v>
      </c>
      <c r="EZ419" s="8">
        <v>303.03030303030306</v>
      </c>
      <c r="FA419" s="8">
        <v>491.91919191919192</v>
      </c>
      <c r="FB419" s="8">
        <v>475.75757575757569</v>
      </c>
      <c r="FC419" s="8">
        <v>508.08080808080808</v>
      </c>
      <c r="FD419" s="8">
        <v>45.454545454545453</v>
      </c>
      <c r="FE419" s="8">
        <v>29.292929292929294</v>
      </c>
      <c r="FF419" s="8">
        <v>61.616161616161627</v>
      </c>
      <c r="FG419" s="8">
        <v>93.939393939393938</v>
      </c>
      <c r="FH419" s="8">
        <v>60.606060606060602</v>
      </c>
      <c r="FI419" s="8">
        <v>127.27272727272729</v>
      </c>
      <c r="FJ419" s="8">
        <v>19.292929292929294</v>
      </c>
      <c r="FK419" s="8">
        <v>16.262626262626263</v>
      </c>
      <c r="FL419" s="8">
        <v>22.323232323232325</v>
      </c>
      <c r="FO419" s="1">
        <v>220</v>
      </c>
      <c r="FP419" s="1">
        <v>220</v>
      </c>
      <c r="FR419" s="13" t="s">
        <v>643</v>
      </c>
      <c r="FS419" s="1" t="s">
        <v>643</v>
      </c>
      <c r="FT419" s="13">
        <v>182</v>
      </c>
      <c r="FU419" s="13"/>
      <c r="FV419" s="13">
        <v>182</v>
      </c>
      <c r="FW419" s="13">
        <v>182</v>
      </c>
      <c r="FX419" s="1">
        <v>182</v>
      </c>
      <c r="FY419" s="13" t="s">
        <v>642</v>
      </c>
      <c r="FZ419" s="13" t="s">
        <v>641</v>
      </c>
      <c r="GA419" s="1">
        <v>202</v>
      </c>
      <c r="GB419" s="1">
        <v>202</v>
      </c>
      <c r="GD419" s="1" t="s">
        <v>645</v>
      </c>
      <c r="GE419" s="1">
        <v>211</v>
      </c>
      <c r="GF419" s="1">
        <v>214</v>
      </c>
      <c r="GG419" s="1">
        <v>220</v>
      </c>
      <c r="GH419" s="1">
        <v>214</v>
      </c>
      <c r="GK419" s="1" t="s">
        <v>644</v>
      </c>
    </row>
    <row r="420" spans="1:193" ht="12.75" customHeight="1" x14ac:dyDescent="0.25">
      <c r="A420" s="1" t="s">
        <v>938</v>
      </c>
      <c r="D420" s="1" t="s">
        <v>582</v>
      </c>
      <c r="E420" s="1" t="s">
        <v>126</v>
      </c>
      <c r="F420" s="1">
        <v>1</v>
      </c>
      <c r="G420" s="1">
        <v>2025</v>
      </c>
      <c r="H420" s="1">
        <v>1</v>
      </c>
      <c r="I420" s="1">
        <v>1</v>
      </c>
      <c r="J420" s="1">
        <v>0</v>
      </c>
      <c r="K420" s="11">
        <v>245.1</v>
      </c>
      <c r="L420" s="11">
        <v>323.95000000000005</v>
      </c>
      <c r="M420" s="11">
        <v>402.79999999999995</v>
      </c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9"/>
      <c r="BQ420" s="11">
        <v>20.9</v>
      </c>
      <c r="BR420" s="11">
        <v>58.900000000000013</v>
      </c>
      <c r="BS420" s="11">
        <v>96.899999999999991</v>
      </c>
      <c r="BT420" s="11">
        <f>Tabelle5897112140[[#This Row],[Mindestauslastung min]]*Tabelle5897112140[[#This Row],[installierte Leistung MW min]]</f>
        <v>0</v>
      </c>
      <c r="BU420" s="11">
        <f>Tabelle5897112140[[#This Row],[Mindestauslastung durch]]*Tabelle5897112140[[#This Row],[installierte Leistung MW durch]]</f>
        <v>0</v>
      </c>
      <c r="BV420" s="19">
        <f>Tabelle5897112140[[#This Row],[Mindestauslastung max]]*Tabelle5897112140[[#This Row],[installierte Leistung MW max]]</f>
        <v>0</v>
      </c>
      <c r="BW420" s="9">
        <v>0</v>
      </c>
      <c r="BX420" s="9">
        <v>0</v>
      </c>
      <c r="BY420" s="9">
        <v>0</v>
      </c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39">
        <v>0.66094594594594591</v>
      </c>
      <c r="DC420" s="39">
        <v>0.70128691983122371</v>
      </c>
      <c r="DD420" s="39">
        <v>0.7415051903114187</v>
      </c>
      <c r="DE420" s="11">
        <f>Tabelle5897112140[[#This Row],[Durchschnittsauslastung min]]*Tabelle5897112140[[#This Row],[installierte Leistung MW min]]</f>
        <v>232.32249999999999</v>
      </c>
      <c r="DF420" s="11">
        <f>Tabelle5897112140[[#This Row],[Durchschnittsauslastung durch]]*Tabelle5897112140[[#This Row],[installierte Leistung MW durch]]</f>
        <v>315.78950000000003</v>
      </c>
      <c r="DG420" s="46">
        <f>Tabelle5897112140[[#This Row],[Durchschnittsauslastung max]]*Tabelle5897112140[[#This Row],[installierte Leistung MW max]]</f>
        <v>407.16050000000001</v>
      </c>
      <c r="DH420" s="46">
        <f>Tabelle5897112140[[#This Row],[Maximalauslastung min]]*Tabelle5897112140[[#This Row],[installierte Leistung MW min]]</f>
        <v>281.53249999999997</v>
      </c>
      <c r="DI420" s="46">
        <f>Tabelle5897112140[[#This Row],[Maximalauslastung durch]]*Tabelle5897112140[[#This Row],[installierte Leistung MW durch]]</f>
        <v>372.55199999999996</v>
      </c>
      <c r="DJ420" s="11">
        <f>Tabelle5897112140[[#This Row],[Maximalauslastung max]]*Tabelle5897112140[[#This Row],[installierte Leistung MW durch]]</f>
        <v>384.36766608996533</v>
      </c>
      <c r="DK420" s="9">
        <v>0.80094594594594581</v>
      </c>
      <c r="DL420" s="9">
        <v>0.82734177215189875</v>
      </c>
      <c r="DM420" s="9">
        <v>0.85358131487889266</v>
      </c>
      <c r="DN420" s="11">
        <v>450.29999999999995</v>
      </c>
      <c r="DO420" s="11">
        <v>351.5</v>
      </c>
      <c r="DP420" s="11">
        <v>549.1</v>
      </c>
      <c r="DQ420" s="1">
        <v>0.16666666666666663</v>
      </c>
      <c r="DR420" s="1">
        <v>8.3333333333333329E-2</v>
      </c>
      <c r="DS420" s="54">
        <v>0.25</v>
      </c>
      <c r="DT420" s="1">
        <v>0.27083333333333337</v>
      </c>
      <c r="DU420" s="1">
        <v>8.3333333333333329E-2</v>
      </c>
      <c r="DV420" s="54">
        <v>0.5</v>
      </c>
      <c r="DW420" s="1">
        <v>10.994303797468355</v>
      </c>
      <c r="DX420" s="1">
        <v>4</v>
      </c>
      <c r="DY420" s="54">
        <v>16.399999999999999</v>
      </c>
      <c r="DZ420" s="1">
        <v>15.076793248945149</v>
      </c>
      <c r="EA420" s="1">
        <v>4.8</v>
      </c>
      <c r="EB420" s="54">
        <v>24.900000000000002</v>
      </c>
      <c r="EC420" s="1">
        <v>23.65738396624473</v>
      </c>
      <c r="ED420" s="1">
        <v>15.113513513513514</v>
      </c>
      <c r="EE420" s="54">
        <v>15.053287197231835</v>
      </c>
      <c r="EF420" s="1">
        <v>15.076793248945149</v>
      </c>
      <c r="EG420" s="1">
        <v>4.8</v>
      </c>
      <c r="EH420" s="54">
        <v>24.900000000000002</v>
      </c>
      <c r="EJ420" s="1" t="s">
        <v>648</v>
      </c>
      <c r="EL420" s="1">
        <v>365</v>
      </c>
      <c r="EM420" s="1">
        <v>328</v>
      </c>
      <c r="EN420" s="1">
        <v>402</v>
      </c>
      <c r="EO420" s="1">
        <v>0</v>
      </c>
      <c r="EP420" s="1">
        <v>0</v>
      </c>
      <c r="EQ420" s="1">
        <v>0</v>
      </c>
      <c r="ER420" s="1">
        <v>100</v>
      </c>
      <c r="ES420" s="1">
        <v>50</v>
      </c>
      <c r="ET420" s="1">
        <v>150</v>
      </c>
      <c r="EU420" s="1">
        <v>1.5151515151515151</v>
      </c>
      <c r="EV420" s="19">
        <v>0.50505050505050508</v>
      </c>
      <c r="EW420" s="19">
        <v>2.5252525252525251</v>
      </c>
      <c r="EX420" s="19">
        <v>202.02020202020202</v>
      </c>
      <c r="EY420" s="8">
        <v>101.01010101010101</v>
      </c>
      <c r="EZ420" s="8">
        <v>303.03030303030306</v>
      </c>
      <c r="FA420" s="8">
        <v>491.91919191919197</v>
      </c>
      <c r="FB420" s="8">
        <v>475.75757575757575</v>
      </c>
      <c r="FC420" s="8">
        <v>508.08080808080808</v>
      </c>
      <c r="FD420" s="8">
        <v>45.454545454545453</v>
      </c>
      <c r="FE420" s="8">
        <v>29.292929292929294</v>
      </c>
      <c r="FF420" s="8">
        <v>61.616161616161619</v>
      </c>
      <c r="FG420" s="8">
        <v>93.939393939393938</v>
      </c>
      <c r="FH420" s="8">
        <v>60.606060606060609</v>
      </c>
      <c r="FI420" s="8">
        <v>127.27272727272728</v>
      </c>
      <c r="FJ420" s="8">
        <v>19.292929292929294</v>
      </c>
      <c r="FK420" s="8">
        <v>16.262626262626263</v>
      </c>
      <c r="FL420" s="8">
        <v>22.323232323232325</v>
      </c>
      <c r="FO420" s="1">
        <v>220</v>
      </c>
      <c r="FP420" s="1">
        <v>220</v>
      </c>
      <c r="FR420" s="13" t="s">
        <v>643</v>
      </c>
      <c r="FS420" s="1" t="s">
        <v>643</v>
      </c>
      <c r="FT420" s="13">
        <v>182</v>
      </c>
      <c r="FU420" s="13"/>
      <c r="FV420" s="13">
        <v>182</v>
      </c>
      <c r="FW420" s="13">
        <v>182</v>
      </c>
      <c r="FX420" s="1">
        <v>182</v>
      </c>
      <c r="FY420" s="13" t="s">
        <v>642</v>
      </c>
      <c r="FZ420" s="13" t="s">
        <v>641</v>
      </c>
      <c r="GA420" s="1">
        <v>202</v>
      </c>
      <c r="GB420" s="1">
        <v>202</v>
      </c>
      <c r="GD420" s="1" t="s">
        <v>645</v>
      </c>
      <c r="GE420" s="1">
        <v>211</v>
      </c>
      <c r="GF420" s="1">
        <v>214</v>
      </c>
      <c r="GG420" s="1">
        <v>220</v>
      </c>
      <c r="GH420" s="1">
        <v>214</v>
      </c>
      <c r="GK420" s="1" t="s">
        <v>644</v>
      </c>
    </row>
    <row r="421" spans="1:193" ht="12.75" customHeight="1" x14ac:dyDescent="0.25">
      <c r="A421" s="1" t="s">
        <v>938</v>
      </c>
      <c r="D421" s="1" t="s">
        <v>582</v>
      </c>
      <c r="E421" s="1" t="s">
        <v>126</v>
      </c>
      <c r="F421" s="1">
        <v>1</v>
      </c>
      <c r="G421" s="1">
        <v>2030</v>
      </c>
      <c r="H421" s="1">
        <v>1</v>
      </c>
      <c r="I421" s="1">
        <v>1</v>
      </c>
      <c r="J421" s="1">
        <v>0</v>
      </c>
      <c r="K421" s="11">
        <v>239.94</v>
      </c>
      <c r="L421" s="11">
        <v>317.13</v>
      </c>
      <c r="M421" s="11">
        <v>394.32</v>
      </c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9"/>
      <c r="BQ421" s="11">
        <v>20.459999999999997</v>
      </c>
      <c r="BR421" s="11">
        <v>57.66</v>
      </c>
      <c r="BS421" s="11">
        <v>94.86</v>
      </c>
      <c r="BT421" s="11">
        <f>Tabelle5897112140[[#This Row],[Mindestauslastung min]]*Tabelle5897112140[[#This Row],[installierte Leistung MW min]]</f>
        <v>0</v>
      </c>
      <c r="BU421" s="11">
        <f>Tabelle5897112140[[#This Row],[Mindestauslastung durch]]*Tabelle5897112140[[#This Row],[installierte Leistung MW durch]]</f>
        <v>0</v>
      </c>
      <c r="BV421" s="19">
        <f>Tabelle5897112140[[#This Row],[Mindestauslastung max]]*Tabelle5897112140[[#This Row],[installierte Leistung MW max]]</f>
        <v>0</v>
      </c>
      <c r="BW421" s="9">
        <v>0</v>
      </c>
      <c r="BX421" s="9">
        <v>0</v>
      </c>
      <c r="BY421" s="9">
        <v>0</v>
      </c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39">
        <v>0.66094594594594591</v>
      </c>
      <c r="DC421" s="39">
        <v>0.70128691983122349</v>
      </c>
      <c r="DD421" s="39">
        <v>0.7415051903114187</v>
      </c>
      <c r="DE421" s="11">
        <f>Tabelle5897112140[[#This Row],[Durchschnittsauslastung min]]*Tabelle5897112140[[#This Row],[installierte Leistung MW min]]</f>
        <v>227.4315</v>
      </c>
      <c r="DF421" s="11">
        <f>Tabelle5897112140[[#This Row],[Durchschnittsauslastung durch]]*Tabelle5897112140[[#This Row],[installierte Leistung MW durch]]</f>
        <v>309.1413</v>
      </c>
      <c r="DG421" s="46">
        <f>Tabelle5897112140[[#This Row],[Durchschnittsauslastung max]]*Tabelle5897112140[[#This Row],[installierte Leistung MW max]]</f>
        <v>398.58869999999996</v>
      </c>
      <c r="DH421" s="46">
        <f>Tabelle5897112140[[#This Row],[Maximalauslastung min]]*Tabelle5897112140[[#This Row],[installierte Leistung MW min]]</f>
        <v>275.60549999999995</v>
      </c>
      <c r="DI421" s="46">
        <f>Tabelle5897112140[[#This Row],[Maximalauslastung durch]]*Tabelle5897112140[[#This Row],[installierte Leistung MW durch]]</f>
        <v>364.70880000000005</v>
      </c>
      <c r="DJ421" s="11">
        <f>Tabelle5897112140[[#This Row],[Maximalauslastung max]]*Tabelle5897112140[[#This Row],[installierte Leistung MW durch]]</f>
        <v>376.27571522491354</v>
      </c>
      <c r="DK421" s="9">
        <v>0.80094594594594581</v>
      </c>
      <c r="DL421" s="9">
        <v>0.82734177215189875</v>
      </c>
      <c r="DM421" s="9">
        <v>0.85358131487889277</v>
      </c>
      <c r="DN421" s="11">
        <v>440.82000000000005</v>
      </c>
      <c r="DO421" s="11">
        <v>344.1</v>
      </c>
      <c r="DP421" s="11">
        <v>537.54</v>
      </c>
      <c r="DQ421" s="1">
        <v>0.16666666666666663</v>
      </c>
      <c r="DR421" s="1">
        <v>8.3333333333333329E-2</v>
      </c>
      <c r="DS421" s="54">
        <v>0.25</v>
      </c>
      <c r="DT421" s="1">
        <v>0.27083333333333326</v>
      </c>
      <c r="DU421" s="1">
        <v>8.3333333333333329E-2</v>
      </c>
      <c r="DV421" s="54">
        <v>0.5</v>
      </c>
      <c r="DW421" s="1">
        <v>10.994303797468353</v>
      </c>
      <c r="DX421" s="1">
        <v>4</v>
      </c>
      <c r="DY421" s="54">
        <v>16.399999999999999</v>
      </c>
      <c r="DZ421" s="1">
        <v>15.076793248945147</v>
      </c>
      <c r="EA421" s="1">
        <v>4.8</v>
      </c>
      <c r="EB421" s="54">
        <v>24.900000000000002</v>
      </c>
      <c r="EC421" s="1">
        <v>23.657383966244723</v>
      </c>
      <c r="ED421" s="1">
        <v>15.113513513513514</v>
      </c>
      <c r="EE421" s="54">
        <v>15.053287197231835</v>
      </c>
      <c r="EF421" s="1">
        <v>15.076793248945147</v>
      </c>
      <c r="EG421" s="1">
        <v>4.8</v>
      </c>
      <c r="EH421" s="54">
        <v>24.900000000000002</v>
      </c>
      <c r="EJ421" s="1" t="s">
        <v>648</v>
      </c>
      <c r="EL421" s="1">
        <v>6570</v>
      </c>
      <c r="EM421" s="1">
        <v>4380</v>
      </c>
      <c r="EN421" s="1">
        <v>8760</v>
      </c>
      <c r="EO421" s="1">
        <v>0</v>
      </c>
      <c r="EP421" s="1">
        <v>0</v>
      </c>
      <c r="EQ421" s="1">
        <v>0</v>
      </c>
      <c r="ER421" s="1">
        <v>100</v>
      </c>
      <c r="ES421" s="1">
        <v>50</v>
      </c>
      <c r="ET421" s="1">
        <v>150</v>
      </c>
      <c r="EU421" s="1">
        <v>1.5151515151515151</v>
      </c>
      <c r="EV421" s="19">
        <v>0.50505050505050508</v>
      </c>
      <c r="EW421" s="19">
        <v>2.5252525252525251</v>
      </c>
      <c r="EX421" s="19">
        <v>202.02020202020202</v>
      </c>
      <c r="EY421" s="8">
        <v>101.01010101010101</v>
      </c>
      <c r="EZ421" s="8">
        <v>303.03030303030306</v>
      </c>
      <c r="FA421" s="8">
        <v>491.91919191919186</v>
      </c>
      <c r="FB421" s="8">
        <v>475.75757575757569</v>
      </c>
      <c r="FC421" s="8">
        <v>508.08080808080808</v>
      </c>
      <c r="FD421" s="8">
        <v>45.454545454545453</v>
      </c>
      <c r="FE421" s="8">
        <v>29.292929292929294</v>
      </c>
      <c r="FF421" s="8">
        <v>61.616161616161627</v>
      </c>
      <c r="FG421" s="8">
        <v>93.939393939393938</v>
      </c>
      <c r="FH421" s="8">
        <v>60.606060606060602</v>
      </c>
      <c r="FI421" s="8">
        <v>127.27272727272729</v>
      </c>
      <c r="FJ421" s="8">
        <v>19.292929292929291</v>
      </c>
      <c r="FK421" s="8">
        <v>16.262626262626263</v>
      </c>
      <c r="FL421" s="8">
        <v>22.323232323232325</v>
      </c>
      <c r="FO421" s="1">
        <v>220</v>
      </c>
      <c r="FP421" s="1">
        <v>220</v>
      </c>
      <c r="FR421" s="13" t="s">
        <v>643</v>
      </c>
      <c r="FS421" s="1" t="s">
        <v>643</v>
      </c>
      <c r="FT421" s="13">
        <v>182</v>
      </c>
      <c r="FU421" s="13"/>
      <c r="FV421" s="13">
        <v>182</v>
      </c>
      <c r="FW421" s="13">
        <v>182</v>
      </c>
      <c r="FX421" s="1">
        <v>182</v>
      </c>
      <c r="FY421" s="13" t="s">
        <v>642</v>
      </c>
      <c r="FZ421" s="13" t="s">
        <v>641</v>
      </c>
      <c r="GA421" s="1">
        <v>202</v>
      </c>
      <c r="GB421" s="1">
        <v>202</v>
      </c>
      <c r="GD421" s="1" t="s">
        <v>645</v>
      </c>
      <c r="GE421" s="1">
        <v>211</v>
      </c>
      <c r="GF421" s="1">
        <v>214</v>
      </c>
      <c r="GG421" s="1">
        <v>220</v>
      </c>
      <c r="GH421" s="1">
        <v>214</v>
      </c>
      <c r="GK421" s="1" t="s">
        <v>644</v>
      </c>
    </row>
    <row r="422" spans="1:193" ht="12.75" customHeight="1" x14ac:dyDescent="0.25">
      <c r="A422" s="1" t="s">
        <v>938</v>
      </c>
      <c r="D422" s="1" t="s">
        <v>582</v>
      </c>
      <c r="E422" s="1" t="s">
        <v>126</v>
      </c>
      <c r="F422" s="1">
        <v>1</v>
      </c>
      <c r="G422" s="1">
        <v>2035</v>
      </c>
      <c r="H422" s="1">
        <v>1</v>
      </c>
      <c r="I422" s="1">
        <v>1</v>
      </c>
      <c r="J422" s="1">
        <v>0</v>
      </c>
      <c r="K422" s="11">
        <v>232.20000000000005</v>
      </c>
      <c r="L422" s="11">
        <v>306.90000000000003</v>
      </c>
      <c r="M422" s="11">
        <v>381.6</v>
      </c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9"/>
      <c r="BQ422" s="11">
        <v>19.800000000000004</v>
      </c>
      <c r="BR422" s="11">
        <v>55.800000000000004</v>
      </c>
      <c r="BS422" s="11">
        <v>91.8</v>
      </c>
      <c r="BT422" s="11">
        <f>Tabelle5897112140[[#This Row],[Mindestauslastung min]]*Tabelle5897112140[[#This Row],[installierte Leistung MW min]]</f>
        <v>0</v>
      </c>
      <c r="BU422" s="11">
        <f>Tabelle5897112140[[#This Row],[Mindestauslastung durch]]*Tabelle5897112140[[#This Row],[installierte Leistung MW durch]]</f>
        <v>0</v>
      </c>
      <c r="BV422" s="19">
        <f>Tabelle5897112140[[#This Row],[Mindestauslastung max]]*Tabelle5897112140[[#This Row],[installierte Leistung MW max]]</f>
        <v>0</v>
      </c>
      <c r="BW422" s="9">
        <v>0</v>
      </c>
      <c r="BX422" s="9">
        <v>0</v>
      </c>
      <c r="BY422" s="9">
        <v>0</v>
      </c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39">
        <v>0.66094594594594591</v>
      </c>
      <c r="DC422" s="39">
        <v>0.70128691983122371</v>
      </c>
      <c r="DD422" s="39">
        <v>0.7415051903114187</v>
      </c>
      <c r="DE422" s="11">
        <f>Tabelle5897112140[[#This Row],[Durchschnittsauslastung min]]*Tabelle5897112140[[#This Row],[installierte Leistung MW min]]</f>
        <v>220.095</v>
      </c>
      <c r="DF422" s="11">
        <f>Tabelle5897112140[[#This Row],[Durchschnittsauslastung durch]]*Tabelle5897112140[[#This Row],[installierte Leistung MW durch]]</f>
        <v>299.16900000000004</v>
      </c>
      <c r="DG422" s="46">
        <f>Tabelle5897112140[[#This Row],[Durchschnittsauslastung max]]*Tabelle5897112140[[#This Row],[installierte Leistung MW max]]</f>
        <v>385.73100000000005</v>
      </c>
      <c r="DH422" s="46">
        <f>Tabelle5897112140[[#This Row],[Maximalauslastung min]]*Tabelle5897112140[[#This Row],[installierte Leistung MW min]]</f>
        <v>266.71499999999997</v>
      </c>
      <c r="DI422" s="46">
        <f>Tabelle5897112140[[#This Row],[Maximalauslastung durch]]*Tabelle5897112140[[#This Row],[installierte Leistung MW durch]]</f>
        <v>352.94400000000002</v>
      </c>
      <c r="DJ422" s="11">
        <f>Tabelle5897112140[[#This Row],[Maximalauslastung max]]*Tabelle5897112140[[#This Row],[installierte Leistung MW durch]]</f>
        <v>364.13778892733563</v>
      </c>
      <c r="DK422" s="9">
        <v>0.80094594594594581</v>
      </c>
      <c r="DL422" s="9">
        <v>0.82734177215189875</v>
      </c>
      <c r="DM422" s="9">
        <v>0.85358131487889266</v>
      </c>
      <c r="DN422" s="11">
        <v>426.6</v>
      </c>
      <c r="DO422" s="11">
        <v>333</v>
      </c>
      <c r="DP422" s="11">
        <v>520.20000000000005</v>
      </c>
      <c r="DQ422" s="1">
        <v>0.16666666666666663</v>
      </c>
      <c r="DR422" s="1">
        <v>8.3333333333333329E-2</v>
      </c>
      <c r="DS422" s="54">
        <v>0.25</v>
      </c>
      <c r="DT422" s="1">
        <v>0.27083333333333337</v>
      </c>
      <c r="DU422" s="1">
        <v>8.3333333333333329E-2</v>
      </c>
      <c r="DV422" s="54">
        <v>0.5</v>
      </c>
      <c r="DW422" s="1">
        <v>10.994303797468355</v>
      </c>
      <c r="DX422" s="1">
        <v>4</v>
      </c>
      <c r="DY422" s="54">
        <v>16.399999999999999</v>
      </c>
      <c r="DZ422" s="1">
        <v>15.076793248945149</v>
      </c>
      <c r="EA422" s="1">
        <v>4.8</v>
      </c>
      <c r="EB422" s="54">
        <v>24.900000000000002</v>
      </c>
      <c r="EC422" s="1">
        <v>23.657383966244726</v>
      </c>
      <c r="ED422" s="1">
        <v>15.113513513513514</v>
      </c>
      <c r="EE422" s="54">
        <v>15.053287197231835</v>
      </c>
      <c r="EF422" s="1">
        <v>15.076793248945149</v>
      </c>
      <c r="EG422" s="1">
        <v>4.8</v>
      </c>
      <c r="EH422" s="54">
        <v>24.900000000000002</v>
      </c>
      <c r="EJ422" s="1" t="s">
        <v>648</v>
      </c>
      <c r="EL422" s="1">
        <v>100</v>
      </c>
      <c r="EM422" s="1">
        <v>50</v>
      </c>
      <c r="EN422" s="1">
        <v>150</v>
      </c>
      <c r="EO422" s="1">
        <v>0</v>
      </c>
      <c r="EP422" s="1">
        <v>0</v>
      </c>
      <c r="EQ422" s="1">
        <v>0</v>
      </c>
      <c r="ER422" s="1">
        <v>100</v>
      </c>
      <c r="ES422" s="1">
        <v>50</v>
      </c>
      <c r="ET422" s="1">
        <v>150</v>
      </c>
      <c r="EU422" s="1">
        <v>1.5151515151515151</v>
      </c>
      <c r="EV422" s="19">
        <v>0.50505050505050508</v>
      </c>
      <c r="EW422" s="19">
        <v>2.5252525252525251</v>
      </c>
      <c r="EX422" s="19">
        <v>202.02020202020202</v>
      </c>
      <c r="EY422" s="8">
        <v>101.01010101010101</v>
      </c>
      <c r="EZ422" s="8">
        <v>303.03030303030306</v>
      </c>
      <c r="FA422" s="8">
        <v>491.91919191919192</v>
      </c>
      <c r="FB422" s="8">
        <v>475.75757575757575</v>
      </c>
      <c r="FC422" s="8">
        <v>508.08080808080808</v>
      </c>
      <c r="FD422" s="8">
        <v>45.454545454545453</v>
      </c>
      <c r="FE422" s="8">
        <v>29.292929292929294</v>
      </c>
      <c r="FF422" s="8">
        <v>61.616161616161619</v>
      </c>
      <c r="FG422" s="8">
        <v>93.939393939393938</v>
      </c>
      <c r="FH422" s="8">
        <v>60.606060606060609</v>
      </c>
      <c r="FI422" s="8">
        <v>127.27272727272728</v>
      </c>
      <c r="FJ422" s="8">
        <v>19.292929292929294</v>
      </c>
      <c r="FK422" s="8">
        <v>16.262626262626263</v>
      </c>
      <c r="FL422" s="8">
        <v>22.323232323232325</v>
      </c>
      <c r="FO422" s="1">
        <v>220</v>
      </c>
      <c r="FP422" s="1">
        <v>220</v>
      </c>
      <c r="FR422" s="13" t="s">
        <v>643</v>
      </c>
      <c r="FS422" s="1" t="s">
        <v>643</v>
      </c>
      <c r="FT422" s="13">
        <v>182</v>
      </c>
      <c r="FU422" s="13"/>
      <c r="FV422" s="13">
        <v>182</v>
      </c>
      <c r="FW422" s="13">
        <v>182</v>
      </c>
      <c r="FX422" s="1">
        <v>182</v>
      </c>
      <c r="FY422" s="13" t="s">
        <v>642</v>
      </c>
      <c r="FZ422" s="13" t="s">
        <v>641</v>
      </c>
      <c r="GA422" s="1">
        <v>202</v>
      </c>
      <c r="GB422" s="1">
        <v>202</v>
      </c>
      <c r="GD422" s="1" t="s">
        <v>645</v>
      </c>
      <c r="GE422" s="1">
        <v>211</v>
      </c>
      <c r="GF422" s="1">
        <v>214</v>
      </c>
      <c r="GG422" s="1">
        <v>220</v>
      </c>
      <c r="GH422" s="1">
        <v>214</v>
      </c>
      <c r="GK422" s="1" t="s">
        <v>644</v>
      </c>
    </row>
    <row r="423" spans="1:193" ht="12.75" customHeight="1" x14ac:dyDescent="0.25">
      <c r="A423" s="1" t="s">
        <v>938</v>
      </c>
      <c r="D423" s="1" t="s">
        <v>582</v>
      </c>
      <c r="E423" s="1" t="s">
        <v>126</v>
      </c>
      <c r="F423" s="1">
        <v>1</v>
      </c>
      <c r="G423" s="1">
        <v>2040</v>
      </c>
      <c r="H423" s="1">
        <v>1</v>
      </c>
      <c r="I423" s="1">
        <v>1</v>
      </c>
      <c r="J423" s="1">
        <v>0</v>
      </c>
      <c r="K423" s="11">
        <v>227.03999999999996</v>
      </c>
      <c r="L423" s="11">
        <v>300.08000000000004</v>
      </c>
      <c r="M423" s="11">
        <v>373.12000000000006</v>
      </c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9"/>
      <c r="BQ423" s="11">
        <v>19.36</v>
      </c>
      <c r="BR423" s="11">
        <v>54.560000000000009</v>
      </c>
      <c r="BS423" s="11">
        <v>89.76</v>
      </c>
      <c r="BT423" s="11">
        <f>Tabelle5897112140[[#This Row],[Mindestauslastung min]]*Tabelle5897112140[[#This Row],[installierte Leistung MW min]]</f>
        <v>0</v>
      </c>
      <c r="BU423" s="11">
        <f>Tabelle5897112140[[#This Row],[Mindestauslastung durch]]*Tabelle5897112140[[#This Row],[installierte Leistung MW durch]]</f>
        <v>0</v>
      </c>
      <c r="BV423" s="19">
        <f>Tabelle5897112140[[#This Row],[Mindestauslastung max]]*Tabelle5897112140[[#This Row],[installierte Leistung MW max]]</f>
        <v>0</v>
      </c>
      <c r="BW423" s="9">
        <v>0</v>
      </c>
      <c r="BX423" s="9">
        <v>0</v>
      </c>
      <c r="BY423" s="9">
        <v>0</v>
      </c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39">
        <v>0.66094594594594591</v>
      </c>
      <c r="DC423" s="39">
        <v>0.70128691983122371</v>
      </c>
      <c r="DD423" s="39">
        <v>0.7415051903114187</v>
      </c>
      <c r="DE423" s="11">
        <f>Tabelle5897112140[[#This Row],[Durchschnittsauslastung min]]*Tabelle5897112140[[#This Row],[installierte Leistung MW min]]</f>
        <v>215.20400000000001</v>
      </c>
      <c r="DF423" s="11">
        <f>Tabelle5897112140[[#This Row],[Durchschnittsauslastung durch]]*Tabelle5897112140[[#This Row],[installierte Leistung MW durch]]</f>
        <v>292.52080000000007</v>
      </c>
      <c r="DG423" s="46">
        <f>Tabelle5897112140[[#This Row],[Durchschnittsauslastung max]]*Tabelle5897112140[[#This Row],[installierte Leistung MW max]]</f>
        <v>377.1592</v>
      </c>
      <c r="DH423" s="46">
        <f>Tabelle5897112140[[#This Row],[Maximalauslastung min]]*Tabelle5897112140[[#This Row],[installierte Leistung MW min]]</f>
        <v>260.78799999999995</v>
      </c>
      <c r="DI423" s="46">
        <f>Tabelle5897112140[[#This Row],[Maximalauslastung durch]]*Tabelle5897112140[[#This Row],[installierte Leistung MW durch]]</f>
        <v>345.10079999999999</v>
      </c>
      <c r="DJ423" s="11">
        <f>Tabelle5897112140[[#This Row],[Maximalauslastung max]]*Tabelle5897112140[[#This Row],[installierte Leistung MW durch]]</f>
        <v>356.04583806228374</v>
      </c>
      <c r="DK423" s="9">
        <v>0.80094594594594581</v>
      </c>
      <c r="DL423" s="9">
        <v>0.82734177215189875</v>
      </c>
      <c r="DM423" s="9">
        <v>0.85358131487889277</v>
      </c>
      <c r="DN423" s="11">
        <v>417.12</v>
      </c>
      <c r="DO423" s="11">
        <v>325.60000000000002</v>
      </c>
      <c r="DP423" s="11">
        <v>508.64</v>
      </c>
      <c r="DQ423" s="1">
        <v>0.16666666666666663</v>
      </c>
      <c r="DR423" s="1">
        <v>8.3333333333333329E-2</v>
      </c>
      <c r="DS423" s="54">
        <v>0.25</v>
      </c>
      <c r="DT423" s="1">
        <v>0.27083333333333337</v>
      </c>
      <c r="DU423" s="1">
        <v>8.3333333333333329E-2</v>
      </c>
      <c r="DV423" s="54">
        <v>0.5</v>
      </c>
      <c r="DW423" s="1">
        <v>10.994303797468355</v>
      </c>
      <c r="DX423" s="1">
        <v>4</v>
      </c>
      <c r="DY423" s="54">
        <v>16.399999999999999</v>
      </c>
      <c r="DZ423" s="1">
        <v>15.076793248945149</v>
      </c>
      <c r="EA423" s="1">
        <v>4.8</v>
      </c>
      <c r="EB423" s="54">
        <v>24.900000000000002</v>
      </c>
      <c r="EC423" s="1">
        <v>23.657383966244726</v>
      </c>
      <c r="ED423" s="1">
        <v>15.113513513513514</v>
      </c>
      <c r="EE423" s="54">
        <v>15.053287197231835</v>
      </c>
      <c r="EF423" s="1">
        <v>15.076793248945149</v>
      </c>
      <c r="EG423" s="1">
        <v>4.8</v>
      </c>
      <c r="EH423" s="54">
        <v>24.900000000000002</v>
      </c>
      <c r="EJ423" s="1" t="s">
        <v>648</v>
      </c>
      <c r="EL423" s="1">
        <v>365</v>
      </c>
      <c r="EM423" s="1">
        <v>328</v>
      </c>
      <c r="EN423" s="1">
        <v>402</v>
      </c>
      <c r="EO423" s="1">
        <v>0</v>
      </c>
      <c r="EP423" s="1">
        <v>0</v>
      </c>
      <c r="EQ423" s="1">
        <v>0</v>
      </c>
      <c r="ER423" s="1">
        <v>100</v>
      </c>
      <c r="ES423" s="1">
        <v>50</v>
      </c>
      <c r="ET423" s="1">
        <v>150</v>
      </c>
      <c r="EU423" s="1">
        <v>1.5151515151515151</v>
      </c>
      <c r="EV423" s="19">
        <v>0.50505050505050508</v>
      </c>
      <c r="EW423" s="19">
        <v>2.5252525252525251</v>
      </c>
      <c r="EX423" s="19">
        <v>202.02020202020202</v>
      </c>
      <c r="EY423" s="8">
        <v>101.01010101010101</v>
      </c>
      <c r="EZ423" s="8">
        <v>303.03030303030306</v>
      </c>
      <c r="FA423" s="8">
        <v>491.91919191919192</v>
      </c>
      <c r="FB423" s="8">
        <v>475.75757575757569</v>
      </c>
      <c r="FC423" s="8">
        <v>508.08080808080808</v>
      </c>
      <c r="FD423" s="8">
        <v>45.454545454545453</v>
      </c>
      <c r="FE423" s="8">
        <v>29.292929292929294</v>
      </c>
      <c r="FF423" s="8">
        <v>61.616161616161627</v>
      </c>
      <c r="FG423" s="8">
        <v>93.939393939393938</v>
      </c>
      <c r="FH423" s="8">
        <v>60.606060606060602</v>
      </c>
      <c r="FI423" s="8">
        <v>127.27272727272729</v>
      </c>
      <c r="FJ423" s="8">
        <v>19.292929292929294</v>
      </c>
      <c r="FK423" s="8">
        <v>16.262626262626263</v>
      </c>
      <c r="FL423" s="8">
        <v>22.323232323232325</v>
      </c>
      <c r="FO423" s="1">
        <v>220</v>
      </c>
      <c r="FP423" s="1">
        <v>220</v>
      </c>
      <c r="FR423" s="13" t="s">
        <v>643</v>
      </c>
      <c r="FS423" s="1" t="s">
        <v>643</v>
      </c>
      <c r="FT423" s="13">
        <v>182</v>
      </c>
      <c r="FU423" s="13"/>
      <c r="FV423" s="13">
        <v>182</v>
      </c>
      <c r="FW423" s="13">
        <v>182</v>
      </c>
      <c r="FX423" s="1">
        <v>182</v>
      </c>
      <c r="FY423" s="13" t="s">
        <v>642</v>
      </c>
      <c r="FZ423" s="13" t="s">
        <v>641</v>
      </c>
      <c r="GA423" s="1">
        <v>202</v>
      </c>
      <c r="GB423" s="1">
        <v>202</v>
      </c>
      <c r="GD423" s="1" t="s">
        <v>645</v>
      </c>
      <c r="GE423" s="1">
        <v>211</v>
      </c>
      <c r="GF423" s="1">
        <v>214</v>
      </c>
      <c r="GG423" s="1">
        <v>220</v>
      </c>
      <c r="GH423" s="1">
        <v>214</v>
      </c>
      <c r="GK423" s="1" t="s">
        <v>644</v>
      </c>
    </row>
    <row r="424" spans="1:193" ht="12.75" customHeight="1" x14ac:dyDescent="0.25">
      <c r="A424" s="1" t="s">
        <v>938</v>
      </c>
      <c r="D424" s="1" t="s">
        <v>582</v>
      </c>
      <c r="E424" s="1" t="s">
        <v>126</v>
      </c>
      <c r="F424" s="1">
        <v>1</v>
      </c>
      <c r="G424" s="1">
        <v>2045</v>
      </c>
      <c r="H424" s="1">
        <v>1</v>
      </c>
      <c r="I424" s="1">
        <v>1</v>
      </c>
      <c r="J424" s="1">
        <v>0</v>
      </c>
      <c r="K424" s="11">
        <v>221.88000000000002</v>
      </c>
      <c r="L424" s="11">
        <v>293.26000000000005</v>
      </c>
      <c r="M424" s="11">
        <v>364.64</v>
      </c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9"/>
      <c r="BQ424" s="11">
        <v>18.920000000000002</v>
      </c>
      <c r="BR424" s="11">
        <v>53.320000000000007</v>
      </c>
      <c r="BS424" s="11">
        <v>87.72</v>
      </c>
      <c r="BT424" s="11">
        <f>Tabelle5897112140[[#This Row],[Mindestauslastung min]]*Tabelle5897112140[[#This Row],[installierte Leistung MW min]]</f>
        <v>0</v>
      </c>
      <c r="BU424" s="11">
        <f>Tabelle5897112140[[#This Row],[Mindestauslastung durch]]*Tabelle5897112140[[#This Row],[installierte Leistung MW durch]]</f>
        <v>0</v>
      </c>
      <c r="BV424" s="19">
        <f>Tabelle5897112140[[#This Row],[Mindestauslastung max]]*Tabelle5897112140[[#This Row],[installierte Leistung MW max]]</f>
        <v>0</v>
      </c>
      <c r="BW424" s="9">
        <v>0</v>
      </c>
      <c r="BX424" s="9">
        <v>0</v>
      </c>
      <c r="BY424" s="9">
        <v>0</v>
      </c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39">
        <v>0.66094594594594591</v>
      </c>
      <c r="DC424" s="39">
        <v>0.70128691983122371</v>
      </c>
      <c r="DD424" s="39">
        <v>0.7415051903114187</v>
      </c>
      <c r="DE424" s="11">
        <f>Tabelle5897112140[[#This Row],[Durchschnittsauslastung min]]*Tabelle5897112140[[#This Row],[installierte Leistung MW min]]</f>
        <v>210.31299999999999</v>
      </c>
      <c r="DF424" s="11">
        <f>Tabelle5897112140[[#This Row],[Durchschnittsauslastung durch]]*Tabelle5897112140[[#This Row],[installierte Leistung MW durch]]</f>
        <v>285.87260000000003</v>
      </c>
      <c r="DG424" s="46">
        <f>Tabelle5897112140[[#This Row],[Durchschnittsauslastung max]]*Tabelle5897112140[[#This Row],[installierte Leistung MW max]]</f>
        <v>368.5874</v>
      </c>
      <c r="DH424" s="46">
        <f>Tabelle5897112140[[#This Row],[Maximalauslastung min]]*Tabelle5897112140[[#This Row],[installierte Leistung MW min]]</f>
        <v>254.86099999999999</v>
      </c>
      <c r="DI424" s="46">
        <f>Tabelle5897112140[[#This Row],[Maximalauslastung durch]]*Tabelle5897112140[[#This Row],[installierte Leistung MW durch]]</f>
        <v>337.25759999999997</v>
      </c>
      <c r="DJ424" s="11">
        <f>Tabelle5897112140[[#This Row],[Maximalauslastung max]]*Tabelle5897112140[[#This Row],[installierte Leistung MW durch]]</f>
        <v>347.95388719723184</v>
      </c>
      <c r="DK424" s="9">
        <v>0.80094594594594593</v>
      </c>
      <c r="DL424" s="9">
        <v>0.82734177215189875</v>
      </c>
      <c r="DM424" s="9">
        <v>0.85358131487889277</v>
      </c>
      <c r="DN424" s="11">
        <v>407.64</v>
      </c>
      <c r="DO424" s="11">
        <v>318.2</v>
      </c>
      <c r="DP424" s="11">
        <v>497.08</v>
      </c>
      <c r="DQ424" s="1">
        <v>0.16666666666666663</v>
      </c>
      <c r="DR424" s="1">
        <v>8.3333333333333329E-2</v>
      </c>
      <c r="DS424" s="54">
        <v>0.25</v>
      </c>
      <c r="DT424" s="1">
        <v>0.27083333333333337</v>
      </c>
      <c r="DU424" s="1">
        <v>8.3333333333333329E-2</v>
      </c>
      <c r="DV424" s="54">
        <v>0.5</v>
      </c>
      <c r="DW424" s="1">
        <v>10.994303797468355</v>
      </c>
      <c r="DX424" s="1">
        <v>4</v>
      </c>
      <c r="DY424" s="54">
        <v>16.399999999999999</v>
      </c>
      <c r="DZ424" s="1">
        <v>15.076793248945149</v>
      </c>
      <c r="EA424" s="1">
        <v>4.8</v>
      </c>
      <c r="EB424" s="54">
        <v>24.900000000000002</v>
      </c>
      <c r="EC424" s="1">
        <v>23.657383966244726</v>
      </c>
      <c r="ED424" s="1">
        <v>15.113513513513514</v>
      </c>
      <c r="EE424" s="54">
        <v>15.053287197231835</v>
      </c>
      <c r="EF424" s="1">
        <v>15.076793248945149</v>
      </c>
      <c r="EG424" s="1">
        <v>4.8</v>
      </c>
      <c r="EH424" s="54">
        <v>24.900000000000002</v>
      </c>
      <c r="EJ424" s="1" t="s">
        <v>648</v>
      </c>
      <c r="EL424" s="1">
        <v>639</v>
      </c>
      <c r="EM424" s="1">
        <v>575</v>
      </c>
      <c r="EN424" s="1">
        <v>703</v>
      </c>
      <c r="EO424" s="1">
        <v>0</v>
      </c>
      <c r="EP424" s="1">
        <v>0</v>
      </c>
      <c r="EQ424" s="1">
        <v>0</v>
      </c>
      <c r="ER424" s="1">
        <v>100</v>
      </c>
      <c r="ES424" s="1">
        <v>50</v>
      </c>
      <c r="ET424" s="1">
        <v>150</v>
      </c>
      <c r="EU424" s="1">
        <v>1.5151515151515151</v>
      </c>
      <c r="EV424" s="19">
        <v>0.50505050505050508</v>
      </c>
      <c r="EW424" s="19">
        <v>2.5252525252525251</v>
      </c>
      <c r="EX424" s="19">
        <v>202.02020202020202</v>
      </c>
      <c r="EY424" s="8">
        <v>101.01010101010101</v>
      </c>
      <c r="EZ424" s="8">
        <v>303.03030303030306</v>
      </c>
      <c r="FA424" s="8">
        <v>491.91919191919192</v>
      </c>
      <c r="FB424" s="8">
        <v>475.75757575757575</v>
      </c>
      <c r="FC424" s="8">
        <v>508.08080808080808</v>
      </c>
      <c r="FD424" s="8">
        <v>45.454545454545453</v>
      </c>
      <c r="FE424" s="8">
        <v>29.292929292929298</v>
      </c>
      <c r="FF424" s="8">
        <v>61.616161616161627</v>
      </c>
      <c r="FG424" s="8">
        <v>93.939393939393938</v>
      </c>
      <c r="FH424" s="8">
        <v>60.606060606060609</v>
      </c>
      <c r="FI424" s="8">
        <v>127.27272727272729</v>
      </c>
      <c r="FJ424" s="8">
        <v>19.292929292929294</v>
      </c>
      <c r="FK424" s="8">
        <v>16.262626262626263</v>
      </c>
      <c r="FL424" s="8">
        <v>22.323232323232325</v>
      </c>
      <c r="FO424" s="1">
        <v>220</v>
      </c>
      <c r="FP424" s="1">
        <v>220</v>
      </c>
      <c r="FR424" s="13" t="s">
        <v>643</v>
      </c>
      <c r="FS424" s="1" t="s">
        <v>643</v>
      </c>
      <c r="FT424" s="13">
        <v>182</v>
      </c>
      <c r="FU424" s="13"/>
      <c r="FV424" s="13">
        <v>182</v>
      </c>
      <c r="FW424" s="13">
        <v>182</v>
      </c>
      <c r="FX424" s="1">
        <v>182</v>
      </c>
      <c r="FY424" s="13" t="s">
        <v>642</v>
      </c>
      <c r="FZ424" s="13" t="s">
        <v>641</v>
      </c>
      <c r="GA424" s="1">
        <v>202</v>
      </c>
      <c r="GB424" s="1">
        <v>202</v>
      </c>
      <c r="GD424" s="1" t="s">
        <v>645</v>
      </c>
      <c r="GE424" s="1">
        <v>211</v>
      </c>
      <c r="GF424" s="1">
        <v>214</v>
      </c>
      <c r="GG424" s="1">
        <v>220</v>
      </c>
      <c r="GH424" s="1">
        <v>214</v>
      </c>
      <c r="GK424" s="1" t="s">
        <v>644</v>
      </c>
    </row>
    <row r="425" spans="1:193" ht="12.75" customHeight="1" x14ac:dyDescent="0.25">
      <c r="A425" s="1" t="s">
        <v>938</v>
      </c>
      <c r="D425" s="1" t="s">
        <v>582</v>
      </c>
      <c r="E425" s="1" t="s">
        <v>126</v>
      </c>
      <c r="F425" s="1">
        <v>1</v>
      </c>
      <c r="G425" s="1">
        <v>2050</v>
      </c>
      <c r="H425" s="1">
        <v>1</v>
      </c>
      <c r="I425" s="1">
        <v>1</v>
      </c>
      <c r="J425" s="1">
        <v>0</v>
      </c>
      <c r="K425" s="11">
        <v>216.72</v>
      </c>
      <c r="L425" s="11">
        <v>286.44000000000005</v>
      </c>
      <c r="M425" s="11">
        <v>356.15999999999997</v>
      </c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9"/>
      <c r="BQ425" s="11">
        <v>18.48</v>
      </c>
      <c r="BR425" s="11">
        <v>52.080000000000005</v>
      </c>
      <c r="BS425" s="11">
        <v>85.679999999999978</v>
      </c>
      <c r="BT425" s="11">
        <f>Tabelle5897112140[[#This Row],[Mindestauslastung min]]*Tabelle5897112140[[#This Row],[installierte Leistung MW min]]</f>
        <v>0</v>
      </c>
      <c r="BU425" s="11">
        <f>Tabelle5897112140[[#This Row],[Mindestauslastung durch]]*Tabelle5897112140[[#This Row],[installierte Leistung MW durch]]</f>
        <v>0</v>
      </c>
      <c r="BV425" s="19">
        <f>Tabelle5897112140[[#This Row],[Mindestauslastung max]]*Tabelle5897112140[[#This Row],[installierte Leistung MW max]]</f>
        <v>0</v>
      </c>
      <c r="BW425" s="9">
        <v>0</v>
      </c>
      <c r="BX425" s="9">
        <v>0</v>
      </c>
      <c r="BY425" s="9">
        <v>0</v>
      </c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39">
        <v>0.66094594594594591</v>
      </c>
      <c r="DC425" s="39">
        <v>0.70128691983122371</v>
      </c>
      <c r="DD425" s="39">
        <v>0.7415051903114187</v>
      </c>
      <c r="DE425" s="11">
        <f>Tabelle5897112140[[#This Row],[Durchschnittsauslastung min]]*Tabelle5897112140[[#This Row],[installierte Leistung MW min]]</f>
        <v>205.422</v>
      </c>
      <c r="DF425" s="11">
        <f>Tabelle5897112140[[#This Row],[Durchschnittsauslastung durch]]*Tabelle5897112140[[#This Row],[installierte Leistung MW durch]]</f>
        <v>279.2244</v>
      </c>
      <c r="DG425" s="46">
        <f>Tabelle5897112140[[#This Row],[Durchschnittsauslastung max]]*Tabelle5897112140[[#This Row],[installierte Leistung MW max]]</f>
        <v>360.01560000000001</v>
      </c>
      <c r="DH425" s="46">
        <f>Tabelle5897112140[[#This Row],[Maximalauslastung min]]*Tabelle5897112140[[#This Row],[installierte Leistung MW min]]</f>
        <v>248.93399999999997</v>
      </c>
      <c r="DI425" s="46">
        <f>Tabelle5897112140[[#This Row],[Maximalauslastung durch]]*Tabelle5897112140[[#This Row],[installierte Leistung MW durch]]</f>
        <v>329.4144</v>
      </c>
      <c r="DJ425" s="11">
        <f>Tabelle5897112140[[#This Row],[Maximalauslastung max]]*Tabelle5897112140[[#This Row],[installierte Leistung MW durch]]</f>
        <v>339.86193633217988</v>
      </c>
      <c r="DK425" s="9">
        <v>0.80094594594594581</v>
      </c>
      <c r="DL425" s="9">
        <v>0.82734177215189875</v>
      </c>
      <c r="DM425" s="9">
        <v>0.85358131487889266</v>
      </c>
      <c r="DN425" s="11">
        <v>398.15999999999997</v>
      </c>
      <c r="DO425" s="11">
        <v>310.8</v>
      </c>
      <c r="DP425" s="11">
        <v>485.52</v>
      </c>
      <c r="DQ425" s="1">
        <v>0.16666666666666663</v>
      </c>
      <c r="DR425" s="1">
        <v>8.3333333333333329E-2</v>
      </c>
      <c r="DS425" s="54">
        <v>0.25</v>
      </c>
      <c r="DT425" s="1">
        <v>0.27083333333333337</v>
      </c>
      <c r="DU425" s="1">
        <v>8.3333333333333329E-2</v>
      </c>
      <c r="DV425" s="54">
        <v>0.5</v>
      </c>
      <c r="DW425" s="1">
        <v>10.994303797468355</v>
      </c>
      <c r="DX425" s="1">
        <v>4</v>
      </c>
      <c r="DY425" s="54">
        <v>16.399999999999999</v>
      </c>
      <c r="DZ425" s="1">
        <v>15.076793248945149</v>
      </c>
      <c r="EA425" s="1">
        <v>4.8</v>
      </c>
      <c r="EB425" s="54">
        <v>24.900000000000002</v>
      </c>
      <c r="EC425" s="1">
        <v>23.657383966244726</v>
      </c>
      <c r="ED425" s="1">
        <v>15.113513513513514</v>
      </c>
      <c r="EE425" s="54">
        <v>15.053287197231832</v>
      </c>
      <c r="EF425" s="1">
        <v>15.076793248945149</v>
      </c>
      <c r="EG425" s="1">
        <v>4.8</v>
      </c>
      <c r="EH425" s="54">
        <v>24.900000000000002</v>
      </c>
      <c r="EJ425" s="1" t="s">
        <v>648</v>
      </c>
      <c r="EL425" s="1">
        <v>365</v>
      </c>
      <c r="EM425" s="1">
        <v>328</v>
      </c>
      <c r="EN425" s="1">
        <v>402</v>
      </c>
      <c r="EO425" s="1">
        <v>0</v>
      </c>
      <c r="EP425" s="1">
        <v>0</v>
      </c>
      <c r="EQ425" s="1">
        <v>0</v>
      </c>
      <c r="ER425" s="1">
        <v>100</v>
      </c>
      <c r="ES425" s="1">
        <v>50</v>
      </c>
      <c r="ET425" s="1">
        <v>150</v>
      </c>
      <c r="EU425" s="1">
        <v>1.5151515151515151</v>
      </c>
      <c r="EV425" s="19">
        <v>0.50505050505050508</v>
      </c>
      <c r="EW425" s="19">
        <v>2.5252525252525246</v>
      </c>
      <c r="EX425" s="19">
        <v>202.02020202020202</v>
      </c>
      <c r="EY425" s="8">
        <v>101.01010101010101</v>
      </c>
      <c r="EZ425" s="8">
        <v>303.03030303030306</v>
      </c>
      <c r="FA425" s="8">
        <v>491.91919191919192</v>
      </c>
      <c r="FB425" s="8">
        <v>475.75757575757575</v>
      </c>
      <c r="FC425" s="8">
        <v>508.08080808080803</v>
      </c>
      <c r="FD425" s="8">
        <v>45.454545454545453</v>
      </c>
      <c r="FE425" s="8">
        <v>29.292929292929294</v>
      </c>
      <c r="FF425" s="8">
        <v>61.616161616161619</v>
      </c>
      <c r="FG425" s="8">
        <v>93.939393939393938</v>
      </c>
      <c r="FH425" s="8">
        <v>60.606060606060609</v>
      </c>
      <c r="FI425" s="8">
        <v>127.27272727272728</v>
      </c>
      <c r="FJ425" s="8">
        <v>19.292929292929294</v>
      </c>
      <c r="FK425" s="8">
        <v>16.262626262626263</v>
      </c>
      <c r="FL425" s="8">
        <v>22.323232323232325</v>
      </c>
      <c r="FO425" s="1">
        <v>220</v>
      </c>
      <c r="FP425" s="1">
        <v>220</v>
      </c>
      <c r="FR425" s="13" t="s">
        <v>643</v>
      </c>
      <c r="FS425" s="1" t="s">
        <v>643</v>
      </c>
      <c r="FT425" s="13">
        <v>182</v>
      </c>
      <c r="FU425" s="13"/>
      <c r="FV425" s="13">
        <v>182</v>
      </c>
      <c r="FW425" s="13">
        <v>182</v>
      </c>
      <c r="FX425" s="1">
        <v>182</v>
      </c>
      <c r="FY425" s="13" t="s">
        <v>642</v>
      </c>
      <c r="FZ425" s="13" t="s">
        <v>641</v>
      </c>
      <c r="GA425" s="1">
        <v>202</v>
      </c>
      <c r="GB425" s="1">
        <v>202</v>
      </c>
      <c r="GD425" s="1" t="s">
        <v>645</v>
      </c>
      <c r="GE425" s="1">
        <v>211</v>
      </c>
      <c r="GF425" s="1">
        <v>214</v>
      </c>
      <c r="GG425" s="1">
        <v>220</v>
      </c>
      <c r="GH425" s="1">
        <v>214</v>
      </c>
      <c r="GK425" s="1" t="s">
        <v>644</v>
      </c>
    </row>
    <row r="426" spans="1:193" ht="12.75" customHeight="1" x14ac:dyDescent="0.25">
      <c r="A426" s="1" t="s">
        <v>572</v>
      </c>
      <c r="D426" s="1" t="s">
        <v>576</v>
      </c>
      <c r="E426" s="1" t="s">
        <v>126</v>
      </c>
      <c r="F426" s="1">
        <v>1</v>
      </c>
      <c r="G426" s="1">
        <v>2015</v>
      </c>
      <c r="H426" s="1">
        <v>1</v>
      </c>
      <c r="I426" s="1">
        <v>1</v>
      </c>
      <c r="J426" s="1">
        <v>0</v>
      </c>
      <c r="K426" s="11">
        <v>149</v>
      </c>
      <c r="L426" s="11">
        <v>160</v>
      </c>
      <c r="M426" s="11">
        <v>171</v>
      </c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9"/>
      <c r="BQ426" s="11">
        <v>7</v>
      </c>
      <c r="BR426" s="11">
        <v>15</v>
      </c>
      <c r="BS426" s="11">
        <v>23</v>
      </c>
      <c r="BT426" s="11">
        <f>Tabelle5897112140[[#This Row],[Mindestauslastung min]]*Tabelle5897112140[[#This Row],[installierte Leistung MW min]]</f>
        <v>0</v>
      </c>
      <c r="BU426" s="11">
        <f>Tabelle5897112140[[#This Row],[Mindestauslastung durch]]*Tabelle5897112140[[#This Row],[installierte Leistung MW durch]]</f>
        <v>0</v>
      </c>
      <c r="BV426" s="19">
        <f>Tabelle5897112140[[#This Row],[Mindestauslastung max]]*Tabelle5897112140[[#This Row],[installierte Leistung MW max]]</f>
        <v>0</v>
      </c>
      <c r="BW426" s="9">
        <v>0</v>
      </c>
      <c r="BX426" s="9">
        <v>0</v>
      </c>
      <c r="BY426" s="9">
        <v>0</v>
      </c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39">
        <v>0.84802816901408451</v>
      </c>
      <c r="DC426" s="39">
        <v>0.88100558659217887</v>
      </c>
      <c r="DD426" s="39">
        <v>0.91537037037037039</v>
      </c>
      <c r="DE426" s="11">
        <f>Tabelle5897112140[[#This Row],[Durchschnittsauslastung min]]*Tabelle5897112140[[#This Row],[installierte Leistung MW min]]</f>
        <v>120.42</v>
      </c>
      <c r="DF426" s="11">
        <f>Tabelle5897112140[[#This Row],[Durchschnittsauslastung durch]]*Tabelle5897112140[[#This Row],[installierte Leistung MW durch]]</f>
        <v>157.70000000000002</v>
      </c>
      <c r="DG426" s="46">
        <f>Tabelle5897112140[[#This Row],[Durchschnittsauslastung max]]*Tabelle5897112140[[#This Row],[installierte Leistung MW max]]</f>
        <v>197.72</v>
      </c>
      <c r="DH426" s="46">
        <f>Tabelle5897112140[[#This Row],[Maximalauslastung min]]*Tabelle5897112140[[#This Row],[installierte Leistung MW min]]</f>
        <v>135.64000000000001</v>
      </c>
      <c r="DI426" s="46">
        <f>Tabelle5897112140[[#This Row],[Maximalauslastung durch]]*Tabelle5897112140[[#This Row],[installierte Leistung MW durch]]</f>
        <v>172.18</v>
      </c>
      <c r="DJ426" s="11">
        <f>Tabelle5897112140[[#This Row],[Maximalauslastung max]]*Tabelle5897112140[[#This Row],[installierte Leistung MW durch]]</f>
        <v>173.29851851851851</v>
      </c>
      <c r="DK426" s="9">
        <v>0.95521126760563391</v>
      </c>
      <c r="DL426" s="9">
        <v>0.9618994413407822</v>
      </c>
      <c r="DM426" s="9">
        <v>0.96814814814814809</v>
      </c>
      <c r="DN426" s="11">
        <v>179</v>
      </c>
      <c r="DO426" s="11">
        <v>142</v>
      </c>
      <c r="DP426" s="11">
        <v>216</v>
      </c>
      <c r="DQ426" s="1">
        <v>2.6666666666666665E-2</v>
      </c>
      <c r="DR426" s="1">
        <v>2.7777777777777778E-4</v>
      </c>
      <c r="DS426" s="54">
        <v>0.25</v>
      </c>
      <c r="DT426" s="1">
        <v>0.10624999999999998</v>
      </c>
      <c r="DU426" s="1">
        <v>8.3333333333333332E-3</v>
      </c>
      <c r="DV426" s="54">
        <v>0.25</v>
      </c>
      <c r="DW426" s="1">
        <v>3</v>
      </c>
      <c r="DX426" s="1">
        <v>1.6</v>
      </c>
      <c r="DY426" s="54">
        <v>7.2</v>
      </c>
      <c r="DZ426" s="1">
        <v>4.5500000000000007</v>
      </c>
      <c r="EA426" s="1">
        <v>3.1999999999999997</v>
      </c>
      <c r="EB426" s="54">
        <v>6.8000000000000007</v>
      </c>
      <c r="EC426" s="1">
        <v>7</v>
      </c>
      <c r="ED426" s="1">
        <v>7</v>
      </c>
      <c r="EE426" s="54">
        <v>7</v>
      </c>
      <c r="EF426" s="1">
        <v>4.5500000000000007</v>
      </c>
      <c r="EG426" s="1">
        <v>3.1999999999999997</v>
      </c>
      <c r="EH426" s="54">
        <v>6.8000000000000007</v>
      </c>
      <c r="EJ426" s="1" t="s">
        <v>646</v>
      </c>
      <c r="EL426" s="1">
        <v>50</v>
      </c>
      <c r="EM426" s="1">
        <v>20</v>
      </c>
      <c r="EN426" s="1">
        <v>80</v>
      </c>
      <c r="EO426" s="1">
        <v>0</v>
      </c>
      <c r="EP426" s="1">
        <v>0</v>
      </c>
      <c r="EQ426" s="1">
        <v>0</v>
      </c>
      <c r="ER426" s="1">
        <v>50</v>
      </c>
      <c r="ES426" s="1">
        <v>20</v>
      </c>
      <c r="ET426" s="1">
        <v>80</v>
      </c>
      <c r="EU426" s="1">
        <v>1.9129845945488404</v>
      </c>
      <c r="EV426" s="19">
        <v>1.9206145966709349</v>
      </c>
      <c r="EW426" s="19">
        <v>1.9079685746352413</v>
      </c>
      <c r="EX426" s="19">
        <v>176.76767676767676</v>
      </c>
      <c r="EY426" s="8">
        <v>101.01010101010101</v>
      </c>
      <c r="EZ426" s="8">
        <v>252.52525252525254</v>
      </c>
      <c r="FA426" s="8">
        <v>2608.2105975960726</v>
      </c>
      <c r="FB426" s="8">
        <v>1690.083937971262</v>
      </c>
      <c r="FC426" s="8">
        <v>3544.9120838009726</v>
      </c>
      <c r="FD426" s="8">
        <v>0</v>
      </c>
      <c r="FE426" s="8">
        <v>0</v>
      </c>
      <c r="FF426" s="8">
        <v>30.303030303030305</v>
      </c>
      <c r="FG426" s="8">
        <v>37.638959426668926</v>
      </c>
      <c r="FH426" s="8">
        <v>12.804097311139564</v>
      </c>
      <c r="FI426" s="8">
        <v>74.354657687991022</v>
      </c>
      <c r="FJ426" s="8">
        <v>22.222222222222221</v>
      </c>
      <c r="FK426" s="8">
        <v>20.202020202020201</v>
      </c>
      <c r="FL426" s="8">
        <v>24.242424242424242</v>
      </c>
      <c r="FO426" s="1">
        <v>220</v>
      </c>
      <c r="FP426" s="1">
        <v>220</v>
      </c>
      <c r="FR426" s="13" t="s">
        <v>643</v>
      </c>
      <c r="FS426" s="1" t="s">
        <v>643</v>
      </c>
      <c r="FT426" s="13">
        <v>182</v>
      </c>
      <c r="FU426" s="13"/>
      <c r="FV426" s="13">
        <v>182</v>
      </c>
      <c r="FW426" s="13">
        <v>182</v>
      </c>
      <c r="FX426" s="1">
        <v>182</v>
      </c>
      <c r="FY426" s="13" t="s">
        <v>642</v>
      </c>
      <c r="FZ426" s="13" t="s">
        <v>641</v>
      </c>
      <c r="GA426" s="1">
        <v>202</v>
      </c>
      <c r="GB426" s="1">
        <v>202</v>
      </c>
      <c r="GD426" s="1" t="s">
        <v>645</v>
      </c>
      <c r="GE426" s="1">
        <v>211</v>
      </c>
      <c r="GF426" s="1">
        <v>214</v>
      </c>
      <c r="GG426" s="1">
        <v>220</v>
      </c>
      <c r="GH426" s="1">
        <v>214</v>
      </c>
      <c r="GK426" s="1" t="s">
        <v>644</v>
      </c>
    </row>
    <row r="427" spans="1:193" ht="12.75" customHeight="1" x14ac:dyDescent="0.25">
      <c r="A427" s="1" t="s">
        <v>572</v>
      </c>
      <c r="D427" s="1" t="s">
        <v>576</v>
      </c>
      <c r="E427" s="1" t="s">
        <v>126</v>
      </c>
      <c r="F427" s="1">
        <v>1</v>
      </c>
      <c r="G427" s="1">
        <v>2020</v>
      </c>
      <c r="H427" s="1">
        <v>1</v>
      </c>
      <c r="I427" s="1">
        <v>1</v>
      </c>
      <c r="J427" s="1">
        <v>0</v>
      </c>
      <c r="K427" s="11">
        <v>149</v>
      </c>
      <c r="L427" s="11">
        <v>160</v>
      </c>
      <c r="M427" s="11">
        <v>171</v>
      </c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9"/>
      <c r="BQ427" s="11">
        <v>7</v>
      </c>
      <c r="BR427" s="11">
        <v>15</v>
      </c>
      <c r="BS427" s="11">
        <v>23</v>
      </c>
      <c r="BT427" s="11">
        <f>Tabelle5897112140[[#This Row],[Mindestauslastung min]]*Tabelle5897112140[[#This Row],[installierte Leistung MW min]]</f>
        <v>0</v>
      </c>
      <c r="BU427" s="11">
        <f>Tabelle5897112140[[#This Row],[Mindestauslastung durch]]*Tabelle5897112140[[#This Row],[installierte Leistung MW durch]]</f>
        <v>0</v>
      </c>
      <c r="BV427" s="19">
        <f>Tabelle5897112140[[#This Row],[Mindestauslastung max]]*Tabelle5897112140[[#This Row],[installierte Leistung MW max]]</f>
        <v>0</v>
      </c>
      <c r="BW427" s="9">
        <v>0</v>
      </c>
      <c r="BX427" s="9">
        <v>0</v>
      </c>
      <c r="BY427" s="9">
        <v>0</v>
      </c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39">
        <v>0.84802816901408451</v>
      </c>
      <c r="DC427" s="39">
        <v>0.88100558659217887</v>
      </c>
      <c r="DD427" s="39">
        <v>0.91537037037037039</v>
      </c>
      <c r="DE427" s="11">
        <f>Tabelle5897112140[[#This Row],[Durchschnittsauslastung min]]*Tabelle5897112140[[#This Row],[installierte Leistung MW min]]</f>
        <v>120.42</v>
      </c>
      <c r="DF427" s="11">
        <f>Tabelle5897112140[[#This Row],[Durchschnittsauslastung durch]]*Tabelle5897112140[[#This Row],[installierte Leistung MW durch]]</f>
        <v>157.70000000000002</v>
      </c>
      <c r="DG427" s="46">
        <f>Tabelle5897112140[[#This Row],[Durchschnittsauslastung max]]*Tabelle5897112140[[#This Row],[installierte Leistung MW max]]</f>
        <v>197.72</v>
      </c>
      <c r="DH427" s="46">
        <f>Tabelle5897112140[[#This Row],[Maximalauslastung min]]*Tabelle5897112140[[#This Row],[installierte Leistung MW min]]</f>
        <v>135.64000000000001</v>
      </c>
      <c r="DI427" s="46">
        <f>Tabelle5897112140[[#This Row],[Maximalauslastung durch]]*Tabelle5897112140[[#This Row],[installierte Leistung MW durch]]</f>
        <v>172.18</v>
      </c>
      <c r="DJ427" s="11">
        <f>Tabelle5897112140[[#This Row],[Maximalauslastung max]]*Tabelle5897112140[[#This Row],[installierte Leistung MW durch]]</f>
        <v>173.29851851851851</v>
      </c>
      <c r="DK427" s="9">
        <v>0.95521126760563391</v>
      </c>
      <c r="DL427" s="9">
        <v>0.9618994413407822</v>
      </c>
      <c r="DM427" s="9">
        <v>0.96814814814814809</v>
      </c>
      <c r="DN427" s="11">
        <v>179</v>
      </c>
      <c r="DO427" s="11">
        <v>142</v>
      </c>
      <c r="DP427" s="11">
        <v>216</v>
      </c>
      <c r="DQ427" s="1">
        <v>0.1609473929236499</v>
      </c>
      <c r="DR427" s="1">
        <v>2.7777777777777778E-4</v>
      </c>
      <c r="DS427" s="54">
        <v>0.25</v>
      </c>
      <c r="DT427" s="1">
        <v>8.8466014897579132E-2</v>
      </c>
      <c r="DU427" s="1">
        <v>8.3333333333333332E-3</v>
      </c>
      <c r="DV427" s="54">
        <v>0.25</v>
      </c>
      <c r="DW427" s="1">
        <v>3.58659217877095</v>
      </c>
      <c r="DX427" s="1">
        <v>1.6</v>
      </c>
      <c r="DY427" s="54">
        <v>7.2</v>
      </c>
      <c r="DZ427" s="1">
        <v>4.3932960893854744</v>
      </c>
      <c r="EA427" s="1">
        <v>3.1999999999999997</v>
      </c>
      <c r="EB427" s="54">
        <v>6.8000000000000007</v>
      </c>
      <c r="EC427" s="1">
        <v>7.5865921787709496</v>
      </c>
      <c r="ED427" s="1">
        <v>4.3774647887323948</v>
      </c>
      <c r="EE427" s="54">
        <v>4.4037037037037035</v>
      </c>
      <c r="EF427" s="1">
        <v>4.3932960893854744</v>
      </c>
      <c r="EG427" s="1">
        <v>3.1999999999999997</v>
      </c>
      <c r="EH427" s="54">
        <v>6.8000000000000007</v>
      </c>
      <c r="EJ427" s="1" t="s">
        <v>646</v>
      </c>
      <c r="EL427" s="1">
        <v>280</v>
      </c>
      <c r="EM427" s="1">
        <v>252</v>
      </c>
      <c r="EN427" s="1">
        <v>308</v>
      </c>
      <c r="EO427" s="1">
        <v>0</v>
      </c>
      <c r="EP427" s="1">
        <v>0</v>
      </c>
      <c r="EQ427" s="1">
        <v>0</v>
      </c>
      <c r="ER427" s="1">
        <v>280</v>
      </c>
      <c r="ES427" s="1">
        <v>252</v>
      </c>
      <c r="ET427" s="1">
        <v>308</v>
      </c>
      <c r="EU427" s="1">
        <v>1.9129845945488404</v>
      </c>
      <c r="EV427" s="19">
        <v>1.9206145966709349</v>
      </c>
      <c r="EW427" s="19">
        <v>1.9079685746352413</v>
      </c>
      <c r="EX427" s="19">
        <v>176.76767676767676</v>
      </c>
      <c r="EY427" s="8">
        <v>101.01010101010101</v>
      </c>
      <c r="EZ427" s="8">
        <v>252.52525252525254</v>
      </c>
      <c r="FA427" s="8">
        <v>2608.2105975960726</v>
      </c>
      <c r="FB427" s="8">
        <v>1690.083937971262</v>
      </c>
      <c r="FC427" s="8">
        <v>3544.9120838009726</v>
      </c>
      <c r="FD427" s="8">
        <v>0</v>
      </c>
      <c r="FE427" s="8">
        <v>0</v>
      </c>
      <c r="FF427" s="8">
        <v>30.303030303030305</v>
      </c>
      <c r="FG427" s="8">
        <v>37.638959426668926</v>
      </c>
      <c r="FH427" s="8">
        <v>12.804097311139564</v>
      </c>
      <c r="FI427" s="8">
        <v>74.354657687991022</v>
      </c>
      <c r="FJ427" s="8">
        <v>22.222222222222221</v>
      </c>
      <c r="FK427" s="8">
        <v>20.202020202020201</v>
      </c>
      <c r="FL427" s="8">
        <v>24.242424242424242</v>
      </c>
      <c r="FO427" s="1">
        <v>220</v>
      </c>
      <c r="FP427" s="1">
        <v>220</v>
      </c>
      <c r="FR427" s="13" t="s">
        <v>643</v>
      </c>
      <c r="FS427" s="1" t="s">
        <v>643</v>
      </c>
      <c r="FT427" s="13">
        <v>182</v>
      </c>
      <c r="FU427" s="13"/>
      <c r="FV427" s="13">
        <v>182</v>
      </c>
      <c r="FW427" s="13">
        <v>182</v>
      </c>
      <c r="FX427" s="1">
        <v>182</v>
      </c>
      <c r="FY427" s="13" t="s">
        <v>642</v>
      </c>
      <c r="FZ427" s="13" t="s">
        <v>641</v>
      </c>
      <c r="GA427" s="1">
        <v>202</v>
      </c>
      <c r="GB427" s="1">
        <v>202</v>
      </c>
      <c r="GD427" s="1" t="s">
        <v>645</v>
      </c>
      <c r="GE427" s="1">
        <v>211</v>
      </c>
      <c r="GF427" s="1">
        <v>214</v>
      </c>
      <c r="GG427" s="1">
        <v>220</v>
      </c>
      <c r="GH427" s="1">
        <v>214</v>
      </c>
      <c r="GK427" s="1" t="s">
        <v>644</v>
      </c>
    </row>
    <row r="428" spans="1:193" ht="12.75" customHeight="1" x14ac:dyDescent="0.25">
      <c r="A428" s="1" t="s">
        <v>572</v>
      </c>
      <c r="D428" s="1" t="s">
        <v>576</v>
      </c>
      <c r="E428" s="1" t="s">
        <v>126</v>
      </c>
      <c r="F428" s="1">
        <v>1</v>
      </c>
      <c r="G428" s="1">
        <v>2025</v>
      </c>
      <c r="H428" s="1">
        <v>1</v>
      </c>
      <c r="I428" s="1">
        <v>1</v>
      </c>
      <c r="J428" s="1">
        <v>0</v>
      </c>
      <c r="K428" s="11">
        <v>149</v>
      </c>
      <c r="L428" s="11">
        <v>160</v>
      </c>
      <c r="M428" s="11">
        <v>171</v>
      </c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9"/>
      <c r="BQ428" s="11">
        <v>7</v>
      </c>
      <c r="BR428" s="11">
        <v>15</v>
      </c>
      <c r="BS428" s="11">
        <v>23</v>
      </c>
      <c r="BT428" s="11">
        <f>Tabelle5897112140[[#This Row],[Mindestauslastung min]]*Tabelle5897112140[[#This Row],[installierte Leistung MW min]]</f>
        <v>0</v>
      </c>
      <c r="BU428" s="11">
        <f>Tabelle5897112140[[#This Row],[Mindestauslastung durch]]*Tabelle5897112140[[#This Row],[installierte Leistung MW durch]]</f>
        <v>0</v>
      </c>
      <c r="BV428" s="19">
        <f>Tabelle5897112140[[#This Row],[Mindestauslastung max]]*Tabelle5897112140[[#This Row],[installierte Leistung MW max]]</f>
        <v>0</v>
      </c>
      <c r="BW428" s="9">
        <v>0</v>
      </c>
      <c r="BX428" s="9">
        <v>0</v>
      </c>
      <c r="BY428" s="9">
        <v>0</v>
      </c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39">
        <v>0.84802816901408451</v>
      </c>
      <c r="DC428" s="39">
        <v>0.88100558659217887</v>
      </c>
      <c r="DD428" s="39">
        <v>0.91537037037037039</v>
      </c>
      <c r="DE428" s="11">
        <f>Tabelle5897112140[[#This Row],[Durchschnittsauslastung min]]*Tabelle5897112140[[#This Row],[installierte Leistung MW min]]</f>
        <v>120.42</v>
      </c>
      <c r="DF428" s="11">
        <f>Tabelle5897112140[[#This Row],[Durchschnittsauslastung durch]]*Tabelle5897112140[[#This Row],[installierte Leistung MW durch]]</f>
        <v>157.70000000000002</v>
      </c>
      <c r="DG428" s="46">
        <f>Tabelle5897112140[[#This Row],[Durchschnittsauslastung max]]*Tabelle5897112140[[#This Row],[installierte Leistung MW max]]</f>
        <v>197.72</v>
      </c>
      <c r="DH428" s="46">
        <f>Tabelle5897112140[[#This Row],[Maximalauslastung min]]*Tabelle5897112140[[#This Row],[installierte Leistung MW min]]</f>
        <v>135.64000000000001</v>
      </c>
      <c r="DI428" s="46">
        <f>Tabelle5897112140[[#This Row],[Maximalauslastung durch]]*Tabelle5897112140[[#This Row],[installierte Leistung MW durch]]</f>
        <v>172.18</v>
      </c>
      <c r="DJ428" s="11">
        <f>Tabelle5897112140[[#This Row],[Maximalauslastung max]]*Tabelle5897112140[[#This Row],[installierte Leistung MW durch]]</f>
        <v>173.29851851851851</v>
      </c>
      <c r="DK428" s="9">
        <v>0.95521126760563391</v>
      </c>
      <c r="DL428" s="9">
        <v>0.9618994413407822</v>
      </c>
      <c r="DM428" s="9">
        <v>0.96814814814814809</v>
      </c>
      <c r="DN428" s="11">
        <v>179</v>
      </c>
      <c r="DO428" s="11">
        <v>142</v>
      </c>
      <c r="DP428" s="11">
        <v>216</v>
      </c>
      <c r="DQ428" s="1">
        <v>0.1609473929236499</v>
      </c>
      <c r="DR428" s="1">
        <v>2.7777777777777778E-4</v>
      </c>
      <c r="DS428" s="54">
        <v>0.25</v>
      </c>
      <c r="DT428" s="1">
        <v>8.8466014897579132E-2</v>
      </c>
      <c r="DU428" s="1">
        <v>8.3333333333333332E-3</v>
      </c>
      <c r="DV428" s="54">
        <v>0.25</v>
      </c>
      <c r="DW428" s="1">
        <v>3.58659217877095</v>
      </c>
      <c r="DX428" s="1">
        <v>1.6</v>
      </c>
      <c r="DY428" s="54">
        <v>7.2</v>
      </c>
      <c r="DZ428" s="1">
        <v>4.3932960893854744</v>
      </c>
      <c r="EA428" s="1">
        <v>3.1999999999999997</v>
      </c>
      <c r="EB428" s="54">
        <v>6.8000000000000007</v>
      </c>
      <c r="EC428" s="1">
        <v>7.5865921787709496</v>
      </c>
      <c r="ED428" s="1">
        <v>4.3774647887323948</v>
      </c>
      <c r="EE428" s="54">
        <v>4.4037037037037035</v>
      </c>
      <c r="EF428" s="1">
        <v>4.3932960893854744</v>
      </c>
      <c r="EG428" s="1">
        <v>3.1999999999999997</v>
      </c>
      <c r="EH428" s="54">
        <v>6.8000000000000007</v>
      </c>
      <c r="EJ428" s="1" t="s">
        <v>646</v>
      </c>
      <c r="EL428" s="1">
        <v>365</v>
      </c>
      <c r="EM428" s="1">
        <v>328</v>
      </c>
      <c r="EN428" s="1">
        <v>402</v>
      </c>
      <c r="EO428" s="1">
        <v>0</v>
      </c>
      <c r="EP428" s="1">
        <v>0</v>
      </c>
      <c r="EQ428" s="1">
        <v>0</v>
      </c>
      <c r="ER428" s="1">
        <v>50</v>
      </c>
      <c r="ES428" s="1">
        <v>20</v>
      </c>
      <c r="ET428" s="1">
        <v>80</v>
      </c>
      <c r="EU428" s="1">
        <v>1.9129845945488404</v>
      </c>
      <c r="EV428" s="19">
        <v>1.9206145966709349</v>
      </c>
      <c r="EW428" s="19">
        <v>1.9079685746352413</v>
      </c>
      <c r="EX428" s="19">
        <v>176.76767676767676</v>
      </c>
      <c r="EY428" s="8">
        <v>101.01010101010101</v>
      </c>
      <c r="EZ428" s="8">
        <v>252.52525252525254</v>
      </c>
      <c r="FA428" s="8">
        <v>2608.2105975960726</v>
      </c>
      <c r="FB428" s="8">
        <v>1690.083937971262</v>
      </c>
      <c r="FC428" s="8">
        <v>3544.9120838009726</v>
      </c>
      <c r="FD428" s="8">
        <v>0</v>
      </c>
      <c r="FE428" s="8">
        <v>0</v>
      </c>
      <c r="FF428" s="8">
        <v>30.303030303030305</v>
      </c>
      <c r="FG428" s="8">
        <v>37.638959426668926</v>
      </c>
      <c r="FH428" s="8">
        <v>12.804097311139564</v>
      </c>
      <c r="FI428" s="8">
        <v>74.354657687991022</v>
      </c>
      <c r="FJ428" s="8">
        <v>22.222222222222221</v>
      </c>
      <c r="FK428" s="8">
        <v>20.202020202020201</v>
      </c>
      <c r="FL428" s="8">
        <v>24.242424242424242</v>
      </c>
      <c r="FO428" s="1">
        <v>220</v>
      </c>
      <c r="FP428" s="1">
        <v>220</v>
      </c>
      <c r="FR428" s="13" t="s">
        <v>643</v>
      </c>
      <c r="FS428" s="1" t="s">
        <v>643</v>
      </c>
      <c r="FT428" s="13">
        <v>182</v>
      </c>
      <c r="FU428" s="13"/>
      <c r="FV428" s="13">
        <v>182</v>
      </c>
      <c r="FW428" s="13">
        <v>182</v>
      </c>
      <c r="FX428" s="1">
        <v>182</v>
      </c>
      <c r="FY428" s="13" t="s">
        <v>642</v>
      </c>
      <c r="FZ428" s="13" t="s">
        <v>641</v>
      </c>
      <c r="GA428" s="1">
        <v>202</v>
      </c>
      <c r="GB428" s="1">
        <v>202</v>
      </c>
      <c r="GD428" s="1" t="s">
        <v>645</v>
      </c>
      <c r="GE428" s="1">
        <v>211</v>
      </c>
      <c r="GF428" s="1">
        <v>214</v>
      </c>
      <c r="GG428" s="1">
        <v>220</v>
      </c>
      <c r="GH428" s="1">
        <v>214</v>
      </c>
      <c r="GK428" s="1" t="s">
        <v>644</v>
      </c>
    </row>
    <row r="429" spans="1:193" ht="12.75" customHeight="1" x14ac:dyDescent="0.25">
      <c r="A429" s="1" t="s">
        <v>572</v>
      </c>
      <c r="D429" s="1" t="s">
        <v>576</v>
      </c>
      <c r="E429" s="1" t="s">
        <v>126</v>
      </c>
      <c r="F429" s="1">
        <v>1</v>
      </c>
      <c r="G429" s="1">
        <v>2030</v>
      </c>
      <c r="H429" s="1">
        <v>1</v>
      </c>
      <c r="I429" s="1">
        <v>1</v>
      </c>
      <c r="J429" s="1">
        <v>0</v>
      </c>
      <c r="K429" s="11">
        <v>147.51</v>
      </c>
      <c r="L429" s="11">
        <v>158.40000000000003</v>
      </c>
      <c r="M429" s="11">
        <v>169.29</v>
      </c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9"/>
      <c r="BQ429" s="11">
        <v>6.93</v>
      </c>
      <c r="BR429" s="11">
        <v>14.850000000000003</v>
      </c>
      <c r="BS429" s="11">
        <v>22.77</v>
      </c>
      <c r="BT429" s="11">
        <f>Tabelle5897112140[[#This Row],[Mindestauslastung min]]*Tabelle5897112140[[#This Row],[installierte Leistung MW min]]</f>
        <v>0</v>
      </c>
      <c r="BU429" s="11">
        <f>Tabelle5897112140[[#This Row],[Mindestauslastung durch]]*Tabelle5897112140[[#This Row],[installierte Leistung MW durch]]</f>
        <v>0</v>
      </c>
      <c r="BV429" s="19">
        <f>Tabelle5897112140[[#This Row],[Mindestauslastung max]]*Tabelle5897112140[[#This Row],[installierte Leistung MW max]]</f>
        <v>0</v>
      </c>
      <c r="BW429" s="9">
        <v>0</v>
      </c>
      <c r="BX429" s="9">
        <v>0</v>
      </c>
      <c r="BY429" s="9">
        <v>0</v>
      </c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39">
        <v>0.84802816901408451</v>
      </c>
      <c r="DC429" s="39">
        <v>0.88100558659217887</v>
      </c>
      <c r="DD429" s="39">
        <v>0.91537037037037039</v>
      </c>
      <c r="DE429" s="11">
        <f>Tabelle5897112140[[#This Row],[Durchschnittsauslastung min]]*Tabelle5897112140[[#This Row],[installierte Leistung MW min]]</f>
        <v>119.21579999999999</v>
      </c>
      <c r="DF429" s="11">
        <f>Tabelle5897112140[[#This Row],[Durchschnittsauslastung durch]]*Tabelle5897112140[[#This Row],[installierte Leistung MW durch]]</f>
        <v>156.12299999999999</v>
      </c>
      <c r="DG429" s="46">
        <f>Tabelle5897112140[[#This Row],[Durchschnittsauslastung max]]*Tabelle5897112140[[#This Row],[installierte Leistung MW max]]</f>
        <v>195.74280000000002</v>
      </c>
      <c r="DH429" s="46">
        <f>Tabelle5897112140[[#This Row],[Maximalauslastung min]]*Tabelle5897112140[[#This Row],[installierte Leistung MW min]]</f>
        <v>134.28360000000001</v>
      </c>
      <c r="DI429" s="46">
        <f>Tabelle5897112140[[#This Row],[Maximalauslastung durch]]*Tabelle5897112140[[#This Row],[installierte Leistung MW durch]]</f>
        <v>170.45820000000001</v>
      </c>
      <c r="DJ429" s="11">
        <f>Tabelle5897112140[[#This Row],[Maximalauslastung max]]*Tabelle5897112140[[#This Row],[installierte Leistung MW durch]]</f>
        <v>171.56553333333329</v>
      </c>
      <c r="DK429" s="9">
        <v>0.95521126760563391</v>
      </c>
      <c r="DL429" s="9">
        <v>0.9618994413407822</v>
      </c>
      <c r="DM429" s="9">
        <v>0.96814814814814809</v>
      </c>
      <c r="DN429" s="11">
        <v>177.20999999999998</v>
      </c>
      <c r="DO429" s="11">
        <v>140.57999999999998</v>
      </c>
      <c r="DP429" s="11">
        <v>213.84</v>
      </c>
      <c r="DQ429" s="1">
        <v>0.16094739292364993</v>
      </c>
      <c r="DR429" s="1">
        <v>2.7777777777777778E-4</v>
      </c>
      <c r="DS429" s="54">
        <v>0.25</v>
      </c>
      <c r="DT429" s="1">
        <v>8.8466014897579132E-2</v>
      </c>
      <c r="DU429" s="1">
        <v>8.3333333333333332E-3</v>
      </c>
      <c r="DV429" s="54">
        <v>0.25</v>
      </c>
      <c r="DW429" s="1">
        <v>3.5865921787709505</v>
      </c>
      <c r="DX429" s="1">
        <v>1.6</v>
      </c>
      <c r="DY429" s="54">
        <v>7.2</v>
      </c>
      <c r="DZ429" s="1">
        <v>4.3932960893854753</v>
      </c>
      <c r="EA429" s="1">
        <v>3.1999999999999997</v>
      </c>
      <c r="EB429" s="54">
        <v>6.8000000000000007</v>
      </c>
      <c r="EC429" s="1">
        <v>7.5865921787709514</v>
      </c>
      <c r="ED429" s="1">
        <v>4.3774647887323948</v>
      </c>
      <c r="EE429" s="54">
        <v>4.4037037037037035</v>
      </c>
      <c r="EF429" s="1">
        <v>4.3932960893854753</v>
      </c>
      <c r="EG429" s="1">
        <v>3.1999999999999997</v>
      </c>
      <c r="EH429" s="54">
        <v>6.8000000000000007</v>
      </c>
      <c r="EJ429" s="1" t="s">
        <v>646</v>
      </c>
      <c r="EL429" s="1">
        <v>6570</v>
      </c>
      <c r="EM429" s="1">
        <v>4380</v>
      </c>
      <c r="EN429" s="1">
        <v>8760</v>
      </c>
      <c r="EO429" s="1">
        <v>0</v>
      </c>
      <c r="EP429" s="1">
        <v>0</v>
      </c>
      <c r="EQ429" s="1">
        <v>0</v>
      </c>
      <c r="ER429" s="1">
        <v>50.000000000000007</v>
      </c>
      <c r="ES429" s="1">
        <v>20</v>
      </c>
      <c r="ET429" s="1">
        <v>80</v>
      </c>
      <c r="EU429" s="1">
        <v>1.9129845945488406</v>
      </c>
      <c r="EV429" s="19">
        <v>1.9206145966709349</v>
      </c>
      <c r="EW429" s="19">
        <v>1.9079685746352413</v>
      </c>
      <c r="EX429" s="19">
        <v>176.76767676767676</v>
      </c>
      <c r="EY429" s="8">
        <v>101.01010101010102</v>
      </c>
      <c r="EZ429" s="8">
        <v>252.52525252525254</v>
      </c>
      <c r="FA429" s="8">
        <v>2608.2105975960726</v>
      </c>
      <c r="FB429" s="8">
        <v>1690.083937971262</v>
      </c>
      <c r="FC429" s="8">
        <v>3544.9120838009726</v>
      </c>
      <c r="FD429" s="8">
        <v>0</v>
      </c>
      <c r="FE429" s="8">
        <v>0</v>
      </c>
      <c r="FF429" s="8">
        <v>30.303030303030305</v>
      </c>
      <c r="FG429" s="8">
        <v>37.638959426668926</v>
      </c>
      <c r="FH429" s="8">
        <v>12.804097311139568</v>
      </c>
      <c r="FI429" s="8">
        <v>74.354657687991022</v>
      </c>
      <c r="FJ429" s="8">
        <v>22.222222222222221</v>
      </c>
      <c r="FK429" s="8">
        <v>20.202020202020201</v>
      </c>
      <c r="FL429" s="8">
        <v>24.242424242424242</v>
      </c>
      <c r="FO429" s="1">
        <v>220</v>
      </c>
      <c r="FP429" s="1">
        <v>220</v>
      </c>
      <c r="FR429" s="13" t="s">
        <v>643</v>
      </c>
      <c r="FS429" s="1" t="s">
        <v>643</v>
      </c>
      <c r="FT429" s="13">
        <v>182</v>
      </c>
      <c r="FU429" s="13"/>
      <c r="FV429" s="13">
        <v>182</v>
      </c>
      <c r="FW429" s="13">
        <v>182</v>
      </c>
      <c r="FX429" s="1">
        <v>182</v>
      </c>
      <c r="FY429" s="13" t="s">
        <v>642</v>
      </c>
      <c r="FZ429" s="13" t="s">
        <v>641</v>
      </c>
      <c r="GA429" s="1">
        <v>202</v>
      </c>
      <c r="GB429" s="1">
        <v>202</v>
      </c>
      <c r="GD429" s="1" t="s">
        <v>645</v>
      </c>
      <c r="GE429" s="1">
        <v>211</v>
      </c>
      <c r="GF429" s="1">
        <v>214</v>
      </c>
      <c r="GG429" s="1">
        <v>220</v>
      </c>
      <c r="GH429" s="1">
        <v>214</v>
      </c>
      <c r="GK429" s="1" t="s">
        <v>644</v>
      </c>
    </row>
    <row r="430" spans="1:193" ht="12.75" customHeight="1" x14ac:dyDescent="0.25">
      <c r="A430" s="1" t="s">
        <v>572</v>
      </c>
      <c r="D430" s="1" t="s">
        <v>576</v>
      </c>
      <c r="E430" s="1" t="s">
        <v>126</v>
      </c>
      <c r="F430" s="1">
        <v>1</v>
      </c>
      <c r="G430" s="1">
        <v>2035</v>
      </c>
      <c r="H430" s="1">
        <v>1</v>
      </c>
      <c r="I430" s="1">
        <v>1</v>
      </c>
      <c r="J430" s="1">
        <v>0</v>
      </c>
      <c r="K430" s="11">
        <v>146.02000000000001</v>
      </c>
      <c r="L430" s="11">
        <v>156.80000000000001</v>
      </c>
      <c r="M430" s="11">
        <v>167.57999999999998</v>
      </c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9"/>
      <c r="BQ430" s="11">
        <v>6.8599999999999994</v>
      </c>
      <c r="BR430" s="11">
        <v>14.7</v>
      </c>
      <c r="BS430" s="11">
        <v>22.54</v>
      </c>
      <c r="BT430" s="11">
        <f>Tabelle5897112140[[#This Row],[Mindestauslastung min]]*Tabelle5897112140[[#This Row],[installierte Leistung MW min]]</f>
        <v>0</v>
      </c>
      <c r="BU430" s="11">
        <f>Tabelle5897112140[[#This Row],[Mindestauslastung durch]]*Tabelle5897112140[[#This Row],[installierte Leistung MW durch]]</f>
        <v>0</v>
      </c>
      <c r="BV430" s="19">
        <f>Tabelle5897112140[[#This Row],[Mindestauslastung max]]*Tabelle5897112140[[#This Row],[installierte Leistung MW max]]</f>
        <v>0</v>
      </c>
      <c r="BW430" s="9">
        <v>0</v>
      </c>
      <c r="BX430" s="9">
        <v>0</v>
      </c>
      <c r="BY430" s="9">
        <v>0</v>
      </c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39">
        <v>0.84802816901408451</v>
      </c>
      <c r="DC430" s="39">
        <v>0.88100558659217865</v>
      </c>
      <c r="DD430" s="39">
        <v>0.91537037037037028</v>
      </c>
      <c r="DE430" s="11">
        <f>Tabelle5897112140[[#This Row],[Durchschnittsauslastung min]]*Tabelle5897112140[[#This Row],[installierte Leistung MW min]]</f>
        <v>118.0116</v>
      </c>
      <c r="DF430" s="11">
        <f>Tabelle5897112140[[#This Row],[Durchschnittsauslastung durch]]*Tabelle5897112140[[#This Row],[installierte Leistung MW durch]]</f>
        <v>154.54599999999999</v>
      </c>
      <c r="DG430" s="46">
        <f>Tabelle5897112140[[#This Row],[Durchschnittsauslastung max]]*Tabelle5897112140[[#This Row],[installierte Leistung MW max]]</f>
        <v>193.76559999999998</v>
      </c>
      <c r="DH430" s="46">
        <f>Tabelle5897112140[[#This Row],[Maximalauslastung min]]*Tabelle5897112140[[#This Row],[installierte Leistung MW min]]</f>
        <v>132.9272</v>
      </c>
      <c r="DI430" s="46">
        <f>Tabelle5897112140[[#This Row],[Maximalauslastung durch]]*Tabelle5897112140[[#This Row],[installierte Leistung MW durch]]</f>
        <v>168.73640000000003</v>
      </c>
      <c r="DJ430" s="11">
        <f>Tabelle5897112140[[#This Row],[Maximalauslastung max]]*Tabelle5897112140[[#This Row],[installierte Leistung MW durch]]</f>
        <v>169.83254814814816</v>
      </c>
      <c r="DK430" s="9">
        <v>0.95521126760563391</v>
      </c>
      <c r="DL430" s="9">
        <v>0.9618994413407822</v>
      </c>
      <c r="DM430" s="9">
        <v>0.96814814814814809</v>
      </c>
      <c r="DN430" s="11">
        <v>175.42000000000002</v>
      </c>
      <c r="DO430" s="11">
        <v>139.16</v>
      </c>
      <c r="DP430" s="11">
        <v>211.68</v>
      </c>
      <c r="DQ430" s="1">
        <v>0.1609473929236499</v>
      </c>
      <c r="DR430" s="1">
        <v>2.7777777777777778E-4</v>
      </c>
      <c r="DS430" s="54">
        <v>0.25</v>
      </c>
      <c r="DT430" s="1">
        <v>8.8466014897579132E-2</v>
      </c>
      <c r="DU430" s="1">
        <v>8.3333333333333332E-3</v>
      </c>
      <c r="DV430" s="54">
        <v>0.25</v>
      </c>
      <c r="DW430" s="1">
        <v>3.5865921787709496</v>
      </c>
      <c r="DX430" s="1">
        <v>1.6</v>
      </c>
      <c r="DY430" s="54">
        <v>7.2</v>
      </c>
      <c r="DZ430" s="1">
        <v>4.3932960893854744</v>
      </c>
      <c r="EA430" s="1">
        <v>3.1999999999999997</v>
      </c>
      <c r="EB430" s="54">
        <v>6.8000000000000007</v>
      </c>
      <c r="EC430" s="1">
        <v>7.5865921787709496</v>
      </c>
      <c r="ED430" s="1">
        <v>4.3774647887323948</v>
      </c>
      <c r="EE430" s="54">
        <v>4.4037037037037035</v>
      </c>
      <c r="EF430" s="1">
        <v>4.3932960893854744</v>
      </c>
      <c r="EG430" s="1">
        <v>3.1999999999999997</v>
      </c>
      <c r="EH430" s="54">
        <v>6.8000000000000007</v>
      </c>
      <c r="EJ430" s="1" t="s">
        <v>646</v>
      </c>
      <c r="EL430" s="1">
        <v>50</v>
      </c>
      <c r="EM430" s="1">
        <v>20</v>
      </c>
      <c r="EN430" s="1">
        <v>80</v>
      </c>
      <c r="EO430" s="1">
        <v>0</v>
      </c>
      <c r="EP430" s="1">
        <v>0</v>
      </c>
      <c r="EQ430" s="1">
        <v>0</v>
      </c>
      <c r="ER430" s="1">
        <v>50</v>
      </c>
      <c r="ES430" s="1">
        <v>20</v>
      </c>
      <c r="ET430" s="1">
        <v>80</v>
      </c>
      <c r="EU430" s="1">
        <v>1.9129845945488404</v>
      </c>
      <c r="EV430" s="19">
        <v>1.9206145966709349</v>
      </c>
      <c r="EW430" s="19">
        <v>1.9079685746352413</v>
      </c>
      <c r="EX430" s="19">
        <v>176.76767676767676</v>
      </c>
      <c r="EY430" s="8">
        <v>101.01010101010101</v>
      </c>
      <c r="EZ430" s="8">
        <v>252.52525252525254</v>
      </c>
      <c r="FA430" s="8">
        <v>2608.2105975960721</v>
      </c>
      <c r="FB430" s="8">
        <v>1690.083937971262</v>
      </c>
      <c r="FC430" s="8">
        <v>3544.9120838009726</v>
      </c>
      <c r="FD430" s="8">
        <v>0</v>
      </c>
      <c r="FE430" s="8">
        <v>0</v>
      </c>
      <c r="FF430" s="8">
        <v>30.303030303030305</v>
      </c>
      <c r="FG430" s="8">
        <v>37.638959426668926</v>
      </c>
      <c r="FH430" s="8">
        <v>12.804097311139564</v>
      </c>
      <c r="FI430" s="8">
        <v>74.354657687991022</v>
      </c>
      <c r="FJ430" s="8">
        <v>22.222222222222221</v>
      </c>
      <c r="FK430" s="8">
        <v>20.202020202020201</v>
      </c>
      <c r="FL430" s="8">
        <v>24.242424242424242</v>
      </c>
      <c r="FO430" s="1">
        <v>220</v>
      </c>
      <c r="FP430" s="1">
        <v>220</v>
      </c>
      <c r="FR430" s="13" t="s">
        <v>643</v>
      </c>
      <c r="FS430" s="1" t="s">
        <v>643</v>
      </c>
      <c r="FT430" s="13">
        <v>182</v>
      </c>
      <c r="FU430" s="13"/>
      <c r="FV430" s="13">
        <v>182</v>
      </c>
      <c r="FW430" s="13">
        <v>182</v>
      </c>
      <c r="FX430" s="1">
        <v>182</v>
      </c>
      <c r="FY430" s="13" t="s">
        <v>642</v>
      </c>
      <c r="FZ430" s="13" t="s">
        <v>641</v>
      </c>
      <c r="GA430" s="1">
        <v>202</v>
      </c>
      <c r="GB430" s="1">
        <v>202</v>
      </c>
      <c r="GD430" s="1" t="s">
        <v>645</v>
      </c>
      <c r="GE430" s="1">
        <v>211</v>
      </c>
      <c r="GF430" s="1">
        <v>214</v>
      </c>
      <c r="GG430" s="1">
        <v>220</v>
      </c>
      <c r="GH430" s="1">
        <v>214</v>
      </c>
      <c r="GK430" s="1" t="s">
        <v>644</v>
      </c>
    </row>
    <row r="431" spans="1:193" ht="12.75" customHeight="1" x14ac:dyDescent="0.25">
      <c r="A431" s="1" t="s">
        <v>572</v>
      </c>
      <c r="D431" s="1" t="s">
        <v>576</v>
      </c>
      <c r="E431" s="1" t="s">
        <v>126</v>
      </c>
      <c r="F431" s="1">
        <v>1</v>
      </c>
      <c r="G431" s="1">
        <v>2040</v>
      </c>
      <c r="H431" s="1">
        <v>1</v>
      </c>
      <c r="I431" s="1">
        <v>1</v>
      </c>
      <c r="J431" s="1">
        <v>0</v>
      </c>
      <c r="K431" s="11">
        <v>143.04</v>
      </c>
      <c r="L431" s="11">
        <v>153.60000000000002</v>
      </c>
      <c r="M431" s="11">
        <v>164.16</v>
      </c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9"/>
      <c r="BQ431" s="11">
        <v>6.72</v>
      </c>
      <c r="BR431" s="11">
        <v>14.400000000000002</v>
      </c>
      <c r="BS431" s="11">
        <v>22.08</v>
      </c>
      <c r="BT431" s="11">
        <f>Tabelle5897112140[[#This Row],[Mindestauslastung min]]*Tabelle5897112140[[#This Row],[installierte Leistung MW min]]</f>
        <v>0</v>
      </c>
      <c r="BU431" s="11">
        <f>Tabelle5897112140[[#This Row],[Mindestauslastung durch]]*Tabelle5897112140[[#This Row],[installierte Leistung MW durch]]</f>
        <v>0</v>
      </c>
      <c r="BV431" s="19">
        <f>Tabelle5897112140[[#This Row],[Mindestauslastung max]]*Tabelle5897112140[[#This Row],[installierte Leistung MW max]]</f>
        <v>0</v>
      </c>
      <c r="BW431" s="9">
        <v>0</v>
      </c>
      <c r="BX431" s="9">
        <v>0</v>
      </c>
      <c r="BY431" s="9">
        <v>0</v>
      </c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39">
        <v>0.84802816901408451</v>
      </c>
      <c r="DC431" s="39">
        <v>0.88100558659217887</v>
      </c>
      <c r="DD431" s="39">
        <v>0.91537037037037039</v>
      </c>
      <c r="DE431" s="11">
        <f>Tabelle5897112140[[#This Row],[Durchschnittsauslastung min]]*Tabelle5897112140[[#This Row],[installierte Leistung MW min]]</f>
        <v>115.6032</v>
      </c>
      <c r="DF431" s="11">
        <f>Tabelle5897112140[[#This Row],[Durchschnittsauslastung durch]]*Tabelle5897112140[[#This Row],[installierte Leistung MW durch]]</f>
        <v>151.392</v>
      </c>
      <c r="DG431" s="46">
        <f>Tabelle5897112140[[#This Row],[Durchschnittsauslastung max]]*Tabelle5897112140[[#This Row],[installierte Leistung MW max]]</f>
        <v>189.81119999999999</v>
      </c>
      <c r="DH431" s="46">
        <f>Tabelle5897112140[[#This Row],[Maximalauslastung min]]*Tabelle5897112140[[#This Row],[installierte Leistung MW min]]</f>
        <v>130.21440000000001</v>
      </c>
      <c r="DI431" s="46">
        <f>Tabelle5897112140[[#This Row],[Maximalauslastung durch]]*Tabelle5897112140[[#This Row],[installierte Leistung MW durch]]</f>
        <v>165.2928</v>
      </c>
      <c r="DJ431" s="11">
        <f>Tabelle5897112140[[#This Row],[Maximalauslastung max]]*Tabelle5897112140[[#This Row],[installierte Leistung MW durch]]</f>
        <v>166.36657777777774</v>
      </c>
      <c r="DK431" s="9">
        <v>0.95521126760563391</v>
      </c>
      <c r="DL431" s="9">
        <v>0.9618994413407822</v>
      </c>
      <c r="DM431" s="9">
        <v>0.96814814814814809</v>
      </c>
      <c r="DN431" s="11">
        <v>171.83999999999997</v>
      </c>
      <c r="DO431" s="11">
        <v>136.32</v>
      </c>
      <c r="DP431" s="11">
        <v>207.35999999999999</v>
      </c>
      <c r="DQ431" s="1">
        <v>0.16094739292364993</v>
      </c>
      <c r="DR431" s="1">
        <v>2.7777777777777778E-4</v>
      </c>
      <c r="DS431" s="54">
        <v>0.25</v>
      </c>
      <c r="DT431" s="1">
        <v>8.8466014897579132E-2</v>
      </c>
      <c r="DU431" s="1">
        <v>8.3333333333333332E-3</v>
      </c>
      <c r="DV431" s="54">
        <v>0.25</v>
      </c>
      <c r="DW431" s="1">
        <v>3.58659217877095</v>
      </c>
      <c r="DX431" s="1">
        <v>1.6</v>
      </c>
      <c r="DY431" s="54">
        <v>7.2</v>
      </c>
      <c r="DZ431" s="1">
        <v>4.3932960893854753</v>
      </c>
      <c r="EA431" s="1">
        <v>3.1999999999999997</v>
      </c>
      <c r="EB431" s="54">
        <v>6.8000000000000007</v>
      </c>
      <c r="EC431" s="1">
        <v>7.5865921787709496</v>
      </c>
      <c r="ED431" s="1">
        <v>4.3774647887323948</v>
      </c>
      <c r="EE431" s="54">
        <v>4.4037037037037035</v>
      </c>
      <c r="EF431" s="1">
        <v>4.3932960893854753</v>
      </c>
      <c r="EG431" s="1">
        <v>3.1999999999999997</v>
      </c>
      <c r="EH431" s="54">
        <v>6.8000000000000007</v>
      </c>
      <c r="EJ431" s="1" t="s">
        <v>646</v>
      </c>
      <c r="EL431" s="1">
        <v>365</v>
      </c>
      <c r="EM431" s="1">
        <v>328</v>
      </c>
      <c r="EN431" s="1">
        <v>402</v>
      </c>
      <c r="EO431" s="1">
        <v>0</v>
      </c>
      <c r="EP431" s="1">
        <v>0</v>
      </c>
      <c r="EQ431" s="1">
        <v>0</v>
      </c>
      <c r="ER431" s="1">
        <v>50.000000000000007</v>
      </c>
      <c r="ES431" s="1">
        <v>20</v>
      </c>
      <c r="ET431" s="1">
        <v>80</v>
      </c>
      <c r="EU431" s="1">
        <v>1.9129845945488404</v>
      </c>
      <c r="EV431" s="19">
        <v>1.9206145966709349</v>
      </c>
      <c r="EW431" s="19">
        <v>1.9079685746352413</v>
      </c>
      <c r="EX431" s="19">
        <v>176.76767676767679</v>
      </c>
      <c r="EY431" s="8">
        <v>101.01010101010101</v>
      </c>
      <c r="EZ431" s="8">
        <v>252.52525252525254</v>
      </c>
      <c r="FA431" s="8">
        <v>2608.2105975960726</v>
      </c>
      <c r="FB431" s="8">
        <v>1690.083937971262</v>
      </c>
      <c r="FC431" s="8">
        <v>3544.9120838009726</v>
      </c>
      <c r="FD431" s="8">
        <v>0</v>
      </c>
      <c r="FE431" s="8">
        <v>0</v>
      </c>
      <c r="FF431" s="8">
        <v>30.303030303030305</v>
      </c>
      <c r="FG431" s="8">
        <v>37.638959426668933</v>
      </c>
      <c r="FH431" s="8">
        <v>12.804097311139564</v>
      </c>
      <c r="FI431" s="8">
        <v>74.354657687991022</v>
      </c>
      <c r="FJ431" s="8">
        <v>22.222222222222221</v>
      </c>
      <c r="FK431" s="8">
        <v>20.202020202020201</v>
      </c>
      <c r="FL431" s="8">
        <v>24.242424242424242</v>
      </c>
      <c r="FO431" s="1">
        <v>220</v>
      </c>
      <c r="FP431" s="1">
        <v>220</v>
      </c>
      <c r="FR431" s="13" t="s">
        <v>643</v>
      </c>
      <c r="FS431" s="1" t="s">
        <v>643</v>
      </c>
      <c r="FT431" s="13">
        <v>182</v>
      </c>
      <c r="FU431" s="13"/>
      <c r="FV431" s="13">
        <v>182</v>
      </c>
      <c r="FW431" s="13">
        <v>182</v>
      </c>
      <c r="FX431" s="1">
        <v>182</v>
      </c>
      <c r="FY431" s="13" t="s">
        <v>642</v>
      </c>
      <c r="FZ431" s="13" t="s">
        <v>641</v>
      </c>
      <c r="GA431" s="1">
        <v>202</v>
      </c>
      <c r="GB431" s="1">
        <v>202</v>
      </c>
      <c r="GD431" s="1" t="s">
        <v>645</v>
      </c>
      <c r="GE431" s="1">
        <v>211</v>
      </c>
      <c r="GF431" s="1">
        <v>214</v>
      </c>
      <c r="GG431" s="1">
        <v>220</v>
      </c>
      <c r="GH431" s="1">
        <v>214</v>
      </c>
      <c r="GK431" s="1" t="s">
        <v>644</v>
      </c>
    </row>
    <row r="432" spans="1:193" ht="12.75" customHeight="1" x14ac:dyDescent="0.25">
      <c r="A432" s="1" t="s">
        <v>572</v>
      </c>
      <c r="D432" s="1" t="s">
        <v>576</v>
      </c>
      <c r="E432" s="1" t="s">
        <v>126</v>
      </c>
      <c r="F432" s="1">
        <v>1</v>
      </c>
      <c r="G432" s="1">
        <v>2045</v>
      </c>
      <c r="H432" s="1">
        <v>1</v>
      </c>
      <c r="I432" s="1">
        <v>1</v>
      </c>
      <c r="J432" s="1">
        <v>0</v>
      </c>
      <c r="K432" s="11">
        <v>141.54999999999995</v>
      </c>
      <c r="L432" s="11">
        <v>152</v>
      </c>
      <c r="M432" s="11">
        <v>162.44999999999999</v>
      </c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9"/>
      <c r="BQ432" s="11">
        <v>6.6499999999999986</v>
      </c>
      <c r="BR432" s="11">
        <v>14.25</v>
      </c>
      <c r="BS432" s="11">
        <v>21.849999999999998</v>
      </c>
      <c r="BT432" s="11">
        <f>Tabelle5897112140[[#This Row],[Mindestauslastung min]]*Tabelle5897112140[[#This Row],[installierte Leistung MW min]]</f>
        <v>0</v>
      </c>
      <c r="BU432" s="11">
        <f>Tabelle5897112140[[#This Row],[Mindestauslastung durch]]*Tabelle5897112140[[#This Row],[installierte Leistung MW durch]]</f>
        <v>0</v>
      </c>
      <c r="BV432" s="19">
        <f>Tabelle5897112140[[#This Row],[Mindestauslastung max]]*Tabelle5897112140[[#This Row],[installierte Leistung MW max]]</f>
        <v>0</v>
      </c>
      <c r="BW432" s="9">
        <v>0</v>
      </c>
      <c r="BX432" s="9">
        <v>0</v>
      </c>
      <c r="BY432" s="9">
        <v>0</v>
      </c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39">
        <v>0.84802816901408429</v>
      </c>
      <c r="DC432" s="39">
        <v>0.88100558659217865</v>
      </c>
      <c r="DD432" s="39">
        <v>0.91537037037037028</v>
      </c>
      <c r="DE432" s="11">
        <f>Tabelle5897112140[[#This Row],[Durchschnittsauslastung min]]*Tabelle5897112140[[#This Row],[installierte Leistung MW min]]</f>
        <v>114.39899999999997</v>
      </c>
      <c r="DF432" s="11">
        <f>Tabelle5897112140[[#This Row],[Durchschnittsauslastung durch]]*Tabelle5897112140[[#This Row],[installierte Leistung MW durch]]</f>
        <v>149.815</v>
      </c>
      <c r="DG432" s="46">
        <f>Tabelle5897112140[[#This Row],[Durchschnittsauslastung max]]*Tabelle5897112140[[#This Row],[installierte Leistung MW max]]</f>
        <v>187.83399999999997</v>
      </c>
      <c r="DH432" s="46">
        <f>Tabelle5897112140[[#This Row],[Maximalauslastung min]]*Tabelle5897112140[[#This Row],[installierte Leistung MW min]]</f>
        <v>128.85799999999998</v>
      </c>
      <c r="DI432" s="46">
        <f>Tabelle5897112140[[#This Row],[Maximalauslastung durch]]*Tabelle5897112140[[#This Row],[installierte Leistung MW durch]]</f>
        <v>163.57100000000003</v>
      </c>
      <c r="DJ432" s="11">
        <f>Tabelle5897112140[[#This Row],[Maximalauslastung max]]*Tabelle5897112140[[#This Row],[installierte Leistung MW durch]]</f>
        <v>164.63359259259261</v>
      </c>
      <c r="DK432" s="9">
        <v>0.95521126760563357</v>
      </c>
      <c r="DL432" s="9">
        <v>0.9618994413407822</v>
      </c>
      <c r="DM432" s="9">
        <v>0.96814814814814809</v>
      </c>
      <c r="DN432" s="11">
        <v>170.05</v>
      </c>
      <c r="DO432" s="11">
        <v>134.9</v>
      </c>
      <c r="DP432" s="11">
        <v>205.2</v>
      </c>
      <c r="DQ432" s="1">
        <v>0.1609473929236499</v>
      </c>
      <c r="DR432" s="1">
        <v>2.7777777777777778E-4</v>
      </c>
      <c r="DS432" s="54">
        <v>0.25</v>
      </c>
      <c r="DT432" s="1">
        <v>8.8466014897579132E-2</v>
      </c>
      <c r="DU432" s="1">
        <v>8.3333333333333332E-3</v>
      </c>
      <c r="DV432" s="54">
        <v>0.25</v>
      </c>
      <c r="DW432" s="1">
        <v>3.5865921787709496</v>
      </c>
      <c r="DX432" s="1">
        <v>1.6</v>
      </c>
      <c r="DY432" s="54">
        <v>7.2</v>
      </c>
      <c r="DZ432" s="1">
        <v>4.3932960893854744</v>
      </c>
      <c r="EA432" s="1">
        <v>3.1999999999999997</v>
      </c>
      <c r="EB432" s="54">
        <v>6.8000000000000007</v>
      </c>
      <c r="EC432" s="1">
        <v>7.5865921787709496</v>
      </c>
      <c r="ED432" s="1">
        <v>4.3774647887323939</v>
      </c>
      <c r="EE432" s="54">
        <v>4.4037037037037035</v>
      </c>
      <c r="EF432" s="1">
        <v>4.3932960893854744</v>
      </c>
      <c r="EG432" s="1">
        <v>3.1999999999999997</v>
      </c>
      <c r="EH432" s="54">
        <v>6.8000000000000007</v>
      </c>
      <c r="EJ432" s="1" t="s">
        <v>646</v>
      </c>
      <c r="EL432" s="1">
        <v>639</v>
      </c>
      <c r="EM432" s="1">
        <v>575</v>
      </c>
      <c r="EN432" s="1">
        <v>703</v>
      </c>
      <c r="EO432" s="1">
        <v>0</v>
      </c>
      <c r="EP432" s="1">
        <v>0</v>
      </c>
      <c r="EQ432" s="1">
        <v>0</v>
      </c>
      <c r="ER432" s="1">
        <v>50</v>
      </c>
      <c r="ES432" s="1">
        <v>19.999999999999996</v>
      </c>
      <c r="ET432" s="1">
        <v>80</v>
      </c>
      <c r="EU432" s="1">
        <v>1.9129845945488404</v>
      </c>
      <c r="EV432" s="19">
        <v>1.9206145966709345</v>
      </c>
      <c r="EW432" s="19">
        <v>1.9079685746352413</v>
      </c>
      <c r="EX432" s="19">
        <v>176.76767676767676</v>
      </c>
      <c r="EY432" s="8">
        <v>101.010101010101</v>
      </c>
      <c r="EZ432" s="8">
        <v>252.52525252525254</v>
      </c>
      <c r="FA432" s="8">
        <v>2608.2105975960721</v>
      </c>
      <c r="FB432" s="8">
        <v>1690.0839379712615</v>
      </c>
      <c r="FC432" s="8">
        <v>3544.9120838009726</v>
      </c>
      <c r="FD432" s="8">
        <v>0</v>
      </c>
      <c r="FE432" s="8">
        <v>0</v>
      </c>
      <c r="FF432" s="8">
        <v>30.303030303030305</v>
      </c>
      <c r="FG432" s="8">
        <v>37.638959426668926</v>
      </c>
      <c r="FH432" s="8">
        <v>12.804097311139564</v>
      </c>
      <c r="FI432" s="8">
        <v>74.354657687991022</v>
      </c>
      <c r="FJ432" s="8">
        <v>22.222222222222221</v>
      </c>
      <c r="FK432" s="8">
        <v>20.202020202020197</v>
      </c>
      <c r="FL432" s="8">
        <v>24.242424242424242</v>
      </c>
      <c r="FO432" s="1">
        <v>220</v>
      </c>
      <c r="FP432" s="1">
        <v>220</v>
      </c>
      <c r="FR432" s="13" t="s">
        <v>643</v>
      </c>
      <c r="FS432" s="1" t="s">
        <v>643</v>
      </c>
      <c r="FT432" s="13">
        <v>182</v>
      </c>
      <c r="FU432" s="13"/>
      <c r="FV432" s="13">
        <v>182</v>
      </c>
      <c r="FW432" s="13">
        <v>182</v>
      </c>
      <c r="FX432" s="1">
        <v>182</v>
      </c>
      <c r="FY432" s="13" t="s">
        <v>642</v>
      </c>
      <c r="FZ432" s="13" t="s">
        <v>641</v>
      </c>
      <c r="GA432" s="1">
        <v>202</v>
      </c>
      <c r="GB432" s="1">
        <v>202</v>
      </c>
      <c r="GD432" s="1" t="s">
        <v>645</v>
      </c>
      <c r="GE432" s="1">
        <v>211</v>
      </c>
      <c r="GF432" s="1">
        <v>214</v>
      </c>
      <c r="GG432" s="1">
        <v>220</v>
      </c>
      <c r="GH432" s="1">
        <v>214</v>
      </c>
      <c r="GK432" s="1" t="s">
        <v>644</v>
      </c>
    </row>
    <row r="433" spans="1:193" ht="12.75" customHeight="1" x14ac:dyDescent="0.25">
      <c r="A433" s="1" t="s">
        <v>572</v>
      </c>
      <c r="D433" s="1" t="s">
        <v>576</v>
      </c>
      <c r="E433" s="1" t="s">
        <v>126</v>
      </c>
      <c r="F433" s="1">
        <v>1</v>
      </c>
      <c r="G433" s="1">
        <v>2050</v>
      </c>
      <c r="H433" s="1">
        <v>1</v>
      </c>
      <c r="I433" s="1">
        <v>1</v>
      </c>
      <c r="J433" s="1">
        <v>0</v>
      </c>
      <c r="K433" s="11">
        <v>140.06</v>
      </c>
      <c r="L433" s="11">
        <v>150.39999999999998</v>
      </c>
      <c r="M433" s="11">
        <v>160.73999999999998</v>
      </c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9"/>
      <c r="BQ433" s="11">
        <v>6.58</v>
      </c>
      <c r="BR433" s="11">
        <v>14.099999999999998</v>
      </c>
      <c r="BS433" s="11">
        <v>21.619999999999997</v>
      </c>
      <c r="BT433" s="11">
        <f>Tabelle5897112140[[#This Row],[Mindestauslastung min]]*Tabelle5897112140[[#This Row],[installierte Leistung MW min]]</f>
        <v>0</v>
      </c>
      <c r="BU433" s="11">
        <f>Tabelle5897112140[[#This Row],[Mindestauslastung durch]]*Tabelle5897112140[[#This Row],[installierte Leistung MW durch]]</f>
        <v>0</v>
      </c>
      <c r="BV433" s="19">
        <f>Tabelle5897112140[[#This Row],[Mindestauslastung max]]*Tabelle5897112140[[#This Row],[installierte Leistung MW max]]</f>
        <v>0</v>
      </c>
      <c r="BW433" s="9">
        <v>0</v>
      </c>
      <c r="BX433" s="9">
        <v>0</v>
      </c>
      <c r="BY433" s="9">
        <v>0</v>
      </c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39">
        <v>0.84802816901408451</v>
      </c>
      <c r="DC433" s="39">
        <v>0.88100558659217865</v>
      </c>
      <c r="DD433" s="39">
        <v>0.91537037037037039</v>
      </c>
      <c r="DE433" s="11">
        <f>Tabelle5897112140[[#This Row],[Durchschnittsauslastung min]]*Tabelle5897112140[[#This Row],[installierte Leistung MW min]]</f>
        <v>113.19479999999999</v>
      </c>
      <c r="DF433" s="11">
        <f>Tabelle5897112140[[#This Row],[Durchschnittsauslastung durch]]*Tabelle5897112140[[#This Row],[installierte Leistung MW durch]]</f>
        <v>148.23799999999997</v>
      </c>
      <c r="DG433" s="46">
        <f>Tabelle5897112140[[#This Row],[Durchschnittsauslastung max]]*Tabelle5897112140[[#This Row],[installierte Leistung MW max]]</f>
        <v>185.85679999999999</v>
      </c>
      <c r="DH433" s="46">
        <f>Tabelle5897112140[[#This Row],[Maximalauslastung min]]*Tabelle5897112140[[#This Row],[installierte Leistung MW min]]</f>
        <v>127.50160000000001</v>
      </c>
      <c r="DI433" s="46">
        <f>Tabelle5897112140[[#This Row],[Maximalauslastung durch]]*Tabelle5897112140[[#This Row],[installierte Leistung MW durch]]</f>
        <v>161.8492</v>
      </c>
      <c r="DJ433" s="11">
        <f>Tabelle5897112140[[#This Row],[Maximalauslastung max]]*Tabelle5897112140[[#This Row],[installierte Leistung MW durch]]</f>
        <v>162.90060740740739</v>
      </c>
      <c r="DK433" s="9">
        <v>0.95521126760563391</v>
      </c>
      <c r="DL433" s="9">
        <v>0.9618994413407822</v>
      </c>
      <c r="DM433" s="9">
        <v>0.96814814814814809</v>
      </c>
      <c r="DN433" s="11">
        <v>168.26</v>
      </c>
      <c r="DO433" s="11">
        <v>133.47999999999999</v>
      </c>
      <c r="DP433" s="11">
        <v>203.04</v>
      </c>
      <c r="DQ433" s="1">
        <v>0.1609473929236499</v>
      </c>
      <c r="DR433" s="1">
        <v>2.7777777777777778E-4</v>
      </c>
      <c r="DS433" s="54">
        <v>0.25</v>
      </c>
      <c r="DT433" s="1">
        <v>8.8466014897579132E-2</v>
      </c>
      <c r="DU433" s="1">
        <v>8.3333333333333332E-3</v>
      </c>
      <c r="DV433" s="54">
        <v>0.25</v>
      </c>
      <c r="DW433" s="1">
        <v>3.5865921787709496</v>
      </c>
      <c r="DX433" s="1">
        <v>1.6</v>
      </c>
      <c r="DY433" s="54">
        <v>7.2</v>
      </c>
      <c r="DZ433" s="1">
        <v>4.3932960893854744</v>
      </c>
      <c r="EA433" s="1">
        <v>3.1999999999999997</v>
      </c>
      <c r="EB433" s="54">
        <v>6.8000000000000007</v>
      </c>
      <c r="EC433" s="1">
        <v>7.5865921787709496</v>
      </c>
      <c r="ED433" s="1">
        <v>4.3774647887323948</v>
      </c>
      <c r="EE433" s="54">
        <v>4.4037037037037035</v>
      </c>
      <c r="EF433" s="1">
        <v>4.3932960893854744</v>
      </c>
      <c r="EG433" s="1">
        <v>3.1999999999999997</v>
      </c>
      <c r="EH433" s="54">
        <v>6.8000000000000007</v>
      </c>
      <c r="EJ433" s="1" t="s">
        <v>646</v>
      </c>
      <c r="EL433" s="1">
        <v>365</v>
      </c>
      <c r="EM433" s="1">
        <v>328</v>
      </c>
      <c r="EN433" s="1">
        <v>402</v>
      </c>
      <c r="EO433" s="1">
        <v>0</v>
      </c>
      <c r="EP433" s="1">
        <v>0</v>
      </c>
      <c r="EQ433" s="1">
        <v>0</v>
      </c>
      <c r="ER433" s="1">
        <v>50</v>
      </c>
      <c r="ES433" s="1">
        <v>20</v>
      </c>
      <c r="ET433" s="1">
        <v>80</v>
      </c>
      <c r="EU433" s="1">
        <v>1.9129845945488404</v>
      </c>
      <c r="EV433" s="19">
        <v>1.9206145966709349</v>
      </c>
      <c r="EW433" s="19">
        <v>1.9079685746352415</v>
      </c>
      <c r="EX433" s="19">
        <v>176.76767676767676</v>
      </c>
      <c r="EY433" s="8">
        <v>101.01010101010101</v>
      </c>
      <c r="EZ433" s="8">
        <v>252.52525252525254</v>
      </c>
      <c r="FA433" s="8">
        <v>2608.2105975960721</v>
      </c>
      <c r="FB433" s="8">
        <v>1690.083937971262</v>
      </c>
      <c r="FC433" s="8">
        <v>3544.9120838009726</v>
      </c>
      <c r="FD433" s="8">
        <v>0</v>
      </c>
      <c r="FE433" s="8">
        <v>0</v>
      </c>
      <c r="FF433" s="8">
        <v>30.303030303030305</v>
      </c>
      <c r="FG433" s="8">
        <v>37.638959426668926</v>
      </c>
      <c r="FH433" s="8">
        <v>12.804097311139568</v>
      </c>
      <c r="FI433" s="8">
        <v>74.354657687991022</v>
      </c>
      <c r="FJ433" s="8">
        <v>22.222222222222221</v>
      </c>
      <c r="FK433" s="8">
        <v>20.202020202020201</v>
      </c>
      <c r="FL433" s="8">
        <v>24.242424242424242</v>
      </c>
      <c r="FO433" s="1">
        <v>220</v>
      </c>
      <c r="FP433" s="1">
        <v>220</v>
      </c>
      <c r="FR433" s="13" t="s">
        <v>643</v>
      </c>
      <c r="FS433" s="1" t="s">
        <v>643</v>
      </c>
      <c r="FT433" s="13">
        <v>182</v>
      </c>
      <c r="FU433" s="13"/>
      <c r="FV433" s="13">
        <v>182</v>
      </c>
      <c r="FW433" s="13">
        <v>182</v>
      </c>
      <c r="FX433" s="1">
        <v>182</v>
      </c>
      <c r="FY433" s="13" t="s">
        <v>642</v>
      </c>
      <c r="FZ433" s="13" t="s">
        <v>641</v>
      </c>
      <c r="GA433" s="1">
        <v>202</v>
      </c>
      <c r="GB433" s="1">
        <v>202</v>
      </c>
      <c r="GD433" s="1" t="s">
        <v>645</v>
      </c>
      <c r="GE433" s="1">
        <v>211</v>
      </c>
      <c r="GF433" s="1">
        <v>214</v>
      </c>
      <c r="GG433" s="1">
        <v>220</v>
      </c>
      <c r="GH433" s="1">
        <v>214</v>
      </c>
      <c r="GK433" s="1" t="s">
        <v>644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5C174A-FE5D-413E-8BF3-75ACBF1336F6}">
          <x14:formula1>
            <xm:f>Dropdown!$C$2:$C$4</xm:f>
          </x14:formula1>
          <xm:sqref>E2:E433</xm:sqref>
        </x14:dataValidation>
        <x14:dataValidation type="list" allowBlank="1" showInputMessage="1" showErrorMessage="1" xr:uid="{18928FC6-1E2D-472D-9CC0-8F62C3993521}">
          <x14:formula1>
            <xm:f>Dropdown!$A$2:$A$92</xm:f>
          </x14:formula1>
          <xm:sqref>C2:C97 A2:A433 B154:B161 B338:B345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38F8-03C8-4266-B818-BECD2ACC4A38}">
  <dimension ref="A1:AB13"/>
  <sheetViews>
    <sheetView zoomScaleNormal="100"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O22" sqref="O22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8" width="17.7265625" style="1" customWidth="1"/>
    <col min="9" max="10" width="20.7265625" style="1" customWidth="1"/>
    <col min="11" max="11" width="25.81640625" style="1" bestFit="1" customWidth="1"/>
    <col min="12" max="14" width="25.81640625" style="1" customWidth="1"/>
    <col min="15" max="15" width="24" style="1" bestFit="1" customWidth="1"/>
    <col min="16" max="16" width="24" style="1" customWidth="1"/>
    <col min="17" max="18" width="38.26953125" style="1" customWidth="1"/>
    <col min="19" max="20" width="35.54296875" style="1" customWidth="1"/>
    <col min="21" max="21" width="31.7265625" style="1" bestFit="1" customWidth="1"/>
    <col min="22" max="22" width="31.54296875" style="1" bestFit="1" customWidth="1"/>
    <col min="23" max="25" width="31.54296875" style="1" customWidth="1"/>
    <col min="26" max="26" width="34" style="1" bestFit="1" customWidth="1"/>
    <col min="27" max="27" width="34.453125" style="1" bestFit="1" customWidth="1"/>
    <col min="28" max="28" width="38.1796875" style="1" bestFit="1" customWidth="1"/>
    <col min="29" max="16384" width="11.453125" style="1"/>
  </cols>
  <sheetData>
    <row r="1" spans="1:28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845</v>
      </c>
      <c r="H1" s="2" t="s">
        <v>846</v>
      </c>
      <c r="I1" s="2" t="s">
        <v>211</v>
      </c>
      <c r="J1" s="2" t="s">
        <v>212</v>
      </c>
      <c r="K1" s="2" t="s">
        <v>3</v>
      </c>
      <c r="L1" s="2" t="s">
        <v>1117</v>
      </c>
      <c r="M1" s="2" t="s">
        <v>84</v>
      </c>
      <c r="N1" s="2" t="s">
        <v>1118</v>
      </c>
      <c r="O1" s="2" t="s">
        <v>14</v>
      </c>
      <c r="P1" s="2" t="s">
        <v>539</v>
      </c>
      <c r="Q1" s="2" t="s">
        <v>96</v>
      </c>
      <c r="R1" s="2" t="s">
        <v>540</v>
      </c>
      <c r="S1" s="2" t="s">
        <v>161</v>
      </c>
      <c r="T1" s="2" t="s">
        <v>162</v>
      </c>
      <c r="U1" s="2" t="s">
        <v>1</v>
      </c>
      <c r="V1" s="2" t="s">
        <v>2</v>
      </c>
      <c r="W1" s="2" t="s">
        <v>233</v>
      </c>
      <c r="X1" s="2" t="s">
        <v>114</v>
      </c>
      <c r="Y1" s="2" t="s">
        <v>57</v>
      </c>
      <c r="Z1" s="2" t="s">
        <v>6</v>
      </c>
      <c r="AA1" s="2" t="s">
        <v>16</v>
      </c>
      <c r="AB1" s="2" t="s">
        <v>7</v>
      </c>
    </row>
    <row r="2" spans="1:28" x14ac:dyDescent="0.25">
      <c r="A2" s="1" t="s">
        <v>208</v>
      </c>
      <c r="B2" s="1" t="s">
        <v>127</v>
      </c>
      <c r="C2" s="1">
        <v>2020</v>
      </c>
      <c r="D2" s="1">
        <v>1</v>
      </c>
      <c r="E2" s="1">
        <v>0</v>
      </c>
      <c r="F2" s="1">
        <v>0</v>
      </c>
      <c r="G2" s="1">
        <v>92.2</v>
      </c>
      <c r="H2" s="1">
        <v>92.2</v>
      </c>
      <c r="I2" s="1">
        <v>1</v>
      </c>
      <c r="J2" s="1">
        <v>2</v>
      </c>
      <c r="L2" s="37">
        <v>4.1000000000000002E-2</v>
      </c>
      <c r="N2" s="37">
        <v>8.1000000000000003E-2</v>
      </c>
      <c r="Q2" s="1">
        <v>365</v>
      </c>
      <c r="S2" s="1">
        <v>114110</v>
      </c>
      <c r="T2" s="1">
        <v>114110</v>
      </c>
      <c r="U2" s="1">
        <v>114110</v>
      </c>
      <c r="V2" s="1">
        <v>114110</v>
      </c>
      <c r="W2" s="1">
        <v>114110</v>
      </c>
      <c r="X2" s="1">
        <v>114110</v>
      </c>
      <c r="Y2" s="1">
        <v>114110</v>
      </c>
      <c r="Z2" s="1">
        <v>114110</v>
      </c>
      <c r="AB2" s="1">
        <v>114110</v>
      </c>
    </row>
    <row r="3" spans="1:28" x14ac:dyDescent="0.25">
      <c r="A3" s="1" t="s">
        <v>100</v>
      </c>
      <c r="B3" s="1" t="s">
        <v>127</v>
      </c>
      <c r="C3" s="1">
        <v>2020</v>
      </c>
      <c r="D3" s="1">
        <v>1</v>
      </c>
      <c r="E3" s="1">
        <v>0</v>
      </c>
      <c r="F3" s="1">
        <v>0</v>
      </c>
      <c r="G3" s="1">
        <v>351.2</v>
      </c>
      <c r="H3" s="1">
        <v>351.2</v>
      </c>
      <c r="I3" s="1">
        <v>1</v>
      </c>
      <c r="J3" s="1">
        <v>2</v>
      </c>
      <c r="L3" s="7">
        <v>7.0000000000000007E-2</v>
      </c>
      <c r="M3" s="7">
        <v>0.14000000000000001</v>
      </c>
      <c r="N3" s="7">
        <v>0.28000000000000003</v>
      </c>
      <c r="P3" s="1">
        <v>30</v>
      </c>
      <c r="R3" s="1">
        <v>60</v>
      </c>
      <c r="S3" s="1">
        <v>114110</v>
      </c>
      <c r="T3" s="1">
        <v>114110</v>
      </c>
      <c r="U3" s="1">
        <v>114110</v>
      </c>
      <c r="V3" s="1">
        <v>114110</v>
      </c>
      <c r="W3" s="1">
        <v>114110</v>
      </c>
      <c r="X3" s="1">
        <v>114110</v>
      </c>
      <c r="Y3" s="1">
        <v>114110</v>
      </c>
      <c r="Z3" s="1">
        <v>114110</v>
      </c>
      <c r="AB3" s="1">
        <v>114110</v>
      </c>
    </row>
    <row r="4" spans="1:28" x14ac:dyDescent="0.25">
      <c r="A4" s="1" t="s">
        <v>101</v>
      </c>
      <c r="B4" s="1" t="s">
        <v>127</v>
      </c>
      <c r="C4" s="1">
        <v>2020</v>
      </c>
      <c r="D4" s="1">
        <v>1</v>
      </c>
      <c r="E4" s="1">
        <v>0</v>
      </c>
      <c r="F4" s="1">
        <v>0</v>
      </c>
      <c r="I4" s="1">
        <v>1</v>
      </c>
      <c r="J4" s="1">
        <v>2</v>
      </c>
      <c r="L4" s="37">
        <v>5.2999999999999999E-2</v>
      </c>
      <c r="M4" s="37">
        <v>0.106</v>
      </c>
      <c r="N4" s="37">
        <v>0.21199999999999999</v>
      </c>
      <c r="P4" s="1">
        <v>30</v>
      </c>
      <c r="Q4" s="65"/>
      <c r="R4" s="65">
        <v>60</v>
      </c>
      <c r="S4" s="1">
        <v>114110</v>
      </c>
      <c r="T4" s="1">
        <v>114110</v>
      </c>
      <c r="U4" s="1">
        <v>114110</v>
      </c>
      <c r="V4" s="1">
        <v>114110</v>
      </c>
      <c r="W4" s="1">
        <v>114110</v>
      </c>
      <c r="X4" s="1">
        <v>114110</v>
      </c>
      <c r="Y4" s="1">
        <v>114110</v>
      </c>
      <c r="Z4" s="1">
        <v>114110</v>
      </c>
      <c r="AB4" s="1">
        <v>114110</v>
      </c>
    </row>
    <row r="5" spans="1:28" x14ac:dyDescent="0.25">
      <c r="A5" s="1" t="s">
        <v>102</v>
      </c>
      <c r="B5" s="1" t="s">
        <v>127</v>
      </c>
      <c r="C5" s="1">
        <v>2020</v>
      </c>
      <c r="D5" s="1">
        <v>1</v>
      </c>
      <c r="E5" s="1">
        <v>0</v>
      </c>
      <c r="F5" s="1">
        <v>0</v>
      </c>
      <c r="I5" s="1">
        <v>1</v>
      </c>
      <c r="J5" s="1">
        <v>2</v>
      </c>
      <c r="L5" s="37">
        <v>0.16800000000000001</v>
      </c>
      <c r="M5" s="37">
        <v>0.33600000000000002</v>
      </c>
      <c r="N5" s="37">
        <v>0.67200000000000004</v>
      </c>
      <c r="P5" s="1">
        <v>30</v>
      </c>
      <c r="Q5" s="65"/>
      <c r="R5" s="65">
        <v>60</v>
      </c>
      <c r="S5" s="1">
        <v>114110</v>
      </c>
      <c r="T5" s="1">
        <v>114110</v>
      </c>
      <c r="U5" s="1">
        <v>114110</v>
      </c>
      <c r="V5" s="1">
        <v>114110</v>
      </c>
      <c r="W5" s="1">
        <v>114110</v>
      </c>
      <c r="X5" s="1">
        <v>114110</v>
      </c>
      <c r="Y5" s="1">
        <v>114110</v>
      </c>
      <c r="Z5" s="1">
        <v>114110</v>
      </c>
      <c r="AB5" s="1">
        <v>114110</v>
      </c>
    </row>
    <row r="6" spans="1:28" x14ac:dyDescent="0.25">
      <c r="A6" s="1" t="s">
        <v>103</v>
      </c>
      <c r="B6" s="1" t="s">
        <v>127</v>
      </c>
      <c r="C6" s="1">
        <v>2020</v>
      </c>
      <c r="D6" s="1">
        <v>1</v>
      </c>
      <c r="E6" s="1">
        <v>0</v>
      </c>
      <c r="F6" s="1">
        <v>0</v>
      </c>
      <c r="I6" s="1">
        <v>1</v>
      </c>
      <c r="J6" s="1">
        <v>2</v>
      </c>
      <c r="L6" s="37">
        <v>0.13600000000000001</v>
      </c>
      <c r="M6" s="37">
        <v>0.27200000000000002</v>
      </c>
      <c r="N6" s="37">
        <v>0.54400000000000004</v>
      </c>
      <c r="P6" s="1">
        <v>30</v>
      </c>
      <c r="Q6" s="65"/>
      <c r="R6" s="65">
        <v>60</v>
      </c>
      <c r="S6" s="1">
        <v>114110</v>
      </c>
      <c r="T6" s="1">
        <v>114110</v>
      </c>
      <c r="U6" s="1">
        <v>114110</v>
      </c>
      <c r="V6" s="1">
        <v>114110</v>
      </c>
      <c r="W6" s="1">
        <v>114110</v>
      </c>
      <c r="X6" s="1">
        <v>114110</v>
      </c>
      <c r="Y6" s="1">
        <v>114110</v>
      </c>
      <c r="Z6" s="1">
        <v>114110</v>
      </c>
      <c r="AB6" s="1">
        <v>114110</v>
      </c>
    </row>
    <row r="7" spans="1:28" x14ac:dyDescent="0.25">
      <c r="A7" s="1" t="s">
        <v>132</v>
      </c>
      <c r="B7" s="1" t="s">
        <v>127</v>
      </c>
      <c r="C7" s="1">
        <v>2020</v>
      </c>
      <c r="D7" s="1">
        <v>1</v>
      </c>
      <c r="E7" s="1">
        <v>0</v>
      </c>
      <c r="F7" s="1">
        <v>0</v>
      </c>
      <c r="G7" s="1">
        <v>387.2</v>
      </c>
      <c r="H7" s="1">
        <v>387.2</v>
      </c>
      <c r="I7" s="1">
        <v>2</v>
      </c>
      <c r="J7" s="1">
        <v>4</v>
      </c>
      <c r="L7" s="37">
        <v>0.126</v>
      </c>
      <c r="M7" s="37"/>
      <c r="N7" s="37">
        <v>0.23200000000000001</v>
      </c>
      <c r="Q7" s="1">
        <v>365</v>
      </c>
      <c r="R7" s="65"/>
      <c r="S7" s="1">
        <v>114110</v>
      </c>
      <c r="T7" s="1">
        <v>114110</v>
      </c>
      <c r="U7" s="1">
        <v>114110</v>
      </c>
      <c r="V7" s="1">
        <v>114110</v>
      </c>
      <c r="W7" s="1">
        <v>114110</v>
      </c>
      <c r="X7" s="1">
        <v>114110</v>
      </c>
      <c r="Y7" s="1">
        <v>114110</v>
      </c>
      <c r="Z7" s="1">
        <v>114110</v>
      </c>
      <c r="AB7" s="1">
        <v>114110</v>
      </c>
    </row>
    <row r="8" spans="1:28" x14ac:dyDescent="0.25">
      <c r="A8" s="1" t="s">
        <v>133</v>
      </c>
      <c r="B8" s="1" t="s">
        <v>127</v>
      </c>
      <c r="C8" s="1">
        <v>2020</v>
      </c>
      <c r="D8" s="1">
        <v>1</v>
      </c>
      <c r="E8" s="1">
        <v>0</v>
      </c>
      <c r="F8" s="1">
        <v>0</v>
      </c>
      <c r="G8" s="1">
        <v>192.3</v>
      </c>
      <c r="H8" s="1">
        <v>192.3</v>
      </c>
      <c r="I8" s="1">
        <v>2</v>
      </c>
      <c r="J8" s="1">
        <v>4</v>
      </c>
      <c r="L8" s="37">
        <v>0.126</v>
      </c>
      <c r="M8" s="37"/>
      <c r="N8" s="37">
        <v>0.23200000000000001</v>
      </c>
      <c r="Q8" s="1">
        <v>365</v>
      </c>
      <c r="R8" s="65"/>
      <c r="S8" s="1">
        <v>114110</v>
      </c>
      <c r="T8" s="1">
        <v>114110</v>
      </c>
      <c r="U8" s="1">
        <v>114110</v>
      </c>
      <c r="V8" s="1">
        <v>114110</v>
      </c>
      <c r="W8" s="1">
        <v>114110</v>
      </c>
      <c r="X8" s="1">
        <v>114110</v>
      </c>
      <c r="Y8" s="1">
        <v>114110</v>
      </c>
      <c r="Z8" s="1">
        <v>114110</v>
      </c>
      <c r="AB8" s="1">
        <v>114110</v>
      </c>
    </row>
    <row r="9" spans="1:28" x14ac:dyDescent="0.25">
      <c r="A9" s="1" t="s">
        <v>1121</v>
      </c>
      <c r="B9" s="1" t="s">
        <v>127</v>
      </c>
      <c r="C9" s="1">
        <v>2020</v>
      </c>
      <c r="D9" s="1">
        <v>1</v>
      </c>
      <c r="E9" s="1">
        <v>0</v>
      </c>
      <c r="F9" s="1">
        <v>0</v>
      </c>
      <c r="G9" s="1">
        <v>495</v>
      </c>
      <c r="H9" s="1">
        <v>495</v>
      </c>
      <c r="I9" s="1">
        <v>2</v>
      </c>
      <c r="J9" s="1">
        <v>4</v>
      </c>
      <c r="L9" s="37">
        <v>0.13300000000000001</v>
      </c>
      <c r="M9" s="37"/>
      <c r="N9" s="37">
        <v>0.26600000000000001</v>
      </c>
      <c r="Q9" s="1">
        <v>365</v>
      </c>
      <c r="R9" s="65"/>
      <c r="S9" s="1">
        <v>114110</v>
      </c>
      <c r="T9" s="1">
        <v>114110</v>
      </c>
      <c r="U9" s="1">
        <v>114110</v>
      </c>
      <c r="V9" s="1">
        <v>114110</v>
      </c>
      <c r="W9" s="1">
        <v>114110</v>
      </c>
      <c r="X9" s="1">
        <v>114110</v>
      </c>
      <c r="Y9" s="1">
        <v>114110</v>
      </c>
      <c r="Z9" s="1">
        <v>114110</v>
      </c>
      <c r="AB9" s="1">
        <v>114110</v>
      </c>
    </row>
    <row r="10" spans="1:28" x14ac:dyDescent="0.25">
      <c r="A10" s="1" t="s">
        <v>99</v>
      </c>
      <c r="B10" s="1" t="s">
        <v>127</v>
      </c>
      <c r="C10" s="1">
        <v>2020</v>
      </c>
      <c r="D10" s="1">
        <v>1</v>
      </c>
      <c r="E10" s="1">
        <v>0</v>
      </c>
      <c r="F10" s="1">
        <v>0</v>
      </c>
      <c r="G10" s="1">
        <v>125.1</v>
      </c>
      <c r="H10" s="1">
        <v>125.1</v>
      </c>
      <c r="I10" s="1">
        <v>2</v>
      </c>
      <c r="J10" s="1">
        <v>4</v>
      </c>
      <c r="L10" s="37">
        <v>0.13300000000000001</v>
      </c>
      <c r="M10" s="37"/>
      <c r="N10" s="37">
        <v>0.26600000000000001</v>
      </c>
      <c r="Q10" s="1">
        <v>365</v>
      </c>
      <c r="R10" s="65"/>
      <c r="S10" s="1">
        <v>114110</v>
      </c>
      <c r="T10" s="1">
        <v>114110</v>
      </c>
      <c r="U10" s="1">
        <v>114110</v>
      </c>
      <c r="V10" s="1">
        <v>114110</v>
      </c>
      <c r="W10" s="1">
        <v>114110</v>
      </c>
      <c r="X10" s="1">
        <v>114110</v>
      </c>
      <c r="Y10" s="1">
        <v>114110</v>
      </c>
      <c r="Z10" s="1">
        <v>114110</v>
      </c>
      <c r="AB10" s="1">
        <v>114110</v>
      </c>
    </row>
    <row r="11" spans="1:28" x14ac:dyDescent="0.25">
      <c r="A11" s="1" t="s">
        <v>134</v>
      </c>
      <c r="B11" s="1" t="s">
        <v>127</v>
      </c>
      <c r="C11" s="1">
        <v>2020</v>
      </c>
      <c r="D11" s="1">
        <v>1</v>
      </c>
      <c r="E11" s="1">
        <v>0</v>
      </c>
      <c r="F11" s="1">
        <v>0</v>
      </c>
      <c r="G11" s="1">
        <v>18.3</v>
      </c>
      <c r="H11" s="1">
        <v>18.3</v>
      </c>
      <c r="I11" s="1">
        <v>1.5</v>
      </c>
      <c r="J11" s="1">
        <v>3</v>
      </c>
      <c r="L11" s="37">
        <v>6.2E-2</v>
      </c>
      <c r="M11" s="37"/>
      <c r="N11" s="37">
        <v>0.124</v>
      </c>
      <c r="Q11" s="1">
        <v>365</v>
      </c>
      <c r="R11" s="65"/>
      <c r="S11" s="1">
        <v>114110</v>
      </c>
      <c r="T11" s="1">
        <v>114110</v>
      </c>
      <c r="U11" s="1">
        <v>114110</v>
      </c>
      <c r="V11" s="1">
        <v>114110</v>
      </c>
      <c r="W11" s="1">
        <v>114110</v>
      </c>
      <c r="X11" s="1">
        <v>114110</v>
      </c>
      <c r="Y11" s="1">
        <v>114110</v>
      </c>
      <c r="Z11" s="1">
        <v>114110</v>
      </c>
      <c r="AB11" s="1">
        <v>114110</v>
      </c>
    </row>
    <row r="12" spans="1:28" x14ac:dyDescent="0.25">
      <c r="A12" s="1" t="s">
        <v>135</v>
      </c>
      <c r="B12" s="1" t="s">
        <v>127</v>
      </c>
      <c r="C12" s="1">
        <v>2020</v>
      </c>
      <c r="D12" s="1">
        <v>1</v>
      </c>
      <c r="E12" s="1">
        <v>0</v>
      </c>
      <c r="F12" s="1">
        <v>0</v>
      </c>
      <c r="G12" s="1">
        <v>362.36</v>
      </c>
      <c r="H12" s="1">
        <v>362.36</v>
      </c>
      <c r="K12" s="1">
        <v>12</v>
      </c>
      <c r="M12" s="37">
        <v>0.125</v>
      </c>
      <c r="N12" s="37"/>
      <c r="Q12" s="1">
        <v>365</v>
      </c>
      <c r="R12" s="65"/>
      <c r="S12" s="1">
        <v>114110</v>
      </c>
      <c r="T12" s="1">
        <v>114110</v>
      </c>
      <c r="U12" s="1">
        <v>114110</v>
      </c>
      <c r="V12" s="1">
        <v>114110</v>
      </c>
      <c r="W12" s="1">
        <v>114110</v>
      </c>
      <c r="X12" s="1">
        <v>114110</v>
      </c>
      <c r="Y12" s="1">
        <v>114110</v>
      </c>
      <c r="Z12" s="1">
        <v>114110</v>
      </c>
      <c r="AB12" s="1">
        <v>114110</v>
      </c>
    </row>
    <row r="13" spans="1:28" x14ac:dyDescent="0.25">
      <c r="A13" s="1" t="s">
        <v>138</v>
      </c>
      <c r="B13" s="1" t="s">
        <v>127</v>
      </c>
      <c r="C13" s="1">
        <v>2020</v>
      </c>
      <c r="D13" s="1">
        <v>1</v>
      </c>
      <c r="E13" s="1">
        <v>0</v>
      </c>
      <c r="F13" s="1">
        <v>0</v>
      </c>
      <c r="G13" s="1">
        <v>1785</v>
      </c>
      <c r="H13" s="1">
        <v>1785</v>
      </c>
      <c r="K13" s="1">
        <v>16</v>
      </c>
      <c r="M13" s="7">
        <v>1</v>
      </c>
      <c r="N13" s="7"/>
      <c r="Q13" s="65">
        <v>90</v>
      </c>
      <c r="R13" s="65"/>
      <c r="S13" s="1">
        <v>114110</v>
      </c>
      <c r="T13" s="1">
        <v>114110</v>
      </c>
      <c r="U13" s="1">
        <v>114110</v>
      </c>
      <c r="V13" s="1">
        <v>114110</v>
      </c>
      <c r="W13" s="1">
        <v>114110</v>
      </c>
      <c r="X13" s="1">
        <v>114110</v>
      </c>
      <c r="Y13" s="1">
        <v>114110</v>
      </c>
      <c r="Z13" s="1">
        <v>114110</v>
      </c>
      <c r="AB13" s="1">
        <v>114110</v>
      </c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779AE78-5882-44B7-A44A-0DBE5295EFFA}">
          <x14:formula1>
            <xm:f>Dropdown!$C$2:$C$4</xm:f>
          </x14:formula1>
          <xm:sqref>B2:B13</xm:sqref>
        </x14:dataValidation>
        <x14:dataValidation type="list" allowBlank="1" showInputMessage="1" showErrorMessage="1" xr:uid="{5A00E521-DA4B-40A0-854D-AEE0B888204D}">
          <x14:formula1>
            <xm:f>Dropdown!$A$2:$A99</xm:f>
          </x14:formula1>
          <xm:sqref>A2:A10</xm:sqref>
        </x14:dataValidation>
        <x14:dataValidation type="list" allowBlank="1" showInputMessage="1" showErrorMessage="1" xr:uid="{95B4DBEA-1CE7-4213-A7D2-D34D88244D13}">
          <x14:formula1>
            <xm:f>Dropdown!$A$2:$A107</xm:f>
          </x14:formula1>
          <xm:sqref>A11:A13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25"/>
  <dimension ref="A1:D63"/>
  <sheetViews>
    <sheetView workbookViewId="0">
      <selection activeCell="A4" sqref="A4"/>
    </sheetView>
  </sheetViews>
  <sheetFormatPr baseColWidth="10" defaultRowHeight="14.5" x14ac:dyDescent="0.35"/>
  <cols>
    <col min="1" max="1" width="30.453125" bestFit="1" customWidth="1"/>
    <col min="2" max="3" width="30.453125" customWidth="1"/>
  </cols>
  <sheetData>
    <row r="1" spans="1:4" x14ac:dyDescent="0.35">
      <c r="A1" s="4" t="s">
        <v>0</v>
      </c>
      <c r="B1" s="2" t="s">
        <v>128</v>
      </c>
      <c r="C1" s="2" t="s">
        <v>402</v>
      </c>
      <c r="D1" t="s">
        <v>26</v>
      </c>
    </row>
    <row r="2" spans="1:4" x14ac:dyDescent="0.35">
      <c r="A2" s="1" t="s">
        <v>208</v>
      </c>
      <c r="B2" s="1" t="s">
        <v>126</v>
      </c>
      <c r="C2" s="1" t="s">
        <v>404</v>
      </c>
      <c r="D2" s="11">
        <v>89</v>
      </c>
    </row>
    <row r="3" spans="1:4" x14ac:dyDescent="0.35">
      <c r="A3" s="1" t="s">
        <v>403</v>
      </c>
      <c r="B3" s="1" t="s">
        <v>127</v>
      </c>
      <c r="C3" s="1" t="s">
        <v>404</v>
      </c>
      <c r="D3" s="11">
        <v>89</v>
      </c>
    </row>
    <row r="4" spans="1:4" x14ac:dyDescent="0.35">
      <c r="A4" s="30" t="s">
        <v>389</v>
      </c>
      <c r="B4" s="1" t="s">
        <v>139</v>
      </c>
      <c r="C4" s="1" t="s">
        <v>404</v>
      </c>
      <c r="D4" s="11">
        <v>89</v>
      </c>
    </row>
    <row r="5" spans="1:4" x14ac:dyDescent="0.35">
      <c r="A5" s="1" t="s">
        <v>208</v>
      </c>
      <c r="B5" s="1" t="s">
        <v>127</v>
      </c>
      <c r="C5" s="1" t="s">
        <v>404</v>
      </c>
      <c r="D5" s="11">
        <v>89</v>
      </c>
    </row>
    <row r="6" spans="1:4" x14ac:dyDescent="0.35">
      <c r="A6" s="1" t="s">
        <v>208</v>
      </c>
      <c r="B6" s="1" t="s">
        <v>126</v>
      </c>
      <c r="C6" s="1" t="s">
        <v>404</v>
      </c>
      <c r="D6" s="11">
        <v>89</v>
      </c>
    </row>
    <row r="7" spans="1:4" x14ac:dyDescent="0.35">
      <c r="A7" s="30" t="s">
        <v>209</v>
      </c>
      <c r="B7" s="1" t="s">
        <v>127</v>
      </c>
      <c r="C7" s="1" t="s">
        <v>404</v>
      </c>
      <c r="D7" s="11">
        <v>89</v>
      </c>
    </row>
    <row r="8" spans="1:4" x14ac:dyDescent="0.35">
      <c r="A8" s="30" t="s">
        <v>362</v>
      </c>
      <c r="B8" s="30" t="s">
        <v>139</v>
      </c>
      <c r="C8" s="1" t="s">
        <v>404</v>
      </c>
      <c r="D8" s="11">
        <v>89</v>
      </c>
    </row>
    <row r="9" spans="1:4" x14ac:dyDescent="0.35">
      <c r="A9" s="1" t="s">
        <v>150</v>
      </c>
      <c r="B9" s="1" t="s">
        <v>139</v>
      </c>
      <c r="C9" s="1" t="s">
        <v>404</v>
      </c>
      <c r="D9" s="11">
        <v>89</v>
      </c>
    </row>
    <row r="10" spans="1:4" x14ac:dyDescent="0.35">
      <c r="A10" s="1" t="s">
        <v>97</v>
      </c>
      <c r="B10" s="1" t="s">
        <v>126</v>
      </c>
      <c r="C10" s="1" t="s">
        <v>405</v>
      </c>
      <c r="D10" s="11">
        <v>89</v>
      </c>
    </row>
    <row r="11" spans="1:4" x14ac:dyDescent="0.35">
      <c r="A11" s="1" t="s">
        <v>1121</v>
      </c>
      <c r="B11" s="1" t="s">
        <v>127</v>
      </c>
      <c r="C11" s="1" t="s">
        <v>405</v>
      </c>
      <c r="D11" s="11">
        <v>89</v>
      </c>
    </row>
    <row r="12" spans="1:4" x14ac:dyDescent="0.35">
      <c r="A12" s="1" t="s">
        <v>373</v>
      </c>
      <c r="B12" s="1" t="s">
        <v>127</v>
      </c>
      <c r="C12" s="1" t="s">
        <v>405</v>
      </c>
      <c r="D12" s="11">
        <v>89</v>
      </c>
    </row>
    <row r="13" spans="1:4" x14ac:dyDescent="0.35">
      <c r="A13" s="30" t="s">
        <v>374</v>
      </c>
      <c r="B13" s="1" t="s">
        <v>127</v>
      </c>
      <c r="C13" s="1" t="s">
        <v>405</v>
      </c>
      <c r="D13" s="11">
        <v>89</v>
      </c>
    </row>
    <row r="14" spans="1:4" x14ac:dyDescent="0.35">
      <c r="A14" s="1" t="s">
        <v>221</v>
      </c>
      <c r="B14" s="1" t="s">
        <v>127</v>
      </c>
      <c r="C14" s="1" t="s">
        <v>405</v>
      </c>
      <c r="D14" s="11">
        <v>89</v>
      </c>
    </row>
    <row r="15" spans="1:4" x14ac:dyDescent="0.35">
      <c r="A15" s="1" t="s">
        <v>938</v>
      </c>
      <c r="B15" s="1" t="s">
        <v>126</v>
      </c>
      <c r="C15" s="1" t="s">
        <v>406</v>
      </c>
      <c r="D15" s="11">
        <v>89</v>
      </c>
    </row>
    <row r="16" spans="1:4" x14ac:dyDescent="0.35">
      <c r="A16" s="1" t="s">
        <v>74</v>
      </c>
      <c r="B16" s="1" t="s">
        <v>126</v>
      </c>
      <c r="C16" s="1" t="s">
        <v>406</v>
      </c>
      <c r="D16" s="11">
        <v>89</v>
      </c>
    </row>
    <row r="17" spans="1:4" x14ac:dyDescent="0.35">
      <c r="A17" s="1" t="s">
        <v>77</v>
      </c>
      <c r="B17" s="1" t="s">
        <v>126</v>
      </c>
      <c r="C17" s="1" t="s">
        <v>406</v>
      </c>
      <c r="D17" s="11">
        <v>89</v>
      </c>
    </row>
    <row r="18" spans="1:4" x14ac:dyDescent="0.35">
      <c r="A18" s="1" t="s">
        <v>78</v>
      </c>
      <c r="B18" s="1" t="s">
        <v>126</v>
      </c>
      <c r="C18" s="1" t="s">
        <v>406</v>
      </c>
      <c r="D18" s="11">
        <v>89</v>
      </c>
    </row>
    <row r="19" spans="1:4" x14ac:dyDescent="0.35">
      <c r="A19" s="1" t="s">
        <v>370</v>
      </c>
      <c r="B19" s="1" t="s">
        <v>126</v>
      </c>
      <c r="C19" s="1" t="s">
        <v>406</v>
      </c>
      <c r="D19" s="11">
        <v>89</v>
      </c>
    </row>
    <row r="20" spans="1:4" x14ac:dyDescent="0.35">
      <c r="A20" s="1" t="s">
        <v>39</v>
      </c>
      <c r="B20" s="1" t="s">
        <v>126</v>
      </c>
      <c r="C20" s="1" t="s">
        <v>406</v>
      </c>
      <c r="D20" s="11">
        <v>89</v>
      </c>
    </row>
    <row r="21" spans="1:4" x14ac:dyDescent="0.35">
      <c r="A21" s="30" t="s">
        <v>129</v>
      </c>
      <c r="B21" s="30" t="s">
        <v>139</v>
      </c>
      <c r="C21" s="1" t="s">
        <v>407</v>
      </c>
      <c r="D21" s="11">
        <v>89</v>
      </c>
    </row>
    <row r="22" spans="1:4" x14ac:dyDescent="0.35">
      <c r="A22" s="1" t="s">
        <v>130</v>
      </c>
      <c r="B22" s="1" t="s">
        <v>139</v>
      </c>
      <c r="C22" s="1" t="s">
        <v>407</v>
      </c>
      <c r="D22" s="11">
        <v>89</v>
      </c>
    </row>
    <row r="23" spans="1:4" x14ac:dyDescent="0.35">
      <c r="A23" s="30" t="s">
        <v>283</v>
      </c>
      <c r="B23" s="30" t="s">
        <v>139</v>
      </c>
      <c r="C23" s="1" t="s">
        <v>407</v>
      </c>
      <c r="D23" s="11">
        <v>89</v>
      </c>
    </row>
    <row r="24" spans="1:4" x14ac:dyDescent="0.35">
      <c r="A24" s="1" t="s">
        <v>51</v>
      </c>
      <c r="B24" s="1" t="s">
        <v>126</v>
      </c>
      <c r="C24" s="1" t="s">
        <v>408</v>
      </c>
      <c r="D24" s="11">
        <v>89</v>
      </c>
    </row>
    <row r="25" spans="1:4" x14ac:dyDescent="0.35">
      <c r="A25" s="30" t="s">
        <v>69</v>
      </c>
      <c r="B25" s="30" t="s">
        <v>126</v>
      </c>
      <c r="C25" s="1" t="s">
        <v>408</v>
      </c>
      <c r="D25" s="11">
        <v>89</v>
      </c>
    </row>
    <row r="26" spans="1:4" x14ac:dyDescent="0.35">
      <c r="A26" s="1" t="s">
        <v>73</v>
      </c>
      <c r="B26" s="1" t="s">
        <v>126</v>
      </c>
      <c r="C26" s="1" t="s">
        <v>408</v>
      </c>
      <c r="D26" s="11">
        <v>89</v>
      </c>
    </row>
    <row r="27" spans="1:4" x14ac:dyDescent="0.35">
      <c r="A27" s="30" t="s">
        <v>27</v>
      </c>
      <c r="B27" s="30" t="s">
        <v>126</v>
      </c>
      <c r="C27" s="1" t="s">
        <v>408</v>
      </c>
      <c r="D27" s="11">
        <v>89</v>
      </c>
    </row>
    <row r="28" spans="1:4" x14ac:dyDescent="0.35">
      <c r="A28" s="1" t="s">
        <v>81</v>
      </c>
      <c r="B28" s="1" t="s">
        <v>126</v>
      </c>
      <c r="C28" s="1" t="s">
        <v>408</v>
      </c>
      <c r="D28" s="11">
        <v>89</v>
      </c>
    </row>
    <row r="29" spans="1:4" x14ac:dyDescent="0.35">
      <c r="A29" s="30" t="s">
        <v>137</v>
      </c>
      <c r="B29" s="30" t="s">
        <v>127</v>
      </c>
      <c r="C29" s="1" t="s">
        <v>409</v>
      </c>
      <c r="D29" s="11">
        <v>89</v>
      </c>
    </row>
    <row r="30" spans="1:4" x14ac:dyDescent="0.35">
      <c r="A30" s="1" t="s">
        <v>136</v>
      </c>
      <c r="B30" s="1" t="s">
        <v>127</v>
      </c>
      <c r="C30" s="1" t="s">
        <v>409</v>
      </c>
      <c r="D30" s="11">
        <v>89</v>
      </c>
    </row>
    <row r="31" spans="1:4" x14ac:dyDescent="0.35">
      <c r="A31" s="30" t="s">
        <v>138</v>
      </c>
      <c r="B31" s="30" t="s">
        <v>139</v>
      </c>
      <c r="C31" s="1" t="s">
        <v>409</v>
      </c>
      <c r="D31" s="11">
        <v>89</v>
      </c>
    </row>
    <row r="32" spans="1:4" x14ac:dyDescent="0.35">
      <c r="A32" s="1" t="s">
        <v>135</v>
      </c>
      <c r="B32" s="1" t="s">
        <v>139</v>
      </c>
      <c r="C32" s="1" t="s">
        <v>409</v>
      </c>
      <c r="D32" s="11">
        <v>89</v>
      </c>
    </row>
    <row r="62" spans="1:1" x14ac:dyDescent="0.35"/>
    <row r="63" spans="1:1" x14ac:dyDescent="0.35"/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Dropdown!$C$2:$C$4</xm:f>
          </x14:formula1>
          <xm:sqref>B2:B32</xm:sqref>
        </x14:dataValidation>
        <x14:dataValidation type="list" allowBlank="1" showInputMessage="1" showErrorMessage="1" xr:uid="{00000000-0002-0000-0A00-000001000000}">
          <x14:formula1>
            <xm:f>Dropdown!$A$2:$A$91</xm:f>
          </x14:formula1>
          <xm:sqref>A2:A32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4"/>
  <dimension ref="A1:BO11"/>
  <sheetViews>
    <sheetView zoomScale="85" zoomScaleNormal="85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AE7" sqref="AE7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28.81640625" style="1" bestFit="1" customWidth="1"/>
    <col min="7" max="7" width="38.81640625" style="1" bestFit="1" customWidth="1"/>
    <col min="8" max="8" width="29.26953125" style="1" bestFit="1" customWidth="1"/>
    <col min="9" max="11" width="24.54296875" style="1" customWidth="1"/>
    <col min="12" max="12" width="24.453125" style="1" bestFit="1" customWidth="1"/>
    <col min="13" max="17" width="24.453125" style="1" customWidth="1"/>
    <col min="18" max="18" width="37.7265625" style="1" bestFit="1" customWidth="1"/>
    <col min="19" max="20" width="24.7265625" style="1" customWidth="1"/>
    <col min="21" max="21" width="28.453125" style="1" customWidth="1"/>
    <col min="22" max="22" width="27.453125" style="1" bestFit="1" customWidth="1"/>
    <col min="23" max="24" width="27.453125" style="1" customWidth="1"/>
    <col min="25" max="25" width="20.7265625" style="1" bestFit="1" customWidth="1"/>
    <col min="26" max="30" width="20.7265625" style="1" customWidth="1"/>
    <col min="31" max="31" width="25.81640625" style="1" bestFit="1" customWidth="1"/>
    <col min="32" max="32" width="29.7265625" style="1" bestFit="1" customWidth="1"/>
    <col min="33" max="33" width="24" style="1" bestFit="1" customWidth="1"/>
    <col min="34" max="34" width="38.26953125" style="1" bestFit="1" customWidth="1"/>
    <col min="35" max="37" width="38.26953125" style="1" customWidth="1"/>
    <col min="38" max="38" width="38.26953125" style="1" bestFit="1" customWidth="1"/>
    <col min="39" max="40" width="38.26953125" style="1" customWidth="1"/>
    <col min="41" max="41" width="33.453125" style="1" bestFit="1" customWidth="1"/>
    <col min="42" max="42" width="33.453125" style="1" customWidth="1"/>
    <col min="43" max="43" width="25.7265625" style="1" bestFit="1" customWidth="1"/>
    <col min="44" max="44" width="25.7265625" style="1" customWidth="1"/>
    <col min="45" max="45" width="56.7265625" style="1" bestFit="1" customWidth="1"/>
    <col min="46" max="47" width="35.54296875" style="1" customWidth="1"/>
    <col min="48" max="48" width="31.7265625" style="1" bestFit="1" customWidth="1"/>
    <col min="49" max="49" width="31.54296875" style="1" bestFit="1" customWidth="1"/>
    <col min="50" max="54" width="31.54296875" style="1" customWidth="1"/>
    <col min="55" max="55" width="37.453125" style="1" bestFit="1" customWidth="1"/>
    <col min="56" max="56" width="35.7265625" style="1" bestFit="1" customWidth="1"/>
    <col min="57" max="57" width="28.81640625" style="1" bestFit="1" customWidth="1"/>
    <col min="58" max="58" width="34" style="1" bestFit="1" customWidth="1"/>
    <col min="59" max="59" width="37.81640625" style="1" bestFit="1" customWidth="1"/>
    <col min="60" max="60" width="34.453125" style="1" bestFit="1" customWidth="1"/>
    <col min="61" max="61" width="38.1796875" style="1" bestFit="1" customWidth="1"/>
    <col min="62" max="62" width="22.81640625" style="1" bestFit="1" customWidth="1"/>
    <col min="63" max="63" width="28.54296875" style="1" bestFit="1" customWidth="1"/>
    <col min="64" max="64" width="28.26953125" style="1" bestFit="1" customWidth="1"/>
    <col min="65" max="65" width="28.26953125" style="1" customWidth="1"/>
    <col min="66" max="66" width="31" style="1" bestFit="1" customWidth="1"/>
    <col min="67" max="67" width="28.81640625" style="1" bestFit="1" customWidth="1"/>
    <col min="68" max="16384" width="11.453125" style="1"/>
  </cols>
  <sheetData>
    <row r="1" spans="1:67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47</v>
      </c>
      <c r="G1" s="2" t="s">
        <v>146</v>
      </c>
      <c r="H1" s="2" t="s">
        <v>48</v>
      </c>
      <c r="I1" s="2" t="s">
        <v>94</v>
      </c>
      <c r="J1" s="2" t="s">
        <v>153</v>
      </c>
      <c r="K1" s="2" t="s">
        <v>155</v>
      </c>
      <c r="L1" s="2" t="s">
        <v>154</v>
      </c>
      <c r="M1" s="2" t="s">
        <v>53</v>
      </c>
      <c r="N1" s="2" t="s">
        <v>52</v>
      </c>
      <c r="O1" s="2" t="s">
        <v>84</v>
      </c>
      <c r="P1" s="2" t="s">
        <v>327</v>
      </c>
      <c r="Q1" s="2" t="s">
        <v>232</v>
      </c>
      <c r="R1" s="2" t="s">
        <v>113</v>
      </c>
      <c r="S1" s="2" t="s">
        <v>54</v>
      </c>
      <c r="T1" s="2" t="s">
        <v>120</v>
      </c>
      <c r="U1" s="2" t="s">
        <v>55</v>
      </c>
      <c r="V1" s="2" t="s">
        <v>9</v>
      </c>
      <c r="W1" s="2" t="s">
        <v>223</v>
      </c>
      <c r="X1" s="2" t="s">
        <v>222</v>
      </c>
      <c r="Y1" s="2" t="s">
        <v>156</v>
      </c>
      <c r="Z1" s="2" t="s">
        <v>224</v>
      </c>
      <c r="AA1" s="2" t="s">
        <v>225</v>
      </c>
      <c r="AB1" s="2" t="s">
        <v>157</v>
      </c>
      <c r="AC1" s="2" t="s">
        <v>211</v>
      </c>
      <c r="AD1" s="2" t="s">
        <v>212</v>
      </c>
      <c r="AE1" s="2" t="s">
        <v>3</v>
      </c>
      <c r="AF1" s="2" t="s">
        <v>10</v>
      </c>
      <c r="AG1" s="2" t="s">
        <v>14</v>
      </c>
      <c r="AH1" s="2" t="s">
        <v>4</v>
      </c>
      <c r="AI1" s="2" t="s">
        <v>96</v>
      </c>
      <c r="AJ1" s="2" t="s">
        <v>182</v>
      </c>
      <c r="AK1" s="2" t="s">
        <v>181</v>
      </c>
      <c r="AL1" s="2" t="s">
        <v>11</v>
      </c>
      <c r="AM1" s="2" t="s">
        <v>228</v>
      </c>
      <c r="AN1" s="2" t="s">
        <v>229</v>
      </c>
      <c r="AO1" s="2" t="s">
        <v>227</v>
      </c>
      <c r="AP1" s="2" t="s">
        <v>329</v>
      </c>
      <c r="AQ1" s="2" t="s">
        <v>330</v>
      </c>
      <c r="AR1" s="2" t="s">
        <v>144</v>
      </c>
      <c r="AS1" s="2" t="s">
        <v>20</v>
      </c>
      <c r="AT1" s="2" t="s">
        <v>161</v>
      </c>
      <c r="AU1" s="2" t="s">
        <v>162</v>
      </c>
      <c r="AV1" s="2" t="s">
        <v>1</v>
      </c>
      <c r="AW1" s="2" t="s">
        <v>2</v>
      </c>
      <c r="AX1" s="2" t="s">
        <v>56</v>
      </c>
      <c r="AY1" s="2" t="s">
        <v>104</v>
      </c>
      <c r="AZ1" s="2" t="s">
        <v>233</v>
      </c>
      <c r="BA1" s="2" t="s">
        <v>114</v>
      </c>
      <c r="BB1" s="2" t="s">
        <v>57</v>
      </c>
      <c r="BC1" s="2" t="s">
        <v>58</v>
      </c>
      <c r="BD1" s="2" t="s">
        <v>95</v>
      </c>
      <c r="BE1" s="2" t="s">
        <v>5</v>
      </c>
      <c r="BF1" s="2" t="s">
        <v>6</v>
      </c>
      <c r="BG1" s="2" t="s">
        <v>15</v>
      </c>
      <c r="BH1" s="2" t="s">
        <v>16</v>
      </c>
      <c r="BI1" s="2" t="s">
        <v>7</v>
      </c>
      <c r="BJ1" s="2" t="s">
        <v>17</v>
      </c>
      <c r="BK1" s="2" t="s">
        <v>18</v>
      </c>
      <c r="BL1" s="2" t="s">
        <v>19</v>
      </c>
      <c r="BM1" s="2" t="s">
        <v>145</v>
      </c>
      <c r="BN1" s="2" t="s">
        <v>21</v>
      </c>
      <c r="BO1" s="2" t="s">
        <v>49</v>
      </c>
    </row>
    <row r="2" spans="1:67" x14ac:dyDescent="0.25">
      <c r="A2" s="6" t="s">
        <v>51</v>
      </c>
      <c r="B2" s="1" t="s">
        <v>126</v>
      </c>
      <c r="F2" s="19"/>
      <c r="G2" s="19"/>
      <c r="H2" s="19"/>
      <c r="I2" s="19"/>
      <c r="J2" s="19"/>
      <c r="K2" s="19"/>
      <c r="L2" s="19"/>
      <c r="M2" s="19"/>
      <c r="N2" s="9"/>
      <c r="O2" s="9"/>
      <c r="P2" s="9"/>
      <c r="Q2" s="9"/>
      <c r="R2" s="20"/>
      <c r="S2" s="19"/>
      <c r="T2" s="9"/>
      <c r="U2" s="19"/>
      <c r="AJ2" s="19"/>
      <c r="AK2" s="19"/>
      <c r="AL2" s="19"/>
      <c r="AM2" s="8"/>
      <c r="AN2" s="8"/>
      <c r="AO2" s="19"/>
      <c r="AP2" s="8"/>
      <c r="AQ2" s="8"/>
      <c r="AV2" s="13"/>
      <c r="AX2" s="13"/>
      <c r="AY2" s="13"/>
      <c r="AZ2" s="13"/>
      <c r="BA2" s="13"/>
      <c r="BC2" s="13"/>
      <c r="BD2" s="13"/>
    </row>
    <row r="3" spans="1:67" x14ac:dyDescent="0.25">
      <c r="A3" s="1" t="s">
        <v>325</v>
      </c>
      <c r="B3" s="1" t="s">
        <v>126</v>
      </c>
      <c r="F3" s="19"/>
      <c r="G3" s="19"/>
      <c r="H3" s="19"/>
      <c r="I3" s="19"/>
      <c r="J3" s="19"/>
      <c r="K3" s="19"/>
      <c r="L3" s="19"/>
      <c r="M3" s="19"/>
      <c r="N3" s="20"/>
      <c r="O3" s="9"/>
      <c r="P3" s="9"/>
      <c r="Q3" s="9"/>
      <c r="R3" s="20"/>
      <c r="S3" s="19"/>
      <c r="T3" s="9"/>
      <c r="U3" s="19"/>
      <c r="AJ3" s="19"/>
      <c r="AK3" s="19"/>
      <c r="AL3" s="19"/>
      <c r="AM3" s="8"/>
      <c r="AN3" s="8"/>
      <c r="AO3" s="8"/>
      <c r="AP3" s="8"/>
      <c r="AQ3" s="8"/>
      <c r="AV3" s="13"/>
      <c r="AX3" s="13"/>
      <c r="AY3" s="13"/>
      <c r="AZ3" s="13"/>
      <c r="BA3" s="13"/>
      <c r="BC3" s="13"/>
      <c r="BD3" s="13"/>
    </row>
    <row r="4" spans="1:67" x14ac:dyDescent="0.25">
      <c r="A4" s="1" t="s">
        <v>326</v>
      </c>
      <c r="B4" s="1" t="s">
        <v>126</v>
      </c>
      <c r="F4" s="19"/>
      <c r="G4" s="19"/>
      <c r="H4" s="19"/>
      <c r="I4" s="19"/>
      <c r="J4" s="19"/>
      <c r="K4" s="19"/>
      <c r="L4" s="19"/>
      <c r="M4" s="19"/>
      <c r="N4" s="20"/>
      <c r="O4" s="9"/>
      <c r="P4" s="9"/>
      <c r="Q4" s="9"/>
      <c r="R4" s="20"/>
      <c r="S4" s="19"/>
      <c r="T4" s="9"/>
      <c r="U4" s="19"/>
      <c r="AJ4" s="19"/>
      <c r="AK4" s="19"/>
      <c r="AL4" s="19"/>
      <c r="AM4" s="8"/>
      <c r="AN4" s="8"/>
      <c r="AO4" s="8"/>
      <c r="AP4" s="8"/>
      <c r="AQ4" s="8"/>
      <c r="AV4" s="13"/>
      <c r="AX4" s="13"/>
      <c r="AY4" s="13"/>
      <c r="AZ4" s="13"/>
      <c r="BA4" s="13"/>
      <c r="BC4" s="13"/>
      <c r="BD4" s="13"/>
    </row>
    <row r="5" spans="1:67" x14ac:dyDescent="0.25">
      <c r="A5" s="1" t="s">
        <v>81</v>
      </c>
      <c r="B5" s="1" t="s">
        <v>126</v>
      </c>
      <c r="F5" s="19"/>
      <c r="G5" s="19"/>
      <c r="H5" s="19"/>
      <c r="I5" s="19"/>
      <c r="J5" s="19"/>
      <c r="K5" s="19"/>
      <c r="L5" s="19"/>
      <c r="M5" s="19"/>
      <c r="N5" s="20"/>
      <c r="O5" s="9"/>
      <c r="P5" s="9"/>
      <c r="Q5" s="9"/>
      <c r="R5" s="20"/>
      <c r="S5" s="19"/>
      <c r="T5" s="9"/>
      <c r="U5" s="19"/>
      <c r="AJ5" s="19"/>
      <c r="AK5" s="19"/>
      <c r="AL5" s="19"/>
      <c r="AM5" s="8"/>
      <c r="AN5" s="8"/>
      <c r="AO5" s="8"/>
      <c r="AP5" s="8"/>
      <c r="AQ5" s="8"/>
      <c r="AV5" s="13"/>
      <c r="AX5" s="13"/>
      <c r="AY5" s="13"/>
      <c r="AZ5" s="13"/>
      <c r="BA5" s="13"/>
      <c r="BC5" s="13"/>
      <c r="BD5" s="13"/>
    </row>
    <row r="6" spans="1:67" x14ac:dyDescent="0.25">
      <c r="A6" s="1" t="s">
        <v>185</v>
      </c>
      <c r="B6" s="1" t="s">
        <v>126</v>
      </c>
      <c r="F6" s="19"/>
      <c r="G6" s="19"/>
      <c r="H6" s="19"/>
      <c r="I6" s="19"/>
      <c r="J6" s="19"/>
      <c r="K6" s="19"/>
      <c r="L6" s="19"/>
      <c r="M6" s="19"/>
      <c r="N6" s="20"/>
      <c r="O6" s="9"/>
      <c r="P6" s="9"/>
      <c r="Q6" s="9"/>
      <c r="R6" s="20"/>
      <c r="S6" s="19"/>
      <c r="T6" s="9"/>
      <c r="U6" s="19"/>
      <c r="AJ6" s="19"/>
      <c r="AK6" s="19"/>
      <c r="AL6" s="19"/>
      <c r="AM6" s="8"/>
      <c r="AN6" s="8"/>
      <c r="AO6" s="8"/>
      <c r="AP6" s="8"/>
      <c r="AQ6" s="8"/>
      <c r="AV6" s="13"/>
      <c r="AX6" s="13"/>
      <c r="AY6" s="13"/>
      <c r="AZ6" s="13"/>
      <c r="BA6" s="13"/>
      <c r="BC6" s="13"/>
      <c r="BD6" s="13"/>
    </row>
    <row r="7" spans="1:67" x14ac:dyDescent="0.25">
      <c r="A7" s="1" t="s">
        <v>129</v>
      </c>
      <c r="B7" s="30" t="s">
        <v>139</v>
      </c>
      <c r="C7" s="30">
        <v>2015</v>
      </c>
      <c r="D7" s="30"/>
      <c r="E7" s="30"/>
      <c r="F7" s="31">
        <v>625.83000000000004</v>
      </c>
      <c r="G7" s="31"/>
      <c r="H7" s="31">
        <v>1251.25</v>
      </c>
      <c r="I7" s="31"/>
      <c r="J7" s="31"/>
      <c r="K7" s="31"/>
      <c r="L7" s="31"/>
      <c r="M7" s="31"/>
      <c r="N7" s="32"/>
      <c r="O7" s="33"/>
      <c r="P7" s="33"/>
      <c r="Q7" s="33"/>
      <c r="R7" s="32"/>
      <c r="S7" s="31"/>
      <c r="T7" s="33"/>
      <c r="U7" s="31"/>
      <c r="V7" s="30"/>
      <c r="W7" s="30"/>
      <c r="X7" s="30"/>
      <c r="Y7" s="30"/>
      <c r="Z7" s="30"/>
      <c r="AA7" s="30"/>
      <c r="AB7" s="30"/>
      <c r="AC7" s="30">
        <v>2</v>
      </c>
      <c r="AD7" s="30">
        <v>24</v>
      </c>
      <c r="AE7" s="30">
        <f>AVERAGE(Tabelle5897111424[[#This Row],[Verschiebedauer min. (h)]:[Verschiebedauer max (h)]])</f>
        <v>13</v>
      </c>
      <c r="AF7" s="30"/>
      <c r="AG7" s="30"/>
      <c r="AH7" s="30"/>
      <c r="AI7" s="30"/>
      <c r="AJ7" s="31"/>
      <c r="AK7" s="31"/>
      <c r="AL7" s="31"/>
      <c r="AM7" s="34"/>
      <c r="AN7" s="34"/>
      <c r="AO7" s="34"/>
      <c r="AP7" s="34"/>
      <c r="AQ7" s="34"/>
      <c r="AR7" s="30"/>
      <c r="AS7" s="30"/>
      <c r="AT7" s="30"/>
      <c r="AU7" s="30"/>
      <c r="AV7" s="35"/>
      <c r="AW7" s="30"/>
      <c r="AX7" s="35"/>
      <c r="AY7" s="35"/>
      <c r="AZ7" s="35"/>
      <c r="BA7" s="35"/>
      <c r="BB7" s="30"/>
      <c r="BC7" s="35"/>
      <c r="BD7" s="35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</row>
    <row r="8" spans="1:67" x14ac:dyDescent="0.25">
      <c r="A8" s="1" t="s">
        <v>130</v>
      </c>
      <c r="B8" s="30" t="s">
        <v>139</v>
      </c>
      <c r="C8" s="30">
        <v>2015</v>
      </c>
      <c r="D8" s="30"/>
      <c r="E8" s="30"/>
      <c r="F8" s="31">
        <v>312.916</v>
      </c>
      <c r="G8" s="31"/>
      <c r="H8" s="31">
        <v>1575</v>
      </c>
      <c r="I8" s="31"/>
      <c r="J8" s="31"/>
      <c r="K8" s="31"/>
      <c r="L8" s="31"/>
      <c r="M8" s="31"/>
      <c r="N8" s="32"/>
      <c r="O8" s="33"/>
      <c r="P8" s="33"/>
      <c r="Q8" s="33"/>
      <c r="R8" s="32"/>
      <c r="S8" s="31"/>
      <c r="T8" s="33"/>
      <c r="U8" s="31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1"/>
      <c r="AK8" s="31"/>
      <c r="AL8" s="31"/>
      <c r="AM8" s="34"/>
      <c r="AN8" s="34"/>
      <c r="AO8" s="34"/>
      <c r="AP8" s="34"/>
      <c r="AQ8" s="34"/>
      <c r="AR8" s="30"/>
      <c r="AS8" s="30"/>
      <c r="AT8" s="30"/>
      <c r="AU8" s="30"/>
      <c r="AV8" s="35"/>
      <c r="AW8" s="30"/>
      <c r="AX8" s="35"/>
      <c r="AY8" s="35"/>
      <c r="AZ8" s="35"/>
      <c r="BA8" s="35"/>
      <c r="BB8" s="30"/>
      <c r="BC8" s="35"/>
      <c r="BD8" s="35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</row>
    <row r="9" spans="1:67" x14ac:dyDescent="0.25">
      <c r="A9" s="30" t="s">
        <v>131</v>
      </c>
      <c r="B9" s="30" t="s">
        <v>139</v>
      </c>
      <c r="C9" s="30">
        <v>2015</v>
      </c>
      <c r="D9" s="30"/>
      <c r="E9" s="30"/>
      <c r="F9" s="31">
        <v>625.83000000000004</v>
      </c>
      <c r="G9" s="31"/>
      <c r="H9" s="31">
        <v>1033.3</v>
      </c>
      <c r="I9" s="31"/>
      <c r="J9" s="31"/>
      <c r="K9" s="31"/>
      <c r="L9" s="31"/>
      <c r="M9" s="31"/>
      <c r="N9" s="32"/>
      <c r="O9" s="33"/>
      <c r="P9" s="33"/>
      <c r="Q9" s="33"/>
      <c r="R9" s="32"/>
      <c r="S9" s="31"/>
      <c r="T9" s="33"/>
      <c r="U9" s="31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1"/>
      <c r="AK9" s="31"/>
      <c r="AL9" s="31"/>
      <c r="AM9" s="34"/>
      <c r="AN9" s="34"/>
      <c r="AO9" s="34"/>
      <c r="AP9" s="34"/>
      <c r="AQ9" s="34"/>
      <c r="AR9" s="30"/>
      <c r="AS9" s="30"/>
      <c r="AT9" s="30"/>
      <c r="AU9" s="30"/>
      <c r="AV9" s="35"/>
      <c r="AW9" s="30"/>
      <c r="AX9" s="35"/>
      <c r="AY9" s="35"/>
      <c r="AZ9" s="35"/>
      <c r="BA9" s="35"/>
      <c r="BB9" s="30"/>
      <c r="BC9" s="35"/>
      <c r="BD9" s="35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</row>
    <row r="10" spans="1:67" x14ac:dyDescent="0.25">
      <c r="A10" s="1" t="s">
        <v>134</v>
      </c>
      <c r="B10" s="1" t="s">
        <v>139</v>
      </c>
      <c r="C10" s="1">
        <v>2015</v>
      </c>
      <c r="F10" s="19"/>
      <c r="G10" s="19"/>
      <c r="H10" s="19"/>
      <c r="I10" s="19"/>
      <c r="J10" s="19"/>
      <c r="K10" s="19"/>
      <c r="L10" s="19"/>
      <c r="M10" s="19"/>
      <c r="N10" s="20"/>
      <c r="O10" s="9"/>
      <c r="P10" s="9"/>
      <c r="Q10" s="9"/>
      <c r="R10" s="20"/>
      <c r="S10" s="19"/>
      <c r="T10" s="9"/>
      <c r="U10" s="19"/>
      <c r="W10" s="1">
        <f>5/60</f>
        <v>8.3333333333333329E-2</v>
      </c>
      <c r="X10" s="1">
        <f>10/60</f>
        <v>0.16666666666666666</v>
      </c>
      <c r="AE10" s="1">
        <v>0.25</v>
      </c>
      <c r="AJ10" s="19"/>
      <c r="AK10" s="19"/>
      <c r="AL10" s="19"/>
      <c r="AM10" s="8"/>
      <c r="AN10" s="8"/>
      <c r="AO10" s="8"/>
      <c r="AP10" s="8"/>
      <c r="AQ10" s="8"/>
      <c r="AV10" s="13"/>
      <c r="AX10" s="13"/>
      <c r="AY10" s="13"/>
      <c r="AZ10" s="13"/>
      <c r="BA10" s="13"/>
      <c r="BC10" s="13"/>
      <c r="BD10" s="13"/>
    </row>
    <row r="11" spans="1:67" x14ac:dyDescent="0.25">
      <c r="A11" s="1" t="s">
        <v>132</v>
      </c>
      <c r="B11" s="1" t="s">
        <v>139</v>
      </c>
      <c r="C11" s="1">
        <v>2015</v>
      </c>
      <c r="F11" s="19"/>
      <c r="G11" s="19"/>
      <c r="H11" s="19"/>
      <c r="I11" s="19"/>
      <c r="J11" s="19"/>
      <c r="K11" s="19"/>
      <c r="L11" s="19"/>
      <c r="M11" s="19"/>
      <c r="N11" s="20"/>
      <c r="O11" s="9"/>
      <c r="P11" s="9"/>
      <c r="Q11" s="9"/>
      <c r="R11" s="20"/>
      <c r="S11" s="19"/>
      <c r="T11" s="9"/>
      <c r="U11" s="19"/>
      <c r="W11" s="1">
        <f>5/60</f>
        <v>8.3333333333333329E-2</v>
      </c>
      <c r="X11" s="1">
        <f>10/60</f>
        <v>0.16666666666666666</v>
      </c>
      <c r="AE11" s="30">
        <v>1</v>
      </c>
      <c r="AJ11" s="19"/>
      <c r="AK11" s="19"/>
      <c r="AL11" s="19"/>
      <c r="AM11" s="8"/>
      <c r="AN11" s="8"/>
      <c r="AO11" s="8"/>
      <c r="AP11" s="8"/>
      <c r="AQ11" s="8"/>
      <c r="AV11" s="13"/>
      <c r="AX11" s="13"/>
      <c r="AY11" s="13"/>
      <c r="AZ11" s="13"/>
      <c r="BA11" s="13"/>
      <c r="BC11" s="13"/>
      <c r="BD11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300-000001000000}">
          <x14:formula1>
            <xm:f>Dropdown!$C$2:$C$4</xm:f>
          </x14:formula1>
          <xm:sqref>B2:B11</xm:sqref>
        </x14:dataValidation>
        <x14:dataValidation type="list" allowBlank="1" showInputMessage="1" showErrorMessage="1" xr:uid="{00000000-0002-0000-1300-000000000000}">
          <x14:formula1>
            <xm:f>Dropdown!$A$2:$A$54</xm:f>
          </x14:formula1>
          <xm:sqref>A2</xm:sqref>
        </x14:dataValidation>
        <x14:dataValidation type="list" allowBlank="1" showInputMessage="1" showErrorMessage="1" xr:uid="{00000000-0002-0000-1300-000002000000}">
          <x14:formula1>
            <xm:f>Dropdown!$A$2:$A$91</xm:f>
          </x14:formula1>
          <xm:sqref>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34"/>
  <dimension ref="A1:D33"/>
  <sheetViews>
    <sheetView topLeftCell="A7" workbookViewId="0">
      <selection activeCell="D14" sqref="D14"/>
    </sheetView>
  </sheetViews>
  <sheetFormatPr baseColWidth="10" defaultColWidth="11.453125" defaultRowHeight="12.5" x14ac:dyDescent="0.25"/>
  <cols>
    <col min="1" max="1" width="11.453125" style="1"/>
    <col min="2" max="2" width="33.453125" style="1" bestFit="1" customWidth="1"/>
    <col min="3" max="3" width="73.7265625" style="1" customWidth="1"/>
    <col min="4" max="4" width="19.7265625" style="1" bestFit="1" customWidth="1"/>
    <col min="5" max="16384" width="11.453125" style="1"/>
  </cols>
  <sheetData>
    <row r="1" spans="1:4" x14ac:dyDescent="0.25">
      <c r="A1" s="1" t="s">
        <v>235</v>
      </c>
      <c r="B1" s="1" t="s">
        <v>236</v>
      </c>
      <c r="C1" s="1" t="s">
        <v>237</v>
      </c>
      <c r="D1" s="1" t="s">
        <v>271</v>
      </c>
    </row>
    <row r="2" spans="1:4" x14ac:dyDescent="0.25">
      <c r="A2" s="110" t="s">
        <v>245</v>
      </c>
      <c r="B2" s="110" t="s">
        <v>246</v>
      </c>
      <c r="C2" s="111" t="s">
        <v>250</v>
      </c>
      <c r="D2" s="110" t="s">
        <v>273</v>
      </c>
    </row>
    <row r="3" spans="1:4" x14ac:dyDescent="0.25">
      <c r="A3" s="110" t="s">
        <v>925</v>
      </c>
      <c r="B3" s="110" t="s">
        <v>923</v>
      </c>
      <c r="C3" s="111" t="s">
        <v>924</v>
      </c>
      <c r="D3" s="110" t="s">
        <v>273</v>
      </c>
    </row>
    <row r="4" spans="1:4" ht="25" x14ac:dyDescent="0.25">
      <c r="A4" s="110" t="s">
        <v>346</v>
      </c>
      <c r="B4" s="110" t="s">
        <v>349</v>
      </c>
      <c r="C4" s="111" t="s">
        <v>354</v>
      </c>
      <c r="D4" s="110" t="s">
        <v>273</v>
      </c>
    </row>
    <row r="5" spans="1:4" ht="25" x14ac:dyDescent="0.25">
      <c r="A5" s="110" t="s">
        <v>842</v>
      </c>
      <c r="B5" s="110" t="s">
        <v>843</v>
      </c>
      <c r="C5" s="111" t="s">
        <v>844</v>
      </c>
      <c r="D5" s="110" t="s">
        <v>273</v>
      </c>
    </row>
    <row r="6" spans="1:4" ht="25" x14ac:dyDescent="0.25">
      <c r="A6" s="110" t="s">
        <v>347</v>
      </c>
      <c r="B6" s="110" t="s">
        <v>350</v>
      </c>
      <c r="C6" s="111" t="s">
        <v>355</v>
      </c>
      <c r="D6" s="110" t="s">
        <v>273</v>
      </c>
    </row>
    <row r="7" spans="1:4" ht="75" x14ac:dyDescent="0.25">
      <c r="A7" s="110" t="s">
        <v>265</v>
      </c>
      <c r="B7" s="110" t="s">
        <v>491</v>
      </c>
      <c r="C7" s="111" t="s">
        <v>492</v>
      </c>
      <c r="D7" s="110" t="s">
        <v>273</v>
      </c>
    </row>
    <row r="8" spans="1:4" x14ac:dyDescent="0.25">
      <c r="A8" s="110" t="s">
        <v>837</v>
      </c>
      <c r="B8" s="110" t="s">
        <v>838</v>
      </c>
      <c r="C8" s="111" t="s">
        <v>839</v>
      </c>
      <c r="D8" s="110" t="s">
        <v>273</v>
      </c>
    </row>
    <row r="9" spans="1:4" x14ac:dyDescent="0.25">
      <c r="A9" s="110" t="s">
        <v>869</v>
      </c>
      <c r="B9" s="110" t="s">
        <v>870</v>
      </c>
      <c r="C9" s="111" t="s">
        <v>868</v>
      </c>
      <c r="D9" s="110" t="s">
        <v>273</v>
      </c>
    </row>
    <row r="10" spans="1:4" ht="25" x14ac:dyDescent="0.25">
      <c r="A10" s="110" t="s">
        <v>266</v>
      </c>
      <c r="B10" s="110" t="s">
        <v>261</v>
      </c>
      <c r="C10" s="111" t="s">
        <v>255</v>
      </c>
      <c r="D10" s="110" t="s">
        <v>273</v>
      </c>
    </row>
    <row r="11" spans="1:4" ht="37.5" x14ac:dyDescent="0.25">
      <c r="A11" s="110" t="s">
        <v>856</v>
      </c>
      <c r="B11" s="110" t="s">
        <v>857</v>
      </c>
      <c r="C11" s="111" t="s">
        <v>858</v>
      </c>
      <c r="D11" s="110" t="s">
        <v>273</v>
      </c>
    </row>
    <row r="12" spans="1:4" ht="25" x14ac:dyDescent="0.25">
      <c r="A12" s="110" t="s">
        <v>1223</v>
      </c>
      <c r="B12" s="110" t="s">
        <v>1224</v>
      </c>
      <c r="C12" s="111" t="s">
        <v>1225</v>
      </c>
      <c r="D12" s="110" t="s">
        <v>273</v>
      </c>
    </row>
    <row r="13" spans="1:4" ht="25" x14ac:dyDescent="0.25">
      <c r="A13" s="110" t="s">
        <v>847</v>
      </c>
      <c r="B13" s="110" t="s">
        <v>848</v>
      </c>
      <c r="C13" s="111" t="s">
        <v>849</v>
      </c>
      <c r="D13" s="110" t="s">
        <v>273</v>
      </c>
    </row>
    <row r="14" spans="1:4" ht="25" x14ac:dyDescent="0.25">
      <c r="A14" s="110" t="s">
        <v>1237</v>
      </c>
      <c r="B14" s="110" t="s">
        <v>1238</v>
      </c>
      <c r="C14" s="111" t="s">
        <v>1239</v>
      </c>
      <c r="D14" s="110" t="s">
        <v>273</v>
      </c>
    </row>
    <row r="15" spans="1:4" ht="25" x14ac:dyDescent="0.25">
      <c r="A15" s="110" t="s">
        <v>238</v>
      </c>
      <c r="B15" s="110" t="s">
        <v>264</v>
      </c>
      <c r="C15" s="111" t="s">
        <v>275</v>
      </c>
      <c r="D15" s="110" t="s">
        <v>273</v>
      </c>
    </row>
    <row r="16" spans="1:4" ht="25" x14ac:dyDescent="0.25">
      <c r="A16" s="110" t="s">
        <v>841</v>
      </c>
      <c r="B16" s="110" t="s">
        <v>464</v>
      </c>
      <c r="C16" s="111" t="s">
        <v>332</v>
      </c>
      <c r="D16" s="110" t="s">
        <v>273</v>
      </c>
    </row>
    <row r="17" spans="1:4" x14ac:dyDescent="0.25">
      <c r="A17" s="110" t="s">
        <v>348</v>
      </c>
      <c r="B17" s="110" t="s">
        <v>351</v>
      </c>
      <c r="C17" s="111" t="s">
        <v>356</v>
      </c>
      <c r="D17" s="110" t="s">
        <v>273</v>
      </c>
    </row>
    <row r="18" spans="1:4" x14ac:dyDescent="0.25">
      <c r="A18" s="110" t="s">
        <v>817</v>
      </c>
      <c r="B18" s="110" t="s">
        <v>818</v>
      </c>
      <c r="C18" s="111" t="s">
        <v>819</v>
      </c>
      <c r="D18" s="110" t="s">
        <v>273</v>
      </c>
    </row>
    <row r="19" spans="1:4" ht="25" x14ac:dyDescent="0.25">
      <c r="A19" s="110" t="s">
        <v>268</v>
      </c>
      <c r="B19" s="110" t="s">
        <v>258</v>
      </c>
      <c r="C19" s="111" t="s">
        <v>252</v>
      </c>
      <c r="D19" s="110" t="s">
        <v>273</v>
      </c>
    </row>
    <row r="20" spans="1:4" x14ac:dyDescent="0.25">
      <c r="A20" s="110" t="s">
        <v>840</v>
      </c>
      <c r="B20" s="110" t="s">
        <v>352</v>
      </c>
      <c r="C20" s="111" t="s">
        <v>357</v>
      </c>
      <c r="D20" s="110" t="s">
        <v>273</v>
      </c>
    </row>
    <row r="21" spans="1:4" ht="25" x14ac:dyDescent="0.25">
      <c r="A21" s="110" t="s">
        <v>1233</v>
      </c>
      <c r="B21" s="110" t="s">
        <v>1234</v>
      </c>
      <c r="C21" s="111" t="s">
        <v>1235</v>
      </c>
      <c r="D21" s="110" t="s">
        <v>273</v>
      </c>
    </row>
    <row r="22" spans="1:4" ht="25" x14ac:dyDescent="0.25">
      <c r="A22" s="110" t="s">
        <v>239</v>
      </c>
      <c r="B22" s="110" t="s">
        <v>240</v>
      </c>
      <c r="C22" s="111" t="s">
        <v>247</v>
      </c>
      <c r="D22" s="110" t="s">
        <v>273</v>
      </c>
    </row>
    <row r="23" spans="1:4" x14ac:dyDescent="0.25">
      <c r="A23" s="110" t="s">
        <v>1202</v>
      </c>
      <c r="B23" s="110" t="s">
        <v>1203</v>
      </c>
      <c r="C23" s="111" t="s">
        <v>1204</v>
      </c>
      <c r="D23" s="110" t="s">
        <v>273</v>
      </c>
    </row>
    <row r="24" spans="1:4" ht="25" x14ac:dyDescent="0.25">
      <c r="A24" s="110" t="s">
        <v>243</v>
      </c>
      <c r="B24" s="110" t="s">
        <v>244</v>
      </c>
      <c r="C24" s="111" t="s">
        <v>249</v>
      </c>
      <c r="D24" s="110" t="s">
        <v>273</v>
      </c>
    </row>
    <row r="25" spans="1:4" ht="25" x14ac:dyDescent="0.25">
      <c r="A25" s="110" t="s">
        <v>269</v>
      </c>
      <c r="B25" s="110" t="s">
        <v>260</v>
      </c>
      <c r="C25" s="111" t="s">
        <v>254</v>
      </c>
      <c r="D25" s="110" t="s">
        <v>273</v>
      </c>
    </row>
    <row r="26" spans="1:4" x14ac:dyDescent="0.25">
      <c r="A26" s="110" t="s">
        <v>263</v>
      </c>
      <c r="B26" s="110" t="s">
        <v>257</v>
      </c>
      <c r="C26" s="111" t="s">
        <v>251</v>
      </c>
      <c r="D26" s="110" t="s">
        <v>273</v>
      </c>
    </row>
    <row r="27" spans="1:4" x14ac:dyDescent="0.25">
      <c r="A27" s="110" t="s">
        <v>241</v>
      </c>
      <c r="B27" s="110" t="s">
        <v>242</v>
      </c>
      <c r="C27" s="111" t="s">
        <v>248</v>
      </c>
      <c r="D27" s="110" t="s">
        <v>273</v>
      </c>
    </row>
    <row r="28" spans="1:4" ht="37.5" x14ac:dyDescent="0.25">
      <c r="A28" s="124" t="s">
        <v>1171</v>
      </c>
      <c r="B28" s="124" t="s">
        <v>1172</v>
      </c>
      <c r="C28" s="125" t="s">
        <v>1173</v>
      </c>
      <c r="D28" s="124" t="s">
        <v>273</v>
      </c>
    </row>
    <row r="29" spans="1:4" ht="25" x14ac:dyDescent="0.25">
      <c r="A29" s="124" t="s">
        <v>834</v>
      </c>
      <c r="B29" s="124" t="s">
        <v>835</v>
      </c>
      <c r="C29" s="125" t="s">
        <v>836</v>
      </c>
      <c r="D29" s="124" t="s">
        <v>273</v>
      </c>
    </row>
    <row r="30" spans="1:4" ht="25" x14ac:dyDescent="0.25">
      <c r="A30" s="124" t="s">
        <v>267</v>
      </c>
      <c r="B30" s="124" t="s">
        <v>262</v>
      </c>
      <c r="C30" s="125" t="s">
        <v>256</v>
      </c>
      <c r="D30" s="124" t="s">
        <v>273</v>
      </c>
    </row>
    <row r="31" spans="1:4" x14ac:dyDescent="0.25">
      <c r="A31" s="124" t="s">
        <v>807</v>
      </c>
      <c r="B31" s="124" t="s">
        <v>353</v>
      </c>
      <c r="C31" s="125" t="s">
        <v>358</v>
      </c>
      <c r="D31" s="124" t="s">
        <v>273</v>
      </c>
    </row>
    <row r="32" spans="1:4" ht="25" x14ac:dyDescent="0.25">
      <c r="A32" s="124" t="s">
        <v>270</v>
      </c>
      <c r="B32" s="124" t="s">
        <v>259</v>
      </c>
      <c r="C32" s="125" t="s">
        <v>253</v>
      </c>
      <c r="D32" s="124" t="s">
        <v>273</v>
      </c>
    </row>
    <row r="33" spans="1:4" x14ac:dyDescent="0.25">
      <c r="A33" s="126" t="s">
        <v>1230</v>
      </c>
      <c r="B33" s="126" t="s">
        <v>1231</v>
      </c>
      <c r="C33" s="127" t="s">
        <v>1232</v>
      </c>
      <c r="D33" s="126" t="s">
        <v>273</v>
      </c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0000000}">
          <x14:formula1>
            <xm:f>Dropdown!$E$2:$E$4</xm:f>
          </x14:formula1>
          <xm:sqref>D2:D33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5"/>
  <dimension ref="A1:E101"/>
  <sheetViews>
    <sheetView topLeftCell="A44" workbookViewId="0">
      <selection activeCell="A101" sqref="A101"/>
    </sheetView>
  </sheetViews>
  <sheetFormatPr baseColWidth="10" defaultColWidth="11.453125" defaultRowHeight="12.5" x14ac:dyDescent="0.25"/>
  <cols>
    <col min="1" max="1" width="51.7265625" style="1" bestFit="1" customWidth="1"/>
    <col min="2" max="2" width="26.26953125" style="1" bestFit="1" customWidth="1"/>
    <col min="3" max="3" width="20.54296875" style="1" customWidth="1"/>
    <col min="4" max="16384" width="11.453125" style="1"/>
  </cols>
  <sheetData>
    <row r="1" spans="1:5" x14ac:dyDescent="0.25">
      <c r="A1" s="1" t="s">
        <v>0</v>
      </c>
      <c r="B1" s="1" t="s">
        <v>198</v>
      </c>
      <c r="C1" s="1" t="s">
        <v>128</v>
      </c>
      <c r="D1" s="1" t="s">
        <v>160</v>
      </c>
      <c r="E1" s="1" t="s">
        <v>272</v>
      </c>
    </row>
    <row r="2" spans="1:5" x14ac:dyDescent="0.25">
      <c r="A2" s="79" t="s">
        <v>27</v>
      </c>
      <c r="B2" s="79" t="s">
        <v>197</v>
      </c>
      <c r="C2" s="79" t="s">
        <v>126</v>
      </c>
      <c r="D2" s="79">
        <v>1</v>
      </c>
      <c r="E2" s="79" t="s">
        <v>273</v>
      </c>
    </row>
    <row r="3" spans="1:5" x14ac:dyDescent="0.25">
      <c r="A3" s="79" t="s">
        <v>39</v>
      </c>
      <c r="B3" s="79" t="s">
        <v>199</v>
      </c>
      <c r="C3" s="79" t="s">
        <v>127</v>
      </c>
      <c r="D3" s="79">
        <v>0</v>
      </c>
      <c r="E3" s="79" t="s">
        <v>274</v>
      </c>
    </row>
    <row r="4" spans="1:5" x14ac:dyDescent="0.25">
      <c r="A4" s="79" t="s">
        <v>51</v>
      </c>
      <c r="B4" s="79" t="s">
        <v>200</v>
      </c>
      <c r="C4" s="79" t="s">
        <v>139</v>
      </c>
      <c r="D4" s="79"/>
      <c r="E4" s="79" t="s">
        <v>276</v>
      </c>
    </row>
    <row r="5" spans="1:5" x14ac:dyDescent="0.25">
      <c r="A5" s="79" t="s">
        <v>69</v>
      </c>
      <c r="B5" s="79" t="s">
        <v>574</v>
      </c>
      <c r="C5" s="79" t="s">
        <v>872</v>
      </c>
      <c r="D5" s="79"/>
      <c r="E5" s="79"/>
    </row>
    <row r="6" spans="1:5" x14ac:dyDescent="0.25">
      <c r="A6" s="79" t="s">
        <v>73</v>
      </c>
      <c r="B6" s="79"/>
      <c r="C6" s="79" t="s">
        <v>876</v>
      </c>
      <c r="D6" s="79"/>
      <c r="E6" s="79"/>
    </row>
    <row r="7" spans="1:5" x14ac:dyDescent="0.25">
      <c r="A7" s="79" t="s">
        <v>74</v>
      </c>
      <c r="B7" s="79"/>
      <c r="C7" s="79" t="s">
        <v>877</v>
      </c>
      <c r="D7" s="79"/>
      <c r="E7" s="79"/>
    </row>
    <row r="8" spans="1:5" x14ac:dyDescent="0.25">
      <c r="A8" s="79" t="s">
        <v>77</v>
      </c>
      <c r="B8" s="79"/>
      <c r="C8" s="79"/>
      <c r="D8" s="79"/>
      <c r="E8" s="79"/>
    </row>
    <row r="9" spans="1:5" x14ac:dyDescent="0.25">
      <c r="A9" s="79" t="s">
        <v>78</v>
      </c>
      <c r="B9" s="79"/>
      <c r="C9" s="79"/>
      <c r="D9" s="79"/>
      <c r="E9" s="79"/>
    </row>
    <row r="10" spans="1:5" x14ac:dyDescent="0.25">
      <c r="A10" s="79" t="s">
        <v>79</v>
      </c>
      <c r="B10" s="79"/>
      <c r="C10" s="79"/>
      <c r="D10" s="79"/>
      <c r="E10" s="79"/>
    </row>
    <row r="11" spans="1:5" x14ac:dyDescent="0.25">
      <c r="A11" s="79" t="s">
        <v>81</v>
      </c>
      <c r="B11" s="79"/>
      <c r="C11" s="79"/>
      <c r="D11" s="79"/>
      <c r="E11" s="79"/>
    </row>
    <row r="12" spans="1:5" x14ac:dyDescent="0.25">
      <c r="A12" s="79" t="s">
        <v>938</v>
      </c>
      <c r="B12" s="79"/>
      <c r="C12" s="79"/>
      <c r="D12" s="79"/>
      <c r="E12" s="79"/>
    </row>
    <row r="13" spans="1:5" x14ac:dyDescent="0.25">
      <c r="A13" s="79" t="s">
        <v>88</v>
      </c>
      <c r="B13" s="79"/>
      <c r="C13" s="79"/>
      <c r="D13" s="79"/>
      <c r="E13" s="79"/>
    </row>
    <row r="14" spans="1:5" x14ac:dyDescent="0.25">
      <c r="A14" s="79" t="s">
        <v>208</v>
      </c>
      <c r="B14" s="79"/>
      <c r="C14" s="79"/>
      <c r="D14" s="79"/>
      <c r="E14" s="79"/>
    </row>
    <row r="15" spans="1:5" x14ac:dyDescent="0.25">
      <c r="A15" s="79" t="s">
        <v>97</v>
      </c>
      <c r="B15" s="79"/>
      <c r="C15" s="79"/>
      <c r="D15" s="79"/>
      <c r="E15" s="79"/>
    </row>
    <row r="16" spans="1:5" x14ac:dyDescent="0.25">
      <c r="A16" s="79" t="s">
        <v>1121</v>
      </c>
      <c r="B16" s="79"/>
      <c r="C16" s="79"/>
      <c r="D16" s="79"/>
      <c r="E16" s="79"/>
    </row>
    <row r="17" spans="1:5" x14ac:dyDescent="0.25">
      <c r="A17" s="79" t="s">
        <v>99</v>
      </c>
      <c r="B17" s="79"/>
      <c r="C17" s="79"/>
      <c r="D17" s="79"/>
      <c r="E17" s="79"/>
    </row>
    <row r="18" spans="1:5" x14ac:dyDescent="0.25">
      <c r="A18" s="79" t="s">
        <v>100</v>
      </c>
      <c r="B18" s="79"/>
      <c r="C18" s="79"/>
      <c r="D18" s="79"/>
      <c r="E18" s="79"/>
    </row>
    <row r="19" spans="1:5" x14ac:dyDescent="0.25">
      <c r="A19" s="79" t="s">
        <v>101</v>
      </c>
      <c r="B19" s="79"/>
      <c r="C19" s="79"/>
      <c r="D19" s="79"/>
      <c r="E19" s="79"/>
    </row>
    <row r="20" spans="1:5" x14ac:dyDescent="0.25">
      <c r="A20" s="79" t="s">
        <v>102</v>
      </c>
      <c r="B20" s="79"/>
      <c r="C20" s="79"/>
      <c r="D20" s="79"/>
      <c r="E20" s="79"/>
    </row>
    <row r="21" spans="1:5" x14ac:dyDescent="0.25">
      <c r="A21" s="79" t="s">
        <v>103</v>
      </c>
      <c r="B21" s="79"/>
      <c r="C21" s="79"/>
      <c r="D21" s="79"/>
      <c r="E21" s="79"/>
    </row>
    <row r="22" spans="1:5" x14ac:dyDescent="0.25">
      <c r="A22" s="79" t="s">
        <v>136</v>
      </c>
      <c r="B22" s="79"/>
      <c r="C22" s="79"/>
      <c r="D22" s="79"/>
      <c r="E22" s="79"/>
    </row>
    <row r="23" spans="1:5" x14ac:dyDescent="0.25">
      <c r="A23" s="79" t="s">
        <v>137</v>
      </c>
      <c r="B23" s="79"/>
      <c r="C23" s="79"/>
      <c r="D23" s="79"/>
      <c r="E23" s="79"/>
    </row>
    <row r="24" spans="1:5" x14ac:dyDescent="0.25">
      <c r="A24" s="79" t="s">
        <v>124</v>
      </c>
      <c r="B24" s="79"/>
      <c r="C24" s="79"/>
      <c r="D24" s="79"/>
      <c r="E24" s="79"/>
    </row>
    <row r="25" spans="1:5" x14ac:dyDescent="0.25">
      <c r="A25" s="79" t="s">
        <v>129</v>
      </c>
      <c r="B25" s="79"/>
      <c r="C25" s="79"/>
      <c r="D25" s="79"/>
      <c r="E25" s="79"/>
    </row>
    <row r="26" spans="1:5" x14ac:dyDescent="0.25">
      <c r="A26" s="79" t="s">
        <v>130</v>
      </c>
      <c r="B26" s="79"/>
      <c r="C26" s="79"/>
      <c r="D26" s="79"/>
      <c r="E26" s="79"/>
    </row>
    <row r="27" spans="1:5" x14ac:dyDescent="0.25">
      <c r="A27" s="79" t="s">
        <v>283</v>
      </c>
      <c r="B27" s="79"/>
      <c r="C27" s="79"/>
      <c r="D27" s="79"/>
      <c r="E27" s="79"/>
    </row>
    <row r="28" spans="1:5" x14ac:dyDescent="0.25">
      <c r="A28" s="79" t="s">
        <v>132</v>
      </c>
      <c r="B28" s="79"/>
      <c r="C28" s="79"/>
      <c r="D28" s="79"/>
      <c r="E28" s="79"/>
    </row>
    <row r="29" spans="1:5" x14ac:dyDescent="0.25">
      <c r="A29" s="79" t="s">
        <v>133</v>
      </c>
      <c r="B29" s="79"/>
      <c r="C29" s="79"/>
      <c r="D29" s="79"/>
      <c r="E29" s="79"/>
    </row>
    <row r="30" spans="1:5" x14ac:dyDescent="0.25">
      <c r="A30" s="79" t="s">
        <v>134</v>
      </c>
      <c r="B30" s="79"/>
      <c r="C30" s="79"/>
      <c r="D30" s="79"/>
      <c r="E30" s="79"/>
    </row>
    <row r="31" spans="1:5" x14ac:dyDescent="0.25">
      <c r="A31" s="79" t="s">
        <v>135</v>
      </c>
      <c r="B31" s="79"/>
      <c r="C31" s="79"/>
      <c r="D31" s="79"/>
      <c r="E31" s="79"/>
    </row>
    <row r="32" spans="1:5" x14ac:dyDescent="0.25">
      <c r="A32" s="79" t="s">
        <v>138</v>
      </c>
      <c r="B32" s="79"/>
      <c r="C32" s="79"/>
      <c r="D32" s="79"/>
      <c r="E32" s="79"/>
    </row>
    <row r="33" spans="1:5" x14ac:dyDescent="0.25">
      <c r="A33" s="79" t="s">
        <v>150</v>
      </c>
      <c r="B33" s="79"/>
      <c r="C33" s="79"/>
      <c r="D33" s="79"/>
      <c r="E33" s="79"/>
    </row>
    <row r="34" spans="1:5" x14ac:dyDescent="0.25">
      <c r="A34" s="79" t="s">
        <v>164</v>
      </c>
      <c r="B34" s="79"/>
      <c r="C34" s="79"/>
      <c r="D34" s="79"/>
      <c r="E34" s="79"/>
    </row>
    <row r="35" spans="1:5" x14ac:dyDescent="0.25">
      <c r="A35" s="79" t="s">
        <v>183</v>
      </c>
      <c r="B35" s="79"/>
      <c r="C35" s="79"/>
      <c r="D35" s="79"/>
      <c r="E35" s="79"/>
    </row>
    <row r="36" spans="1:5" x14ac:dyDescent="0.25">
      <c r="A36" s="79" t="s">
        <v>184</v>
      </c>
      <c r="B36" s="79"/>
      <c r="C36" s="79"/>
      <c r="D36" s="79"/>
      <c r="E36" s="79"/>
    </row>
    <row r="37" spans="1:5" x14ac:dyDescent="0.25">
      <c r="A37" s="79" t="s">
        <v>185</v>
      </c>
      <c r="B37" s="79"/>
      <c r="C37" s="79"/>
      <c r="D37" s="79"/>
      <c r="E37" s="79"/>
    </row>
    <row r="38" spans="1:5" x14ac:dyDescent="0.25">
      <c r="A38" s="79" t="s">
        <v>186</v>
      </c>
      <c r="B38" s="79"/>
      <c r="C38" s="79"/>
      <c r="D38" s="79"/>
      <c r="E38" s="79"/>
    </row>
    <row r="39" spans="1:5" x14ac:dyDescent="0.25">
      <c r="A39" s="79" t="s">
        <v>187</v>
      </c>
      <c r="B39" s="79"/>
      <c r="C39" s="79"/>
      <c r="D39" s="79"/>
      <c r="E39" s="79"/>
    </row>
    <row r="40" spans="1:5" x14ac:dyDescent="0.25">
      <c r="A40" s="79" t="s">
        <v>188</v>
      </c>
      <c r="B40" s="79"/>
      <c r="C40" s="79"/>
      <c r="D40" s="79"/>
      <c r="E40" s="79"/>
    </row>
    <row r="41" spans="1:5" x14ac:dyDescent="0.25">
      <c r="A41" s="79" t="s">
        <v>189</v>
      </c>
      <c r="B41" s="79"/>
      <c r="C41" s="79"/>
      <c r="D41" s="79"/>
      <c r="E41" s="79"/>
    </row>
    <row r="42" spans="1:5" x14ac:dyDescent="0.25">
      <c r="A42" s="79" t="s">
        <v>190</v>
      </c>
      <c r="B42" s="79"/>
      <c r="C42" s="79"/>
      <c r="D42" s="79"/>
      <c r="E42" s="79"/>
    </row>
    <row r="43" spans="1:5" x14ac:dyDescent="0.25">
      <c r="A43" s="79" t="s">
        <v>206</v>
      </c>
      <c r="B43" s="79"/>
      <c r="C43" s="79"/>
      <c r="D43" s="79"/>
      <c r="E43" s="79"/>
    </row>
    <row r="44" spans="1:5" x14ac:dyDescent="0.25">
      <c r="A44" s="79" t="s">
        <v>207</v>
      </c>
      <c r="B44" s="79"/>
      <c r="C44" s="79"/>
      <c r="D44" s="79"/>
      <c r="E44" s="79"/>
    </row>
    <row r="45" spans="1:5" x14ac:dyDescent="0.25">
      <c r="A45" s="79" t="s">
        <v>209</v>
      </c>
      <c r="B45" s="79"/>
      <c r="C45" s="79"/>
      <c r="D45" s="79"/>
      <c r="E45" s="79"/>
    </row>
    <row r="46" spans="1:5" x14ac:dyDescent="0.25">
      <c r="A46" s="79" t="s">
        <v>210</v>
      </c>
      <c r="B46" s="79"/>
      <c r="C46" s="79"/>
      <c r="D46" s="79"/>
      <c r="E46" s="79"/>
    </row>
    <row r="47" spans="1:5" x14ac:dyDescent="0.25">
      <c r="A47" s="79" t="s">
        <v>219</v>
      </c>
      <c r="B47" s="79"/>
      <c r="C47" s="79"/>
      <c r="D47" s="79"/>
      <c r="E47" s="79"/>
    </row>
    <row r="48" spans="1:5" x14ac:dyDescent="0.25">
      <c r="A48" s="79" t="s">
        <v>221</v>
      </c>
      <c r="B48" s="79"/>
      <c r="C48" s="79"/>
      <c r="D48" s="79"/>
      <c r="E48" s="79"/>
    </row>
    <row r="49" spans="1:5" x14ac:dyDescent="0.25">
      <c r="A49" s="79" t="s">
        <v>277</v>
      </c>
      <c r="B49" s="79"/>
      <c r="C49" s="79"/>
      <c r="D49" s="79"/>
      <c r="E49" s="79"/>
    </row>
    <row r="50" spans="1:5" x14ac:dyDescent="0.25">
      <c r="A50" s="79" t="s">
        <v>309</v>
      </c>
      <c r="B50" s="79"/>
      <c r="C50" s="79"/>
      <c r="D50" s="79"/>
      <c r="E50" s="79"/>
    </row>
    <row r="51" spans="1:5" x14ac:dyDescent="0.25">
      <c r="A51" s="79" t="s">
        <v>284</v>
      </c>
      <c r="B51" s="79"/>
      <c r="C51" s="79"/>
      <c r="D51" s="79"/>
      <c r="E51" s="79"/>
    </row>
    <row r="52" spans="1:5" x14ac:dyDescent="0.25">
      <c r="A52" s="79" t="s">
        <v>289</v>
      </c>
      <c r="B52" s="79"/>
      <c r="C52" s="79"/>
      <c r="D52" s="79"/>
      <c r="E52" s="79"/>
    </row>
    <row r="53" spans="1:5" x14ac:dyDescent="0.25">
      <c r="A53" s="79" t="s">
        <v>290</v>
      </c>
      <c r="B53" s="79"/>
      <c r="C53" s="79"/>
      <c r="D53" s="79"/>
      <c r="E53" s="79"/>
    </row>
    <row r="54" spans="1:5" x14ac:dyDescent="0.25">
      <c r="A54" s="79" t="s">
        <v>291</v>
      </c>
      <c r="B54" s="79"/>
      <c r="C54" s="79"/>
      <c r="D54" s="79"/>
      <c r="E54" s="79"/>
    </row>
    <row r="55" spans="1:5" x14ac:dyDescent="0.25">
      <c r="A55" s="79" t="s">
        <v>292</v>
      </c>
      <c r="B55" s="79"/>
      <c r="C55" s="79"/>
      <c r="D55" s="79"/>
      <c r="E55" s="79"/>
    </row>
    <row r="56" spans="1:5" x14ac:dyDescent="0.25">
      <c r="A56" s="79" t="s">
        <v>293</v>
      </c>
      <c r="B56" s="79"/>
      <c r="C56" s="79"/>
      <c r="D56" s="79"/>
      <c r="E56" s="79"/>
    </row>
    <row r="57" spans="1:5" x14ac:dyDescent="0.25">
      <c r="A57" s="79" t="s">
        <v>294</v>
      </c>
      <c r="B57" s="79"/>
      <c r="C57" s="79"/>
      <c r="D57" s="79"/>
      <c r="E57" s="79"/>
    </row>
    <row r="58" spans="1:5" x14ac:dyDescent="0.25">
      <c r="A58" s="79" t="s">
        <v>295</v>
      </c>
      <c r="B58" s="79"/>
      <c r="C58" s="79"/>
      <c r="D58" s="79"/>
      <c r="E58" s="79"/>
    </row>
    <row r="59" spans="1:5" x14ac:dyDescent="0.25">
      <c r="A59" s="79" t="s">
        <v>296</v>
      </c>
      <c r="B59" s="79"/>
      <c r="C59" s="79"/>
      <c r="D59" s="79"/>
      <c r="E59" s="79"/>
    </row>
    <row r="60" spans="1:5" x14ac:dyDescent="0.25">
      <c r="A60" s="79" t="s">
        <v>297</v>
      </c>
      <c r="B60" s="79"/>
      <c r="C60" s="79"/>
      <c r="D60" s="79"/>
      <c r="E60" s="79"/>
    </row>
    <row r="61" spans="1:5" x14ac:dyDescent="0.25">
      <c r="A61" s="79" t="s">
        <v>325</v>
      </c>
      <c r="B61" s="79"/>
      <c r="C61" s="79"/>
      <c r="D61" s="79"/>
      <c r="E61" s="79"/>
    </row>
    <row r="62" spans="1:5" x14ac:dyDescent="0.25">
      <c r="A62" s="79" t="s">
        <v>362</v>
      </c>
      <c r="B62" s="79"/>
      <c r="C62" s="79"/>
      <c r="D62" s="79"/>
      <c r="E62" s="79"/>
    </row>
    <row r="63" spans="1:5" x14ac:dyDescent="0.25">
      <c r="A63" s="79" t="s">
        <v>370</v>
      </c>
      <c r="B63" s="79"/>
      <c r="C63" s="79"/>
      <c r="D63" s="79"/>
      <c r="E63" s="79"/>
    </row>
    <row r="64" spans="1:5" x14ac:dyDescent="0.25">
      <c r="A64" s="79" t="s">
        <v>373</v>
      </c>
      <c r="B64" s="79"/>
      <c r="C64" s="79"/>
      <c r="D64" s="79"/>
      <c r="E64" s="79"/>
    </row>
    <row r="65" spans="1:5" x14ac:dyDescent="0.25">
      <c r="A65" s="79" t="s">
        <v>374</v>
      </c>
      <c r="B65" s="79"/>
      <c r="C65" s="79"/>
      <c r="D65" s="79"/>
      <c r="E65" s="79"/>
    </row>
    <row r="66" spans="1:5" x14ac:dyDescent="0.25">
      <c r="A66" s="79" t="s">
        <v>389</v>
      </c>
      <c r="B66" s="79"/>
      <c r="C66" s="79"/>
      <c r="D66" s="79"/>
      <c r="E66" s="79"/>
    </row>
    <row r="67" spans="1:5" x14ac:dyDescent="0.25">
      <c r="A67" s="79" t="s">
        <v>398</v>
      </c>
      <c r="B67" s="79"/>
      <c r="C67" s="79"/>
      <c r="D67" s="79"/>
      <c r="E67" s="79"/>
    </row>
    <row r="68" spans="1:5" x14ac:dyDescent="0.25">
      <c r="A68" s="79" t="s">
        <v>403</v>
      </c>
      <c r="B68" s="79"/>
      <c r="C68" s="79"/>
      <c r="D68" s="79"/>
      <c r="E68" s="79"/>
    </row>
    <row r="69" spans="1:5" x14ac:dyDescent="0.25">
      <c r="A69" s="79" t="s">
        <v>415</v>
      </c>
      <c r="B69" s="79"/>
      <c r="C69" s="79"/>
      <c r="D69" s="79"/>
      <c r="E69" s="79"/>
    </row>
    <row r="70" spans="1:5" x14ac:dyDescent="0.25">
      <c r="A70" s="79" t="s">
        <v>414</v>
      </c>
      <c r="B70" s="79"/>
      <c r="C70" s="79"/>
      <c r="D70" s="79"/>
      <c r="E70" s="79"/>
    </row>
    <row r="71" spans="1:5" x14ac:dyDescent="0.25">
      <c r="A71" s="79" t="s">
        <v>1064</v>
      </c>
      <c r="B71" s="79"/>
      <c r="C71" s="79"/>
      <c r="D71" s="79"/>
      <c r="E71" s="79"/>
    </row>
    <row r="72" spans="1:5" x14ac:dyDescent="0.25">
      <c r="A72" s="79" t="s">
        <v>535</v>
      </c>
      <c r="B72" s="79"/>
      <c r="C72" s="79"/>
      <c r="D72" s="79"/>
      <c r="E72" s="79"/>
    </row>
    <row r="73" spans="1:5" x14ac:dyDescent="0.25">
      <c r="A73" s="79" t="s">
        <v>536</v>
      </c>
      <c r="B73" s="79"/>
      <c r="C73" s="79"/>
      <c r="D73" s="79"/>
      <c r="E73" s="79"/>
    </row>
    <row r="74" spans="1:5" x14ac:dyDescent="0.25">
      <c r="A74" s="79" t="s">
        <v>537</v>
      </c>
      <c r="B74" s="79"/>
      <c r="C74" s="79"/>
      <c r="D74" s="79"/>
      <c r="E74" s="79"/>
    </row>
    <row r="75" spans="1:5" x14ac:dyDescent="0.25">
      <c r="A75" s="79" t="s">
        <v>542</v>
      </c>
      <c r="B75" s="79"/>
      <c r="C75" s="79"/>
      <c r="D75" s="79"/>
      <c r="E75" s="79"/>
    </row>
    <row r="76" spans="1:5" x14ac:dyDescent="0.25">
      <c r="A76" s="79" t="s">
        <v>571</v>
      </c>
      <c r="B76" s="79"/>
      <c r="C76" s="79"/>
      <c r="D76" s="79"/>
      <c r="E76" s="79"/>
    </row>
    <row r="77" spans="1:5" x14ac:dyDescent="0.25">
      <c r="A77" s="79" t="s">
        <v>572</v>
      </c>
      <c r="B77" s="79"/>
      <c r="C77" s="79"/>
      <c r="D77" s="79"/>
      <c r="E77" s="79"/>
    </row>
    <row r="78" spans="1:5" x14ac:dyDescent="0.25">
      <c r="A78" s="79" t="s">
        <v>711</v>
      </c>
      <c r="B78" s="79"/>
      <c r="C78" s="79"/>
      <c r="D78" s="79"/>
      <c r="E78" s="79"/>
    </row>
    <row r="79" spans="1:5" x14ac:dyDescent="0.25">
      <c r="A79" s="79" t="s">
        <v>654</v>
      </c>
      <c r="B79" s="79"/>
      <c r="C79" s="79"/>
      <c r="D79" s="79"/>
      <c r="E79" s="79"/>
    </row>
    <row r="80" spans="1:5" x14ac:dyDescent="0.25">
      <c r="A80" s="79" t="s">
        <v>809</v>
      </c>
      <c r="B80" s="79"/>
      <c r="C80" s="79"/>
      <c r="D80" s="79"/>
      <c r="E80" s="79"/>
    </row>
    <row r="81" spans="1:5" x14ac:dyDescent="0.25">
      <c r="A81" s="86" t="s">
        <v>810</v>
      </c>
      <c r="B81" s="86"/>
      <c r="C81" s="86"/>
      <c r="D81" s="86"/>
      <c r="E81" s="86"/>
    </row>
    <row r="82" spans="1:5" x14ac:dyDescent="0.25">
      <c r="A82" s="79" t="s">
        <v>820</v>
      </c>
      <c r="B82" s="79"/>
      <c r="C82" s="79"/>
      <c r="D82" s="79"/>
      <c r="E82" s="79"/>
    </row>
    <row r="83" spans="1:5" x14ac:dyDescent="0.25">
      <c r="A83" s="86" t="s">
        <v>823</v>
      </c>
      <c r="B83" s="86"/>
      <c r="C83" s="86"/>
      <c r="D83" s="86"/>
      <c r="E83" s="86"/>
    </row>
    <row r="84" spans="1:5" x14ac:dyDescent="0.25">
      <c r="A84" s="79" t="s">
        <v>827</v>
      </c>
      <c r="B84" s="79"/>
      <c r="C84" s="79"/>
      <c r="D84" s="79"/>
      <c r="E84" s="79"/>
    </row>
    <row r="85" spans="1:5" x14ac:dyDescent="0.25">
      <c r="A85" s="86" t="s">
        <v>829</v>
      </c>
      <c r="B85" s="86"/>
      <c r="C85" s="86"/>
      <c r="D85" s="86"/>
      <c r="E85" s="86"/>
    </row>
    <row r="86" spans="1:5" x14ac:dyDescent="0.25">
      <c r="A86" s="79" t="s">
        <v>850</v>
      </c>
      <c r="B86" s="79"/>
      <c r="C86" s="79"/>
      <c r="D86" s="79"/>
      <c r="E86" s="79"/>
    </row>
    <row r="87" spans="1:5" x14ac:dyDescent="0.25">
      <c r="A87" s="86" t="s">
        <v>851</v>
      </c>
      <c r="B87" s="86"/>
      <c r="C87" s="86"/>
      <c r="D87" s="86"/>
      <c r="E87" s="86"/>
    </row>
    <row r="88" spans="1:5" x14ac:dyDescent="0.25">
      <c r="A88" s="79" t="s">
        <v>871</v>
      </c>
      <c r="B88" s="79"/>
      <c r="C88" s="79"/>
      <c r="D88" s="79"/>
      <c r="E88" s="79"/>
    </row>
    <row r="89" spans="1:5" x14ac:dyDescent="0.25">
      <c r="A89" s="86" t="s">
        <v>873</v>
      </c>
      <c r="B89" s="86"/>
      <c r="C89" s="86"/>
      <c r="D89" s="86"/>
      <c r="E89" s="86"/>
    </row>
    <row r="90" spans="1:5" x14ac:dyDescent="0.25">
      <c r="A90" s="79" t="s">
        <v>878</v>
      </c>
      <c r="B90" s="79"/>
      <c r="C90" s="79"/>
      <c r="D90" s="79"/>
      <c r="E90" s="79"/>
    </row>
    <row r="91" spans="1:5" x14ac:dyDescent="0.25">
      <c r="A91" s="86" t="s">
        <v>879</v>
      </c>
      <c r="B91" s="86"/>
      <c r="C91" s="86"/>
      <c r="D91" s="86"/>
      <c r="E91" s="86"/>
    </row>
    <row r="92" spans="1:5" x14ac:dyDescent="0.25">
      <c r="A92" s="79" t="s">
        <v>921</v>
      </c>
      <c r="B92" s="79"/>
      <c r="C92" s="79"/>
      <c r="D92" s="79"/>
      <c r="E92" s="79"/>
    </row>
    <row r="93" spans="1:5" x14ac:dyDescent="0.25">
      <c r="A93" s="79" t="s">
        <v>926</v>
      </c>
      <c r="B93" s="79"/>
      <c r="C93" s="79"/>
      <c r="D93" s="79"/>
      <c r="E93" s="79"/>
    </row>
    <row r="94" spans="1:5" x14ac:dyDescent="0.25">
      <c r="A94" s="79" t="s">
        <v>927</v>
      </c>
      <c r="B94" s="79"/>
      <c r="C94" s="79"/>
      <c r="D94" s="79"/>
      <c r="E94" s="79"/>
    </row>
    <row r="95" spans="1:5" x14ac:dyDescent="0.25">
      <c r="A95" s="79" t="s">
        <v>928</v>
      </c>
      <c r="B95" s="79"/>
      <c r="C95" s="79"/>
      <c r="D95" s="79"/>
      <c r="E95" s="79"/>
    </row>
    <row r="96" spans="1:5" x14ac:dyDescent="0.25">
      <c r="A96" s="79" t="s">
        <v>990</v>
      </c>
      <c r="B96" s="79"/>
      <c r="C96" s="79"/>
      <c r="D96" s="79"/>
      <c r="E96" s="79"/>
    </row>
    <row r="97" spans="1:5" x14ac:dyDescent="0.25">
      <c r="A97" s="79" t="s">
        <v>991</v>
      </c>
      <c r="B97" s="79"/>
      <c r="C97" s="79"/>
      <c r="D97" s="79"/>
      <c r="E97" s="79"/>
    </row>
    <row r="98" spans="1:5" x14ac:dyDescent="0.25">
      <c r="A98" s="79" t="s">
        <v>1016</v>
      </c>
      <c r="B98" s="79"/>
      <c r="C98" s="79"/>
      <c r="D98" s="79"/>
      <c r="E98" s="79"/>
    </row>
    <row r="99" spans="1:5" x14ac:dyDescent="0.25">
      <c r="A99" s="79" t="s">
        <v>1017</v>
      </c>
      <c r="B99" s="79"/>
      <c r="C99" s="79"/>
      <c r="D99" s="79"/>
      <c r="E99" s="79"/>
    </row>
    <row r="100" spans="1:5" x14ac:dyDescent="0.25">
      <c r="A100" s="102" t="s">
        <v>361</v>
      </c>
      <c r="B100" s="102"/>
      <c r="C100" s="102"/>
      <c r="D100" s="102"/>
      <c r="E100" s="102"/>
    </row>
    <row r="101" spans="1:5" x14ac:dyDescent="0.25">
      <c r="A101" s="79" t="s">
        <v>1242</v>
      </c>
      <c r="B101" s="79"/>
      <c r="C101" s="79"/>
      <c r="D101" s="79"/>
      <c r="E101" s="79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968E-7DF0-4BBE-8F2C-A89713B8764F}">
  <dimension ref="A1:E16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B58" sqref="B58"/>
    </sheetView>
  </sheetViews>
  <sheetFormatPr baseColWidth="10" defaultColWidth="11.453125" defaultRowHeight="12.5" x14ac:dyDescent="0.25"/>
  <cols>
    <col min="1" max="1" width="51.7265625" style="104" bestFit="1" customWidth="1"/>
    <col min="2" max="2" width="85.54296875" style="104" bestFit="1" customWidth="1"/>
    <col min="3" max="3" width="27" style="104" customWidth="1"/>
    <col min="4" max="4" width="18.26953125" style="104" bestFit="1" customWidth="1"/>
    <col min="5" max="5" width="26.54296875" style="104" customWidth="1"/>
    <col min="6" max="16384" width="11.453125" style="104"/>
  </cols>
  <sheetData>
    <row r="1" spans="1:5" ht="13" x14ac:dyDescent="0.3">
      <c r="A1" s="106" t="s">
        <v>932</v>
      </c>
      <c r="B1" s="106" t="s">
        <v>1167</v>
      </c>
      <c r="C1" s="106" t="s">
        <v>1341</v>
      </c>
      <c r="D1" s="106" t="s">
        <v>1076</v>
      </c>
      <c r="E1" s="104" t="s">
        <v>1168</v>
      </c>
    </row>
    <row r="2" spans="1:5" x14ac:dyDescent="0.25">
      <c r="A2" s="103" t="s">
        <v>27</v>
      </c>
      <c r="B2" s="103" t="s">
        <v>27</v>
      </c>
      <c r="C2" s="103" t="str">
        <f>VLOOKUP(Tabelle40[[#This Row],[Prozesskategorie]],Tabelle94144[[Prozesskategorie]:[Prozesskategorie short]],2,FALSE)</f>
        <v>CHL</v>
      </c>
      <c r="D2" s="107" t="s">
        <v>0</v>
      </c>
      <c r="E2" s="104">
        <v>1</v>
      </c>
    </row>
    <row r="3" spans="1:5" x14ac:dyDescent="0.25">
      <c r="A3" s="104" t="s">
        <v>39</v>
      </c>
      <c r="B3" s="104" t="s">
        <v>39</v>
      </c>
      <c r="C3" s="104" t="str">
        <f>VLOOKUP(Tabelle40[[#This Row],[Prozesskategorie]],Tabelle94144[[Prozesskategorie]:[Prozesskategorie short]],2,FALSE)</f>
        <v>LUF</v>
      </c>
      <c r="D3" s="108" t="s">
        <v>0</v>
      </c>
      <c r="E3" s="104">
        <v>1</v>
      </c>
    </row>
    <row r="4" spans="1:5" x14ac:dyDescent="0.25">
      <c r="A4" s="103" t="s">
        <v>51</v>
      </c>
      <c r="B4" s="103" t="s">
        <v>51</v>
      </c>
      <c r="C4" s="103" t="str">
        <f>VLOOKUP(Tabelle40[[#This Row],[Prozesskategorie]],Tabelle94144[[Prozesskategorie]:[Prozesskategorie short]],2,FALSE)</f>
        <v>ALU</v>
      </c>
      <c r="D4" s="107" t="s">
        <v>0</v>
      </c>
      <c r="E4" s="104">
        <v>1</v>
      </c>
    </row>
    <row r="5" spans="1:5" x14ac:dyDescent="0.25">
      <c r="A5" s="104" t="s">
        <v>69</v>
      </c>
      <c r="B5" s="104" t="s">
        <v>933</v>
      </c>
      <c r="C5" s="104" t="str">
        <f>VLOOKUP(Tabelle40[[#This Row],[Prozesskategorie]],Tabelle94144[[Prozesskategorie]:[Prozesskategorie short]],2,FALSE)</f>
        <v>KUZ</v>
      </c>
      <c r="D5" s="108" t="s">
        <v>0</v>
      </c>
      <c r="E5" s="104">
        <v>1</v>
      </c>
    </row>
    <row r="6" spans="1:5" x14ac:dyDescent="0.25">
      <c r="A6" s="103" t="s">
        <v>73</v>
      </c>
      <c r="B6" s="103" t="s">
        <v>933</v>
      </c>
      <c r="C6" s="103" t="str">
        <f>VLOOKUP(Tabelle40[[#This Row],[Prozesskategorie]],Tabelle94144[[Prozesskategorie]:[Prozesskategorie short]],2,FALSE)</f>
        <v>KUZ</v>
      </c>
      <c r="D6" s="107" t="s">
        <v>0</v>
      </c>
      <c r="E6" s="104">
        <v>1</v>
      </c>
    </row>
    <row r="7" spans="1:5" x14ac:dyDescent="0.25">
      <c r="A7" s="104" t="s">
        <v>74</v>
      </c>
      <c r="B7" s="104" t="s">
        <v>934</v>
      </c>
      <c r="C7" s="104" t="str">
        <f>VLOOKUP(Tabelle40[[#This Row],[Prozesskategorie]],Tabelle94144[[Prozesskategorie]:[Prozesskategorie short]],2,FALSE)</f>
        <v>HOZ</v>
      </c>
      <c r="D7" s="108" t="s">
        <v>0</v>
      </c>
      <c r="E7" s="104">
        <v>1</v>
      </c>
    </row>
    <row r="8" spans="1:5" x14ac:dyDescent="0.25">
      <c r="A8" s="103" t="s">
        <v>77</v>
      </c>
      <c r="B8" s="103" t="s">
        <v>935</v>
      </c>
      <c r="C8" s="103" t="str">
        <f>VLOOKUP(Tabelle40[[#This Row],[Prozesskategorie]],Tabelle94144[[Prozesskategorie]:[Prozesskategorie short]],2,FALSE)</f>
        <v>ALP</v>
      </c>
      <c r="D8" s="107" t="s">
        <v>0</v>
      </c>
      <c r="E8" s="104">
        <v>1</v>
      </c>
    </row>
    <row r="9" spans="1:5" x14ac:dyDescent="0.25">
      <c r="A9" s="104" t="s">
        <v>78</v>
      </c>
      <c r="B9" s="104" t="s">
        <v>78</v>
      </c>
      <c r="C9" s="104" t="str">
        <f>VLOOKUP(Tabelle40[[#This Row],[Prozesskategorie]],Tabelle94144[[Prozesskategorie]:[Prozesskategorie short]],2,FALSE)</f>
        <v>PAM</v>
      </c>
      <c r="D9" s="108" t="s">
        <v>0</v>
      </c>
      <c r="E9" s="104">
        <v>1</v>
      </c>
    </row>
    <row r="10" spans="1:5" x14ac:dyDescent="0.25">
      <c r="A10" s="103" t="s">
        <v>79</v>
      </c>
      <c r="B10" s="103" t="s">
        <v>936</v>
      </c>
      <c r="C10" s="103" t="str">
        <f>VLOOKUP(Tabelle40[[#This Row],[Prozesskategorie]],Tabelle94144[[Prozesskategorie]:[Prozesskategorie short]],2,FALSE)</f>
        <v>STK</v>
      </c>
      <c r="D10" s="107" t="s">
        <v>0</v>
      </c>
      <c r="E10" s="104">
        <v>1</v>
      </c>
    </row>
    <row r="11" spans="1:5" x14ac:dyDescent="0.25">
      <c r="A11" s="104" t="s">
        <v>81</v>
      </c>
      <c r="B11" s="104" t="s">
        <v>937</v>
      </c>
      <c r="C11" s="104" t="str">
        <f>VLOOKUP(Tabelle40[[#This Row],[Prozesskategorie]],Tabelle94144[[Prozesskategorie]:[Prozesskategorie short]],2,FALSE)</f>
        <v>EST</v>
      </c>
      <c r="D11" s="108" t="s">
        <v>0</v>
      </c>
      <c r="E11" s="104">
        <v>1</v>
      </c>
    </row>
    <row r="12" spans="1:5" x14ac:dyDescent="0.25">
      <c r="A12" s="103" t="s">
        <v>938</v>
      </c>
      <c r="B12" s="103" t="s">
        <v>938</v>
      </c>
      <c r="C12" s="103" t="str">
        <f>VLOOKUP(Tabelle40[[#This Row],[Prozesskategorie]],Tabelle94144[[Prozesskategorie]:[Prozesskategorie short]],2,FALSE)</f>
        <v>ZEM</v>
      </c>
      <c r="D12" s="107" t="s">
        <v>0</v>
      </c>
      <c r="E12" s="104">
        <v>1</v>
      </c>
    </row>
    <row r="13" spans="1:5" x14ac:dyDescent="0.25">
      <c r="A13" s="104" t="s">
        <v>88</v>
      </c>
      <c r="B13" s="104" t="s">
        <v>939</v>
      </c>
      <c r="C13" s="104" t="str">
        <f>VLOOKUP(Tabelle40[[#This Row],[Prozesskategorie]],Tabelle94144[[Prozesskategorie]:[Prozesskategorie short]],2,FALSE)</f>
        <v>KÜL</v>
      </c>
      <c r="D13" s="108" t="s">
        <v>1075</v>
      </c>
      <c r="E13" s="104">
        <v>1</v>
      </c>
    </row>
    <row r="14" spans="1:5" x14ac:dyDescent="0.25">
      <c r="A14" s="103" t="s">
        <v>208</v>
      </c>
      <c r="B14" s="103" t="s">
        <v>940</v>
      </c>
      <c r="C14" s="103" t="str">
        <f>VLOOKUP(Tabelle40[[#This Row],[Prozesskategorie]],Tabelle94144[[Prozesskategorie]:[Prozesskategorie short]],2,FALSE)</f>
        <v>LÜF</v>
      </c>
      <c r="D14" s="107" t="s">
        <v>1075</v>
      </c>
      <c r="E14" s="104">
        <v>1</v>
      </c>
    </row>
    <row r="15" spans="1:5" x14ac:dyDescent="0.25">
      <c r="A15" s="104" t="s">
        <v>97</v>
      </c>
      <c r="B15" s="104" t="s">
        <v>939</v>
      </c>
      <c r="C15" s="104" t="str">
        <f>VLOOKUP(Tabelle40[[#This Row],[Prozesskategorie]],Tabelle94144[[Prozesskategorie]:[Prozesskategorie short]],2,FALSE)</f>
        <v>KÜL</v>
      </c>
      <c r="D15" s="108" t="s">
        <v>1075</v>
      </c>
      <c r="E15" s="104">
        <v>1</v>
      </c>
    </row>
    <row r="16" spans="1:5" x14ac:dyDescent="0.25">
      <c r="A16" s="103" t="s">
        <v>1121</v>
      </c>
      <c r="B16" s="103" t="s">
        <v>1126</v>
      </c>
      <c r="C16" s="103" t="str">
        <f>VLOOKUP(Tabelle40[[#This Row],[Prozesskategorie]],Tabelle94144[[Prozesskategorie]:[Prozesskategorie short]],2,FALSE)</f>
        <v>KÜH</v>
      </c>
      <c r="D16" s="107" t="s">
        <v>1075</v>
      </c>
      <c r="E16" s="104">
        <v>1</v>
      </c>
    </row>
    <row r="17" spans="1:5" x14ac:dyDescent="0.25">
      <c r="A17" s="104" t="s">
        <v>99</v>
      </c>
      <c r="B17" s="104" t="s">
        <v>941</v>
      </c>
      <c r="C17" s="104" t="str">
        <f>VLOOKUP(Tabelle40[[#This Row],[Prozesskategorie]],Tabelle94144[[Prozesskategorie]:[Prozesskategorie short]],2,FALSE)</f>
        <v>PRK</v>
      </c>
      <c r="D17" s="108" t="s">
        <v>1075</v>
      </c>
      <c r="E17" s="104">
        <v>1</v>
      </c>
    </row>
    <row r="18" spans="1:5" x14ac:dyDescent="0.25">
      <c r="A18" s="103" t="s">
        <v>100</v>
      </c>
      <c r="B18" s="103" t="s">
        <v>942</v>
      </c>
      <c r="C18" s="103" t="str">
        <f>VLOOKUP(Tabelle40[[#This Row],[Prozesskategorie]],Tabelle94144[[Prozesskategorie]:[Prozesskategorie short]],2,FALSE)</f>
        <v>KLK</v>
      </c>
      <c r="D18" s="107" t="s">
        <v>1075</v>
      </c>
      <c r="E18" s="104">
        <v>1</v>
      </c>
    </row>
    <row r="19" spans="1:5" x14ac:dyDescent="0.25">
      <c r="A19" s="104" t="s">
        <v>101</v>
      </c>
      <c r="B19" s="104" t="s">
        <v>942</v>
      </c>
      <c r="C19" s="104" t="str">
        <f>VLOOKUP(Tabelle40[[#This Row],[Prozesskategorie]],Tabelle94144[[Prozesskategorie]:[Prozesskategorie short]],2,FALSE)</f>
        <v>KLK</v>
      </c>
      <c r="D19" s="108" t="s">
        <v>1075</v>
      </c>
      <c r="E19" s="104">
        <v>1</v>
      </c>
    </row>
    <row r="20" spans="1:5" x14ac:dyDescent="0.25">
      <c r="A20" s="103" t="s">
        <v>102</v>
      </c>
      <c r="B20" s="103" t="s">
        <v>942</v>
      </c>
      <c r="C20" s="103" t="str">
        <f>VLOOKUP(Tabelle40[[#This Row],[Prozesskategorie]],Tabelle94144[[Prozesskategorie]:[Prozesskategorie short]],2,FALSE)</f>
        <v>KLK</v>
      </c>
      <c r="D20" s="107" t="s">
        <v>1075</v>
      </c>
      <c r="E20" s="104">
        <v>1</v>
      </c>
    </row>
    <row r="21" spans="1:5" x14ac:dyDescent="0.25">
      <c r="A21" s="104" t="s">
        <v>103</v>
      </c>
      <c r="B21" s="104" t="s">
        <v>942</v>
      </c>
      <c r="C21" s="104" t="str">
        <f>VLOOKUP(Tabelle40[[#This Row],[Prozesskategorie]],Tabelle94144[[Prozesskategorie]:[Prozesskategorie short]],2,FALSE)</f>
        <v>KLK</v>
      </c>
      <c r="D21" s="108" t="s">
        <v>1075</v>
      </c>
      <c r="E21" s="104">
        <v>1</v>
      </c>
    </row>
    <row r="22" spans="1:5" x14ac:dyDescent="0.25">
      <c r="A22" s="103" t="s">
        <v>136</v>
      </c>
      <c r="B22" s="103" t="s">
        <v>943</v>
      </c>
      <c r="C22" s="103" t="str">
        <f>VLOOKUP(Tabelle40[[#This Row],[Prozesskategorie]],Tabelle94144[[Prozesskategorie]:[Prozesskategorie short]],2,FALSE)</f>
        <v>WAR</v>
      </c>
      <c r="D22" s="107" t="s">
        <v>1075</v>
      </c>
      <c r="E22" s="104">
        <v>1</v>
      </c>
    </row>
    <row r="23" spans="1:5" x14ac:dyDescent="0.25">
      <c r="A23" s="104" t="s">
        <v>137</v>
      </c>
      <c r="B23" s="104" t="s">
        <v>944</v>
      </c>
      <c r="C23" s="104" t="str">
        <f>VLOOKUP(Tabelle40[[#This Row],[Prozesskategorie]],Tabelle94144[[Prozesskategorie]:[Prozesskategorie short]],2,FALSE)</f>
        <v>NSH</v>
      </c>
      <c r="D23" s="108" t="s">
        <v>1075</v>
      </c>
      <c r="E23" s="104">
        <v>1</v>
      </c>
    </row>
    <row r="24" spans="1:5" x14ac:dyDescent="0.25">
      <c r="A24" s="103" t="s">
        <v>124</v>
      </c>
      <c r="B24" s="103" t="s">
        <v>945</v>
      </c>
      <c r="C24" s="103" t="str">
        <f>VLOOKUP(Tabelle40[[#This Row],[Prozesskategorie]],Tabelle94144[[Prozesskategorie]:[Prozesskategorie short]],2,FALSE)</f>
        <v>NOT</v>
      </c>
      <c r="D24" s="107" t="s">
        <v>1075</v>
      </c>
      <c r="E24" s="104">
        <v>1</v>
      </c>
    </row>
    <row r="25" spans="1:5" x14ac:dyDescent="0.25">
      <c r="A25" s="104" t="s">
        <v>129</v>
      </c>
      <c r="B25" s="104" t="s">
        <v>129</v>
      </c>
      <c r="C25" s="104" t="str">
        <f>VLOOKUP(Tabelle40[[#This Row],[Prozesskategorie]],Tabelle94144[[Prozesskategorie]:[Prozesskategorie short]],2,FALSE)</f>
        <v>WAS</v>
      </c>
      <c r="D25" s="108" t="s">
        <v>1077</v>
      </c>
      <c r="E25" s="104">
        <v>1</v>
      </c>
    </row>
    <row r="26" spans="1:5" x14ac:dyDescent="0.25">
      <c r="A26" s="103" t="s">
        <v>130</v>
      </c>
      <c r="B26" s="103" t="s">
        <v>946</v>
      </c>
      <c r="C26" s="103" t="str">
        <f>VLOOKUP(Tabelle40[[#This Row],[Prozesskategorie]],Tabelle94144[[Prozesskategorie]:[Prozesskategorie short]],2,FALSE)</f>
        <v>TRO</v>
      </c>
      <c r="D26" s="107" t="s">
        <v>1077</v>
      </c>
      <c r="E26" s="104">
        <v>1</v>
      </c>
    </row>
    <row r="27" spans="1:5" x14ac:dyDescent="0.25">
      <c r="A27" s="104" t="s">
        <v>283</v>
      </c>
      <c r="B27" s="104" t="s">
        <v>283</v>
      </c>
      <c r="C27" s="104" t="str">
        <f>VLOOKUP(Tabelle40[[#This Row],[Prozesskategorie]],Tabelle94144[[Prozesskategorie]:[Prozesskategorie short]],2,FALSE)</f>
        <v>SPÜ</v>
      </c>
      <c r="D27" s="108" t="s">
        <v>1077</v>
      </c>
      <c r="E27" s="104">
        <v>1</v>
      </c>
    </row>
    <row r="28" spans="1:5" x14ac:dyDescent="0.25">
      <c r="A28" s="103" t="s">
        <v>132</v>
      </c>
      <c r="B28" s="103" t="s">
        <v>947</v>
      </c>
      <c r="C28" s="103" t="str">
        <f>VLOOKUP(Tabelle40[[#This Row],[Prozesskategorie]],Tabelle94144[[Prozesskategorie]:[Prozesskategorie short]],2,FALSE)</f>
        <v>KÜS</v>
      </c>
      <c r="D28" s="107" t="s">
        <v>1077</v>
      </c>
      <c r="E28" s="104">
        <v>1</v>
      </c>
    </row>
    <row r="29" spans="1:5" x14ac:dyDescent="0.25">
      <c r="A29" s="104" t="s">
        <v>133</v>
      </c>
      <c r="B29" s="104" t="s">
        <v>948</v>
      </c>
      <c r="C29" s="104" t="str">
        <f>VLOOKUP(Tabelle40[[#This Row],[Prozesskategorie]],Tabelle94144[[Prozesskategorie]:[Prozesskategorie short]],2,FALSE)</f>
        <v>GES</v>
      </c>
      <c r="D29" s="108" t="s">
        <v>1077</v>
      </c>
      <c r="E29" s="104">
        <v>1</v>
      </c>
    </row>
    <row r="30" spans="1:5" x14ac:dyDescent="0.25">
      <c r="A30" s="103" t="s">
        <v>134</v>
      </c>
      <c r="B30" s="103" t="s">
        <v>134</v>
      </c>
      <c r="C30" s="103" t="str">
        <f>VLOOKUP(Tabelle40[[#This Row],[Prozesskategorie]],Tabelle94144[[Prozesskategorie]:[Prozesskategorie short]],2,FALSE)</f>
        <v>WP</v>
      </c>
      <c r="D30" s="107" t="s">
        <v>1075</v>
      </c>
      <c r="E30" s="104">
        <v>1</v>
      </c>
    </row>
    <row r="31" spans="1:5" x14ac:dyDescent="0.25">
      <c r="A31" s="104" t="s">
        <v>135</v>
      </c>
      <c r="B31" s="104" t="s">
        <v>943</v>
      </c>
      <c r="C31" s="104" t="str">
        <f>VLOOKUP(Tabelle40[[#This Row],[Prozesskategorie]],Tabelle94144[[Prozesskategorie]:[Prozesskategorie short]],2,FALSE)</f>
        <v>WAR</v>
      </c>
      <c r="D31" s="108" t="s">
        <v>1075</v>
      </c>
      <c r="E31" s="104">
        <v>1</v>
      </c>
    </row>
    <row r="32" spans="1:5" x14ac:dyDescent="0.25">
      <c r="A32" s="103" t="s">
        <v>138</v>
      </c>
      <c r="B32" s="103" t="s">
        <v>944</v>
      </c>
      <c r="C32" s="103" t="str">
        <f>VLOOKUP(Tabelle40[[#This Row],[Prozesskategorie]],Tabelle94144[[Prozesskategorie]:[Prozesskategorie short]],2,FALSE)</f>
        <v>NSH</v>
      </c>
      <c r="D32" s="107" t="s">
        <v>1075</v>
      </c>
      <c r="E32" s="104">
        <v>1</v>
      </c>
    </row>
    <row r="33" spans="1:5" x14ac:dyDescent="0.25">
      <c r="A33" s="104" t="s">
        <v>150</v>
      </c>
      <c r="B33" s="104" t="s">
        <v>949</v>
      </c>
      <c r="C33" s="104" t="str">
        <f>VLOOKUP(Tabelle40[[#This Row],[Prozesskategorie]],Tabelle94144[[Prozesskategorie]:[Prozesskategorie short]],2,FALSE)</f>
        <v>HUP</v>
      </c>
      <c r="D33" s="108" t="s">
        <v>1075</v>
      </c>
      <c r="E33" s="104">
        <v>1</v>
      </c>
    </row>
    <row r="34" spans="1:5" x14ac:dyDescent="0.25">
      <c r="A34" s="103" t="s">
        <v>164</v>
      </c>
      <c r="B34" s="103" t="s">
        <v>164</v>
      </c>
      <c r="C34" s="103" t="str">
        <f>VLOOKUP(Tabelle40[[#This Row],[Prozesskategorie]],Tabelle94144[[Prozesskategorie]:[Prozesskategorie short]],2,FALSE)</f>
        <v>WW</v>
      </c>
      <c r="D34" s="107" t="s">
        <v>1077</v>
      </c>
      <c r="E34" s="104">
        <v>0</v>
      </c>
    </row>
    <row r="35" spans="1:5" x14ac:dyDescent="0.25">
      <c r="A35" s="104" t="s">
        <v>183</v>
      </c>
      <c r="B35" s="104" t="s">
        <v>959</v>
      </c>
      <c r="C35" s="104" t="str">
        <f>VLOOKUP(Tabelle40[[#This Row],[Prozesskategorie]],Tabelle94144[[Prozesskategorie]:[Prozesskategorie short]],2,FALSE)</f>
        <v>ERN</v>
      </c>
      <c r="D35" s="108" t="s">
        <v>649</v>
      </c>
      <c r="E35" s="104">
        <v>1</v>
      </c>
    </row>
    <row r="36" spans="1:5" x14ac:dyDescent="0.25">
      <c r="A36" s="103" t="s">
        <v>184</v>
      </c>
      <c r="B36" s="103" t="s">
        <v>960</v>
      </c>
      <c r="C36" s="103" t="str">
        <f>VLOOKUP(Tabelle40[[#This Row],[Prozesskategorie]],Tabelle94144[[Prozesskategorie]:[Prozesskategorie short]],2,FALSE)</f>
        <v>CHE</v>
      </c>
      <c r="D36" s="107" t="s">
        <v>649</v>
      </c>
      <c r="E36" s="104">
        <v>1</v>
      </c>
    </row>
    <row r="37" spans="1:5" x14ac:dyDescent="0.25">
      <c r="A37" s="104" t="s">
        <v>185</v>
      </c>
      <c r="B37" s="104" t="s">
        <v>965</v>
      </c>
      <c r="C37" s="104" t="str">
        <f>VLOOKUP(Tabelle40[[#This Row],[Prozesskategorie]],Tabelle94144[[Prozesskategorie]:[Prozesskategorie short]],2,FALSE)</f>
        <v>PAP</v>
      </c>
      <c r="D37" s="108" t="s">
        <v>649</v>
      </c>
      <c r="E37" s="104">
        <v>1</v>
      </c>
    </row>
    <row r="38" spans="1:5" x14ac:dyDescent="0.25">
      <c r="A38" s="103" t="s">
        <v>186</v>
      </c>
      <c r="B38" s="103" t="s">
        <v>966</v>
      </c>
      <c r="C38" s="103" t="str">
        <f>VLOOKUP(Tabelle40[[#This Row],[Prozesskategorie]],Tabelle94144[[Prozesskategorie]:[Prozesskategorie short]],2,FALSE)</f>
        <v>MET</v>
      </c>
      <c r="D38" s="107" t="s">
        <v>649</v>
      </c>
      <c r="E38" s="104">
        <v>1</v>
      </c>
    </row>
    <row r="39" spans="1:5" x14ac:dyDescent="0.25">
      <c r="A39" s="104" t="s">
        <v>187</v>
      </c>
      <c r="B39" s="104" t="s">
        <v>961</v>
      </c>
      <c r="C39" s="104" t="str">
        <f>VLOOKUP(Tabelle40[[#This Row],[Prozesskategorie]],Tabelle94144[[Prozesskategorie]:[Prozesskategorie short]],2,FALSE)</f>
        <v>KFZ</v>
      </c>
      <c r="D39" s="108" t="s">
        <v>649</v>
      </c>
      <c r="E39" s="104">
        <v>1</v>
      </c>
    </row>
    <row r="40" spans="1:5" x14ac:dyDescent="0.25">
      <c r="A40" s="103" t="s">
        <v>188</v>
      </c>
      <c r="B40" s="103" t="s">
        <v>962</v>
      </c>
      <c r="C40" s="103" t="str">
        <f>VLOOKUP(Tabelle40[[#This Row],[Prozesskategorie]],Tabelle94144[[Prozesskategorie]:[Prozesskategorie short]],2,FALSE)</f>
        <v>MAS</v>
      </c>
      <c r="D40" s="107" t="s">
        <v>649</v>
      </c>
      <c r="E40" s="104">
        <v>1</v>
      </c>
    </row>
    <row r="41" spans="1:5" x14ac:dyDescent="0.25">
      <c r="A41" s="104" t="s">
        <v>189</v>
      </c>
      <c r="B41" s="104" t="s">
        <v>963</v>
      </c>
      <c r="C41" s="104" t="str">
        <f>VLOOKUP(Tabelle40[[#This Row],[Prozesskategorie]],Tabelle94144[[Prozesskategorie]:[Prozesskategorie short]],2,FALSE)</f>
        <v>GLA</v>
      </c>
      <c r="D41" s="108" t="s">
        <v>649</v>
      </c>
      <c r="E41" s="104">
        <v>1</v>
      </c>
    </row>
    <row r="42" spans="1:5" x14ac:dyDescent="0.25">
      <c r="A42" s="103" t="s">
        <v>190</v>
      </c>
      <c r="B42" s="103" t="s">
        <v>974</v>
      </c>
      <c r="C42" s="103" t="str">
        <f>VLOOKUP(Tabelle40[[#This Row],[Prozesskategorie]],Tabelle94144[[Prozesskategorie]:[Prozesskategorie short]],2,FALSE)</f>
        <v>IND</v>
      </c>
      <c r="D42" s="107" t="s">
        <v>649</v>
      </c>
      <c r="E42" s="104">
        <v>1</v>
      </c>
    </row>
    <row r="43" spans="1:5" x14ac:dyDescent="0.25">
      <c r="A43" s="104" t="s">
        <v>206</v>
      </c>
      <c r="B43" s="104" t="s">
        <v>941</v>
      </c>
      <c r="C43" s="104" t="str">
        <f>VLOOKUP(Tabelle40[[#This Row],[Prozesskategorie]],Tabelle94144[[Prozesskategorie]:[Prozesskategorie short]],2,FALSE)</f>
        <v>PRK</v>
      </c>
      <c r="D43" s="108" t="s">
        <v>1075</v>
      </c>
      <c r="E43" s="104">
        <v>1</v>
      </c>
    </row>
    <row r="44" spans="1:5" x14ac:dyDescent="0.25">
      <c r="A44" s="103" t="s">
        <v>207</v>
      </c>
      <c r="B44" s="103" t="s">
        <v>950</v>
      </c>
      <c r="C44" s="103" t="str">
        <f>VLOOKUP(Tabelle40[[#This Row],[Prozesskategorie]],Tabelle94144[[Prozesskategorie]:[Prozesskategorie short]],2,FALSE)</f>
        <v>PRW</v>
      </c>
      <c r="D44" s="107" t="s">
        <v>1075</v>
      </c>
      <c r="E44" s="104">
        <v>1</v>
      </c>
    </row>
    <row r="45" spans="1:5" x14ac:dyDescent="0.25">
      <c r="A45" s="104" t="s">
        <v>209</v>
      </c>
      <c r="B45" s="104" t="s">
        <v>942</v>
      </c>
      <c r="C45" s="104" t="str">
        <f>VLOOKUP(Tabelle40[[#This Row],[Prozesskategorie]],Tabelle94144[[Prozesskategorie]:[Prozesskategorie short]],2,FALSE)</f>
        <v>KLK</v>
      </c>
      <c r="D45" s="108" t="s">
        <v>1075</v>
      </c>
      <c r="E45" s="104">
        <v>1</v>
      </c>
    </row>
    <row r="46" spans="1:5" x14ac:dyDescent="0.25">
      <c r="A46" s="103" t="s">
        <v>210</v>
      </c>
      <c r="B46" s="103" t="s">
        <v>944</v>
      </c>
      <c r="C46" s="103" t="str">
        <f>VLOOKUP(Tabelle40[[#This Row],[Prozesskategorie]],Tabelle94144[[Prozesskategorie]:[Prozesskategorie short]],2,FALSE)</f>
        <v>NSH</v>
      </c>
      <c r="D46" s="107" t="s">
        <v>1075</v>
      </c>
      <c r="E46" s="104">
        <v>1</v>
      </c>
    </row>
    <row r="47" spans="1:5" x14ac:dyDescent="0.25">
      <c r="A47" s="104" t="s">
        <v>219</v>
      </c>
      <c r="B47" s="104" t="s">
        <v>951</v>
      </c>
      <c r="C47" s="104" t="str">
        <f>VLOOKUP(Tabelle40[[#This Row],[Prozesskategorie]],Tabelle94144[[Prozesskategorie]:[Prozesskategorie short]],2,FALSE)</f>
        <v>DRU</v>
      </c>
      <c r="D47" s="108" t="s">
        <v>1075</v>
      </c>
      <c r="E47" s="104">
        <v>1</v>
      </c>
    </row>
    <row r="48" spans="1:5" x14ac:dyDescent="0.25">
      <c r="A48" s="103" t="s">
        <v>221</v>
      </c>
      <c r="B48" s="103" t="s">
        <v>952</v>
      </c>
      <c r="C48" s="103" t="str">
        <f>VLOOKUP(Tabelle40[[#This Row],[Prozesskategorie]],Tabelle94144[[Prozesskategorie]:[Prozesskategorie short]],2,FALSE)</f>
        <v>ABW</v>
      </c>
      <c r="D48" s="107" t="s">
        <v>0</v>
      </c>
      <c r="E48" s="104">
        <v>1</v>
      </c>
    </row>
    <row r="49" spans="1:5" x14ac:dyDescent="0.25">
      <c r="A49" s="104" t="s">
        <v>277</v>
      </c>
      <c r="B49" s="104" t="s">
        <v>933</v>
      </c>
      <c r="C49" s="104" t="str">
        <f>VLOOKUP(Tabelle40[[#This Row],[Prozesskategorie]],Tabelle94144[[Prozesskategorie]:[Prozesskategorie short]],2,FALSE)</f>
        <v>KUZ</v>
      </c>
      <c r="D49" s="108" t="s">
        <v>0</v>
      </c>
      <c r="E49" s="104">
        <v>1</v>
      </c>
    </row>
    <row r="50" spans="1:5" x14ac:dyDescent="0.25">
      <c r="A50" s="103" t="s">
        <v>309</v>
      </c>
      <c r="B50" s="103" t="s">
        <v>952</v>
      </c>
      <c r="C50" s="103" t="str">
        <f>VLOOKUP(Tabelle40[[#This Row],[Prozesskategorie]],Tabelle94144[[Prozesskategorie]:[Prozesskategorie short]],2,FALSE)</f>
        <v>ABW</v>
      </c>
      <c r="D50" s="107" t="s">
        <v>0</v>
      </c>
      <c r="E50" s="104">
        <v>1</v>
      </c>
    </row>
    <row r="51" spans="1:5" x14ac:dyDescent="0.25">
      <c r="A51" s="104" t="s">
        <v>284</v>
      </c>
      <c r="B51" s="104" t="s">
        <v>953</v>
      </c>
      <c r="C51" s="104" t="str">
        <f>VLOOKUP(Tabelle40[[#This Row],[Prozesskategorie]],Tabelle94144[[Prozesskategorie]:[Prozesskategorie short]],2,FALSE)</f>
        <v>KÜK</v>
      </c>
      <c r="D51" s="108" t="s">
        <v>1077</v>
      </c>
      <c r="E51" s="104">
        <v>1</v>
      </c>
    </row>
    <row r="52" spans="1:5" x14ac:dyDescent="0.25">
      <c r="A52" s="103" t="s">
        <v>289</v>
      </c>
      <c r="B52" s="103" t="s">
        <v>977</v>
      </c>
      <c r="C52" s="103" t="str">
        <f>VLOOKUP(Tabelle40[[#This Row],[Prozesskategorie]],Tabelle94144[[Prozesskategorie]:[Prozesskategorie short]],2,FALSE)</f>
        <v>BÜR</v>
      </c>
      <c r="D52" s="107" t="s">
        <v>649</v>
      </c>
      <c r="E52" s="104">
        <v>1</v>
      </c>
    </row>
    <row r="53" spans="1:5" x14ac:dyDescent="0.25">
      <c r="A53" s="104" t="s">
        <v>290</v>
      </c>
      <c r="B53" s="104" t="s">
        <v>290</v>
      </c>
      <c r="C53" s="104" t="str">
        <f>VLOOKUP(Tabelle40[[#This Row],[Prozesskategorie]],Tabelle94144[[Prozesskategorie]:[Prozesskategorie short]],2,FALSE)</f>
        <v>HAN</v>
      </c>
      <c r="D53" s="108" t="s">
        <v>649</v>
      </c>
      <c r="E53" s="104">
        <v>1</v>
      </c>
    </row>
    <row r="54" spans="1:5" x14ac:dyDescent="0.25">
      <c r="A54" s="103" t="s">
        <v>291</v>
      </c>
      <c r="B54" s="103" t="s">
        <v>291</v>
      </c>
      <c r="C54" s="103" t="str">
        <f>VLOOKUP(Tabelle40[[#This Row],[Prozesskategorie]],Tabelle94144[[Prozesskategorie]:[Prozesskategorie short]],2,FALSE)</f>
        <v>GAS</v>
      </c>
      <c r="D54" s="107" t="s">
        <v>649</v>
      </c>
      <c r="E54" s="104">
        <v>1</v>
      </c>
    </row>
    <row r="55" spans="1:5" x14ac:dyDescent="0.25">
      <c r="A55" s="104" t="s">
        <v>292</v>
      </c>
      <c r="B55" s="104" t="s">
        <v>292</v>
      </c>
      <c r="C55" s="104" t="str">
        <f>VLOOKUP(Tabelle40[[#This Row],[Prozesskategorie]],Tabelle94144[[Prozesskategorie]:[Prozesskategorie short]],2,FALSE)</f>
        <v>LAW</v>
      </c>
      <c r="D55" s="108" t="s">
        <v>649</v>
      </c>
      <c r="E55" s="104">
        <v>1</v>
      </c>
    </row>
    <row r="56" spans="1:5" x14ac:dyDescent="0.25">
      <c r="A56" s="103" t="s">
        <v>293</v>
      </c>
      <c r="B56" s="103" t="s">
        <v>293</v>
      </c>
      <c r="C56" s="103" t="str">
        <f>VLOOKUP(Tabelle40[[#This Row],[Prozesskategorie]],Tabelle94144[[Prozesskategorie]:[Prozesskategorie short]],2,FALSE)</f>
        <v>GAB</v>
      </c>
      <c r="D56" s="107" t="s">
        <v>649</v>
      </c>
      <c r="E56" s="104">
        <v>1</v>
      </c>
    </row>
    <row r="57" spans="1:5" x14ac:dyDescent="0.25">
      <c r="A57" s="104" t="s">
        <v>294</v>
      </c>
      <c r="B57" s="104" t="s">
        <v>294</v>
      </c>
      <c r="C57" s="104" t="str">
        <f>VLOOKUP(Tabelle40[[#This Row],[Prozesskategorie]],Tabelle94144[[Prozesskategorie]:[Prozesskategorie short]],2,FALSE)</f>
        <v>BÄD</v>
      </c>
      <c r="D57" s="108" t="s">
        <v>649</v>
      </c>
      <c r="E57" s="104">
        <v>1</v>
      </c>
    </row>
    <row r="58" spans="1:5" x14ac:dyDescent="0.25">
      <c r="A58" s="103" t="s">
        <v>295</v>
      </c>
      <c r="B58" s="103" t="s">
        <v>295</v>
      </c>
      <c r="C58" s="103" t="str">
        <f>VLOOKUP(Tabelle40[[#This Row],[Prozesskategorie]],Tabelle94144[[Prozesskategorie]:[Prozesskategorie short]],2,FALSE)</f>
        <v>WÄS</v>
      </c>
      <c r="D58" s="107" t="s">
        <v>649</v>
      </c>
      <c r="E58" s="104">
        <v>1</v>
      </c>
    </row>
    <row r="59" spans="1:5" x14ac:dyDescent="0.25">
      <c r="A59" s="104" t="s">
        <v>296</v>
      </c>
      <c r="B59" s="104" t="s">
        <v>978</v>
      </c>
      <c r="C59" s="104" t="str">
        <f>VLOOKUP(Tabelle40[[#This Row],[Prozesskategorie]],Tabelle94144[[Prozesskategorie]:[Prozesskategorie short]],2,FALSE)</f>
        <v>PRO</v>
      </c>
      <c r="D59" s="108" t="s">
        <v>649</v>
      </c>
      <c r="E59" s="104">
        <v>1</v>
      </c>
    </row>
    <row r="60" spans="1:5" x14ac:dyDescent="0.25">
      <c r="A60" s="103" t="s">
        <v>297</v>
      </c>
      <c r="B60" s="103" t="s">
        <v>297</v>
      </c>
      <c r="C60" s="103" t="str">
        <f>VLOOKUP(Tabelle40[[#This Row],[Prozesskategorie]],Tabelle94144[[Prozesskategorie]:[Prozesskategorie short]],2,FALSE)</f>
        <v>BAU</v>
      </c>
      <c r="D60" s="107" t="s">
        <v>649</v>
      </c>
      <c r="E60" s="104">
        <v>1</v>
      </c>
    </row>
    <row r="61" spans="1:5" x14ac:dyDescent="0.25">
      <c r="A61" s="104" t="s">
        <v>325</v>
      </c>
      <c r="B61" s="104" t="s">
        <v>325</v>
      </c>
      <c r="C61" s="104" t="str">
        <f>VLOOKUP(Tabelle40[[#This Row],[Prozesskategorie]],Tabelle94144[[Prozesskategorie]:[Prozesskategorie short]],2,FALSE)</f>
        <v>C+L</v>
      </c>
      <c r="D61" s="108" t="s">
        <v>0</v>
      </c>
      <c r="E61" s="104">
        <v>0</v>
      </c>
    </row>
    <row r="62" spans="1:5" x14ac:dyDescent="0.25">
      <c r="A62" s="103" t="s">
        <v>362</v>
      </c>
      <c r="B62" s="103" t="s">
        <v>942</v>
      </c>
      <c r="C62" s="103" t="str">
        <f>VLOOKUP(Tabelle40[[#This Row],[Prozesskategorie]],Tabelle94144[[Prozesskategorie]:[Prozesskategorie short]],2,FALSE)</f>
        <v>KLK</v>
      </c>
      <c r="D62" s="107" t="s">
        <v>1075</v>
      </c>
      <c r="E62" s="104">
        <v>1</v>
      </c>
    </row>
    <row r="63" spans="1:5" x14ac:dyDescent="0.25">
      <c r="A63" s="104" t="s">
        <v>370</v>
      </c>
      <c r="B63" s="104" t="s">
        <v>954</v>
      </c>
      <c r="C63" s="104" t="str">
        <f>VLOOKUP(Tabelle40[[#This Row],[Prozesskategorie]],Tabelle94144[[Prozesskategorie]:[Prozesskategorie short]],2,FALSE)</f>
        <v>CAC</v>
      </c>
      <c r="D63" s="108" t="s">
        <v>0</v>
      </c>
      <c r="E63" s="104">
        <v>1</v>
      </c>
    </row>
    <row r="64" spans="1:5" x14ac:dyDescent="0.25">
      <c r="A64" s="103" t="s">
        <v>373</v>
      </c>
      <c r="B64" s="103" t="s">
        <v>1126</v>
      </c>
      <c r="C64" s="103" t="str">
        <f>VLOOKUP(Tabelle40[[#This Row],[Prozesskategorie]],Tabelle94144[[Prozesskategorie]:[Prozesskategorie short]],2,FALSE)</f>
        <v>KÜH</v>
      </c>
      <c r="D64" s="107" t="s">
        <v>1075</v>
      </c>
      <c r="E64" s="104">
        <v>1</v>
      </c>
    </row>
    <row r="65" spans="1:5" x14ac:dyDescent="0.25">
      <c r="A65" s="104" t="s">
        <v>374</v>
      </c>
      <c r="B65" s="104" t="s">
        <v>955</v>
      </c>
      <c r="C65" s="104" t="str">
        <f>VLOOKUP(Tabelle40[[#This Row],[Prozesskategorie]],Tabelle94144[[Prozesskategorie]:[Prozesskategorie short]],2,FALSE)</f>
        <v>PUW</v>
      </c>
      <c r="D65" s="108" t="s">
        <v>1075</v>
      </c>
      <c r="E65" s="104">
        <v>1</v>
      </c>
    </row>
    <row r="66" spans="1:5" x14ac:dyDescent="0.25">
      <c r="A66" s="103" t="s">
        <v>389</v>
      </c>
      <c r="B66" s="103" t="s">
        <v>941</v>
      </c>
      <c r="C66" s="103" t="str">
        <f>VLOOKUP(Tabelle40[[#This Row],[Prozesskategorie]],Tabelle94144[[Prozesskategorie]:[Prozesskategorie short]],2,FALSE)</f>
        <v>PRK</v>
      </c>
      <c r="D66" s="107" t="s">
        <v>1075</v>
      </c>
      <c r="E66" s="104">
        <v>1</v>
      </c>
    </row>
    <row r="67" spans="1:5" x14ac:dyDescent="0.25">
      <c r="A67" s="104" t="s">
        <v>398</v>
      </c>
      <c r="B67" s="104" t="s">
        <v>398</v>
      </c>
      <c r="C67" s="104" t="str">
        <f>VLOOKUP(Tabelle40[[#This Row],[Prozesskategorie]],Tabelle94144[[Prozesskategorie]:[Prozesskategorie short]],2,FALSE)</f>
        <v>GHD</v>
      </c>
      <c r="D67" s="108" t="s">
        <v>649</v>
      </c>
      <c r="E67" s="104">
        <v>1</v>
      </c>
    </row>
    <row r="68" spans="1:5" x14ac:dyDescent="0.25">
      <c r="A68" s="103" t="s">
        <v>403</v>
      </c>
      <c r="B68" s="103" t="s">
        <v>403</v>
      </c>
      <c r="C68" s="103" t="str">
        <f>VLOOKUP(Tabelle40[[#This Row],[Prozesskategorie]],Tabelle94144[[Prozesskategorie]:[Prozesskategorie short]],2,FALSE)</f>
        <v>PRH</v>
      </c>
      <c r="D68" s="107" t="s">
        <v>1075</v>
      </c>
      <c r="E68" s="104">
        <v>1</v>
      </c>
    </row>
    <row r="69" spans="1:5" x14ac:dyDescent="0.25">
      <c r="A69" s="104" t="s">
        <v>415</v>
      </c>
      <c r="B69" s="104" t="s">
        <v>325</v>
      </c>
      <c r="C69" s="104" t="str">
        <f>VLOOKUP(Tabelle40[[#This Row],[Prozesskategorie]],Tabelle94144[[Prozesskategorie]:[Prozesskategorie short]],2,FALSE)</f>
        <v>C+L</v>
      </c>
      <c r="D69" s="108" t="s">
        <v>0</v>
      </c>
      <c r="E69" s="104">
        <v>0</v>
      </c>
    </row>
    <row r="70" spans="1:5" x14ac:dyDescent="0.25">
      <c r="A70" s="103" t="s">
        <v>414</v>
      </c>
      <c r="B70" s="103" t="s">
        <v>414</v>
      </c>
      <c r="C70" s="103" t="str">
        <f>VLOOKUP(Tabelle40[[#This Row],[Prozesskategorie]],Tabelle94144[[Prozesskategorie]:[Prozesskategorie short]],2,FALSE)</f>
        <v>Z+B</v>
      </c>
      <c r="D70" s="107" t="s">
        <v>0</v>
      </c>
      <c r="E70" s="104">
        <v>0</v>
      </c>
    </row>
    <row r="71" spans="1:5" x14ac:dyDescent="0.25">
      <c r="A71" s="104" t="s">
        <v>1064</v>
      </c>
      <c r="B71" s="104" t="s">
        <v>940</v>
      </c>
      <c r="C71" s="104" t="str">
        <f>VLOOKUP(Tabelle40[[#This Row],[Prozesskategorie]],Tabelle94144[[Prozesskategorie]:[Prozesskategorie short]],2,FALSE)</f>
        <v>LÜF</v>
      </c>
      <c r="D71" s="108" t="s">
        <v>0</v>
      </c>
      <c r="E71" s="104">
        <v>1</v>
      </c>
    </row>
    <row r="72" spans="1:5" x14ac:dyDescent="0.25">
      <c r="A72" s="103" t="s">
        <v>535</v>
      </c>
      <c r="B72" s="103" t="s">
        <v>535</v>
      </c>
      <c r="C72" s="103" t="str">
        <f>VLOOKUP(Tabelle40[[#This Row],[Prozesskategorie]],Tabelle94144[[Prozesskategorie]:[Prozesskategorie short]],2,FALSE)</f>
        <v>BEL</v>
      </c>
      <c r="D72" s="107" t="s">
        <v>1075</v>
      </c>
      <c r="E72" s="104">
        <v>1</v>
      </c>
    </row>
    <row r="73" spans="1:5" x14ac:dyDescent="0.25">
      <c r="A73" s="104" t="s">
        <v>536</v>
      </c>
      <c r="B73" s="104" t="s">
        <v>536</v>
      </c>
      <c r="C73" s="104" t="str">
        <f>VLOOKUP(Tabelle40[[#This Row],[Prozesskategorie]],Tabelle94144[[Prozesskategorie]:[Prozesskategorie short]],2,FALSE)</f>
        <v>KÄL</v>
      </c>
      <c r="D73" s="108" t="s">
        <v>1075</v>
      </c>
      <c r="E73" s="104">
        <v>0</v>
      </c>
    </row>
    <row r="74" spans="1:5" x14ac:dyDescent="0.25">
      <c r="A74" s="103" t="s">
        <v>537</v>
      </c>
      <c r="B74" s="103" t="s">
        <v>967</v>
      </c>
      <c r="C74" s="103" t="str">
        <f>VLOOKUP(Tabelle40[[#This Row],[Prozesskategorie]],Tabelle94144[[Prozesskategorie]:[Prozesskategorie short]],2,FALSE)</f>
        <v>PUM</v>
      </c>
      <c r="D74" s="107" t="s">
        <v>1075</v>
      </c>
      <c r="E74" s="104">
        <v>1</v>
      </c>
    </row>
    <row r="75" spans="1:5" x14ac:dyDescent="0.25">
      <c r="A75" s="104" t="s">
        <v>542</v>
      </c>
      <c r="B75" s="104" t="s">
        <v>542</v>
      </c>
      <c r="C75" s="104" t="str">
        <f>VLOOKUP(Tabelle40[[#This Row],[Prozesskategorie]],Tabelle94144[[Prozesskategorie]:[Prozesskategorie short]],2,FALSE)</f>
        <v>QST</v>
      </c>
      <c r="D75" s="108" t="s">
        <v>1075</v>
      </c>
      <c r="E75" s="104">
        <v>0</v>
      </c>
    </row>
    <row r="76" spans="1:5" x14ac:dyDescent="0.25">
      <c r="A76" s="103" t="s">
        <v>571</v>
      </c>
      <c r="B76" s="103" t="s">
        <v>971</v>
      </c>
      <c r="C76" s="103" t="str">
        <f>VLOOKUP(Tabelle40[[#This Row],[Prozesskategorie]],Tabelle94144[[Prozesskategorie]:[Prozesskategorie short]],2,FALSE)</f>
        <v>GIE</v>
      </c>
      <c r="D76" s="107" t="s">
        <v>0</v>
      </c>
      <c r="E76" s="104">
        <v>1</v>
      </c>
    </row>
    <row r="77" spans="1:5" x14ac:dyDescent="0.25">
      <c r="A77" s="104" t="s">
        <v>572</v>
      </c>
      <c r="B77" s="104" t="s">
        <v>933</v>
      </c>
      <c r="C77" s="104" t="str">
        <f>VLOOKUP(Tabelle40[[#This Row],[Prozesskategorie]],Tabelle94144[[Prozesskategorie]:[Prozesskategorie short]],2,FALSE)</f>
        <v>KUZ</v>
      </c>
      <c r="D77" s="108" t="s">
        <v>0</v>
      </c>
      <c r="E77" s="104">
        <v>1</v>
      </c>
    </row>
    <row r="78" spans="1:5" x14ac:dyDescent="0.25">
      <c r="A78" s="103" t="s">
        <v>711</v>
      </c>
      <c r="B78" s="103" t="s">
        <v>941</v>
      </c>
      <c r="C78" s="103" t="str">
        <f>VLOOKUP(Tabelle40[[#This Row],[Prozesskategorie]],Tabelle94144[[Prozesskategorie]:[Prozesskategorie short]],2,FALSE)</f>
        <v>PRK</v>
      </c>
      <c r="D78" s="107" t="s">
        <v>1075</v>
      </c>
      <c r="E78" s="104">
        <v>1</v>
      </c>
    </row>
    <row r="79" spans="1:5" x14ac:dyDescent="0.25">
      <c r="A79" s="104" t="s">
        <v>654</v>
      </c>
      <c r="B79" s="104" t="s">
        <v>654</v>
      </c>
      <c r="C79" s="104" t="str">
        <f>VLOOKUP(Tabelle40[[#This Row],[Prozesskategorie]],Tabelle94144[[Prozesskategorie]:[Prozesskategorie short]],2,FALSE)</f>
        <v>ZER</v>
      </c>
      <c r="D79" s="108" t="s">
        <v>0</v>
      </c>
      <c r="E79" s="104">
        <v>1</v>
      </c>
    </row>
    <row r="80" spans="1:5" x14ac:dyDescent="0.25">
      <c r="A80" s="103" t="s">
        <v>809</v>
      </c>
      <c r="B80" s="103" t="s">
        <v>970</v>
      </c>
      <c r="C80" s="103" t="str">
        <f>VLOOKUP(Tabelle40[[#This Row],[Prozesskategorie]],Tabelle94144[[Prozesskategorie]:[Prozesskategorie short]],2,FALSE)</f>
        <v>HYW</v>
      </c>
      <c r="D80" s="107" t="s">
        <v>1075</v>
      </c>
      <c r="E80" s="104">
        <v>0</v>
      </c>
    </row>
    <row r="81" spans="1:5" x14ac:dyDescent="0.25">
      <c r="A81" s="104" t="s">
        <v>810</v>
      </c>
      <c r="B81" s="104" t="s">
        <v>971</v>
      </c>
      <c r="C81" s="104" t="str">
        <f>VLOOKUP(Tabelle40[[#This Row],[Prozesskategorie]],Tabelle94144[[Prozesskategorie]:[Prozesskategorie short]],2,FALSE)</f>
        <v>GIE</v>
      </c>
      <c r="D81" s="108" t="s">
        <v>0</v>
      </c>
      <c r="E81" s="104">
        <v>1</v>
      </c>
    </row>
    <row r="82" spans="1:5" x14ac:dyDescent="0.25">
      <c r="A82" s="103" t="s">
        <v>820</v>
      </c>
      <c r="B82" s="103" t="s">
        <v>974</v>
      </c>
      <c r="C82" s="103" t="str">
        <f>VLOOKUP(Tabelle40[[#This Row],[Prozesskategorie]],Tabelle94144[[Prozesskategorie]:[Prozesskategorie short]],2,FALSE)</f>
        <v>IND</v>
      </c>
      <c r="D82" s="107" t="s">
        <v>649</v>
      </c>
      <c r="E82" s="104">
        <v>1</v>
      </c>
    </row>
    <row r="83" spans="1:5" x14ac:dyDescent="0.25">
      <c r="A83" s="104" t="s">
        <v>823</v>
      </c>
      <c r="B83" s="104" t="s">
        <v>975</v>
      </c>
      <c r="C83" s="104" t="str">
        <f>VLOOKUP(Tabelle40[[#This Row],[Prozesskategorie]],Tabelle94144[[Prozesskategorie]:[Prozesskategorie short]],2,FALSE)</f>
        <v>HAU</v>
      </c>
      <c r="D83" s="108" t="s">
        <v>649</v>
      </c>
      <c r="E83" s="104">
        <v>1</v>
      </c>
    </row>
    <row r="84" spans="1:5" x14ac:dyDescent="0.25">
      <c r="A84" s="103" t="s">
        <v>827</v>
      </c>
      <c r="B84" s="103" t="s">
        <v>850</v>
      </c>
      <c r="C84" s="103" t="str">
        <f>VLOOKUP(Tabelle40[[#This Row],[Prozesskategorie]],Tabelle94144[[Prozesskategorie]:[Prozesskategorie short]],2,FALSE)</f>
        <v>EHK</v>
      </c>
      <c r="D84" s="107" t="s">
        <v>1075</v>
      </c>
      <c r="E84" s="104">
        <v>1</v>
      </c>
    </row>
    <row r="85" spans="1:5" x14ac:dyDescent="0.25">
      <c r="A85" s="104" t="s">
        <v>829</v>
      </c>
      <c r="B85" s="104" t="s">
        <v>973</v>
      </c>
      <c r="C85" s="104" t="str">
        <f>VLOOKUP(Tabelle40[[#This Row],[Prozesskategorie]],Tabelle94144[[Prozesskategorie]:[Prozesskategorie short]],2,FALSE)</f>
        <v>ELM</v>
      </c>
      <c r="D85" s="108" t="s">
        <v>1078</v>
      </c>
      <c r="E85" s="104">
        <v>1</v>
      </c>
    </row>
    <row r="86" spans="1:5" x14ac:dyDescent="0.25">
      <c r="A86" s="103" t="s">
        <v>850</v>
      </c>
      <c r="B86" s="103" t="s">
        <v>850</v>
      </c>
      <c r="C86" s="103" t="str">
        <f>VLOOKUP(Tabelle40[[#This Row],[Prozesskategorie]],Tabelle94144[[Prozesskategorie]:[Prozesskategorie short]],2,FALSE)</f>
        <v>EHK</v>
      </c>
      <c r="D86" s="107" t="s">
        <v>1075</v>
      </c>
      <c r="E86" s="104">
        <v>1</v>
      </c>
    </row>
    <row r="87" spans="1:5" x14ac:dyDescent="0.25">
      <c r="A87" s="104" t="s">
        <v>851</v>
      </c>
      <c r="B87" s="104" t="s">
        <v>970</v>
      </c>
      <c r="C87" s="104" t="str">
        <f>VLOOKUP(Tabelle40[[#This Row],[Prozesskategorie]],Tabelle94144[[Prozesskategorie]:[Prozesskategorie short]],2,FALSE)</f>
        <v>HYW</v>
      </c>
      <c r="D87" s="108" t="s">
        <v>1075</v>
      </c>
      <c r="E87" s="104">
        <v>0</v>
      </c>
    </row>
    <row r="88" spans="1:5" x14ac:dyDescent="0.25">
      <c r="A88" s="103" t="s">
        <v>871</v>
      </c>
      <c r="B88" s="103" t="s">
        <v>1126</v>
      </c>
      <c r="C88" s="103" t="str">
        <f>VLOOKUP(Tabelle40[[#This Row],[Prozesskategorie]],Tabelle94144[[Prozesskategorie]:[Prozesskategorie short]],2,FALSE)</f>
        <v>KÜH</v>
      </c>
      <c r="D88" s="107" t="s">
        <v>1075</v>
      </c>
      <c r="E88" s="104">
        <v>1</v>
      </c>
    </row>
    <row r="89" spans="1:5" x14ac:dyDescent="0.25">
      <c r="A89" s="104" t="s">
        <v>873</v>
      </c>
      <c r="B89" s="104" t="s">
        <v>938</v>
      </c>
      <c r="C89" s="104" t="str">
        <f>VLOOKUP(Tabelle40[[#This Row],[Prozesskategorie]],Tabelle94144[[Prozesskategorie]:[Prozesskategorie short]],2,FALSE)</f>
        <v>ZEM</v>
      </c>
      <c r="D89" s="108" t="s">
        <v>0</v>
      </c>
      <c r="E89" s="104">
        <v>1</v>
      </c>
    </row>
    <row r="90" spans="1:5" x14ac:dyDescent="0.25">
      <c r="A90" s="103" t="s">
        <v>878</v>
      </c>
      <c r="B90" s="103" t="s">
        <v>878</v>
      </c>
      <c r="C90" s="103" t="str">
        <f>VLOOKUP(Tabelle40[[#This Row],[Prozesskategorie]],Tabelle94144[[Prozesskategorie]:[Prozesskategorie short]],2,FALSE)</f>
        <v>PtG</v>
      </c>
      <c r="D90" s="107" t="s">
        <v>1078</v>
      </c>
      <c r="E90" s="104">
        <v>1</v>
      </c>
    </row>
    <row r="91" spans="1:5" x14ac:dyDescent="0.25">
      <c r="A91" s="104" t="s">
        <v>879</v>
      </c>
      <c r="B91" s="104" t="s">
        <v>879</v>
      </c>
      <c r="C91" s="104" t="str">
        <f>VLOOKUP(Tabelle40[[#This Row],[Prozesskategorie]],Tabelle94144[[Prozesskategorie]:[Prozesskategorie short]],2,FALSE)</f>
        <v>PtH</v>
      </c>
      <c r="D91" s="108" t="s">
        <v>1078</v>
      </c>
      <c r="E91" s="104">
        <v>1</v>
      </c>
    </row>
    <row r="92" spans="1:5" x14ac:dyDescent="0.25">
      <c r="A92" s="103" t="s">
        <v>921</v>
      </c>
      <c r="B92" s="103" t="s">
        <v>943</v>
      </c>
      <c r="C92" s="103" t="str">
        <f>VLOOKUP(Tabelle40[[#This Row],[Prozesskategorie]],Tabelle94144[[Prozesskategorie]:[Prozesskategorie short]],2,FALSE)</f>
        <v>WAR</v>
      </c>
      <c r="D92" s="107" t="s">
        <v>1075</v>
      </c>
      <c r="E92" s="104">
        <v>1</v>
      </c>
    </row>
    <row r="93" spans="1:5" x14ac:dyDescent="0.25">
      <c r="A93" s="104" t="s">
        <v>926</v>
      </c>
      <c r="B93" s="104" t="s">
        <v>972</v>
      </c>
      <c r="C93" s="104" t="str">
        <f>VLOOKUP(Tabelle40[[#This Row],[Prozesskategorie]],Tabelle94144[[Prozesskategorie]:[Prozesskategorie short]],2,FALSE)</f>
        <v>ELÖ</v>
      </c>
      <c r="D93" s="108" t="s">
        <v>1077</v>
      </c>
      <c r="E93" s="104">
        <v>1</v>
      </c>
    </row>
    <row r="94" spans="1:5" x14ac:dyDescent="0.25">
      <c r="A94" s="103" t="s">
        <v>927</v>
      </c>
      <c r="B94" s="103" t="s">
        <v>976</v>
      </c>
      <c r="C94" s="103" t="str">
        <f>VLOOKUP(Tabelle40[[#This Row],[Prozesskategorie]],Tabelle94144[[Prozesskategorie]:[Prozesskategorie short]],2,FALSE)</f>
        <v>ELD</v>
      </c>
      <c r="D94" s="107" t="s">
        <v>1075</v>
      </c>
      <c r="E94" s="104">
        <v>0</v>
      </c>
    </row>
    <row r="95" spans="1:5" x14ac:dyDescent="0.25">
      <c r="A95" s="104" t="s">
        <v>928</v>
      </c>
      <c r="B95" s="104" t="s">
        <v>928</v>
      </c>
      <c r="C95" s="104" t="str">
        <f>VLOOKUP(Tabelle40[[#This Row],[Prozesskategorie]],Tabelle94144[[Prozesskategorie]:[Prozesskategorie short]],2,FALSE)</f>
        <v>RW</v>
      </c>
      <c r="D95" s="108" t="s">
        <v>1075</v>
      </c>
      <c r="E95" s="104">
        <v>0</v>
      </c>
    </row>
    <row r="96" spans="1:5" x14ac:dyDescent="0.25">
      <c r="A96" s="103" t="s">
        <v>990</v>
      </c>
      <c r="B96" s="103" t="s">
        <v>974</v>
      </c>
      <c r="C96" s="103" t="str">
        <f>VLOOKUP(Tabelle40[[#This Row],[Prozesskategorie]],Tabelle94144[[Prozesskategorie]:[Prozesskategorie short]],2,FALSE)</f>
        <v>IND</v>
      </c>
      <c r="D96" s="107" t="s">
        <v>649</v>
      </c>
      <c r="E96" s="104">
        <v>1</v>
      </c>
    </row>
    <row r="97" spans="1:5" x14ac:dyDescent="0.25">
      <c r="A97" s="104" t="s">
        <v>991</v>
      </c>
      <c r="B97" s="104" t="s">
        <v>974</v>
      </c>
      <c r="C97" s="104" t="str">
        <f>VLOOKUP(Tabelle40[[#This Row],[Prozesskategorie]],Tabelle94144[[Prozesskategorie]:[Prozesskategorie short]],2,FALSE)</f>
        <v>IND</v>
      </c>
      <c r="D97" s="108" t="s">
        <v>649</v>
      </c>
      <c r="E97" s="104">
        <v>1</v>
      </c>
    </row>
    <row r="98" spans="1:5" x14ac:dyDescent="0.25">
      <c r="A98" s="103" t="s">
        <v>1016</v>
      </c>
      <c r="B98" s="103" t="s">
        <v>27</v>
      </c>
      <c r="C98" s="103" t="str">
        <f>VLOOKUP(Tabelle40[[#This Row],[Prozesskategorie]],Tabelle94144[[Prozesskategorie]:[Prozesskategorie short]],2,FALSE)</f>
        <v>CHL</v>
      </c>
      <c r="D98" s="107" t="s">
        <v>0</v>
      </c>
      <c r="E98" s="104">
        <v>1</v>
      </c>
    </row>
    <row r="99" spans="1:5" x14ac:dyDescent="0.25">
      <c r="A99" s="104" t="s">
        <v>1017</v>
      </c>
      <c r="B99" s="104" t="s">
        <v>27</v>
      </c>
      <c r="C99" s="104" t="str">
        <f>VLOOKUP(Tabelle40[[#This Row],[Prozesskategorie]],Tabelle94144[[Prozesskategorie]:[Prozesskategorie short]],2,FALSE)</f>
        <v>CHL</v>
      </c>
      <c r="D99" s="108" t="s">
        <v>0</v>
      </c>
      <c r="E99" s="104">
        <v>1</v>
      </c>
    </row>
    <row r="100" spans="1:5" x14ac:dyDescent="0.25">
      <c r="A100" s="103" t="s">
        <v>361</v>
      </c>
      <c r="B100" s="103" t="s">
        <v>361</v>
      </c>
      <c r="C100" s="103" t="str">
        <f>VLOOKUP(Tabelle40[[#This Row],[Prozesskategorie]],Tabelle94144[[Prozesskategorie]:[Prozesskategorie short]],2,FALSE)</f>
        <v>ELH</v>
      </c>
      <c r="D100" s="108" t="s">
        <v>1075</v>
      </c>
      <c r="E100" s="104">
        <v>0</v>
      </c>
    </row>
    <row r="101" spans="1:5" x14ac:dyDescent="0.25">
      <c r="A101" s="108" t="s">
        <v>1242</v>
      </c>
      <c r="B101" s="108" t="s">
        <v>1242</v>
      </c>
      <c r="C101" s="108" t="str">
        <f>VLOOKUP(Tabelle40[[#This Row],[Prozesskategorie]],Tabelle94144[[Prozesskategorie]:[Prozesskategorie short]],2,FALSE)</f>
        <v>REZ</v>
      </c>
      <c r="D101" s="108" t="s">
        <v>649</v>
      </c>
      <c r="E101" s="104">
        <v>1</v>
      </c>
    </row>
    <row r="160" spans="1:1" ht="14.5" x14ac:dyDescent="0.35">
      <c r="A160" s="109"/>
    </row>
    <row r="161" spans="1:1" ht="14.5" x14ac:dyDescent="0.35">
      <c r="A161" s="109"/>
    </row>
    <row r="162" spans="1:1" ht="14.5" x14ac:dyDescent="0.35">
      <c r="A162" s="109"/>
    </row>
    <row r="163" spans="1:1" ht="14.5" x14ac:dyDescent="0.35">
      <c r="A163" s="109"/>
    </row>
    <row r="164" spans="1:1" ht="14.5" x14ac:dyDescent="0.35">
      <c r="A164" s="109"/>
    </row>
    <row r="165" spans="1:1" ht="14.5" x14ac:dyDescent="0.35">
      <c r="A165" s="109"/>
    </row>
    <row r="166" spans="1:1" ht="14.5" x14ac:dyDescent="0.35">
      <c r="A166" s="109"/>
    </row>
    <row r="167" spans="1:1" ht="14.5" x14ac:dyDescent="0.35">
      <c r="A167" s="109"/>
    </row>
    <row r="168" spans="1:1" ht="14.5" x14ac:dyDescent="0.35">
      <c r="A168" s="109"/>
    </row>
    <row r="169" spans="1:1" ht="14.5" x14ac:dyDescent="0.35">
      <c r="A169" s="109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8B48-B97F-435F-A3FB-F9399E4F4171}">
  <dimension ref="A1:C100"/>
  <sheetViews>
    <sheetView topLeftCell="A32" workbookViewId="0">
      <selection activeCell="F49" sqref="F49"/>
    </sheetView>
  </sheetViews>
  <sheetFormatPr baseColWidth="10" defaultColWidth="11.453125" defaultRowHeight="12.5" x14ac:dyDescent="0.25"/>
  <cols>
    <col min="1" max="1" width="51.7265625" style="1" bestFit="1" customWidth="1"/>
    <col min="2" max="2" width="24.1796875" style="1" bestFit="1" customWidth="1"/>
    <col min="3" max="3" width="26.26953125" style="1" bestFit="1" customWidth="1"/>
    <col min="4" max="16384" width="11.453125" style="1"/>
  </cols>
  <sheetData>
    <row r="1" spans="1:3" x14ac:dyDescent="0.25">
      <c r="A1" s="79" t="s">
        <v>1167</v>
      </c>
      <c r="B1" s="135" t="s">
        <v>1341</v>
      </c>
      <c r="C1" s="79" t="s">
        <v>1018</v>
      </c>
    </row>
    <row r="2" spans="1:3" x14ac:dyDescent="0.25">
      <c r="A2" s="105" t="s">
        <v>27</v>
      </c>
      <c r="B2" s="139" t="s">
        <v>1278</v>
      </c>
      <c r="C2" s="79" t="s">
        <v>1019</v>
      </c>
    </row>
    <row r="3" spans="1:3" x14ac:dyDescent="0.25">
      <c r="A3" s="105" t="s">
        <v>39</v>
      </c>
      <c r="B3" s="139" t="s">
        <v>1306</v>
      </c>
      <c r="C3" s="79" t="s">
        <v>1020</v>
      </c>
    </row>
    <row r="4" spans="1:3" x14ac:dyDescent="0.25">
      <c r="A4" s="105" t="s">
        <v>51</v>
      </c>
      <c r="B4" s="139" t="s">
        <v>1309</v>
      </c>
      <c r="C4" s="79" t="s">
        <v>1021</v>
      </c>
    </row>
    <row r="5" spans="1:3" x14ac:dyDescent="0.25">
      <c r="A5" s="105" t="s">
        <v>933</v>
      </c>
      <c r="B5" s="139" t="s">
        <v>1307</v>
      </c>
      <c r="C5" s="79" t="s">
        <v>1022</v>
      </c>
    </row>
    <row r="6" spans="1:3" x14ac:dyDescent="0.25">
      <c r="A6" s="105" t="s">
        <v>934</v>
      </c>
      <c r="B6" s="139" t="s">
        <v>1308</v>
      </c>
      <c r="C6" s="79" t="s">
        <v>1023</v>
      </c>
    </row>
    <row r="7" spans="1:3" x14ac:dyDescent="0.25">
      <c r="A7" s="105" t="s">
        <v>935</v>
      </c>
      <c r="B7" s="139" t="s">
        <v>1311</v>
      </c>
      <c r="C7" s="79" t="s">
        <v>1026</v>
      </c>
    </row>
    <row r="8" spans="1:3" x14ac:dyDescent="0.25">
      <c r="A8" s="105" t="s">
        <v>78</v>
      </c>
      <c r="B8" s="139" t="s">
        <v>1325</v>
      </c>
      <c r="C8" s="79" t="s">
        <v>1025</v>
      </c>
    </row>
    <row r="9" spans="1:3" x14ac:dyDescent="0.25">
      <c r="A9" s="105" t="s">
        <v>936</v>
      </c>
      <c r="B9" s="139" t="s">
        <v>1317</v>
      </c>
      <c r="C9" s="79" t="s">
        <v>1024</v>
      </c>
    </row>
    <row r="10" spans="1:3" x14ac:dyDescent="0.25">
      <c r="A10" s="105" t="s">
        <v>937</v>
      </c>
      <c r="B10" s="139" t="s">
        <v>1318</v>
      </c>
      <c r="C10" s="79" t="s">
        <v>1027</v>
      </c>
    </row>
    <row r="11" spans="1:3" x14ac:dyDescent="0.25">
      <c r="A11" s="105" t="s">
        <v>938</v>
      </c>
      <c r="B11" s="139" t="s">
        <v>1280</v>
      </c>
      <c r="C11" s="79" t="s">
        <v>1028</v>
      </c>
    </row>
    <row r="12" spans="1:3" x14ac:dyDescent="0.25">
      <c r="A12" s="105" t="s">
        <v>939</v>
      </c>
      <c r="B12" s="139" t="s">
        <v>1312</v>
      </c>
      <c r="C12" s="79" t="s">
        <v>1029</v>
      </c>
    </row>
    <row r="13" spans="1:3" x14ac:dyDescent="0.25">
      <c r="A13" s="105" t="s">
        <v>940</v>
      </c>
      <c r="B13" s="139" t="s">
        <v>1319</v>
      </c>
      <c r="C13" s="79" t="s">
        <v>1030</v>
      </c>
    </row>
    <row r="14" spans="1:3" x14ac:dyDescent="0.25">
      <c r="A14" s="105" t="s">
        <v>1126</v>
      </c>
      <c r="B14" s="139" t="s">
        <v>1274</v>
      </c>
      <c r="C14" s="79" t="s">
        <v>1031</v>
      </c>
    </row>
    <row r="15" spans="1:3" x14ac:dyDescent="0.25">
      <c r="A15" s="105" t="s">
        <v>941</v>
      </c>
      <c r="B15" s="139" t="s">
        <v>1320</v>
      </c>
      <c r="C15" s="79" t="s">
        <v>1032</v>
      </c>
    </row>
    <row r="16" spans="1:3" x14ac:dyDescent="0.25">
      <c r="A16" s="105" t="s">
        <v>942</v>
      </c>
      <c r="B16" s="139" t="s">
        <v>1314</v>
      </c>
      <c r="C16" s="79" t="s">
        <v>1033</v>
      </c>
    </row>
    <row r="17" spans="1:3" x14ac:dyDescent="0.25">
      <c r="A17" s="105" t="s">
        <v>943</v>
      </c>
      <c r="B17" s="139" t="s">
        <v>1283</v>
      </c>
      <c r="C17" s="79" t="s">
        <v>1034</v>
      </c>
    </row>
    <row r="18" spans="1:3" x14ac:dyDescent="0.25">
      <c r="A18" s="105" t="s">
        <v>944</v>
      </c>
      <c r="B18" s="139" t="s">
        <v>1321</v>
      </c>
      <c r="C18" s="79" t="s">
        <v>1035</v>
      </c>
    </row>
    <row r="19" spans="1:3" x14ac:dyDescent="0.25">
      <c r="A19" s="105" t="s">
        <v>945</v>
      </c>
      <c r="B19" s="139" t="s">
        <v>1284</v>
      </c>
      <c r="C19" s="79" t="s">
        <v>1036</v>
      </c>
    </row>
    <row r="20" spans="1:3" x14ac:dyDescent="0.25">
      <c r="A20" s="105" t="s">
        <v>129</v>
      </c>
      <c r="B20" s="139" t="s">
        <v>1285</v>
      </c>
      <c r="C20" s="79" t="s">
        <v>1037</v>
      </c>
    </row>
    <row r="21" spans="1:3" x14ac:dyDescent="0.25">
      <c r="A21" s="105" t="s">
        <v>946</v>
      </c>
      <c r="B21" s="139" t="s">
        <v>1310</v>
      </c>
      <c r="C21" s="79" t="s">
        <v>1041</v>
      </c>
    </row>
    <row r="22" spans="1:3" x14ac:dyDescent="0.25">
      <c r="A22" s="105" t="s">
        <v>283</v>
      </c>
      <c r="B22" s="139" t="s">
        <v>1340</v>
      </c>
      <c r="C22" s="79" t="s">
        <v>1031</v>
      </c>
    </row>
    <row r="23" spans="1:3" x14ac:dyDescent="0.25">
      <c r="A23" s="105" t="s">
        <v>947</v>
      </c>
      <c r="B23" s="139" t="s">
        <v>1275</v>
      </c>
      <c r="C23" s="79" t="s">
        <v>1032</v>
      </c>
    </row>
    <row r="24" spans="1:3" x14ac:dyDescent="0.25">
      <c r="A24" s="105" t="s">
        <v>948</v>
      </c>
      <c r="B24" s="139" t="s">
        <v>1287</v>
      </c>
      <c r="C24" s="79" t="s">
        <v>1038</v>
      </c>
    </row>
    <row r="25" spans="1:3" x14ac:dyDescent="0.25">
      <c r="A25" s="105" t="s">
        <v>134</v>
      </c>
      <c r="B25" s="139" t="s">
        <v>1322</v>
      </c>
      <c r="C25" s="79" t="s">
        <v>1034</v>
      </c>
    </row>
    <row r="26" spans="1:3" x14ac:dyDescent="0.25">
      <c r="A26" s="105" t="s">
        <v>949</v>
      </c>
      <c r="B26" s="139" t="s">
        <v>1323</v>
      </c>
      <c r="C26" s="79" t="s">
        <v>1040</v>
      </c>
    </row>
    <row r="27" spans="1:3" x14ac:dyDescent="0.25">
      <c r="A27" s="105" t="s">
        <v>164</v>
      </c>
      <c r="B27" s="139" t="s">
        <v>1324</v>
      </c>
      <c r="C27" s="79" t="s">
        <v>1042</v>
      </c>
    </row>
    <row r="28" spans="1:3" x14ac:dyDescent="0.25">
      <c r="A28" s="105" t="s">
        <v>959</v>
      </c>
      <c r="B28" s="139" t="s">
        <v>1288</v>
      </c>
      <c r="C28" s="79" t="s">
        <v>1043</v>
      </c>
    </row>
    <row r="29" spans="1:3" x14ac:dyDescent="0.25">
      <c r="A29" s="105" t="s">
        <v>960</v>
      </c>
      <c r="B29" s="139" t="s">
        <v>1289</v>
      </c>
      <c r="C29" s="79" t="s">
        <v>1044</v>
      </c>
    </row>
    <row r="30" spans="1:3" x14ac:dyDescent="0.25">
      <c r="A30" s="105" t="s">
        <v>965</v>
      </c>
      <c r="B30" s="139" t="s">
        <v>1279</v>
      </c>
      <c r="C30" s="79" t="s">
        <v>1045</v>
      </c>
    </row>
    <row r="31" spans="1:3" x14ac:dyDescent="0.25">
      <c r="A31" s="105" t="s">
        <v>966</v>
      </c>
      <c r="B31" s="139" t="s">
        <v>1290</v>
      </c>
      <c r="C31" s="79" t="s">
        <v>1046</v>
      </c>
    </row>
    <row r="32" spans="1:3" x14ac:dyDescent="0.25">
      <c r="A32" s="105" t="s">
        <v>961</v>
      </c>
      <c r="B32" s="139" t="s">
        <v>1291</v>
      </c>
      <c r="C32" s="79" t="s">
        <v>1047</v>
      </c>
    </row>
    <row r="33" spans="1:3" x14ac:dyDescent="0.25">
      <c r="A33" s="105" t="s">
        <v>962</v>
      </c>
      <c r="B33" s="139" t="s">
        <v>1292</v>
      </c>
      <c r="C33" s="79" t="s">
        <v>1048</v>
      </c>
    </row>
    <row r="34" spans="1:3" x14ac:dyDescent="0.25">
      <c r="A34" s="105" t="s">
        <v>963</v>
      </c>
      <c r="B34" s="139" t="s">
        <v>1293</v>
      </c>
      <c r="C34" s="79" t="s">
        <v>1049</v>
      </c>
    </row>
    <row r="35" spans="1:3" x14ac:dyDescent="0.25">
      <c r="A35" s="105" t="s">
        <v>974</v>
      </c>
      <c r="B35" s="139" t="s">
        <v>1294</v>
      </c>
      <c r="C35" s="79" t="s">
        <v>1032</v>
      </c>
    </row>
    <row r="36" spans="1:3" x14ac:dyDescent="0.25">
      <c r="A36" s="105" t="s">
        <v>950</v>
      </c>
      <c r="B36" s="139" t="s">
        <v>1326</v>
      </c>
      <c r="C36" s="79" t="s">
        <v>1050</v>
      </c>
    </row>
    <row r="37" spans="1:3" x14ac:dyDescent="0.25">
      <c r="A37" s="105" t="s">
        <v>951</v>
      </c>
      <c r="B37" s="139" t="s">
        <v>1295</v>
      </c>
      <c r="C37" s="79" t="s">
        <v>1053</v>
      </c>
    </row>
    <row r="38" spans="1:3" x14ac:dyDescent="0.25">
      <c r="A38" s="105" t="s">
        <v>952</v>
      </c>
      <c r="B38" s="139" t="s">
        <v>1296</v>
      </c>
      <c r="C38" s="79" t="s">
        <v>1054</v>
      </c>
    </row>
    <row r="39" spans="1:3" x14ac:dyDescent="0.25">
      <c r="A39" s="105" t="s">
        <v>953</v>
      </c>
      <c r="B39" s="139" t="s">
        <v>1313</v>
      </c>
      <c r="C39" s="79" t="s">
        <v>1029</v>
      </c>
    </row>
    <row r="40" spans="1:3" x14ac:dyDescent="0.25">
      <c r="A40" s="105" t="s">
        <v>977</v>
      </c>
      <c r="B40" s="139" t="s">
        <v>1297</v>
      </c>
      <c r="C40" s="79" t="s">
        <v>1055</v>
      </c>
    </row>
    <row r="41" spans="1:3" x14ac:dyDescent="0.25">
      <c r="A41" s="105" t="s">
        <v>290</v>
      </c>
      <c r="B41" s="139" t="s">
        <v>1298</v>
      </c>
      <c r="C41" s="79" t="s">
        <v>1056</v>
      </c>
    </row>
    <row r="42" spans="1:3" x14ac:dyDescent="0.25">
      <c r="A42" s="105" t="s">
        <v>291</v>
      </c>
      <c r="B42" s="139" t="s">
        <v>1299</v>
      </c>
      <c r="C42" s="79" t="s">
        <v>1057</v>
      </c>
    </row>
    <row r="43" spans="1:3" x14ac:dyDescent="0.25">
      <c r="A43" s="105" t="s">
        <v>292</v>
      </c>
      <c r="B43" s="139" t="s">
        <v>1276</v>
      </c>
      <c r="C43" s="79" t="s">
        <v>1058</v>
      </c>
    </row>
    <row r="44" spans="1:3" x14ac:dyDescent="0.25">
      <c r="A44" s="105" t="s">
        <v>293</v>
      </c>
      <c r="B44" s="139" t="s">
        <v>1327</v>
      </c>
      <c r="C44" s="79" t="s">
        <v>1059</v>
      </c>
    </row>
    <row r="45" spans="1:3" x14ac:dyDescent="0.25">
      <c r="A45" s="105" t="s">
        <v>294</v>
      </c>
      <c r="B45" s="139" t="s">
        <v>1300</v>
      </c>
      <c r="C45" s="79" t="s">
        <v>1052</v>
      </c>
    </row>
    <row r="46" spans="1:3" x14ac:dyDescent="0.25">
      <c r="A46" s="105" t="s">
        <v>295</v>
      </c>
      <c r="B46" s="139" t="s">
        <v>1286</v>
      </c>
      <c r="C46" s="79" t="s">
        <v>1060</v>
      </c>
    </row>
    <row r="47" spans="1:3" x14ac:dyDescent="0.25">
      <c r="A47" s="105" t="s">
        <v>978</v>
      </c>
      <c r="B47" s="139" t="s">
        <v>1282</v>
      </c>
      <c r="C47" s="79" t="s">
        <v>1074</v>
      </c>
    </row>
    <row r="48" spans="1:3" x14ac:dyDescent="0.25">
      <c r="A48" s="105" t="s">
        <v>297</v>
      </c>
      <c r="B48" s="139" t="s">
        <v>1301</v>
      </c>
      <c r="C48" s="79" t="s">
        <v>1061</v>
      </c>
    </row>
    <row r="49" spans="1:3" x14ac:dyDescent="0.25">
      <c r="A49" s="105" t="s">
        <v>325</v>
      </c>
      <c r="B49" s="139" t="s">
        <v>1328</v>
      </c>
      <c r="C49" s="79" t="s">
        <v>1062</v>
      </c>
    </row>
    <row r="50" spans="1:3" x14ac:dyDescent="0.25">
      <c r="A50" s="105" t="s">
        <v>954</v>
      </c>
      <c r="B50" s="139" t="s">
        <v>1329</v>
      </c>
      <c r="C50" s="79" t="s">
        <v>1063</v>
      </c>
    </row>
    <row r="51" spans="1:3" x14ac:dyDescent="0.25">
      <c r="A51" s="105" t="s">
        <v>955</v>
      </c>
      <c r="B51" s="139" t="s">
        <v>1315</v>
      </c>
      <c r="C51" s="79" t="s">
        <v>1120</v>
      </c>
    </row>
    <row r="52" spans="1:3" x14ac:dyDescent="0.25">
      <c r="A52" s="105" t="s">
        <v>398</v>
      </c>
      <c r="B52" s="139" t="s">
        <v>127</v>
      </c>
      <c r="C52" s="79" t="s">
        <v>1053</v>
      </c>
    </row>
    <row r="53" spans="1:3" x14ac:dyDescent="0.25">
      <c r="A53" s="105" t="s">
        <v>403</v>
      </c>
      <c r="B53" s="139" t="s">
        <v>1316</v>
      </c>
      <c r="C53" s="79" t="s">
        <v>1065</v>
      </c>
    </row>
    <row r="54" spans="1:3" x14ac:dyDescent="0.25">
      <c r="A54" s="105" t="s">
        <v>414</v>
      </c>
      <c r="B54" s="139" t="s">
        <v>1330</v>
      </c>
      <c r="C54" s="79" t="s">
        <v>1044</v>
      </c>
    </row>
    <row r="55" spans="1:3" x14ac:dyDescent="0.25">
      <c r="A55" s="105" t="s">
        <v>535</v>
      </c>
      <c r="B55" s="139" t="s">
        <v>1281</v>
      </c>
      <c r="C55" s="79" t="s">
        <v>1066</v>
      </c>
    </row>
    <row r="56" spans="1:3" x14ac:dyDescent="0.25">
      <c r="A56" s="105" t="s">
        <v>536</v>
      </c>
      <c r="B56" s="139" t="s">
        <v>1303</v>
      </c>
      <c r="C56" s="79" t="s">
        <v>1067</v>
      </c>
    </row>
    <row r="57" spans="1:3" x14ac:dyDescent="0.25">
      <c r="A57" s="105" t="s">
        <v>967</v>
      </c>
      <c r="B57" s="139" t="s">
        <v>1302</v>
      </c>
      <c r="C57" s="79" t="s">
        <v>1042</v>
      </c>
    </row>
    <row r="58" spans="1:3" x14ac:dyDescent="0.25">
      <c r="A58" s="105" t="s">
        <v>542</v>
      </c>
      <c r="B58" s="139" t="s">
        <v>1075</v>
      </c>
      <c r="C58" s="79" t="s">
        <v>1068</v>
      </c>
    </row>
    <row r="59" spans="1:3" x14ac:dyDescent="0.25">
      <c r="A59" s="105" t="s">
        <v>971</v>
      </c>
      <c r="B59" s="139" t="s">
        <v>1277</v>
      </c>
      <c r="C59" s="79" t="s">
        <v>1051</v>
      </c>
    </row>
    <row r="60" spans="1:3" x14ac:dyDescent="0.25">
      <c r="A60" s="105" t="s">
        <v>654</v>
      </c>
      <c r="B60" s="139" t="s">
        <v>1304</v>
      </c>
      <c r="C60" s="79" t="s">
        <v>1069</v>
      </c>
    </row>
    <row r="61" spans="1:3" x14ac:dyDescent="0.25">
      <c r="A61" s="105" t="s">
        <v>970</v>
      </c>
      <c r="B61" s="139" t="s">
        <v>1331</v>
      </c>
      <c r="C61" s="79" t="s">
        <v>1070</v>
      </c>
    </row>
    <row r="62" spans="1:3" x14ac:dyDescent="0.25">
      <c r="A62" s="105" t="s">
        <v>975</v>
      </c>
      <c r="B62" s="139" t="s">
        <v>1305</v>
      </c>
      <c r="C62" s="79" t="s">
        <v>1053</v>
      </c>
    </row>
    <row r="63" spans="1:3" x14ac:dyDescent="0.25">
      <c r="A63" s="105" t="s">
        <v>850</v>
      </c>
      <c r="B63" s="139" t="s">
        <v>1332</v>
      </c>
      <c r="C63" s="79" t="s">
        <v>1344</v>
      </c>
    </row>
    <row r="64" spans="1:3" x14ac:dyDescent="0.25">
      <c r="A64" s="105" t="s">
        <v>973</v>
      </c>
      <c r="B64" s="139" t="s">
        <v>1333</v>
      </c>
      <c r="C64" s="79" t="s">
        <v>1071</v>
      </c>
    </row>
    <row r="65" spans="1:3" x14ac:dyDescent="0.25">
      <c r="A65" s="105" t="s">
        <v>878</v>
      </c>
      <c r="B65" s="139" t="s">
        <v>1334</v>
      </c>
      <c r="C65" s="79" t="s">
        <v>1072</v>
      </c>
    </row>
    <row r="66" spans="1:3" x14ac:dyDescent="0.25">
      <c r="A66" s="105" t="s">
        <v>879</v>
      </c>
      <c r="B66" s="139" t="s">
        <v>1335</v>
      </c>
      <c r="C66" s="79" t="s">
        <v>1041</v>
      </c>
    </row>
    <row r="67" spans="1:3" x14ac:dyDescent="0.25">
      <c r="A67" s="105" t="s">
        <v>972</v>
      </c>
      <c r="B67" s="139" t="s">
        <v>1336</v>
      </c>
      <c r="C67" s="79" t="s">
        <v>1061</v>
      </c>
    </row>
    <row r="68" spans="1:3" x14ac:dyDescent="0.25">
      <c r="A68" s="105" t="s">
        <v>976</v>
      </c>
      <c r="B68" s="139" t="s">
        <v>1337</v>
      </c>
      <c r="C68" s="79" t="s">
        <v>1039</v>
      </c>
    </row>
    <row r="69" spans="1:3" x14ac:dyDescent="0.25">
      <c r="A69" s="105" t="s">
        <v>928</v>
      </c>
      <c r="B69" s="139" t="s">
        <v>1338</v>
      </c>
      <c r="C69" s="79" t="s">
        <v>1073</v>
      </c>
    </row>
    <row r="70" spans="1:3" x14ac:dyDescent="0.25">
      <c r="A70" s="105" t="s">
        <v>361</v>
      </c>
      <c r="B70" s="139" t="s">
        <v>1339</v>
      </c>
      <c r="C70" s="79" t="s">
        <v>1061</v>
      </c>
    </row>
    <row r="71" spans="1:3" x14ac:dyDescent="0.25">
      <c r="A71" s="79" t="s">
        <v>1242</v>
      </c>
      <c r="B71" s="139" t="s">
        <v>1342</v>
      </c>
      <c r="C71" s="135" t="s">
        <v>1343</v>
      </c>
    </row>
    <row r="72" spans="1:3" ht="14.5" x14ac:dyDescent="0.35">
      <c r="A72"/>
      <c r="B72"/>
      <c r="C72"/>
    </row>
    <row r="73" spans="1:3" ht="14.5" x14ac:dyDescent="0.35">
      <c r="A73"/>
      <c r="B73"/>
      <c r="C73"/>
    </row>
    <row r="74" spans="1:3" ht="14.5" x14ac:dyDescent="0.35">
      <c r="A74"/>
      <c r="B74"/>
      <c r="C74"/>
    </row>
    <row r="75" spans="1:3" ht="14.5" x14ac:dyDescent="0.35">
      <c r="A75"/>
      <c r="B75"/>
      <c r="C75"/>
    </row>
    <row r="76" spans="1:3" ht="14.5" x14ac:dyDescent="0.35">
      <c r="A76"/>
      <c r="B76"/>
      <c r="C76"/>
    </row>
    <row r="77" spans="1:3" ht="14.5" x14ac:dyDescent="0.35">
      <c r="A77"/>
      <c r="B77"/>
      <c r="C77"/>
    </row>
    <row r="78" spans="1:3" ht="14.5" x14ac:dyDescent="0.35">
      <c r="A78"/>
      <c r="B78"/>
      <c r="C78"/>
    </row>
    <row r="79" spans="1:3" ht="14.5" x14ac:dyDescent="0.35">
      <c r="A79"/>
      <c r="B79"/>
      <c r="C79"/>
    </row>
    <row r="80" spans="1:3" ht="14.5" x14ac:dyDescent="0.35">
      <c r="A80"/>
      <c r="B80"/>
      <c r="C80"/>
    </row>
    <row r="81" spans="1:3" ht="14.5" x14ac:dyDescent="0.35">
      <c r="A81"/>
      <c r="B81"/>
      <c r="C81"/>
    </row>
    <row r="82" spans="1:3" ht="14.5" x14ac:dyDescent="0.35">
      <c r="A82"/>
      <c r="B82"/>
      <c r="C82"/>
    </row>
    <row r="83" spans="1:3" ht="14.5" x14ac:dyDescent="0.35">
      <c r="A83"/>
      <c r="B83"/>
      <c r="C83"/>
    </row>
    <row r="84" spans="1:3" ht="14.5" x14ac:dyDescent="0.35">
      <c r="A84"/>
      <c r="B84"/>
      <c r="C84"/>
    </row>
    <row r="85" spans="1:3" ht="14.5" x14ac:dyDescent="0.35">
      <c r="A85"/>
      <c r="B85"/>
      <c r="C85"/>
    </row>
    <row r="86" spans="1:3" ht="14.5" x14ac:dyDescent="0.35">
      <c r="A86"/>
      <c r="B86"/>
      <c r="C86"/>
    </row>
    <row r="87" spans="1:3" ht="14.5" x14ac:dyDescent="0.35">
      <c r="A87"/>
      <c r="B87"/>
      <c r="C87"/>
    </row>
    <row r="88" spans="1:3" ht="14.5" x14ac:dyDescent="0.35">
      <c r="A88"/>
      <c r="B88"/>
      <c r="C88"/>
    </row>
    <row r="89" spans="1:3" ht="14.5" x14ac:dyDescent="0.35">
      <c r="A89"/>
      <c r="B89"/>
      <c r="C89"/>
    </row>
    <row r="90" spans="1:3" ht="14.5" x14ac:dyDescent="0.35">
      <c r="A90"/>
      <c r="B90"/>
      <c r="C90"/>
    </row>
    <row r="91" spans="1:3" ht="14.5" x14ac:dyDescent="0.35">
      <c r="A91"/>
      <c r="B91"/>
      <c r="C91"/>
    </row>
    <row r="92" spans="1:3" ht="14.5" x14ac:dyDescent="0.35">
      <c r="A92"/>
      <c r="B92"/>
      <c r="C92"/>
    </row>
    <row r="93" spans="1:3" ht="14.5" x14ac:dyDescent="0.35">
      <c r="A93"/>
      <c r="B93"/>
      <c r="C93"/>
    </row>
    <row r="94" spans="1:3" ht="14.5" x14ac:dyDescent="0.35">
      <c r="A94"/>
      <c r="B94"/>
      <c r="C94"/>
    </row>
    <row r="95" spans="1:3" ht="14.5" x14ac:dyDescent="0.35">
      <c r="A95"/>
      <c r="B95"/>
      <c r="C95"/>
    </row>
    <row r="96" spans="1:3" ht="14.5" x14ac:dyDescent="0.35">
      <c r="A96"/>
      <c r="B96"/>
      <c r="C96"/>
    </row>
    <row r="97" spans="1:3" ht="14.5" x14ac:dyDescent="0.35">
      <c r="A97"/>
      <c r="B97"/>
      <c r="C97"/>
    </row>
    <row r="98" spans="1:3" ht="14.5" x14ac:dyDescent="0.35">
      <c r="A98"/>
      <c r="B98"/>
      <c r="C98"/>
    </row>
    <row r="99" spans="1:3" ht="14.5" x14ac:dyDescent="0.35">
      <c r="A99"/>
      <c r="B99"/>
      <c r="C99"/>
    </row>
    <row r="100" spans="1:3" ht="14.5" x14ac:dyDescent="0.35">
      <c r="A100"/>
      <c r="B100"/>
      <c r="C100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D2AD-3744-4E1A-98A5-A2428620E467}">
  <sheetPr codeName="Tabelle36"/>
  <dimension ref="A1:H171"/>
  <sheetViews>
    <sheetView topLeftCell="B52" workbookViewId="0">
      <selection activeCell="E1" sqref="E1:F1048576"/>
    </sheetView>
  </sheetViews>
  <sheetFormatPr baseColWidth="10" defaultColWidth="11.453125" defaultRowHeight="12.5" x14ac:dyDescent="0.25"/>
  <cols>
    <col min="1" max="1" width="51.7265625" style="1" bestFit="1" customWidth="1"/>
    <col min="2" max="2" width="39.453125" style="1" customWidth="1"/>
    <col min="3" max="3" width="27.7265625" style="1" bestFit="1" customWidth="1"/>
    <col min="4" max="4" width="33.26953125" style="1" bestFit="1" customWidth="1"/>
    <col min="5" max="5" width="18.26953125" style="1" bestFit="1" customWidth="1"/>
    <col min="6" max="6" width="26.54296875" style="1" customWidth="1"/>
    <col min="7" max="16384" width="11.453125" style="1"/>
  </cols>
  <sheetData>
    <row r="1" spans="1:6" ht="13" x14ac:dyDescent="0.3">
      <c r="A1" s="90" t="s">
        <v>932</v>
      </c>
      <c r="B1" s="90" t="s">
        <v>956</v>
      </c>
      <c r="C1" s="90" t="s">
        <v>957</v>
      </c>
      <c r="D1" s="90" t="s">
        <v>958</v>
      </c>
      <c r="E1" s="90" t="s">
        <v>1076</v>
      </c>
      <c r="F1" s="1" t="s">
        <v>1125</v>
      </c>
    </row>
    <row r="2" spans="1:6" x14ac:dyDescent="0.25">
      <c r="A2" s="91" t="s">
        <v>27</v>
      </c>
      <c r="B2" s="91" t="s">
        <v>27</v>
      </c>
      <c r="C2" s="91" t="s">
        <v>1124</v>
      </c>
      <c r="D2" s="91" t="s">
        <v>1124</v>
      </c>
      <c r="E2" s="92" t="s">
        <v>0</v>
      </c>
      <c r="F2" s="1">
        <v>1</v>
      </c>
    </row>
    <row r="3" spans="1:6" x14ac:dyDescent="0.25">
      <c r="A3" s="1" t="s">
        <v>39</v>
      </c>
      <c r="B3" s="1" t="s">
        <v>39</v>
      </c>
      <c r="C3" s="1" t="s">
        <v>1124</v>
      </c>
      <c r="D3" s="1" t="s">
        <v>1124</v>
      </c>
      <c r="E3" s="93" t="s">
        <v>0</v>
      </c>
      <c r="F3" s="1">
        <v>1</v>
      </c>
    </row>
    <row r="4" spans="1:6" x14ac:dyDescent="0.25">
      <c r="A4" s="6" t="s">
        <v>51</v>
      </c>
      <c r="B4" s="6" t="s">
        <v>51</v>
      </c>
      <c r="C4" s="6" t="s">
        <v>1124</v>
      </c>
      <c r="D4" s="6" t="s">
        <v>1124</v>
      </c>
      <c r="E4" s="94" t="s">
        <v>0</v>
      </c>
      <c r="F4" s="1">
        <v>1</v>
      </c>
    </row>
    <row r="5" spans="1:6" x14ac:dyDescent="0.25">
      <c r="A5" s="1" t="s">
        <v>69</v>
      </c>
      <c r="B5" s="1" t="s">
        <v>933</v>
      </c>
      <c r="C5" s="1" t="s">
        <v>1124</v>
      </c>
      <c r="D5" s="1" t="s">
        <v>1124</v>
      </c>
      <c r="E5" s="93" t="s">
        <v>0</v>
      </c>
      <c r="F5" s="1">
        <v>1</v>
      </c>
    </row>
    <row r="6" spans="1:6" x14ac:dyDescent="0.25">
      <c r="A6" s="6" t="s">
        <v>73</v>
      </c>
      <c r="B6" s="6" t="s">
        <v>933</v>
      </c>
      <c r="C6" s="6" t="s">
        <v>1124</v>
      </c>
      <c r="D6" s="6" t="s">
        <v>1124</v>
      </c>
      <c r="E6" s="94" t="s">
        <v>0</v>
      </c>
      <c r="F6" s="1">
        <v>1</v>
      </c>
    </row>
    <row r="7" spans="1:6" x14ac:dyDescent="0.25">
      <c r="A7" s="1" t="s">
        <v>74</v>
      </c>
      <c r="B7" s="1" t="s">
        <v>934</v>
      </c>
      <c r="C7" s="1" t="s">
        <v>1124</v>
      </c>
      <c r="D7" s="1" t="s">
        <v>1124</v>
      </c>
      <c r="E7" s="93" t="s">
        <v>0</v>
      </c>
      <c r="F7" s="1">
        <v>1</v>
      </c>
    </row>
    <row r="8" spans="1:6" x14ac:dyDescent="0.25">
      <c r="A8" s="6" t="s">
        <v>77</v>
      </c>
      <c r="B8" s="6" t="s">
        <v>935</v>
      </c>
      <c r="C8" s="6" t="s">
        <v>1124</v>
      </c>
      <c r="D8" s="6" t="s">
        <v>1124</v>
      </c>
      <c r="E8" s="94" t="s">
        <v>0</v>
      </c>
      <c r="F8" s="1">
        <v>1</v>
      </c>
    </row>
    <row r="9" spans="1:6" x14ac:dyDescent="0.25">
      <c r="A9" s="1" t="s">
        <v>78</v>
      </c>
      <c r="B9" s="1" t="s">
        <v>78</v>
      </c>
      <c r="C9" s="1" t="s">
        <v>1124</v>
      </c>
      <c r="D9" s="1" t="s">
        <v>1124</v>
      </c>
      <c r="E9" s="93" t="s">
        <v>0</v>
      </c>
      <c r="F9" s="1">
        <v>1</v>
      </c>
    </row>
    <row r="10" spans="1:6" x14ac:dyDescent="0.25">
      <c r="A10" s="6" t="s">
        <v>79</v>
      </c>
      <c r="B10" s="6" t="s">
        <v>936</v>
      </c>
      <c r="C10" s="6" t="s">
        <v>1124</v>
      </c>
      <c r="D10" s="6" t="s">
        <v>1124</v>
      </c>
      <c r="E10" s="94" t="s">
        <v>0</v>
      </c>
      <c r="F10" s="1">
        <v>1</v>
      </c>
    </row>
    <row r="11" spans="1:6" x14ac:dyDescent="0.25">
      <c r="A11" s="1" t="s">
        <v>81</v>
      </c>
      <c r="B11" s="1" t="s">
        <v>937</v>
      </c>
      <c r="C11" s="1" t="s">
        <v>1124</v>
      </c>
      <c r="D11" s="1" t="s">
        <v>1124</v>
      </c>
      <c r="E11" s="93" t="s">
        <v>0</v>
      </c>
      <c r="F11" s="1">
        <v>1</v>
      </c>
    </row>
    <row r="12" spans="1:6" x14ac:dyDescent="0.25">
      <c r="A12" s="6" t="s">
        <v>938</v>
      </c>
      <c r="B12" s="6" t="s">
        <v>938</v>
      </c>
      <c r="C12" s="6" t="s">
        <v>1124</v>
      </c>
      <c r="D12" s="6" t="s">
        <v>1124</v>
      </c>
      <c r="E12" s="94" t="s">
        <v>0</v>
      </c>
      <c r="F12" s="1">
        <v>1</v>
      </c>
    </row>
    <row r="13" spans="1:6" x14ac:dyDescent="0.25">
      <c r="A13" s="1" t="s">
        <v>88</v>
      </c>
      <c r="B13" s="1" t="s">
        <v>939</v>
      </c>
      <c r="C13" s="1" t="s">
        <v>1124</v>
      </c>
      <c r="D13" s="1" t="s">
        <v>1124</v>
      </c>
      <c r="E13" s="93" t="s">
        <v>1075</v>
      </c>
      <c r="F13" s="1">
        <v>1</v>
      </c>
    </row>
    <row r="14" spans="1:6" x14ac:dyDescent="0.25">
      <c r="A14" s="6" t="s">
        <v>208</v>
      </c>
      <c r="B14" s="6" t="s">
        <v>940</v>
      </c>
      <c r="C14" s="6" t="s">
        <v>1124</v>
      </c>
      <c r="D14" s="6" t="s">
        <v>1124</v>
      </c>
      <c r="E14" s="94" t="s">
        <v>1075</v>
      </c>
      <c r="F14" s="1">
        <v>1</v>
      </c>
    </row>
    <row r="15" spans="1:6" x14ac:dyDescent="0.25">
      <c r="A15" s="1" t="s">
        <v>97</v>
      </c>
      <c r="B15" s="1" t="s">
        <v>939</v>
      </c>
      <c r="C15" s="1" t="s">
        <v>1124</v>
      </c>
      <c r="D15" s="1" t="s">
        <v>1124</v>
      </c>
      <c r="E15" s="93" t="s">
        <v>1075</v>
      </c>
      <c r="F15" s="1">
        <v>1</v>
      </c>
    </row>
    <row r="16" spans="1:6" x14ac:dyDescent="0.25">
      <c r="A16" s="6" t="s">
        <v>1121</v>
      </c>
      <c r="B16" s="6" t="s">
        <v>1126</v>
      </c>
      <c r="C16" s="6" t="s">
        <v>1124</v>
      </c>
      <c r="D16" s="6" t="s">
        <v>1124</v>
      </c>
      <c r="E16" s="94" t="s">
        <v>1075</v>
      </c>
      <c r="F16" s="1">
        <v>1</v>
      </c>
    </row>
    <row r="17" spans="1:6" x14ac:dyDescent="0.25">
      <c r="A17" s="1" t="s">
        <v>99</v>
      </c>
      <c r="B17" s="1" t="s">
        <v>941</v>
      </c>
      <c r="C17" s="1" t="s">
        <v>1124</v>
      </c>
      <c r="D17" s="1" t="s">
        <v>1124</v>
      </c>
      <c r="E17" s="93" t="s">
        <v>1075</v>
      </c>
      <c r="F17" s="1">
        <v>1</v>
      </c>
    </row>
    <row r="18" spans="1:6" x14ac:dyDescent="0.25">
      <c r="A18" s="6" t="s">
        <v>100</v>
      </c>
      <c r="B18" s="6" t="s">
        <v>942</v>
      </c>
      <c r="C18" s="6" t="s">
        <v>1124</v>
      </c>
      <c r="D18" s="6" t="s">
        <v>1124</v>
      </c>
      <c r="E18" s="94" t="s">
        <v>1075</v>
      </c>
      <c r="F18" s="1">
        <v>1</v>
      </c>
    </row>
    <row r="19" spans="1:6" x14ac:dyDescent="0.25">
      <c r="A19" s="1" t="s">
        <v>101</v>
      </c>
      <c r="B19" s="1" t="s">
        <v>942</v>
      </c>
      <c r="C19" s="1" t="s">
        <v>1124</v>
      </c>
      <c r="D19" s="1" t="s">
        <v>1124</v>
      </c>
      <c r="E19" s="93" t="s">
        <v>1075</v>
      </c>
      <c r="F19" s="1">
        <v>1</v>
      </c>
    </row>
    <row r="20" spans="1:6" x14ac:dyDescent="0.25">
      <c r="A20" s="6" t="s">
        <v>102</v>
      </c>
      <c r="B20" s="6" t="s">
        <v>942</v>
      </c>
      <c r="C20" s="6" t="s">
        <v>1124</v>
      </c>
      <c r="D20" s="6" t="s">
        <v>1124</v>
      </c>
      <c r="E20" s="94" t="s">
        <v>1075</v>
      </c>
      <c r="F20" s="1">
        <v>1</v>
      </c>
    </row>
    <row r="21" spans="1:6" x14ac:dyDescent="0.25">
      <c r="A21" s="1" t="s">
        <v>103</v>
      </c>
      <c r="B21" s="1" t="s">
        <v>942</v>
      </c>
      <c r="C21" s="1" t="s">
        <v>1124</v>
      </c>
      <c r="D21" s="1" t="s">
        <v>1124</v>
      </c>
      <c r="E21" s="93" t="s">
        <v>1075</v>
      </c>
      <c r="F21" s="1">
        <v>1</v>
      </c>
    </row>
    <row r="22" spans="1:6" x14ac:dyDescent="0.25">
      <c r="A22" s="6" t="s">
        <v>136</v>
      </c>
      <c r="B22" s="6" t="s">
        <v>943</v>
      </c>
      <c r="C22" s="6" t="s">
        <v>1124</v>
      </c>
      <c r="D22" s="6" t="s">
        <v>1124</v>
      </c>
      <c r="E22" s="94" t="s">
        <v>1075</v>
      </c>
      <c r="F22" s="1">
        <v>1</v>
      </c>
    </row>
    <row r="23" spans="1:6" x14ac:dyDescent="0.25">
      <c r="A23" s="1" t="s">
        <v>137</v>
      </c>
      <c r="B23" s="1" t="s">
        <v>944</v>
      </c>
      <c r="C23" s="1" t="s">
        <v>1124</v>
      </c>
      <c r="D23" s="1" t="s">
        <v>1124</v>
      </c>
      <c r="E23" s="93" t="s">
        <v>1075</v>
      </c>
      <c r="F23" s="1">
        <v>1</v>
      </c>
    </row>
    <row r="24" spans="1:6" x14ac:dyDescent="0.25">
      <c r="A24" s="6" t="s">
        <v>124</v>
      </c>
      <c r="B24" s="6" t="s">
        <v>945</v>
      </c>
      <c r="C24" s="6" t="s">
        <v>1124</v>
      </c>
      <c r="D24" s="6" t="s">
        <v>1124</v>
      </c>
      <c r="E24" s="94" t="s">
        <v>1075</v>
      </c>
      <c r="F24" s="1">
        <v>1</v>
      </c>
    </row>
    <row r="25" spans="1:6" x14ac:dyDescent="0.25">
      <c r="A25" s="1" t="s">
        <v>129</v>
      </c>
      <c r="B25" s="1" t="s">
        <v>129</v>
      </c>
      <c r="C25" s="1" t="s">
        <v>1124</v>
      </c>
      <c r="D25" s="1" t="s">
        <v>1124</v>
      </c>
      <c r="E25" s="93" t="s">
        <v>1077</v>
      </c>
      <c r="F25" s="1">
        <v>1</v>
      </c>
    </row>
    <row r="26" spans="1:6" x14ac:dyDescent="0.25">
      <c r="A26" s="6" t="s">
        <v>130</v>
      </c>
      <c r="B26" s="6" t="s">
        <v>946</v>
      </c>
      <c r="C26" s="6" t="s">
        <v>1124</v>
      </c>
      <c r="D26" s="6" t="s">
        <v>1124</v>
      </c>
      <c r="E26" s="94" t="s">
        <v>1077</v>
      </c>
      <c r="F26" s="1">
        <v>1</v>
      </c>
    </row>
    <row r="27" spans="1:6" x14ac:dyDescent="0.25">
      <c r="A27" s="1" t="s">
        <v>283</v>
      </c>
      <c r="B27" s="1" t="s">
        <v>283</v>
      </c>
      <c r="C27" s="1" t="s">
        <v>1124</v>
      </c>
      <c r="D27" s="1" t="s">
        <v>1124</v>
      </c>
      <c r="E27" s="93" t="s">
        <v>1077</v>
      </c>
      <c r="F27" s="1">
        <v>1</v>
      </c>
    </row>
    <row r="28" spans="1:6" x14ac:dyDescent="0.25">
      <c r="A28" s="6" t="s">
        <v>132</v>
      </c>
      <c r="B28" s="6" t="s">
        <v>947</v>
      </c>
      <c r="C28" s="6" t="s">
        <v>1124</v>
      </c>
      <c r="D28" s="6" t="s">
        <v>1124</v>
      </c>
      <c r="E28" s="94" t="s">
        <v>1077</v>
      </c>
      <c r="F28" s="1">
        <v>1</v>
      </c>
    </row>
    <row r="29" spans="1:6" x14ac:dyDescent="0.25">
      <c r="A29" s="1" t="s">
        <v>133</v>
      </c>
      <c r="B29" s="1" t="s">
        <v>948</v>
      </c>
      <c r="C29" s="1" t="s">
        <v>1124</v>
      </c>
      <c r="D29" s="1" t="s">
        <v>1124</v>
      </c>
      <c r="E29" s="93" t="s">
        <v>1077</v>
      </c>
      <c r="F29" s="1">
        <v>1</v>
      </c>
    </row>
    <row r="30" spans="1:6" x14ac:dyDescent="0.25">
      <c r="A30" s="6" t="s">
        <v>134</v>
      </c>
      <c r="B30" s="6" t="s">
        <v>134</v>
      </c>
      <c r="C30" s="6" t="s">
        <v>1124</v>
      </c>
      <c r="D30" s="6" t="s">
        <v>1124</v>
      </c>
      <c r="E30" s="94" t="s">
        <v>1075</v>
      </c>
      <c r="F30" s="1">
        <v>1</v>
      </c>
    </row>
    <row r="31" spans="1:6" x14ac:dyDescent="0.25">
      <c r="A31" s="1" t="s">
        <v>135</v>
      </c>
      <c r="B31" s="1" t="s">
        <v>943</v>
      </c>
      <c r="C31" s="1" t="s">
        <v>1124</v>
      </c>
      <c r="D31" s="1" t="s">
        <v>1124</v>
      </c>
      <c r="E31" s="93" t="s">
        <v>1075</v>
      </c>
      <c r="F31" s="1">
        <v>1</v>
      </c>
    </row>
    <row r="32" spans="1:6" x14ac:dyDescent="0.25">
      <c r="A32" s="6" t="s">
        <v>138</v>
      </c>
      <c r="B32" s="6" t="s">
        <v>944</v>
      </c>
      <c r="C32" s="6" t="s">
        <v>1124</v>
      </c>
      <c r="D32" s="6" t="s">
        <v>1124</v>
      </c>
      <c r="E32" s="94" t="s">
        <v>1075</v>
      </c>
      <c r="F32" s="1">
        <v>1</v>
      </c>
    </row>
    <row r="33" spans="1:6" x14ac:dyDescent="0.25">
      <c r="A33" s="1" t="s">
        <v>150</v>
      </c>
      <c r="B33" s="1" t="s">
        <v>949</v>
      </c>
      <c r="C33" s="1" t="s">
        <v>1124</v>
      </c>
      <c r="D33" s="1" t="s">
        <v>1124</v>
      </c>
      <c r="E33" s="93" t="s">
        <v>1075</v>
      </c>
      <c r="F33" s="1">
        <v>1</v>
      </c>
    </row>
    <row r="34" spans="1:6" x14ac:dyDescent="0.25">
      <c r="A34" s="6" t="s">
        <v>164</v>
      </c>
      <c r="B34" s="6" t="s">
        <v>129</v>
      </c>
      <c r="C34" s="6" t="s">
        <v>946</v>
      </c>
      <c r="D34" s="94" t="s">
        <v>283</v>
      </c>
      <c r="E34" s="94" t="s">
        <v>1077</v>
      </c>
      <c r="F34" s="1">
        <v>0</v>
      </c>
    </row>
    <row r="35" spans="1:6" x14ac:dyDescent="0.25">
      <c r="A35" s="1" t="s">
        <v>183</v>
      </c>
      <c r="B35" s="1" t="s">
        <v>959</v>
      </c>
      <c r="C35" s="1" t="s">
        <v>1124</v>
      </c>
      <c r="D35" s="1" t="s">
        <v>1124</v>
      </c>
      <c r="E35" s="93" t="s">
        <v>649</v>
      </c>
      <c r="F35" s="1">
        <v>1</v>
      </c>
    </row>
    <row r="36" spans="1:6" x14ac:dyDescent="0.25">
      <c r="A36" s="6" t="s">
        <v>184</v>
      </c>
      <c r="B36" s="6" t="s">
        <v>960</v>
      </c>
      <c r="C36" s="6" t="s">
        <v>1124</v>
      </c>
      <c r="D36" s="6" t="s">
        <v>1124</v>
      </c>
      <c r="E36" s="94" t="s">
        <v>649</v>
      </c>
      <c r="F36" s="1">
        <v>1</v>
      </c>
    </row>
    <row r="37" spans="1:6" x14ac:dyDescent="0.25">
      <c r="A37" s="1" t="s">
        <v>185</v>
      </c>
      <c r="B37" s="1" t="s">
        <v>965</v>
      </c>
      <c r="C37" s="1" t="s">
        <v>1124</v>
      </c>
      <c r="D37" s="1" t="s">
        <v>1124</v>
      </c>
      <c r="E37" s="93" t="s">
        <v>649</v>
      </c>
      <c r="F37" s="1">
        <v>1</v>
      </c>
    </row>
    <row r="38" spans="1:6" x14ac:dyDescent="0.25">
      <c r="A38" s="6" t="s">
        <v>186</v>
      </c>
      <c r="B38" s="6" t="s">
        <v>966</v>
      </c>
      <c r="C38" s="6" t="s">
        <v>1124</v>
      </c>
      <c r="D38" s="6" t="s">
        <v>1124</v>
      </c>
      <c r="E38" s="94" t="s">
        <v>649</v>
      </c>
      <c r="F38" s="1">
        <v>1</v>
      </c>
    </row>
    <row r="39" spans="1:6" x14ac:dyDescent="0.25">
      <c r="A39" s="1" t="s">
        <v>187</v>
      </c>
      <c r="B39" s="1" t="s">
        <v>961</v>
      </c>
      <c r="C39" s="1" t="s">
        <v>1124</v>
      </c>
      <c r="D39" s="1" t="s">
        <v>1124</v>
      </c>
      <c r="E39" s="93" t="s">
        <v>649</v>
      </c>
      <c r="F39" s="1">
        <v>1</v>
      </c>
    </row>
    <row r="40" spans="1:6" x14ac:dyDescent="0.25">
      <c r="A40" s="6" t="s">
        <v>188</v>
      </c>
      <c r="B40" s="6" t="s">
        <v>962</v>
      </c>
      <c r="C40" s="6" t="s">
        <v>1124</v>
      </c>
      <c r="D40" s="6" t="s">
        <v>1124</v>
      </c>
      <c r="E40" s="94" t="s">
        <v>649</v>
      </c>
      <c r="F40" s="1">
        <v>1</v>
      </c>
    </row>
    <row r="41" spans="1:6" x14ac:dyDescent="0.25">
      <c r="A41" s="1" t="s">
        <v>189</v>
      </c>
      <c r="B41" s="1" t="s">
        <v>963</v>
      </c>
      <c r="C41" s="1" t="s">
        <v>1124</v>
      </c>
      <c r="D41" s="1" t="s">
        <v>1124</v>
      </c>
      <c r="E41" s="93" t="s">
        <v>649</v>
      </c>
      <c r="F41" s="1">
        <v>1</v>
      </c>
    </row>
    <row r="42" spans="1:6" x14ac:dyDescent="0.25">
      <c r="A42" s="6" t="s">
        <v>190</v>
      </c>
      <c r="B42" s="6" t="s">
        <v>974</v>
      </c>
      <c r="C42" s="6" t="s">
        <v>1124</v>
      </c>
      <c r="D42" s="6" t="s">
        <v>1124</v>
      </c>
      <c r="E42" s="94" t="s">
        <v>649</v>
      </c>
      <c r="F42" s="1">
        <v>1</v>
      </c>
    </row>
    <row r="43" spans="1:6" x14ac:dyDescent="0.25">
      <c r="A43" s="1" t="s">
        <v>206</v>
      </c>
      <c r="B43" s="1" t="s">
        <v>941</v>
      </c>
      <c r="C43" s="1" t="s">
        <v>1124</v>
      </c>
      <c r="D43" s="1" t="s">
        <v>1124</v>
      </c>
      <c r="E43" s="93" t="s">
        <v>1075</v>
      </c>
      <c r="F43" s="1">
        <v>1</v>
      </c>
    </row>
    <row r="44" spans="1:6" x14ac:dyDescent="0.25">
      <c r="A44" s="6" t="s">
        <v>207</v>
      </c>
      <c r="B44" s="6" t="s">
        <v>950</v>
      </c>
      <c r="C44" s="6" t="s">
        <v>1124</v>
      </c>
      <c r="D44" s="6" t="s">
        <v>1124</v>
      </c>
      <c r="E44" s="94" t="s">
        <v>1075</v>
      </c>
      <c r="F44" s="1">
        <v>1</v>
      </c>
    </row>
    <row r="45" spans="1:6" x14ac:dyDescent="0.25">
      <c r="A45" s="1" t="s">
        <v>209</v>
      </c>
      <c r="B45" s="1" t="s">
        <v>942</v>
      </c>
      <c r="C45" s="1" t="s">
        <v>1124</v>
      </c>
      <c r="D45" s="1" t="s">
        <v>1124</v>
      </c>
      <c r="E45" s="93" t="s">
        <v>1075</v>
      </c>
      <c r="F45" s="1">
        <v>1</v>
      </c>
    </row>
    <row r="46" spans="1:6" x14ac:dyDescent="0.25">
      <c r="A46" s="6" t="s">
        <v>210</v>
      </c>
      <c r="B46" s="6" t="s">
        <v>944</v>
      </c>
      <c r="C46" s="6" t="s">
        <v>134</v>
      </c>
      <c r="D46" s="6" t="s">
        <v>1124</v>
      </c>
      <c r="E46" s="94" t="s">
        <v>1075</v>
      </c>
      <c r="F46" s="1">
        <v>1</v>
      </c>
    </row>
    <row r="47" spans="1:6" x14ac:dyDescent="0.25">
      <c r="A47" s="1" t="s">
        <v>219</v>
      </c>
      <c r="B47" s="1" t="s">
        <v>951</v>
      </c>
      <c r="C47" s="1" t="s">
        <v>1124</v>
      </c>
      <c r="D47" s="1" t="s">
        <v>1124</v>
      </c>
      <c r="E47" s="93" t="s">
        <v>1075</v>
      </c>
      <c r="F47" s="1">
        <v>1</v>
      </c>
    </row>
    <row r="48" spans="1:6" x14ac:dyDescent="0.25">
      <c r="A48" s="6" t="s">
        <v>221</v>
      </c>
      <c r="B48" s="6" t="s">
        <v>952</v>
      </c>
      <c r="C48" s="6" t="s">
        <v>1124</v>
      </c>
      <c r="D48" s="6" t="s">
        <v>1124</v>
      </c>
      <c r="E48" s="94" t="s">
        <v>0</v>
      </c>
      <c r="F48" s="1">
        <v>1</v>
      </c>
    </row>
    <row r="49" spans="1:8" x14ac:dyDescent="0.25">
      <c r="A49" s="1" t="s">
        <v>277</v>
      </c>
      <c r="B49" s="1" t="s">
        <v>933</v>
      </c>
      <c r="C49" s="1" t="s">
        <v>1124</v>
      </c>
      <c r="D49" s="1" t="s">
        <v>1124</v>
      </c>
      <c r="E49" s="93" t="s">
        <v>0</v>
      </c>
      <c r="F49" s="1">
        <v>1</v>
      </c>
    </row>
    <row r="50" spans="1:8" x14ac:dyDescent="0.25">
      <c r="A50" s="6" t="s">
        <v>309</v>
      </c>
      <c r="B50" s="6" t="s">
        <v>952</v>
      </c>
      <c r="C50" s="6" t="s">
        <v>1124</v>
      </c>
      <c r="D50" s="6" t="s">
        <v>1124</v>
      </c>
      <c r="E50" s="94" t="s">
        <v>0</v>
      </c>
      <c r="F50" s="1">
        <v>1</v>
      </c>
    </row>
    <row r="51" spans="1:8" x14ac:dyDescent="0.25">
      <c r="A51" s="1" t="s">
        <v>284</v>
      </c>
      <c r="B51" s="1" t="s">
        <v>953</v>
      </c>
      <c r="C51" s="1" t="s">
        <v>1124</v>
      </c>
      <c r="D51" s="1" t="s">
        <v>1124</v>
      </c>
      <c r="E51" s="93" t="s">
        <v>1077</v>
      </c>
      <c r="F51" s="1">
        <v>1</v>
      </c>
    </row>
    <row r="52" spans="1:8" x14ac:dyDescent="0.25">
      <c r="A52" s="6" t="s">
        <v>289</v>
      </c>
      <c r="B52" s="6" t="s">
        <v>977</v>
      </c>
      <c r="C52" s="6" t="s">
        <v>1124</v>
      </c>
      <c r="D52" s="6" t="s">
        <v>1124</v>
      </c>
      <c r="E52" s="94" t="s">
        <v>649</v>
      </c>
      <c r="F52" s="1">
        <v>1</v>
      </c>
    </row>
    <row r="53" spans="1:8" x14ac:dyDescent="0.25">
      <c r="A53" s="1" t="s">
        <v>290</v>
      </c>
      <c r="B53" s="1" t="s">
        <v>290</v>
      </c>
      <c r="C53" s="1" t="s">
        <v>1124</v>
      </c>
      <c r="D53" s="1" t="s">
        <v>1124</v>
      </c>
      <c r="E53" s="93" t="s">
        <v>649</v>
      </c>
      <c r="F53" s="1">
        <v>1</v>
      </c>
    </row>
    <row r="54" spans="1:8" x14ac:dyDescent="0.25">
      <c r="A54" s="6" t="s">
        <v>291</v>
      </c>
      <c r="B54" s="6" t="s">
        <v>291</v>
      </c>
      <c r="C54" s="6" t="s">
        <v>1124</v>
      </c>
      <c r="D54" s="6" t="s">
        <v>1124</v>
      </c>
      <c r="E54" s="94" t="s">
        <v>649</v>
      </c>
      <c r="F54" s="1">
        <v>1</v>
      </c>
    </row>
    <row r="55" spans="1:8" x14ac:dyDescent="0.25">
      <c r="A55" s="1" t="s">
        <v>292</v>
      </c>
      <c r="B55" s="1" t="s">
        <v>292</v>
      </c>
      <c r="C55" s="1" t="s">
        <v>1124</v>
      </c>
      <c r="D55" s="1" t="s">
        <v>1124</v>
      </c>
      <c r="E55" s="93" t="s">
        <v>649</v>
      </c>
      <c r="F55" s="1">
        <v>1</v>
      </c>
    </row>
    <row r="56" spans="1:8" x14ac:dyDescent="0.25">
      <c r="A56" s="6" t="s">
        <v>293</v>
      </c>
      <c r="B56" s="6" t="s">
        <v>293</v>
      </c>
      <c r="C56" s="6" t="s">
        <v>1124</v>
      </c>
      <c r="D56" s="6" t="s">
        <v>1124</v>
      </c>
      <c r="E56" s="94" t="s">
        <v>649</v>
      </c>
      <c r="F56" s="1">
        <v>1</v>
      </c>
    </row>
    <row r="57" spans="1:8" x14ac:dyDescent="0.25">
      <c r="A57" s="1" t="s">
        <v>294</v>
      </c>
      <c r="B57" s="1" t="s">
        <v>294</v>
      </c>
      <c r="C57" s="1" t="s">
        <v>1124</v>
      </c>
      <c r="D57" s="1" t="s">
        <v>1124</v>
      </c>
      <c r="E57" s="93" t="s">
        <v>649</v>
      </c>
      <c r="F57" s="1">
        <v>1</v>
      </c>
    </row>
    <row r="58" spans="1:8" x14ac:dyDescent="0.25">
      <c r="A58" s="6" t="s">
        <v>295</v>
      </c>
      <c r="B58" s="6" t="s">
        <v>295</v>
      </c>
      <c r="C58" s="6" t="s">
        <v>1124</v>
      </c>
      <c r="D58" s="6" t="s">
        <v>1124</v>
      </c>
      <c r="E58" s="94" t="s">
        <v>649</v>
      </c>
      <c r="F58" s="1">
        <v>1</v>
      </c>
    </row>
    <row r="59" spans="1:8" x14ac:dyDescent="0.25">
      <c r="A59" s="1" t="s">
        <v>296</v>
      </c>
      <c r="B59" s="1" t="s">
        <v>978</v>
      </c>
      <c r="C59" s="1" t="s">
        <v>1124</v>
      </c>
      <c r="D59" s="1" t="s">
        <v>1124</v>
      </c>
      <c r="E59" s="93" t="s">
        <v>649</v>
      </c>
      <c r="F59" s="1">
        <v>1</v>
      </c>
    </row>
    <row r="60" spans="1:8" x14ac:dyDescent="0.25">
      <c r="A60" s="6" t="s">
        <v>297</v>
      </c>
      <c r="B60" s="6" t="s">
        <v>297</v>
      </c>
      <c r="C60" s="6" t="s">
        <v>1124</v>
      </c>
      <c r="D60" s="6" t="s">
        <v>1124</v>
      </c>
      <c r="E60" s="94" t="s">
        <v>649</v>
      </c>
      <c r="F60" s="1">
        <v>1</v>
      </c>
    </row>
    <row r="61" spans="1:8" x14ac:dyDescent="0.25">
      <c r="A61" s="1" t="s">
        <v>325</v>
      </c>
      <c r="B61" s="1" t="s">
        <v>27</v>
      </c>
      <c r="C61" s="1" t="s">
        <v>39</v>
      </c>
      <c r="D61" s="1" t="s">
        <v>1124</v>
      </c>
      <c r="E61" s="93" t="s">
        <v>0</v>
      </c>
      <c r="F61" s="1">
        <v>0</v>
      </c>
    </row>
    <row r="62" spans="1:8" x14ac:dyDescent="0.25">
      <c r="A62" s="6" t="s">
        <v>362</v>
      </c>
      <c r="B62" s="6" t="s">
        <v>942</v>
      </c>
      <c r="C62" s="6" t="s">
        <v>1124</v>
      </c>
      <c r="D62" s="6" t="s">
        <v>1124</v>
      </c>
      <c r="E62" s="94" t="s">
        <v>1075</v>
      </c>
      <c r="F62" s="1">
        <v>1</v>
      </c>
    </row>
    <row r="63" spans="1:8" ht="14.5" x14ac:dyDescent="0.35">
      <c r="A63" s="1" t="s">
        <v>370</v>
      </c>
      <c r="B63" s="1" t="s">
        <v>954</v>
      </c>
      <c r="C63" s="1" t="s">
        <v>1124</v>
      </c>
      <c r="D63" s="1" t="s">
        <v>1124</v>
      </c>
      <c r="E63" s="93" t="s">
        <v>0</v>
      </c>
      <c r="F63" s="1">
        <v>1</v>
      </c>
      <c r="H63"/>
    </row>
    <row r="64" spans="1:8" ht="14.5" x14ac:dyDescent="0.35">
      <c r="A64" s="6" t="s">
        <v>373</v>
      </c>
      <c r="B64" s="6" t="s">
        <v>1126</v>
      </c>
      <c r="C64" s="6" t="s">
        <v>1124</v>
      </c>
      <c r="D64" s="6" t="s">
        <v>1124</v>
      </c>
      <c r="E64" s="94" t="s">
        <v>1075</v>
      </c>
      <c r="F64" s="1">
        <v>1</v>
      </c>
      <c r="H64"/>
    </row>
    <row r="65" spans="1:8" ht="14.5" x14ac:dyDescent="0.35">
      <c r="A65" s="1" t="s">
        <v>374</v>
      </c>
      <c r="B65" s="1" t="s">
        <v>955</v>
      </c>
      <c r="C65" s="1" t="s">
        <v>1124</v>
      </c>
      <c r="D65" s="1" t="s">
        <v>1124</v>
      </c>
      <c r="E65" s="93" t="s">
        <v>1075</v>
      </c>
      <c r="F65" s="1">
        <v>1</v>
      </c>
      <c r="H65"/>
    </row>
    <row r="66" spans="1:8" ht="14.5" x14ac:dyDescent="0.35">
      <c r="A66" s="6" t="s">
        <v>389</v>
      </c>
      <c r="B66" s="6" t="s">
        <v>941</v>
      </c>
      <c r="C66" s="6" t="s">
        <v>1124</v>
      </c>
      <c r="D66" s="6" t="s">
        <v>1124</v>
      </c>
      <c r="E66" s="94" t="s">
        <v>1075</v>
      </c>
      <c r="F66" s="1">
        <v>1</v>
      </c>
      <c r="H66"/>
    </row>
    <row r="67" spans="1:8" ht="14.5" x14ac:dyDescent="0.35">
      <c r="A67" s="1" t="s">
        <v>398</v>
      </c>
      <c r="B67" s="1" t="s">
        <v>398</v>
      </c>
      <c r="C67" s="1" t="s">
        <v>1124</v>
      </c>
      <c r="D67" s="1" t="s">
        <v>1124</v>
      </c>
      <c r="E67" s="93" t="s">
        <v>649</v>
      </c>
      <c r="F67" s="1">
        <v>1</v>
      </c>
      <c r="H67"/>
    </row>
    <row r="68" spans="1:8" ht="14.5" x14ac:dyDescent="0.35">
      <c r="A68" s="6" t="s">
        <v>403</v>
      </c>
      <c r="B68" s="6" t="str">
        <f>Tabelle38[[#This Row],[Prozess (ursprüngliche Kategorien)]]</f>
        <v>Prozesskälte Handel</v>
      </c>
      <c r="C68" s="6" t="s">
        <v>1124</v>
      </c>
      <c r="D68" s="6" t="s">
        <v>1124</v>
      </c>
      <c r="E68" s="94" t="s">
        <v>1075</v>
      </c>
      <c r="F68" s="1">
        <v>1</v>
      </c>
      <c r="H68"/>
    </row>
    <row r="69" spans="1:8" ht="14.5" x14ac:dyDescent="0.35">
      <c r="A69" s="1" t="s">
        <v>415</v>
      </c>
      <c r="B69" s="1" t="s">
        <v>51</v>
      </c>
      <c r="C69" s="1" t="s">
        <v>39</v>
      </c>
      <c r="D69" s="1" t="s">
        <v>1124</v>
      </c>
      <c r="E69" s="93" t="s">
        <v>0</v>
      </c>
      <c r="F69" s="1">
        <v>0</v>
      </c>
      <c r="H69"/>
    </row>
    <row r="70" spans="1:8" ht="14.5" x14ac:dyDescent="0.35">
      <c r="A70" s="6" t="s">
        <v>414</v>
      </c>
      <c r="B70" s="6" t="s">
        <v>938</v>
      </c>
      <c r="C70" s="6" t="s">
        <v>964</v>
      </c>
      <c r="D70" s="6" t="s">
        <v>1124</v>
      </c>
      <c r="E70" s="94" t="s">
        <v>0</v>
      </c>
      <c r="F70" s="1">
        <v>0</v>
      </c>
      <c r="H70"/>
    </row>
    <row r="71" spans="1:8" ht="14.5" x14ac:dyDescent="0.35">
      <c r="A71" s="1" t="s">
        <v>1064</v>
      </c>
      <c r="B71" s="1" t="s">
        <v>940</v>
      </c>
      <c r="C71" s="1" t="s">
        <v>1124</v>
      </c>
      <c r="D71" s="1" t="s">
        <v>1124</v>
      </c>
      <c r="E71" s="93" t="s">
        <v>0</v>
      </c>
      <c r="F71" s="1">
        <v>1</v>
      </c>
      <c r="H71"/>
    </row>
    <row r="72" spans="1:8" ht="14.5" x14ac:dyDescent="0.35">
      <c r="A72" s="6" t="s">
        <v>535</v>
      </c>
      <c r="B72" s="6" t="s">
        <v>535</v>
      </c>
      <c r="C72" s="6" t="s">
        <v>1124</v>
      </c>
      <c r="D72" s="6" t="s">
        <v>1124</v>
      </c>
      <c r="E72" s="94" t="s">
        <v>1075</v>
      </c>
      <c r="F72" s="1">
        <v>1</v>
      </c>
      <c r="H72"/>
    </row>
    <row r="73" spans="1:8" ht="14.5" x14ac:dyDescent="0.35">
      <c r="A73" s="1" t="s">
        <v>536</v>
      </c>
      <c r="B73" s="1" t="s">
        <v>941</v>
      </c>
      <c r="C73" s="1" t="s">
        <v>942</v>
      </c>
      <c r="D73" s="1" t="s">
        <v>1124</v>
      </c>
      <c r="E73" s="93" t="s">
        <v>1075</v>
      </c>
      <c r="F73" s="1">
        <v>0</v>
      </c>
      <c r="H73"/>
    </row>
    <row r="74" spans="1:8" ht="14.5" x14ac:dyDescent="0.35">
      <c r="A74" s="6" t="s">
        <v>537</v>
      </c>
      <c r="B74" s="6" t="s">
        <v>967</v>
      </c>
      <c r="C74" s="6" t="s">
        <v>1124</v>
      </c>
      <c r="D74" s="6" t="s">
        <v>1124</v>
      </c>
      <c r="E74" s="94" t="s">
        <v>1075</v>
      </c>
      <c r="F74" s="1">
        <v>1</v>
      </c>
      <c r="H74"/>
    </row>
    <row r="75" spans="1:8" ht="14.5" x14ac:dyDescent="0.35">
      <c r="A75" s="1" t="s">
        <v>542</v>
      </c>
      <c r="B75" s="1" t="s">
        <v>542</v>
      </c>
      <c r="C75" s="1" t="s">
        <v>1124</v>
      </c>
      <c r="D75" s="1" t="s">
        <v>1124</v>
      </c>
      <c r="E75" s="93" t="s">
        <v>1075</v>
      </c>
      <c r="F75" s="1">
        <v>1</v>
      </c>
      <c r="H75"/>
    </row>
    <row r="76" spans="1:8" ht="14.5" x14ac:dyDescent="0.35">
      <c r="A76" s="6" t="s">
        <v>571</v>
      </c>
      <c r="B76" s="6" t="s">
        <v>971</v>
      </c>
      <c r="C76" s="6" t="s">
        <v>1124</v>
      </c>
      <c r="D76" s="6" t="s">
        <v>1124</v>
      </c>
      <c r="E76" s="94" t="s">
        <v>0</v>
      </c>
      <c r="F76" s="1">
        <v>1</v>
      </c>
      <c r="H76"/>
    </row>
    <row r="77" spans="1:8" ht="14.5" x14ac:dyDescent="0.35">
      <c r="A77" s="1" t="s">
        <v>572</v>
      </c>
      <c r="B77" s="1" t="s">
        <v>933</v>
      </c>
      <c r="C77" s="1" t="s">
        <v>968</v>
      </c>
      <c r="D77" s="93" t="s">
        <v>969</v>
      </c>
      <c r="E77" s="93" t="s">
        <v>0</v>
      </c>
      <c r="F77" s="1">
        <v>1</v>
      </c>
      <c r="H77"/>
    </row>
    <row r="78" spans="1:8" ht="14.5" x14ac:dyDescent="0.35">
      <c r="A78" s="6" t="s">
        <v>711</v>
      </c>
      <c r="B78" s="6" t="s">
        <v>941</v>
      </c>
      <c r="C78" s="6" t="s">
        <v>1124</v>
      </c>
      <c r="D78" s="6" t="s">
        <v>1124</v>
      </c>
      <c r="E78" s="94" t="s">
        <v>1075</v>
      </c>
      <c r="F78" s="1">
        <v>1</v>
      </c>
      <c r="H78"/>
    </row>
    <row r="79" spans="1:8" ht="14.5" x14ac:dyDescent="0.35">
      <c r="A79" s="1" t="s">
        <v>654</v>
      </c>
      <c r="B79" s="1" t="s">
        <v>654</v>
      </c>
      <c r="C79" s="1" t="s">
        <v>1124</v>
      </c>
      <c r="D79" s="1" t="s">
        <v>1124</v>
      </c>
      <c r="E79" s="93" t="s">
        <v>0</v>
      </c>
      <c r="F79" s="1">
        <v>1</v>
      </c>
      <c r="H79"/>
    </row>
    <row r="80" spans="1:8" ht="14.5" x14ac:dyDescent="0.35">
      <c r="A80" s="6" t="s">
        <v>809</v>
      </c>
      <c r="B80" s="6" t="s">
        <v>970</v>
      </c>
      <c r="C80" s="6" t="s">
        <v>1124</v>
      </c>
      <c r="D80" s="6" t="s">
        <v>1124</v>
      </c>
      <c r="E80" s="94" t="s">
        <v>1075</v>
      </c>
      <c r="F80" s="1">
        <v>1</v>
      </c>
      <c r="H80"/>
    </row>
    <row r="81" spans="1:8" ht="14.5" x14ac:dyDescent="0.35">
      <c r="A81" s="1" t="s">
        <v>810</v>
      </c>
      <c r="B81" s="1" t="s">
        <v>971</v>
      </c>
      <c r="C81" s="1" t="s">
        <v>1124</v>
      </c>
      <c r="D81" s="1" t="s">
        <v>1124</v>
      </c>
      <c r="E81" s="93" t="s">
        <v>0</v>
      </c>
      <c r="F81" s="1">
        <v>1</v>
      </c>
      <c r="H81"/>
    </row>
    <row r="82" spans="1:8" ht="14.5" x14ac:dyDescent="0.35">
      <c r="A82" s="6" t="s">
        <v>820</v>
      </c>
      <c r="B82" s="6" t="s">
        <v>974</v>
      </c>
      <c r="C82" s="6" t="s">
        <v>1124</v>
      </c>
      <c r="D82" s="6" t="s">
        <v>1124</v>
      </c>
      <c r="E82" s="94" t="s">
        <v>649</v>
      </c>
      <c r="F82" s="1">
        <v>1</v>
      </c>
      <c r="H82"/>
    </row>
    <row r="83" spans="1:8" ht="14.5" x14ac:dyDescent="0.35">
      <c r="A83" s="1" t="s">
        <v>823</v>
      </c>
      <c r="B83" s="1" t="s">
        <v>975</v>
      </c>
      <c r="C83" s="1" t="s">
        <v>1124</v>
      </c>
      <c r="D83" s="1" t="s">
        <v>1124</v>
      </c>
      <c r="E83" s="93" t="s">
        <v>649</v>
      </c>
      <c r="F83" s="1">
        <v>1</v>
      </c>
      <c r="H83"/>
    </row>
    <row r="84" spans="1:8" ht="14.5" x14ac:dyDescent="0.35">
      <c r="A84" s="6" t="s">
        <v>827</v>
      </c>
      <c r="B84" s="6" t="s">
        <v>850</v>
      </c>
      <c r="C84" s="6" t="s">
        <v>1124</v>
      </c>
      <c r="D84" s="6" t="s">
        <v>1124</v>
      </c>
      <c r="E84" s="94" t="s">
        <v>1075</v>
      </c>
      <c r="F84" s="1">
        <v>1</v>
      </c>
      <c r="H84"/>
    </row>
    <row r="85" spans="1:8" ht="14.5" x14ac:dyDescent="0.35">
      <c r="A85" s="1" t="s">
        <v>829</v>
      </c>
      <c r="B85" s="1" t="s">
        <v>973</v>
      </c>
      <c r="C85" s="1" t="s">
        <v>1124</v>
      </c>
      <c r="D85" s="1" t="s">
        <v>1124</v>
      </c>
      <c r="E85" s="93" t="s">
        <v>1078</v>
      </c>
      <c r="F85" s="1">
        <v>1</v>
      </c>
      <c r="H85"/>
    </row>
    <row r="86" spans="1:8" ht="14.5" x14ac:dyDescent="0.35">
      <c r="A86" s="6" t="s">
        <v>850</v>
      </c>
      <c r="B86" s="6" t="s">
        <v>850</v>
      </c>
      <c r="C86" s="6" t="s">
        <v>1124</v>
      </c>
      <c r="D86" s="6" t="s">
        <v>1124</v>
      </c>
      <c r="E86" s="94" t="s">
        <v>1075</v>
      </c>
      <c r="F86" s="1">
        <v>1</v>
      </c>
      <c r="H86"/>
    </row>
    <row r="87" spans="1:8" ht="14.5" x14ac:dyDescent="0.35">
      <c r="A87" s="1" t="s">
        <v>851</v>
      </c>
      <c r="B87" s="1" t="s">
        <v>970</v>
      </c>
      <c r="C87" s="1" t="s">
        <v>1124</v>
      </c>
      <c r="D87" s="1" t="s">
        <v>1124</v>
      </c>
      <c r="E87" s="93" t="s">
        <v>1075</v>
      </c>
      <c r="F87" s="1">
        <v>1</v>
      </c>
      <c r="H87"/>
    </row>
    <row r="88" spans="1:8" ht="14.5" x14ac:dyDescent="0.35">
      <c r="A88" s="6" t="s">
        <v>871</v>
      </c>
      <c r="B88" s="6" t="s">
        <v>1126</v>
      </c>
      <c r="C88" s="6" t="s">
        <v>1124</v>
      </c>
      <c r="D88" s="6" t="s">
        <v>1124</v>
      </c>
      <c r="E88" s="94" t="s">
        <v>1075</v>
      </c>
      <c r="F88" s="1">
        <v>1</v>
      </c>
      <c r="H88"/>
    </row>
    <row r="89" spans="1:8" ht="14.5" x14ac:dyDescent="0.35">
      <c r="A89" s="1" t="s">
        <v>873</v>
      </c>
      <c r="B89" s="1" t="s">
        <v>938</v>
      </c>
      <c r="C89" s="1" t="s">
        <v>1124</v>
      </c>
      <c r="D89" s="1" t="s">
        <v>1124</v>
      </c>
      <c r="E89" s="93" t="s">
        <v>0</v>
      </c>
      <c r="F89" s="1">
        <v>1</v>
      </c>
      <c r="H89"/>
    </row>
    <row r="90" spans="1:8" ht="14.5" x14ac:dyDescent="0.35">
      <c r="A90" s="6" t="s">
        <v>878</v>
      </c>
      <c r="B90" s="6" t="s">
        <v>878</v>
      </c>
      <c r="C90" s="6" t="s">
        <v>1124</v>
      </c>
      <c r="D90" s="6" t="s">
        <v>1124</v>
      </c>
      <c r="E90" s="94" t="s">
        <v>1078</v>
      </c>
      <c r="F90" s="1">
        <v>1</v>
      </c>
      <c r="H90"/>
    </row>
    <row r="91" spans="1:8" ht="14.5" x14ac:dyDescent="0.35">
      <c r="A91" s="1" t="s">
        <v>879</v>
      </c>
      <c r="B91" s="1" t="s">
        <v>879</v>
      </c>
      <c r="C91" s="1" t="s">
        <v>1124</v>
      </c>
      <c r="D91" s="1" t="s">
        <v>1124</v>
      </c>
      <c r="E91" s="93" t="s">
        <v>1078</v>
      </c>
      <c r="F91" s="1">
        <v>1</v>
      </c>
      <c r="H91"/>
    </row>
    <row r="92" spans="1:8" ht="14.5" x14ac:dyDescent="0.35">
      <c r="A92" s="6" t="s">
        <v>921</v>
      </c>
      <c r="B92" s="6" t="s">
        <v>943</v>
      </c>
      <c r="C92" s="6" t="s">
        <v>1124</v>
      </c>
      <c r="D92" s="6" t="s">
        <v>1124</v>
      </c>
      <c r="E92" s="94" t="s">
        <v>1075</v>
      </c>
      <c r="F92" s="1">
        <v>1</v>
      </c>
      <c r="H92"/>
    </row>
    <row r="93" spans="1:8" ht="14.5" x14ac:dyDescent="0.35">
      <c r="A93" s="1" t="s">
        <v>926</v>
      </c>
      <c r="B93" s="1" t="s">
        <v>972</v>
      </c>
      <c r="C93" s="1" t="s">
        <v>1124</v>
      </c>
      <c r="D93" s="1" t="s">
        <v>1124</v>
      </c>
      <c r="E93" s="93" t="s">
        <v>1077</v>
      </c>
      <c r="F93" s="1">
        <v>1</v>
      </c>
      <c r="H93"/>
    </row>
    <row r="94" spans="1:8" ht="14.5" x14ac:dyDescent="0.35">
      <c r="A94" s="6" t="s">
        <v>927</v>
      </c>
      <c r="B94" s="6" t="s">
        <v>976</v>
      </c>
      <c r="C94" s="6" t="s">
        <v>1124</v>
      </c>
      <c r="D94" s="6" t="s">
        <v>1124</v>
      </c>
      <c r="E94" s="94" t="s">
        <v>1075</v>
      </c>
      <c r="F94" s="1">
        <v>1</v>
      </c>
      <c r="H94"/>
    </row>
    <row r="95" spans="1:8" ht="14.5" x14ac:dyDescent="0.35">
      <c r="A95" s="1" t="s">
        <v>928</v>
      </c>
      <c r="B95" s="1" t="s">
        <v>928</v>
      </c>
      <c r="C95" s="1" t="s">
        <v>1124</v>
      </c>
      <c r="D95" s="1" t="s">
        <v>1124</v>
      </c>
      <c r="E95" s="93" t="s">
        <v>1075</v>
      </c>
      <c r="F95" s="1">
        <v>1</v>
      </c>
      <c r="H95"/>
    </row>
    <row r="96" spans="1:8" ht="14.5" x14ac:dyDescent="0.35">
      <c r="A96" s="6" t="s">
        <v>990</v>
      </c>
      <c r="B96" s="6" t="s">
        <v>974</v>
      </c>
      <c r="C96" s="6" t="s">
        <v>1124</v>
      </c>
      <c r="D96" s="6" t="s">
        <v>1124</v>
      </c>
      <c r="E96" s="94" t="s">
        <v>649</v>
      </c>
      <c r="F96" s="1">
        <v>1</v>
      </c>
      <c r="H96"/>
    </row>
    <row r="97" spans="1:8" ht="14.5" x14ac:dyDescent="0.35">
      <c r="A97" s="1" t="s">
        <v>991</v>
      </c>
      <c r="B97" s="1" t="s">
        <v>974</v>
      </c>
      <c r="C97" s="1" t="s">
        <v>1124</v>
      </c>
      <c r="D97" s="1" t="s">
        <v>1124</v>
      </c>
      <c r="E97" s="93" t="s">
        <v>649</v>
      </c>
      <c r="F97" s="1">
        <v>1</v>
      </c>
      <c r="H97"/>
    </row>
    <row r="98" spans="1:8" ht="14.5" x14ac:dyDescent="0.35">
      <c r="A98" s="6" t="s">
        <v>1016</v>
      </c>
      <c r="B98" s="6" t="s">
        <v>27</v>
      </c>
      <c r="C98" s="6" t="s">
        <v>1124</v>
      </c>
      <c r="D98" s="6" t="s">
        <v>1124</v>
      </c>
      <c r="E98" s="94" t="s">
        <v>0</v>
      </c>
      <c r="F98" s="1">
        <v>1</v>
      </c>
      <c r="H98"/>
    </row>
    <row r="99" spans="1:8" x14ac:dyDescent="0.25">
      <c r="A99" s="95" t="s">
        <v>1017</v>
      </c>
      <c r="B99" s="95" t="s">
        <v>27</v>
      </c>
      <c r="C99" s="95" t="s">
        <v>1124</v>
      </c>
      <c r="D99" s="95" t="s">
        <v>1124</v>
      </c>
      <c r="E99" s="96" t="s">
        <v>0</v>
      </c>
      <c r="F99" s="1">
        <v>1</v>
      </c>
    </row>
    <row r="162" spans="1:1" ht="14.5" x14ac:dyDescent="0.35">
      <c r="A162"/>
    </row>
    <row r="163" spans="1:1" ht="14.5" x14ac:dyDescent="0.35">
      <c r="A163"/>
    </row>
    <row r="164" spans="1:1" ht="14.5" x14ac:dyDescent="0.35">
      <c r="A164"/>
    </row>
    <row r="165" spans="1:1" ht="14.5" x14ac:dyDescent="0.35">
      <c r="A165"/>
    </row>
    <row r="166" spans="1:1" ht="14.5" x14ac:dyDescent="0.35">
      <c r="A166"/>
    </row>
    <row r="167" spans="1:1" ht="14.5" x14ac:dyDescent="0.35">
      <c r="A167"/>
    </row>
    <row r="168" spans="1:1" ht="14.5" x14ac:dyDescent="0.35">
      <c r="A168"/>
    </row>
    <row r="169" spans="1:1" ht="14.5" x14ac:dyDescent="0.35">
      <c r="A169"/>
    </row>
    <row r="170" spans="1:1" ht="14.5" x14ac:dyDescent="0.35">
      <c r="A170"/>
    </row>
    <row r="171" spans="1:1" ht="14.5" x14ac:dyDescent="0.35">
      <c r="A17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38"/>
  <dimension ref="A1:AZ2"/>
  <sheetViews>
    <sheetView topLeftCell="Q1" zoomScale="70" zoomScaleNormal="70" workbookViewId="0">
      <selection activeCell="X1" sqref="X1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5" width="9.54296875" style="1" customWidth="1"/>
    <col min="6" max="6" width="28.81640625" style="1" bestFit="1" customWidth="1"/>
    <col min="7" max="7" width="29.26953125" style="1" bestFit="1" customWidth="1"/>
    <col min="8" max="8" width="38.81640625" style="1" bestFit="1" customWidth="1"/>
    <col min="9" max="9" width="24.54296875" style="1" bestFit="1" customWidth="1"/>
    <col min="10" max="13" width="24.54296875" style="1" customWidth="1"/>
    <col min="14" max="14" width="24.453125" style="1" bestFit="1" customWidth="1"/>
    <col min="15" max="17" width="24.453125" style="1" customWidth="1"/>
    <col min="18" max="18" width="37.7265625" style="1" bestFit="1" customWidth="1"/>
    <col min="19" max="20" width="24.7265625" style="1" customWidth="1"/>
    <col min="21" max="21" width="28.453125" style="1" customWidth="1"/>
    <col min="22" max="22" width="27.453125" style="1" bestFit="1" customWidth="1"/>
    <col min="23" max="23" width="20.7265625" style="1" bestFit="1" customWidth="1"/>
    <col min="24" max="24" width="20.7265625" style="1" customWidth="1"/>
    <col min="25" max="25" width="25.81640625" style="1" bestFit="1" customWidth="1"/>
    <col min="26" max="26" width="29.7265625" style="1" bestFit="1" customWidth="1"/>
    <col min="27" max="27" width="24" style="1" bestFit="1" customWidth="1"/>
    <col min="28" max="28" width="38.26953125" style="1" bestFit="1" customWidth="1"/>
    <col min="29" max="29" width="38.26953125" style="1" customWidth="1"/>
    <col min="30" max="30" width="38.26953125" style="1" bestFit="1" customWidth="1"/>
    <col min="31" max="31" width="33.453125" style="1" bestFit="1" customWidth="1"/>
    <col min="32" max="32" width="25.7265625" style="1" bestFit="1" customWidth="1"/>
    <col min="33" max="33" width="25.7265625" style="1" customWidth="1"/>
    <col min="34" max="36" width="35.54296875" style="1" customWidth="1"/>
    <col min="37" max="37" width="31.7265625" style="1" bestFit="1" customWidth="1"/>
    <col min="38" max="38" width="31.54296875" style="1" bestFit="1" customWidth="1"/>
    <col min="39" max="42" width="31.54296875" style="1" customWidth="1"/>
    <col min="43" max="43" width="37.453125" style="1" bestFit="1" customWidth="1"/>
    <col min="44" max="44" width="35.7265625" style="1" bestFit="1" customWidth="1"/>
    <col min="45" max="45" width="28.81640625" style="1" bestFit="1" customWidth="1"/>
    <col min="46" max="46" width="34" style="1" bestFit="1" customWidth="1"/>
    <col min="47" max="47" width="37.81640625" style="1" bestFit="1" customWidth="1"/>
    <col min="48" max="48" width="34.453125" style="1" bestFit="1" customWidth="1"/>
    <col min="49" max="49" width="38.1796875" style="1" bestFit="1" customWidth="1"/>
    <col min="50" max="50" width="22.81640625" style="1" bestFit="1" customWidth="1"/>
    <col min="51" max="51" width="28.54296875" style="1" bestFit="1" customWidth="1"/>
    <col min="52" max="52" width="28.26953125" style="1" bestFit="1" customWidth="1"/>
    <col min="53" max="16384" width="11.453125" style="1"/>
  </cols>
  <sheetData>
    <row r="1" spans="1:52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47</v>
      </c>
      <c r="G1" s="2" t="s">
        <v>146</v>
      </c>
      <c r="H1" s="2" t="s">
        <v>48</v>
      </c>
      <c r="I1" s="2" t="s">
        <v>94</v>
      </c>
      <c r="J1" s="2" t="s">
        <v>147</v>
      </c>
      <c r="K1" s="2" t="s">
        <v>148</v>
      </c>
      <c r="L1" s="2" t="s">
        <v>154</v>
      </c>
      <c r="M1" s="2" t="s">
        <v>53</v>
      </c>
      <c r="N1" s="2" t="s">
        <v>52</v>
      </c>
      <c r="O1" s="2" t="s">
        <v>84</v>
      </c>
      <c r="P1" s="2" t="s">
        <v>113</v>
      </c>
      <c r="Q1" s="2" t="s">
        <v>54</v>
      </c>
      <c r="R1" s="2" t="s">
        <v>120</v>
      </c>
      <c r="S1" s="2" t="s">
        <v>55</v>
      </c>
      <c r="T1" s="2" t="s">
        <v>9</v>
      </c>
      <c r="U1" s="2" t="s">
        <v>156</v>
      </c>
      <c r="V1" s="2" t="s">
        <v>3</v>
      </c>
      <c r="W1" s="2" t="s">
        <v>10</v>
      </c>
      <c r="X1" s="2" t="s">
        <v>14</v>
      </c>
      <c r="Y1" s="2" t="s">
        <v>4</v>
      </c>
      <c r="Z1" s="2" t="s">
        <v>96</v>
      </c>
      <c r="AA1" s="2" t="s">
        <v>1246</v>
      </c>
      <c r="AB1" s="2" t="s">
        <v>1273</v>
      </c>
      <c r="AC1" s="2" t="s">
        <v>1268</v>
      </c>
      <c r="AD1" s="2" t="s">
        <v>1255</v>
      </c>
      <c r="AE1" s="2" t="s">
        <v>20</v>
      </c>
      <c r="AF1" s="2" t="s">
        <v>161</v>
      </c>
      <c r="AG1" s="2" t="s">
        <v>162</v>
      </c>
      <c r="AH1" s="2" t="s">
        <v>1</v>
      </c>
      <c r="AI1" s="2" t="s">
        <v>2</v>
      </c>
      <c r="AJ1" s="2" t="s">
        <v>56</v>
      </c>
      <c r="AK1" s="2" t="s">
        <v>1123</v>
      </c>
      <c r="AL1" s="2" t="s">
        <v>114</v>
      </c>
      <c r="AM1" s="2" t="s">
        <v>57</v>
      </c>
      <c r="AN1" s="2" t="s">
        <v>58</v>
      </c>
      <c r="AO1" s="2" t="s">
        <v>95</v>
      </c>
      <c r="AP1" s="2" t="s">
        <v>5</v>
      </c>
      <c r="AQ1" s="2" t="s">
        <v>6</v>
      </c>
      <c r="AR1" s="2" t="s">
        <v>15</v>
      </c>
      <c r="AS1" s="2" t="s">
        <v>16</v>
      </c>
      <c r="AT1" s="2" t="s">
        <v>7</v>
      </c>
      <c r="AU1" s="2" t="s">
        <v>17</v>
      </c>
      <c r="AV1" s="2" t="s">
        <v>18</v>
      </c>
      <c r="AW1" s="2" t="s">
        <v>19</v>
      </c>
      <c r="AX1" s="2" t="s">
        <v>145</v>
      </c>
      <c r="AY1" s="2" t="s">
        <v>21</v>
      </c>
      <c r="AZ1" s="2" t="s">
        <v>49</v>
      </c>
    </row>
    <row r="2" spans="1:52" x14ac:dyDescent="0.25">
      <c r="A2" s="6"/>
      <c r="C2" s="6"/>
      <c r="D2" s="6"/>
      <c r="E2" s="6"/>
      <c r="F2" s="18"/>
      <c r="G2" s="18"/>
      <c r="H2" s="18"/>
      <c r="I2" s="18"/>
      <c r="J2" s="18"/>
      <c r="K2" s="18"/>
      <c r="L2" s="18"/>
      <c r="M2" s="18"/>
      <c r="N2" s="16"/>
      <c r="O2" s="16"/>
      <c r="P2" s="19"/>
      <c r="Q2" s="19"/>
      <c r="R2" s="9"/>
      <c r="S2" s="18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14"/>
      <c r="AI2" s="6"/>
      <c r="AJ2" s="14"/>
      <c r="AK2" s="14"/>
      <c r="AL2" s="14"/>
      <c r="AM2" s="14"/>
      <c r="AN2" s="14"/>
      <c r="AO2" s="14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E00-000000000000}">
          <x14:formula1>
            <xm:f>Dropdown!$C$2:$C$4</xm:f>
          </x14:formula1>
          <xm:sqref>B2</xm:sqref>
        </x14:dataValidation>
        <x14:dataValidation type="list" allowBlank="1" showInputMessage="1" showErrorMessage="1" xr:uid="{00000000-0002-0000-1E00-000001000000}">
          <x14:formula1>
            <xm:f>Dropdown!$D$2:$D$3</xm:f>
          </x14:formula1>
          <xm:sqref>D2:E2</xm:sqref>
        </x14:dataValidation>
        <x14:dataValidation type="list" allowBlank="1" showInputMessage="1" showErrorMessage="1" xr:uid="{00000000-0002-0000-1E00-000002000000}">
          <x14:formula1>
            <xm:f>Dropdown!$A$2:$A$54</xm:f>
          </x14:formula1>
          <xm:sqref>A2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39"/>
  <dimension ref="A1:G2"/>
  <sheetViews>
    <sheetView workbookViewId="0">
      <selection activeCell="D1" sqref="D1"/>
    </sheetView>
  </sheetViews>
  <sheetFormatPr baseColWidth="10" defaultRowHeight="14.5" x14ac:dyDescent="0.35"/>
  <cols>
    <col min="3" max="3" width="17.26953125" customWidth="1"/>
    <col min="4" max="4" width="24.26953125" customWidth="1"/>
    <col min="5" max="5" width="17.54296875" customWidth="1"/>
    <col min="6" max="6" width="17.81640625" customWidth="1"/>
  </cols>
  <sheetData>
    <row r="1" spans="1:7" x14ac:dyDescent="0.35">
      <c r="A1" s="4" t="s">
        <v>0</v>
      </c>
      <c r="B1" s="4" t="s">
        <v>8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5">
      <c r="A2" s="5"/>
      <c r="B2" s="5"/>
    </row>
  </sheetData>
  <pageMargins left="0.7" right="0.7" top="0.78740157499999996" bottom="0.78740157499999996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40"/>
  <dimension ref="A2:C89"/>
  <sheetViews>
    <sheetView topLeftCell="A68" workbookViewId="0">
      <selection activeCell="A84" sqref="A84"/>
    </sheetView>
  </sheetViews>
  <sheetFormatPr baseColWidth="10" defaultRowHeight="14.5" x14ac:dyDescent="0.35"/>
  <cols>
    <col min="1" max="1" width="35.7265625" bestFit="1" customWidth="1"/>
    <col min="2" max="2" width="33.26953125" bestFit="1" customWidth="1"/>
    <col min="3" max="3" width="33.453125" bestFit="1" customWidth="1"/>
    <col min="4" max="5" width="12" bestFit="1" customWidth="1"/>
    <col min="6" max="6" width="3" bestFit="1" customWidth="1"/>
    <col min="7" max="8" width="4" bestFit="1" customWidth="1"/>
    <col min="9" max="9" width="12" bestFit="1" customWidth="1"/>
    <col min="10" max="11" width="5" bestFit="1" customWidth="1"/>
    <col min="12" max="12" width="12" bestFit="1" customWidth="1"/>
    <col min="13" max="13" width="6.26953125" bestFit="1" customWidth="1"/>
    <col min="14" max="14" width="15.54296875" bestFit="1" customWidth="1"/>
  </cols>
  <sheetData>
    <row r="2" spans="1:3" x14ac:dyDescent="0.35">
      <c r="A2" s="48" t="s">
        <v>128</v>
      </c>
      <c r="B2" t="s">
        <v>548</v>
      </c>
    </row>
    <row r="4" spans="1:3" x14ac:dyDescent="0.35">
      <c r="A4" s="48" t="s">
        <v>546</v>
      </c>
      <c r="B4" t="s">
        <v>549</v>
      </c>
      <c r="C4" t="s">
        <v>550</v>
      </c>
    </row>
    <row r="5" spans="1:3" x14ac:dyDescent="0.35">
      <c r="A5" s="49" t="s">
        <v>535</v>
      </c>
    </row>
    <row r="6" spans="1:3" x14ac:dyDescent="0.35">
      <c r="A6" s="50">
        <v>2010</v>
      </c>
    </row>
    <row r="7" spans="1:3" x14ac:dyDescent="0.35">
      <c r="A7" s="49" t="s">
        <v>208</v>
      </c>
      <c r="B7">
        <v>1000</v>
      </c>
    </row>
    <row r="8" spans="1:3" x14ac:dyDescent="0.35">
      <c r="A8" s="50">
        <v>2015</v>
      </c>
      <c r="B8">
        <v>1000</v>
      </c>
    </row>
    <row r="9" spans="1:3" x14ac:dyDescent="0.35">
      <c r="A9" s="50">
        <v>2020</v>
      </c>
    </row>
    <row r="10" spans="1:3" x14ac:dyDescent="0.35">
      <c r="A10" s="50">
        <v>2025</v>
      </c>
    </row>
    <row r="11" spans="1:3" x14ac:dyDescent="0.35">
      <c r="A11" s="50">
        <v>2030</v>
      </c>
    </row>
    <row r="12" spans="1:3" x14ac:dyDescent="0.35">
      <c r="A12" s="49" t="s">
        <v>27</v>
      </c>
      <c r="B12">
        <v>2538.1973466003319</v>
      </c>
      <c r="C12">
        <v>2581</v>
      </c>
    </row>
    <row r="13" spans="1:3" x14ac:dyDescent="0.35">
      <c r="A13" s="50">
        <v>2015</v>
      </c>
      <c r="B13">
        <v>593</v>
      </c>
      <c r="C13">
        <v>603</v>
      </c>
    </row>
    <row r="14" spans="1:3" x14ac:dyDescent="0.35">
      <c r="A14" s="50">
        <v>2020</v>
      </c>
      <c r="B14">
        <v>539.8955223880597</v>
      </c>
      <c r="C14">
        <v>549</v>
      </c>
    </row>
    <row r="15" spans="1:3" x14ac:dyDescent="0.35">
      <c r="A15" s="50">
        <v>2025</v>
      </c>
      <c r="B15">
        <v>706.09286898839139</v>
      </c>
      <c r="C15">
        <v>718</v>
      </c>
    </row>
    <row r="16" spans="1:3" x14ac:dyDescent="0.35">
      <c r="A16" s="50">
        <v>2030</v>
      </c>
      <c r="B16">
        <v>699.20895522388059</v>
      </c>
      <c r="C16">
        <v>711</v>
      </c>
    </row>
    <row r="17" spans="1:3" x14ac:dyDescent="0.35">
      <c r="A17" s="49" t="s">
        <v>219</v>
      </c>
      <c r="B17">
        <v>2000</v>
      </c>
      <c r="C17">
        <v>2000</v>
      </c>
    </row>
    <row r="18" spans="1:3" x14ac:dyDescent="0.35">
      <c r="A18" s="50">
        <v>2015</v>
      </c>
      <c r="B18">
        <v>2000</v>
      </c>
      <c r="C18">
        <v>2000</v>
      </c>
    </row>
    <row r="19" spans="1:3" x14ac:dyDescent="0.35">
      <c r="A19" s="50">
        <v>2020</v>
      </c>
    </row>
    <row r="20" spans="1:3" x14ac:dyDescent="0.35">
      <c r="A20" s="50">
        <v>2025</v>
      </c>
    </row>
    <row r="21" spans="1:3" x14ac:dyDescent="0.35">
      <c r="A21" s="50">
        <v>2030</v>
      </c>
    </row>
    <row r="22" spans="1:3" x14ac:dyDescent="0.35">
      <c r="A22" s="49" t="s">
        <v>81</v>
      </c>
      <c r="B22">
        <v>2869.990703851262</v>
      </c>
      <c r="C22">
        <v>3031</v>
      </c>
    </row>
    <row r="23" spans="1:3" x14ac:dyDescent="0.35">
      <c r="A23" s="50">
        <v>2015</v>
      </c>
      <c r="B23">
        <v>713</v>
      </c>
      <c r="C23">
        <v>753</v>
      </c>
    </row>
    <row r="24" spans="1:3" x14ac:dyDescent="0.35">
      <c r="A24" s="50">
        <v>2020</v>
      </c>
      <c r="B24">
        <v>710.15936254980079</v>
      </c>
      <c r="C24">
        <v>750</v>
      </c>
    </row>
    <row r="25" spans="1:3" x14ac:dyDescent="0.35">
      <c r="A25" s="50">
        <v>2025</v>
      </c>
      <c r="B25">
        <v>731.93758300132811</v>
      </c>
      <c r="C25">
        <v>773</v>
      </c>
    </row>
    <row r="26" spans="1:3" x14ac:dyDescent="0.35">
      <c r="A26" s="50">
        <v>2030</v>
      </c>
      <c r="B26">
        <v>714.89375830013284</v>
      </c>
      <c r="C26">
        <v>755</v>
      </c>
    </row>
    <row r="27" spans="1:3" x14ac:dyDescent="0.35">
      <c r="A27" s="49" t="s">
        <v>74</v>
      </c>
      <c r="B27">
        <v>1082.2209026128266</v>
      </c>
      <c r="C27">
        <v>1465</v>
      </c>
    </row>
    <row r="28" spans="1:3" x14ac:dyDescent="0.35">
      <c r="A28" s="50">
        <v>2015</v>
      </c>
      <c r="B28">
        <v>311</v>
      </c>
      <c r="C28">
        <v>421</v>
      </c>
    </row>
    <row r="29" spans="1:3" x14ac:dyDescent="0.35">
      <c r="A29" s="50">
        <v>2020</v>
      </c>
      <c r="B29">
        <v>288.83847980997626</v>
      </c>
      <c r="C29">
        <v>391</v>
      </c>
    </row>
    <row r="30" spans="1:3" x14ac:dyDescent="0.35">
      <c r="A30" s="50">
        <v>2025</v>
      </c>
      <c r="B30">
        <v>255.59619952494063</v>
      </c>
      <c r="C30">
        <v>346</v>
      </c>
    </row>
    <row r="31" spans="1:3" x14ac:dyDescent="0.35">
      <c r="A31" s="50">
        <v>2030</v>
      </c>
      <c r="B31">
        <v>226.78622327790976</v>
      </c>
      <c r="C31">
        <v>307</v>
      </c>
    </row>
    <row r="32" spans="1:3" x14ac:dyDescent="0.35">
      <c r="A32" s="49" t="s">
        <v>536</v>
      </c>
    </row>
    <row r="33" spans="1:3" x14ac:dyDescent="0.35">
      <c r="A33" s="50">
        <v>2010</v>
      </c>
    </row>
    <row r="34" spans="1:3" x14ac:dyDescent="0.35">
      <c r="A34" s="49" t="s">
        <v>389</v>
      </c>
      <c r="B34">
        <v>2200</v>
      </c>
      <c r="C34">
        <v>2200</v>
      </c>
    </row>
    <row r="35" spans="1:3" x14ac:dyDescent="0.35">
      <c r="A35" s="50">
        <v>2015</v>
      </c>
      <c r="B35">
        <v>0</v>
      </c>
      <c r="C35">
        <v>0</v>
      </c>
    </row>
    <row r="36" spans="1:3" x14ac:dyDescent="0.35">
      <c r="A36" s="50">
        <v>2020</v>
      </c>
      <c r="B36">
        <v>300</v>
      </c>
      <c r="C36">
        <v>300</v>
      </c>
    </row>
    <row r="37" spans="1:3" x14ac:dyDescent="0.35">
      <c r="A37" s="50">
        <v>2025</v>
      </c>
      <c r="B37">
        <v>700</v>
      </c>
      <c r="C37">
        <v>700</v>
      </c>
    </row>
    <row r="38" spans="1:3" x14ac:dyDescent="0.35">
      <c r="A38" s="50">
        <v>2030</v>
      </c>
      <c r="B38">
        <v>1200</v>
      </c>
      <c r="C38">
        <v>1200</v>
      </c>
    </row>
    <row r="39" spans="1:3" x14ac:dyDescent="0.35">
      <c r="A39" s="49" t="s">
        <v>138</v>
      </c>
      <c r="B39">
        <v>35200</v>
      </c>
      <c r="C39">
        <v>35200</v>
      </c>
    </row>
    <row r="40" spans="1:3" x14ac:dyDescent="0.35">
      <c r="A40" s="50">
        <v>2010</v>
      </c>
      <c r="B40">
        <v>9400</v>
      </c>
      <c r="C40">
        <v>9400</v>
      </c>
    </row>
    <row r="41" spans="1:3" x14ac:dyDescent="0.35">
      <c r="A41" s="50">
        <v>2015</v>
      </c>
      <c r="B41">
        <v>9000</v>
      </c>
      <c r="C41">
        <v>9000</v>
      </c>
    </row>
    <row r="42" spans="1:3" x14ac:dyDescent="0.35">
      <c r="A42" s="50">
        <v>2020</v>
      </c>
      <c r="B42">
        <v>7300</v>
      </c>
      <c r="C42">
        <v>7300</v>
      </c>
    </row>
    <row r="43" spans="1:3" x14ac:dyDescent="0.35">
      <c r="A43" s="50">
        <v>2025</v>
      </c>
      <c r="B43">
        <v>5600</v>
      </c>
      <c r="C43">
        <v>5600</v>
      </c>
    </row>
    <row r="44" spans="1:3" x14ac:dyDescent="0.35">
      <c r="A44" s="50">
        <v>2030</v>
      </c>
      <c r="B44">
        <v>3900</v>
      </c>
      <c r="C44">
        <v>3900</v>
      </c>
    </row>
    <row r="45" spans="1:3" x14ac:dyDescent="0.35">
      <c r="A45" s="49" t="s">
        <v>78</v>
      </c>
      <c r="B45">
        <v>0</v>
      </c>
    </row>
    <row r="46" spans="1:3" x14ac:dyDescent="0.35">
      <c r="A46" s="50">
        <v>2015</v>
      </c>
      <c r="B46">
        <v>0</v>
      </c>
    </row>
    <row r="47" spans="1:3" x14ac:dyDescent="0.35">
      <c r="A47" s="50">
        <v>2020</v>
      </c>
      <c r="B47">
        <v>0</v>
      </c>
    </row>
    <row r="48" spans="1:3" x14ac:dyDescent="0.35">
      <c r="A48" s="50">
        <v>2025</v>
      </c>
      <c r="B48">
        <v>0</v>
      </c>
    </row>
    <row r="49" spans="1:3" x14ac:dyDescent="0.35">
      <c r="A49" s="50">
        <v>2030</v>
      </c>
      <c r="B49">
        <v>0</v>
      </c>
    </row>
    <row r="50" spans="1:3" x14ac:dyDescent="0.35">
      <c r="A50" s="49" t="s">
        <v>51</v>
      </c>
      <c r="B50">
        <v>1053</v>
      </c>
      <c r="C50">
        <v>1053</v>
      </c>
    </row>
    <row r="51" spans="1:3" x14ac:dyDescent="0.35">
      <c r="A51" s="50">
        <v>2015</v>
      </c>
      <c r="B51">
        <v>281</v>
      </c>
      <c r="C51">
        <v>281</v>
      </c>
    </row>
    <row r="52" spans="1:3" x14ac:dyDescent="0.35">
      <c r="A52" s="50">
        <v>2020</v>
      </c>
      <c r="B52">
        <v>277</v>
      </c>
      <c r="C52">
        <v>277</v>
      </c>
    </row>
    <row r="53" spans="1:3" x14ac:dyDescent="0.35">
      <c r="A53" s="50">
        <v>2025</v>
      </c>
      <c r="B53">
        <v>257</v>
      </c>
      <c r="C53">
        <v>257</v>
      </c>
    </row>
    <row r="54" spans="1:3" x14ac:dyDescent="0.35">
      <c r="A54" s="50">
        <v>2030</v>
      </c>
      <c r="B54">
        <v>238</v>
      </c>
      <c r="C54">
        <v>238</v>
      </c>
    </row>
    <row r="55" spans="1:3" x14ac:dyDescent="0.35">
      <c r="A55" s="49" t="s">
        <v>206</v>
      </c>
      <c r="B55">
        <v>1000</v>
      </c>
      <c r="C55">
        <v>1250</v>
      </c>
    </row>
    <row r="56" spans="1:3" x14ac:dyDescent="0.35">
      <c r="A56" s="50">
        <v>2015</v>
      </c>
      <c r="B56">
        <v>1000</v>
      </c>
      <c r="C56">
        <v>1250</v>
      </c>
    </row>
    <row r="57" spans="1:3" x14ac:dyDescent="0.35">
      <c r="A57" s="50">
        <v>2020</v>
      </c>
    </row>
    <row r="58" spans="1:3" x14ac:dyDescent="0.35">
      <c r="A58" s="50">
        <v>2025</v>
      </c>
    </row>
    <row r="59" spans="1:3" x14ac:dyDescent="0.35">
      <c r="A59" s="50">
        <v>2030</v>
      </c>
    </row>
    <row r="60" spans="1:3" x14ac:dyDescent="0.35">
      <c r="A60" s="49" t="s">
        <v>537</v>
      </c>
    </row>
    <row r="61" spans="1:3" x14ac:dyDescent="0.35">
      <c r="A61" s="50">
        <v>2010</v>
      </c>
    </row>
    <row r="62" spans="1:3" x14ac:dyDescent="0.35">
      <c r="A62" s="49" t="s">
        <v>542</v>
      </c>
      <c r="B62">
        <v>4599</v>
      </c>
      <c r="C62">
        <v>4599</v>
      </c>
    </row>
    <row r="63" spans="1:3" x14ac:dyDescent="0.35">
      <c r="A63" s="50">
        <v>2015</v>
      </c>
      <c r="B63">
        <v>1177</v>
      </c>
      <c r="C63">
        <v>1177</v>
      </c>
    </row>
    <row r="64" spans="1:3" x14ac:dyDescent="0.35">
      <c r="A64" s="50">
        <v>2020</v>
      </c>
      <c r="B64">
        <v>1101</v>
      </c>
      <c r="C64">
        <v>1101</v>
      </c>
    </row>
    <row r="65" spans="1:3" x14ac:dyDescent="0.35">
      <c r="A65" s="50">
        <v>2025</v>
      </c>
      <c r="B65">
        <v>1142</v>
      </c>
      <c r="C65">
        <v>1142</v>
      </c>
    </row>
    <row r="66" spans="1:3" x14ac:dyDescent="0.35">
      <c r="A66" s="50">
        <v>2030</v>
      </c>
      <c r="B66">
        <v>1179</v>
      </c>
      <c r="C66">
        <v>1179</v>
      </c>
    </row>
    <row r="67" spans="1:3" x14ac:dyDescent="0.35">
      <c r="A67" s="49" t="s">
        <v>938</v>
      </c>
      <c r="B67">
        <v>607.14942528735628</v>
      </c>
      <c r="C67">
        <v>686</v>
      </c>
    </row>
    <row r="68" spans="1:3" x14ac:dyDescent="0.35">
      <c r="A68" s="50">
        <v>2015</v>
      </c>
      <c r="B68">
        <v>154</v>
      </c>
      <c r="C68">
        <v>174</v>
      </c>
    </row>
    <row r="69" spans="1:3" x14ac:dyDescent="0.35">
      <c r="A69" s="50">
        <v>2020</v>
      </c>
      <c r="B69">
        <v>152.22988505747128</v>
      </c>
      <c r="C69">
        <v>172</v>
      </c>
    </row>
    <row r="70" spans="1:3" x14ac:dyDescent="0.35">
      <c r="A70" s="50">
        <v>2025</v>
      </c>
      <c r="B70">
        <v>151.34482758620689</v>
      </c>
      <c r="C70">
        <v>171</v>
      </c>
    </row>
    <row r="71" spans="1:3" x14ac:dyDescent="0.35">
      <c r="A71" s="50">
        <v>2030</v>
      </c>
      <c r="B71">
        <v>149.57471264367817</v>
      </c>
      <c r="C71">
        <v>169</v>
      </c>
    </row>
    <row r="72" spans="1:3" x14ac:dyDescent="0.35">
      <c r="A72" s="49" t="s">
        <v>134</v>
      </c>
      <c r="B72">
        <v>7790</v>
      </c>
      <c r="C72">
        <v>2853.3333333333335</v>
      </c>
    </row>
    <row r="73" spans="1:3" x14ac:dyDescent="0.35">
      <c r="A73" s="50">
        <v>2010</v>
      </c>
      <c r="B73">
        <v>990</v>
      </c>
      <c r="C73">
        <v>320</v>
      </c>
    </row>
    <row r="74" spans="1:3" x14ac:dyDescent="0.35">
      <c r="A74" s="50">
        <v>2015</v>
      </c>
      <c r="B74">
        <v>1000</v>
      </c>
      <c r="C74">
        <v>417.77777777777777</v>
      </c>
    </row>
    <row r="75" spans="1:3" x14ac:dyDescent="0.35">
      <c r="A75" s="50">
        <v>2020</v>
      </c>
      <c r="B75">
        <v>1500</v>
      </c>
      <c r="C75">
        <v>560</v>
      </c>
    </row>
    <row r="76" spans="1:3" x14ac:dyDescent="0.35">
      <c r="A76" s="50">
        <v>2025</v>
      </c>
      <c r="B76">
        <v>1900</v>
      </c>
      <c r="C76">
        <v>720</v>
      </c>
    </row>
    <row r="77" spans="1:3" x14ac:dyDescent="0.35">
      <c r="A77" s="50">
        <v>2030</v>
      </c>
      <c r="B77">
        <v>2400</v>
      </c>
      <c r="C77">
        <v>835.55555555555554</v>
      </c>
    </row>
    <row r="78" spans="1:3" x14ac:dyDescent="0.35">
      <c r="A78" s="49" t="s">
        <v>135</v>
      </c>
      <c r="B78">
        <v>2500</v>
      </c>
      <c r="C78">
        <v>37000</v>
      </c>
    </row>
    <row r="79" spans="1:3" x14ac:dyDescent="0.35">
      <c r="A79" s="50">
        <v>2010</v>
      </c>
      <c r="B79">
        <v>500</v>
      </c>
      <c r="C79">
        <v>7400</v>
      </c>
    </row>
    <row r="80" spans="1:3" x14ac:dyDescent="0.35">
      <c r="A80" s="50">
        <v>2015</v>
      </c>
      <c r="B80">
        <v>500</v>
      </c>
      <c r="C80">
        <v>7400</v>
      </c>
    </row>
    <row r="81" spans="1:3" x14ac:dyDescent="0.35">
      <c r="A81" s="50">
        <v>2020</v>
      </c>
      <c r="B81">
        <v>500</v>
      </c>
      <c r="C81">
        <v>7400</v>
      </c>
    </row>
    <row r="82" spans="1:3" x14ac:dyDescent="0.35">
      <c r="A82" s="50">
        <v>2025</v>
      </c>
      <c r="B82">
        <v>500</v>
      </c>
      <c r="C82">
        <v>7400</v>
      </c>
    </row>
    <row r="83" spans="1:3" x14ac:dyDescent="0.35">
      <c r="A83" s="50">
        <v>2030</v>
      </c>
      <c r="B83">
        <v>500</v>
      </c>
      <c r="C83">
        <v>7400</v>
      </c>
    </row>
    <row r="84" spans="1:3" x14ac:dyDescent="0.35">
      <c r="A84" s="49" t="s">
        <v>164</v>
      </c>
      <c r="B84">
        <v>5000</v>
      </c>
      <c r="C84">
        <v>5000</v>
      </c>
    </row>
    <row r="85" spans="1:3" x14ac:dyDescent="0.35">
      <c r="A85" s="50">
        <v>2015</v>
      </c>
      <c r="B85">
        <v>0</v>
      </c>
      <c r="C85">
        <v>0</v>
      </c>
    </row>
    <row r="86" spans="1:3" x14ac:dyDescent="0.35">
      <c r="A86" s="50">
        <v>2020</v>
      </c>
      <c r="B86">
        <v>700</v>
      </c>
      <c r="C86">
        <v>700</v>
      </c>
    </row>
    <row r="87" spans="1:3" x14ac:dyDescent="0.35">
      <c r="A87" s="50">
        <v>2025</v>
      </c>
      <c r="B87">
        <v>1600</v>
      </c>
      <c r="C87">
        <v>1600</v>
      </c>
    </row>
    <row r="88" spans="1:3" x14ac:dyDescent="0.35">
      <c r="A88" s="50">
        <v>2030</v>
      </c>
      <c r="B88">
        <v>2700</v>
      </c>
      <c r="C88">
        <v>2700</v>
      </c>
    </row>
    <row r="89" spans="1:3" x14ac:dyDescent="0.35">
      <c r="A89" s="49" t="s">
        <v>547</v>
      </c>
      <c r="B89">
        <v>69439.55837835178</v>
      </c>
      <c r="C89">
        <v>98918.333333333343</v>
      </c>
    </row>
  </sheetData>
  <pageMargins left="0.7" right="0.7" top="0.78740157499999996" bottom="0.78740157499999996" header="0.3" footer="0.3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41"/>
  <dimension ref="A1:B20"/>
  <sheetViews>
    <sheetView workbookViewId="0">
      <selection activeCell="B15" sqref="B15"/>
    </sheetView>
  </sheetViews>
  <sheetFormatPr baseColWidth="10" defaultColWidth="11.453125" defaultRowHeight="12.5" x14ac:dyDescent="0.25"/>
  <cols>
    <col min="1" max="2" width="16.7265625" style="1" bestFit="1" customWidth="1"/>
    <col min="3" max="16384" width="11.453125" style="1"/>
  </cols>
  <sheetData>
    <row r="1" spans="1:2" ht="13" x14ac:dyDescent="0.3">
      <c r="A1" s="2" t="s">
        <v>12</v>
      </c>
      <c r="B1" s="2" t="s">
        <v>13</v>
      </c>
    </row>
    <row r="2" spans="1:2" x14ac:dyDescent="0.25">
      <c r="A2" s="1">
        <v>2005</v>
      </c>
      <c r="B2" s="1">
        <v>0.81474480151228734</v>
      </c>
    </row>
    <row r="3" spans="1:2" x14ac:dyDescent="0.25">
      <c r="A3" s="1">
        <v>2006</v>
      </c>
      <c r="B3" s="1">
        <v>0.82797731568998112</v>
      </c>
    </row>
    <row r="4" spans="1:2" x14ac:dyDescent="0.25">
      <c r="A4" s="1">
        <v>2007</v>
      </c>
      <c r="B4" s="1">
        <v>0.84688090737240074</v>
      </c>
    </row>
    <row r="5" spans="1:2" x14ac:dyDescent="0.25">
      <c r="A5" s="1">
        <v>2008</v>
      </c>
      <c r="B5" s="1">
        <v>0.86862003780718344</v>
      </c>
    </row>
    <row r="6" spans="1:2" x14ac:dyDescent="0.25">
      <c r="A6" s="1">
        <v>2009</v>
      </c>
      <c r="B6" s="1">
        <v>0.87145557655954642</v>
      </c>
    </row>
    <row r="7" spans="1:2" x14ac:dyDescent="0.25">
      <c r="A7" s="1">
        <v>2010</v>
      </c>
      <c r="B7" s="1">
        <v>0.88090737240075623</v>
      </c>
    </row>
    <row r="8" spans="1:2" x14ac:dyDescent="0.25">
      <c r="A8" s="1">
        <v>2011</v>
      </c>
      <c r="B8" s="1">
        <v>0.89981096408317585</v>
      </c>
    </row>
    <row r="9" spans="1:2" x14ac:dyDescent="0.25">
      <c r="A9" s="1">
        <v>2012</v>
      </c>
      <c r="B9" s="1">
        <v>0.91776937618147447</v>
      </c>
    </row>
    <row r="10" spans="1:2" x14ac:dyDescent="0.25">
      <c r="A10" s="1">
        <v>2013</v>
      </c>
      <c r="B10" s="1">
        <v>0.93100189035916825</v>
      </c>
    </row>
    <row r="11" spans="1:2" x14ac:dyDescent="0.25">
      <c r="A11" s="1">
        <v>2014</v>
      </c>
      <c r="B11" s="1">
        <v>0.94045368620037806</v>
      </c>
    </row>
    <row r="12" spans="1:2" x14ac:dyDescent="0.25">
      <c r="A12" s="1">
        <v>2015</v>
      </c>
      <c r="B12" s="1">
        <v>0.94517958412098302</v>
      </c>
    </row>
    <row r="13" spans="1:2" x14ac:dyDescent="0.25">
      <c r="A13" s="1">
        <v>2016</v>
      </c>
      <c r="B13" s="1">
        <v>0.94990548204158798</v>
      </c>
    </row>
    <row r="14" spans="1:2" x14ac:dyDescent="0.25">
      <c r="A14" s="1">
        <v>2017</v>
      </c>
      <c r="B14" s="1">
        <v>0.96408317580340264</v>
      </c>
    </row>
    <row r="15" spans="1:2" x14ac:dyDescent="0.25">
      <c r="A15" s="1">
        <v>2018</v>
      </c>
      <c r="B15" s="3">
        <v>0.98109640831758038</v>
      </c>
    </row>
    <row r="16" spans="1:2" x14ac:dyDescent="0.25">
      <c r="A16" s="1">
        <v>2019</v>
      </c>
      <c r="B16" s="1">
        <v>0.99527410207939504</v>
      </c>
    </row>
    <row r="17" spans="1:2" x14ac:dyDescent="0.25">
      <c r="A17" s="1">
        <v>2020</v>
      </c>
      <c r="B17" s="1">
        <v>1</v>
      </c>
    </row>
    <row r="18" spans="1:2" x14ac:dyDescent="0.25">
      <c r="A18" s="1">
        <v>2121</v>
      </c>
      <c r="B18" s="1">
        <v>1.0311909262759924</v>
      </c>
    </row>
    <row r="20" spans="1:2" x14ac:dyDescent="0.25">
      <c r="A20" s="1" t="s">
        <v>816</v>
      </c>
      <c r="B20" s="1" t="s">
        <v>1169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42"/>
  <dimension ref="A1:B14"/>
  <sheetViews>
    <sheetView workbookViewId="0">
      <selection activeCell="B7" sqref="B7"/>
    </sheetView>
  </sheetViews>
  <sheetFormatPr baseColWidth="10" defaultColWidth="11.453125" defaultRowHeight="12.5" x14ac:dyDescent="0.25"/>
  <cols>
    <col min="1" max="1" width="34" style="1" bestFit="1" customWidth="1"/>
    <col min="2" max="2" width="215.26953125" style="1" bestFit="1" customWidth="1"/>
    <col min="3" max="16384" width="11.453125" style="1"/>
  </cols>
  <sheetData>
    <row r="1" spans="1:2" x14ac:dyDescent="0.25">
      <c r="A1" s="1" t="s">
        <v>317</v>
      </c>
      <c r="B1" s="1" t="s">
        <v>324</v>
      </c>
    </row>
    <row r="2" spans="1:2" x14ac:dyDescent="0.25">
      <c r="A2" s="1" t="s">
        <v>513</v>
      </c>
      <c r="B2" s="1" t="s">
        <v>512</v>
      </c>
    </row>
    <row r="3" spans="1:2" x14ac:dyDescent="0.25">
      <c r="A3" s="1" t="s">
        <v>318</v>
      </c>
      <c r="B3" s="1" t="s">
        <v>530</v>
      </c>
    </row>
    <row r="4" spans="1:2" x14ac:dyDescent="0.25">
      <c r="A4" s="1" t="s">
        <v>321</v>
      </c>
      <c r="B4" s="1" t="s">
        <v>322</v>
      </c>
    </row>
    <row r="5" spans="1:2" x14ac:dyDescent="0.25">
      <c r="A5" s="1" t="s">
        <v>319</v>
      </c>
      <c r="B5" s="1" t="s">
        <v>320</v>
      </c>
    </row>
    <row r="6" spans="1:2" ht="25" x14ac:dyDescent="0.25">
      <c r="A6" s="1" t="s">
        <v>323</v>
      </c>
      <c r="B6" s="89" t="s">
        <v>1096</v>
      </c>
    </row>
    <row r="7" spans="1:2" x14ac:dyDescent="0.25">
      <c r="A7" s="1" t="s">
        <v>363</v>
      </c>
      <c r="B7" s="1" t="s">
        <v>1170</v>
      </c>
    </row>
    <row r="8" spans="1:2" x14ac:dyDescent="0.25">
      <c r="A8" s="1" t="s">
        <v>364</v>
      </c>
      <c r="B8" s="1" t="s">
        <v>365</v>
      </c>
    </row>
    <row r="9" spans="1:2" x14ac:dyDescent="0.25">
      <c r="A9" s="1" t="s">
        <v>366</v>
      </c>
      <c r="B9" s="1" t="s">
        <v>367</v>
      </c>
    </row>
    <row r="10" spans="1:2" x14ac:dyDescent="0.25">
      <c r="A10" s="1" t="s">
        <v>461</v>
      </c>
      <c r="B10" s="1" t="s">
        <v>462</v>
      </c>
    </row>
    <row r="11" spans="1:2" x14ac:dyDescent="0.25">
      <c r="A11" s="1" t="s">
        <v>463</v>
      </c>
      <c r="B11" s="1" t="s">
        <v>1135</v>
      </c>
    </row>
    <row r="12" spans="1:2" x14ac:dyDescent="0.25">
      <c r="A12" s="1" t="s">
        <v>566</v>
      </c>
      <c r="B12" s="1" t="s">
        <v>567</v>
      </c>
    </row>
    <row r="13" spans="1:2" x14ac:dyDescent="0.25">
      <c r="A13" s="1" t="s">
        <v>568</v>
      </c>
      <c r="B13" s="1" t="s">
        <v>569</v>
      </c>
    </row>
    <row r="14" spans="1:2" ht="25" x14ac:dyDescent="0.25">
      <c r="A14" s="1" t="s">
        <v>570</v>
      </c>
      <c r="B14" s="89" t="s">
        <v>1097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"/>
  <dimension ref="A1:AY17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AH7" sqref="AH7"/>
    </sheetView>
  </sheetViews>
  <sheetFormatPr baseColWidth="10" defaultColWidth="11.453125" defaultRowHeight="12.5" x14ac:dyDescent="0.25"/>
  <cols>
    <col min="1" max="1" width="33.453125" style="1" bestFit="1" customWidth="1"/>
    <col min="2" max="2" width="21.816406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30.54296875" style="1" bestFit="1" customWidth="1"/>
    <col min="8" max="8" width="28.81640625" style="1" bestFit="1" customWidth="1"/>
    <col min="9" max="9" width="38.81640625" style="1" bestFit="1" customWidth="1"/>
    <col min="10" max="10" width="29.26953125" style="1" bestFit="1" customWidth="1"/>
    <col min="11" max="11" width="29.26953125" style="1" customWidth="1"/>
    <col min="12" max="13" width="24.54296875" style="1" customWidth="1"/>
    <col min="14" max="14" width="24.453125" style="1" bestFit="1" customWidth="1"/>
    <col min="15" max="21" width="24.453125" style="1" customWidth="1"/>
    <col min="22" max="22" width="37.7265625" style="1" bestFit="1" customWidth="1"/>
    <col min="23" max="23" width="37.7265625" style="1" customWidth="1"/>
    <col min="24" max="25" width="24.7265625" style="1" customWidth="1"/>
    <col min="26" max="27" width="28.453125" style="1" customWidth="1"/>
    <col min="28" max="29" width="20.7265625" style="1" customWidth="1"/>
    <col min="30" max="30" width="24" style="1" bestFit="1" customWidth="1"/>
    <col min="31" max="31" width="38.26953125" style="1" bestFit="1" customWidth="1"/>
    <col min="32" max="34" width="38.26953125" style="1" customWidth="1"/>
    <col min="35" max="35" width="56.7265625" style="1" bestFit="1" customWidth="1"/>
    <col min="36" max="37" width="35.54296875" style="1" customWidth="1"/>
    <col min="38" max="38" width="31.7265625" style="1" bestFit="1" customWidth="1"/>
    <col min="39" max="39" width="31.54296875" style="1" bestFit="1" customWidth="1"/>
    <col min="40" max="44" width="31.54296875" style="1" customWidth="1"/>
    <col min="45" max="45" width="37.453125" style="1" bestFit="1" customWidth="1"/>
    <col min="46" max="46" width="34" style="1" bestFit="1" customWidth="1"/>
    <col min="47" max="47" width="37.81640625" style="1" bestFit="1" customWidth="1"/>
    <col min="48" max="48" width="34.453125" style="1" bestFit="1" customWidth="1"/>
    <col min="49" max="49" width="38.1796875" style="1" bestFit="1" customWidth="1"/>
    <col min="50" max="50" width="28.54296875" style="1" bestFit="1" customWidth="1"/>
    <col min="51" max="51" width="31" style="1" bestFit="1" customWidth="1"/>
    <col min="52" max="16384" width="11.453125" style="1"/>
  </cols>
  <sheetData>
    <row r="1" spans="1:51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833</v>
      </c>
      <c r="H1" s="2" t="s">
        <v>47</v>
      </c>
      <c r="I1" s="2" t="s">
        <v>146</v>
      </c>
      <c r="J1" s="2" t="s">
        <v>992</v>
      </c>
      <c r="K1" s="2" t="s">
        <v>1100</v>
      </c>
      <c r="L1" s="2" t="s">
        <v>153</v>
      </c>
      <c r="M1" s="2" t="s">
        <v>155</v>
      </c>
      <c r="N1" s="2" t="s">
        <v>993</v>
      </c>
      <c r="O1" s="2" t="s">
        <v>1101</v>
      </c>
      <c r="P1" s="2" t="s">
        <v>53</v>
      </c>
      <c r="Q1" s="2" t="s">
        <v>52</v>
      </c>
      <c r="R1" s="2" t="s">
        <v>1117</v>
      </c>
      <c r="S1" s="2" t="s">
        <v>1118</v>
      </c>
      <c r="T1" s="2" t="s">
        <v>994</v>
      </c>
      <c r="U1" s="2" t="s">
        <v>996</v>
      </c>
      <c r="V1" s="2" t="s">
        <v>995</v>
      </c>
      <c r="W1" s="2" t="s">
        <v>997</v>
      </c>
      <c r="X1" s="2" t="s">
        <v>998</v>
      </c>
      <c r="Y1" s="2" t="s">
        <v>999</v>
      </c>
      <c r="Z1" s="2" t="s">
        <v>1000</v>
      </c>
      <c r="AA1" s="2" t="s">
        <v>1001</v>
      </c>
      <c r="AB1" s="2" t="s">
        <v>211</v>
      </c>
      <c r="AC1" s="2" t="s">
        <v>212</v>
      </c>
      <c r="AD1" s="2" t="s">
        <v>14</v>
      </c>
      <c r="AE1" s="2" t="s">
        <v>4</v>
      </c>
      <c r="AF1" s="2" t="s">
        <v>96</v>
      </c>
      <c r="AG1" s="2" t="s">
        <v>1244</v>
      </c>
      <c r="AH1" s="2" t="s">
        <v>1245</v>
      </c>
      <c r="AI1" s="2" t="s">
        <v>20</v>
      </c>
      <c r="AJ1" s="2" t="s">
        <v>161</v>
      </c>
      <c r="AK1" s="2" t="s">
        <v>162</v>
      </c>
      <c r="AL1" s="2" t="s">
        <v>1</v>
      </c>
      <c r="AM1" s="2" t="s">
        <v>2</v>
      </c>
      <c r="AN1" s="2" t="s">
        <v>56</v>
      </c>
      <c r="AO1" s="2" t="s">
        <v>1123</v>
      </c>
      <c r="AP1" s="2" t="s">
        <v>233</v>
      </c>
      <c r="AQ1" s="2" t="s">
        <v>114</v>
      </c>
      <c r="AR1" s="2" t="s">
        <v>57</v>
      </c>
      <c r="AS1" s="2" t="s">
        <v>58</v>
      </c>
      <c r="AT1" s="2" t="s">
        <v>6</v>
      </c>
      <c r="AU1" s="2" t="s">
        <v>15</v>
      </c>
      <c r="AV1" s="2" t="s">
        <v>16</v>
      </c>
      <c r="AW1" s="2" t="s">
        <v>7</v>
      </c>
      <c r="AX1" s="2" t="s">
        <v>18</v>
      </c>
      <c r="AY1" s="2" t="s">
        <v>21</v>
      </c>
    </row>
    <row r="2" spans="1:51" x14ac:dyDescent="0.25">
      <c r="A2" s="1" t="s">
        <v>938</v>
      </c>
      <c r="B2" s="1" t="s">
        <v>126</v>
      </c>
      <c r="C2" s="1">
        <v>2011</v>
      </c>
      <c r="D2" s="1">
        <v>1</v>
      </c>
      <c r="E2" s="1">
        <v>0</v>
      </c>
      <c r="F2" s="1">
        <v>0</v>
      </c>
      <c r="H2" s="19">
        <v>120</v>
      </c>
      <c r="I2" s="19"/>
      <c r="J2" s="19">
        <v>330</v>
      </c>
      <c r="K2" s="19"/>
      <c r="L2" s="19">
        <v>120</v>
      </c>
      <c r="M2" s="19"/>
      <c r="N2" s="19">
        <v>330</v>
      </c>
      <c r="O2" s="19"/>
      <c r="P2" s="19">
        <v>190</v>
      </c>
      <c r="Q2" s="9">
        <f>Tabelle5897111426[[#This Row],[Mindestleistung MW]]/Tabelle5897111426[[#This Row],[Maximalleistung MW Literatur]]</f>
        <v>0.37254901960784315</v>
      </c>
      <c r="R2" s="9">
        <v>0.65</v>
      </c>
      <c r="S2" s="9"/>
      <c r="T2" s="9">
        <f>Tabelle5897111426[[#This Row],[Durchschnittliche Leistung MW Literatur]]/Tabelle5897111426[[#This Row],[Maximalleistung MW Literatur]]</f>
        <v>0.76470588235294112</v>
      </c>
      <c r="U2" s="9"/>
      <c r="V2" s="20">
        <v>390</v>
      </c>
      <c r="W2" s="20"/>
      <c r="X2" s="19">
        <v>510</v>
      </c>
      <c r="Y2" s="19"/>
      <c r="Z2" s="19"/>
      <c r="AA2" s="19"/>
      <c r="AG2" s="8">
        <f>153*Umrechnungsfaktoren!$B$15/Umrechnungsfaktoren!$B$8</f>
        <v>166.82142857142858</v>
      </c>
      <c r="AH2" s="8">
        <f>500*Umrechnungsfaktoren!$B$15/Umrechnungsfaktoren!$B$8</f>
        <v>545.1680672268908</v>
      </c>
      <c r="AJ2" s="1" t="s">
        <v>1164</v>
      </c>
      <c r="AK2" s="1" t="s">
        <v>1164</v>
      </c>
      <c r="AL2" s="13">
        <v>38</v>
      </c>
      <c r="AM2" s="1">
        <v>38</v>
      </c>
      <c r="AN2" s="13">
        <v>38</v>
      </c>
      <c r="AO2" s="13">
        <v>38</v>
      </c>
      <c r="AP2" s="13">
        <v>38</v>
      </c>
      <c r="AQ2" s="13">
        <v>38</v>
      </c>
      <c r="AR2" s="1">
        <v>38</v>
      </c>
      <c r="AS2" s="13">
        <v>38</v>
      </c>
      <c r="AX2" s="1">
        <v>125</v>
      </c>
    </row>
    <row r="3" spans="1:51" x14ac:dyDescent="0.25">
      <c r="A3" s="1" t="s">
        <v>81</v>
      </c>
      <c r="B3" s="1" t="s">
        <v>126</v>
      </c>
      <c r="C3" s="1">
        <v>2011</v>
      </c>
      <c r="D3" s="1">
        <v>1</v>
      </c>
      <c r="E3" s="1">
        <v>0</v>
      </c>
      <c r="F3" s="1">
        <v>0</v>
      </c>
      <c r="G3" s="55"/>
      <c r="H3" s="19"/>
      <c r="I3" s="19">
        <v>400</v>
      </c>
      <c r="J3" s="19"/>
      <c r="K3" s="19"/>
      <c r="L3" s="19"/>
      <c r="M3" s="19">
        <v>400</v>
      </c>
      <c r="N3" s="19"/>
      <c r="O3" s="19"/>
      <c r="P3" s="19"/>
      <c r="Q3" s="20"/>
      <c r="R3" s="9"/>
      <c r="S3" s="9"/>
      <c r="T3" s="9">
        <f>Tabelle5897111426[[#This Row],[Durchschnittliche Leistung MW Literatur]]/Tabelle5897111426[[#This Row],[installierte Leistung MW Literatur]]</f>
        <v>0.4</v>
      </c>
      <c r="U3" s="9"/>
      <c r="V3" s="20">
        <v>800</v>
      </c>
      <c r="W3" s="20"/>
      <c r="X3" s="19"/>
      <c r="Y3" s="19"/>
      <c r="Z3" s="19">
        <v>2000</v>
      </c>
      <c r="AA3" s="19"/>
      <c r="AG3" s="8"/>
      <c r="AH3" s="8"/>
      <c r="AJ3" s="1" t="s">
        <v>1164</v>
      </c>
      <c r="AK3" s="1" t="s">
        <v>1164</v>
      </c>
      <c r="AL3" s="13">
        <v>33</v>
      </c>
      <c r="AM3" s="1">
        <v>33</v>
      </c>
      <c r="AN3" s="13"/>
      <c r="AO3" s="13"/>
      <c r="AP3" s="13">
        <v>32</v>
      </c>
      <c r="AQ3" s="13"/>
      <c r="AS3" s="13">
        <v>32</v>
      </c>
    </row>
    <row r="4" spans="1:51" x14ac:dyDescent="0.25">
      <c r="A4" s="1" t="s">
        <v>78</v>
      </c>
      <c r="B4" s="1" t="s">
        <v>126</v>
      </c>
      <c r="C4" s="1">
        <v>2011</v>
      </c>
      <c r="D4" s="1">
        <v>1</v>
      </c>
      <c r="E4" s="1">
        <v>0</v>
      </c>
      <c r="F4" s="1">
        <v>0</v>
      </c>
      <c r="G4" s="1">
        <v>22</v>
      </c>
      <c r="H4" s="19"/>
      <c r="I4" s="19">
        <v>110</v>
      </c>
      <c r="J4" s="19"/>
      <c r="K4" s="19"/>
      <c r="L4" s="19"/>
      <c r="M4" s="19">
        <v>110</v>
      </c>
      <c r="N4" s="19"/>
      <c r="O4" s="19"/>
      <c r="P4" s="19"/>
      <c r="Q4" s="20"/>
      <c r="R4" s="9">
        <v>0.1</v>
      </c>
      <c r="S4" s="9"/>
      <c r="T4" s="9">
        <v>0.85</v>
      </c>
      <c r="U4" s="9"/>
      <c r="V4" s="20">
        <v>2500</v>
      </c>
      <c r="W4" s="20"/>
      <c r="X4" s="19"/>
      <c r="Y4" s="19"/>
      <c r="Z4" s="19">
        <f>Tabelle5897111426[[#This Row],[Durchschnittliche Leistung MW Literatur]]/Tabelle5897111426[[#This Row],[Durchschnittsauslastung Literatur]]</f>
        <v>2941.1764705882356</v>
      </c>
      <c r="AA4" s="19"/>
      <c r="AG4" s="8">
        <f>160*Umrechnungsfaktoren!$B$15/Umrechnungsfaktoren!$B$8</f>
        <v>174.45378151260505</v>
      </c>
      <c r="AH4" s="8">
        <f>400*Umrechnungsfaktoren!$B$15/Umrechnungsfaktoren!$B$8</f>
        <v>436.1344537815126</v>
      </c>
      <c r="AJ4" s="1" t="s">
        <v>1164</v>
      </c>
      <c r="AK4" s="1" t="s">
        <v>1164</v>
      </c>
      <c r="AL4" s="13" t="s">
        <v>811</v>
      </c>
      <c r="AM4" s="13" t="s">
        <v>811</v>
      </c>
      <c r="AN4" s="13"/>
      <c r="AO4" s="13" t="s">
        <v>811</v>
      </c>
      <c r="AP4" s="13" t="s">
        <v>811</v>
      </c>
      <c r="AQ4" s="13" t="s">
        <v>811</v>
      </c>
      <c r="AR4" s="13"/>
      <c r="AS4" s="13"/>
      <c r="AX4" s="1">
        <v>125</v>
      </c>
    </row>
    <row r="5" spans="1:51" x14ac:dyDescent="0.25">
      <c r="A5" s="1" t="s">
        <v>74</v>
      </c>
      <c r="B5" s="1" t="s">
        <v>126</v>
      </c>
      <c r="C5" s="1">
        <v>2011</v>
      </c>
      <c r="D5" s="1">
        <v>1</v>
      </c>
      <c r="E5" s="1">
        <v>0</v>
      </c>
      <c r="F5" s="1">
        <v>0</v>
      </c>
      <c r="H5" s="19"/>
      <c r="I5" s="19"/>
      <c r="J5" s="19"/>
      <c r="K5" s="19"/>
      <c r="L5" s="19"/>
      <c r="M5" s="19"/>
      <c r="N5" s="19"/>
      <c r="O5" s="19"/>
      <c r="P5" s="19"/>
      <c r="Q5" s="20"/>
      <c r="R5" s="9"/>
      <c r="S5" s="9"/>
      <c r="T5" s="58"/>
      <c r="U5" s="58"/>
      <c r="V5" s="20">
        <v>370</v>
      </c>
      <c r="W5" s="20"/>
      <c r="X5" s="19"/>
      <c r="Y5" s="19"/>
      <c r="Z5" s="19"/>
      <c r="AA5" s="19"/>
      <c r="AG5" s="8"/>
      <c r="AH5" s="8"/>
      <c r="AJ5" s="1" t="s">
        <v>1164</v>
      </c>
      <c r="AK5" s="1" t="s">
        <v>1164</v>
      </c>
      <c r="AL5" s="13"/>
      <c r="AN5" s="13"/>
      <c r="AO5" s="13"/>
      <c r="AP5" s="13"/>
      <c r="AQ5" s="13">
        <v>33</v>
      </c>
      <c r="AS5" s="13"/>
    </row>
    <row r="6" spans="1:51" x14ac:dyDescent="0.25">
      <c r="A6" s="1" t="s">
        <v>77</v>
      </c>
      <c r="B6" s="1" t="s">
        <v>126</v>
      </c>
      <c r="C6" s="1">
        <v>2011</v>
      </c>
      <c r="D6" s="1">
        <v>1</v>
      </c>
      <c r="E6" s="1">
        <v>0</v>
      </c>
      <c r="F6" s="1">
        <v>0</v>
      </c>
      <c r="H6" s="19"/>
      <c r="I6" s="19"/>
      <c r="J6" s="19"/>
      <c r="K6" s="19"/>
      <c r="L6" s="19"/>
      <c r="M6" s="19"/>
      <c r="N6" s="19"/>
      <c r="O6" s="19"/>
      <c r="P6" s="19"/>
      <c r="Q6" s="20"/>
      <c r="R6" s="9"/>
      <c r="S6" s="9"/>
      <c r="T6" s="58">
        <f>Tabelle5897111426[[#This Row],[Durchschnittliche Leistung MW Literatur]]/Tabelle5897111426[[#This Row],[Maximalleistung MW Literatur]]</f>
        <v>0.660377358490566</v>
      </c>
      <c r="U6" s="58"/>
      <c r="V6" s="20">
        <v>350</v>
      </c>
      <c r="W6" s="20"/>
      <c r="X6" s="19">
        <v>530</v>
      </c>
      <c r="Y6" s="19"/>
      <c r="Z6" s="19"/>
      <c r="AA6" s="19"/>
      <c r="AG6" s="8"/>
      <c r="AH6" s="8"/>
      <c r="AJ6" s="1" t="s">
        <v>1164</v>
      </c>
      <c r="AK6" s="1" t="s">
        <v>1164</v>
      </c>
      <c r="AL6" s="13"/>
      <c r="AN6" s="13"/>
      <c r="AO6" s="13"/>
      <c r="AP6" s="13"/>
      <c r="AQ6" s="13">
        <v>33</v>
      </c>
      <c r="AR6" s="1">
        <v>33</v>
      </c>
      <c r="AS6" s="1">
        <v>33</v>
      </c>
    </row>
    <row r="7" spans="1:51" x14ac:dyDescent="0.25">
      <c r="A7" s="1" t="s">
        <v>79</v>
      </c>
      <c r="B7" s="1" t="s">
        <v>126</v>
      </c>
      <c r="C7" s="1">
        <v>2011</v>
      </c>
      <c r="D7" s="1">
        <v>1</v>
      </c>
      <c r="E7" s="1">
        <v>0</v>
      </c>
      <c r="F7" s="1">
        <v>0</v>
      </c>
      <c r="H7" s="19"/>
      <c r="I7" s="19"/>
      <c r="J7" s="19">
        <v>60</v>
      </c>
      <c r="K7" s="19"/>
      <c r="L7" s="19"/>
      <c r="M7" s="19"/>
      <c r="N7" s="19">
        <v>60</v>
      </c>
      <c r="O7" s="19"/>
      <c r="P7" s="19"/>
      <c r="Q7" s="20"/>
      <c r="R7" s="9"/>
      <c r="S7" s="9"/>
      <c r="T7" s="9"/>
      <c r="U7" s="9"/>
      <c r="V7" s="20"/>
      <c r="W7" s="20"/>
      <c r="X7" s="19">
        <v>60</v>
      </c>
      <c r="Y7" s="19"/>
      <c r="Z7" s="19"/>
      <c r="AA7" s="19"/>
      <c r="AG7" s="8"/>
      <c r="AH7" s="8"/>
      <c r="AI7" s="1" t="s">
        <v>1099</v>
      </c>
      <c r="AJ7" s="1" t="s">
        <v>1164</v>
      </c>
      <c r="AK7" s="1" t="s">
        <v>1164</v>
      </c>
      <c r="AL7" s="13"/>
      <c r="AN7" s="13"/>
      <c r="AO7" s="13"/>
      <c r="AP7" s="13">
        <v>34</v>
      </c>
      <c r="AQ7" s="13">
        <v>34</v>
      </c>
      <c r="AR7" s="1">
        <v>34</v>
      </c>
      <c r="AS7" s="13">
        <v>34</v>
      </c>
    </row>
    <row r="8" spans="1:51" x14ac:dyDescent="0.25">
      <c r="A8" s="1" t="s">
        <v>654</v>
      </c>
      <c r="B8" s="1" t="s">
        <v>126</v>
      </c>
      <c r="C8" s="1">
        <v>2011</v>
      </c>
      <c r="D8" s="1">
        <v>1</v>
      </c>
      <c r="E8" s="1">
        <v>0</v>
      </c>
      <c r="F8" s="1">
        <v>0</v>
      </c>
      <c r="G8" s="1">
        <v>0.65</v>
      </c>
      <c r="H8" s="19"/>
      <c r="I8" s="19"/>
      <c r="J8" s="19"/>
      <c r="K8" s="19"/>
      <c r="L8" s="19"/>
      <c r="M8" s="19"/>
      <c r="N8" s="19"/>
      <c r="O8" s="19"/>
      <c r="P8" s="19"/>
      <c r="Q8" s="20"/>
      <c r="R8" s="9"/>
      <c r="S8" s="9"/>
      <c r="T8" s="9"/>
      <c r="U8" s="9"/>
      <c r="V8" s="20"/>
      <c r="W8" s="20"/>
      <c r="X8" s="19">
        <v>150</v>
      </c>
      <c r="Y8" s="19"/>
      <c r="Z8" s="19"/>
      <c r="AA8" s="19"/>
      <c r="AD8" s="1" t="s">
        <v>815</v>
      </c>
      <c r="AG8" s="8">
        <f>850*Umrechnungsfaktoren!$B$15/Umrechnungsfaktoren!$B$8</f>
        <v>926.78571428571433</v>
      </c>
      <c r="AH8" s="8">
        <f>1300*Umrechnungsfaktoren!$B$15/Umrechnungsfaktoren!$B$8</f>
        <v>1417.4369747899161</v>
      </c>
      <c r="AJ8" s="1" t="s">
        <v>1164</v>
      </c>
      <c r="AK8" s="1" t="s">
        <v>1164</v>
      </c>
      <c r="AL8" s="13"/>
      <c r="AN8" s="13"/>
      <c r="AO8" s="13"/>
      <c r="AP8" s="13"/>
      <c r="AQ8" s="13"/>
      <c r="AR8" s="1">
        <v>41</v>
      </c>
      <c r="AS8" s="13">
        <v>41</v>
      </c>
      <c r="AV8" s="1">
        <v>95</v>
      </c>
      <c r="AX8" s="1">
        <v>125</v>
      </c>
    </row>
    <row r="9" spans="1:51" x14ac:dyDescent="0.25">
      <c r="A9" s="1" t="s">
        <v>208</v>
      </c>
      <c r="B9" s="1" t="s">
        <v>126</v>
      </c>
      <c r="C9" s="1">
        <v>2011</v>
      </c>
      <c r="D9" s="1">
        <v>1</v>
      </c>
      <c r="E9" s="1">
        <v>0</v>
      </c>
      <c r="F9" s="1">
        <v>0</v>
      </c>
      <c r="G9" s="1">
        <v>20</v>
      </c>
      <c r="H9" s="19"/>
      <c r="I9" s="19">
        <v>325</v>
      </c>
      <c r="J9" s="19"/>
      <c r="K9" s="19"/>
      <c r="L9" s="19"/>
      <c r="M9" s="19">
        <v>325</v>
      </c>
      <c r="N9" s="19"/>
      <c r="O9" s="19"/>
      <c r="P9" s="19"/>
      <c r="Q9" s="20"/>
      <c r="R9" s="9">
        <v>0.15</v>
      </c>
      <c r="S9" s="9">
        <v>0.3</v>
      </c>
      <c r="T9" s="9"/>
      <c r="U9" s="9"/>
      <c r="V9" s="20"/>
      <c r="W9" s="20"/>
      <c r="X9" s="19"/>
      <c r="Y9" s="19"/>
      <c r="Z9" s="19"/>
      <c r="AA9" s="19"/>
      <c r="AG9" s="8"/>
      <c r="AH9" s="8"/>
      <c r="AJ9" s="1" t="s">
        <v>1164</v>
      </c>
      <c r="AK9" s="1" t="s">
        <v>1164</v>
      </c>
      <c r="AL9" s="13">
        <v>47</v>
      </c>
      <c r="AM9" s="1">
        <v>47</v>
      </c>
      <c r="AN9" s="13"/>
      <c r="AO9" s="13">
        <v>47</v>
      </c>
      <c r="AP9" s="13"/>
      <c r="AQ9" s="13"/>
      <c r="AS9" s="13"/>
    </row>
    <row r="10" spans="1:51" x14ac:dyDescent="0.25">
      <c r="A10" s="1" t="s">
        <v>403</v>
      </c>
      <c r="B10" s="1" t="s">
        <v>127</v>
      </c>
      <c r="C10" s="1">
        <v>2011</v>
      </c>
      <c r="D10" s="1">
        <v>1</v>
      </c>
      <c r="E10" s="1">
        <v>0</v>
      </c>
      <c r="F10" s="1">
        <v>0</v>
      </c>
      <c r="H10" s="19"/>
      <c r="I10" s="19"/>
      <c r="J10" s="19"/>
      <c r="K10" s="19"/>
      <c r="L10" s="19"/>
      <c r="M10" s="19"/>
      <c r="N10" s="19">
        <v>80</v>
      </c>
      <c r="O10" s="19"/>
      <c r="P10" s="19"/>
      <c r="Q10" s="20"/>
      <c r="R10" s="9">
        <v>0.22</v>
      </c>
      <c r="S10" s="9">
        <v>0.49</v>
      </c>
      <c r="T10" s="9"/>
      <c r="U10" s="9"/>
      <c r="V10" s="20"/>
      <c r="W10" s="20"/>
      <c r="X10" s="19">
        <v>146</v>
      </c>
      <c r="Y10" s="19"/>
      <c r="Z10" s="19">
        <v>146</v>
      </c>
      <c r="AA10" s="19"/>
      <c r="AG10" s="8"/>
      <c r="AH10" s="8"/>
      <c r="AJ10" s="1" t="s">
        <v>1164</v>
      </c>
      <c r="AK10" s="1" t="s">
        <v>1164</v>
      </c>
      <c r="AL10" s="13"/>
      <c r="AN10" s="13"/>
      <c r="AO10" s="13">
        <v>48</v>
      </c>
      <c r="AP10" s="13"/>
      <c r="AQ10" s="13"/>
      <c r="AR10" s="1">
        <v>48</v>
      </c>
      <c r="AS10" s="13"/>
    </row>
    <row r="11" spans="1:51" x14ac:dyDescent="0.25">
      <c r="A11" s="1" t="s">
        <v>209</v>
      </c>
      <c r="B11" s="1" t="s">
        <v>127</v>
      </c>
      <c r="C11" s="1">
        <v>2011</v>
      </c>
      <c r="D11" s="1">
        <v>1</v>
      </c>
      <c r="E11" s="1">
        <v>0</v>
      </c>
      <c r="F11" s="1"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20"/>
      <c r="R11" s="9"/>
      <c r="S11" s="9"/>
      <c r="T11" s="9"/>
      <c r="U11" s="9"/>
      <c r="V11" s="20"/>
      <c r="W11" s="20"/>
      <c r="X11" s="19"/>
      <c r="Y11" s="19"/>
      <c r="Z11" s="19"/>
      <c r="AA11" s="19"/>
      <c r="AG11" s="8"/>
      <c r="AH11" s="8"/>
      <c r="AJ11" s="1" t="s">
        <v>1164</v>
      </c>
      <c r="AK11" s="1" t="s">
        <v>1164</v>
      </c>
      <c r="AL11" s="13"/>
      <c r="AN11" s="13"/>
      <c r="AO11" s="13"/>
      <c r="AP11" s="13"/>
      <c r="AQ11" s="13"/>
      <c r="AS11" s="13"/>
    </row>
    <row r="12" spans="1:51" x14ac:dyDescent="0.25">
      <c r="A12" s="1" t="s">
        <v>809</v>
      </c>
      <c r="B12" s="1" t="s">
        <v>126</v>
      </c>
      <c r="C12" s="1">
        <v>2011</v>
      </c>
      <c r="D12" s="1">
        <v>1</v>
      </c>
      <c r="E12" s="1">
        <v>0</v>
      </c>
      <c r="F12" s="1">
        <v>0</v>
      </c>
      <c r="H12" s="19">
        <v>30</v>
      </c>
      <c r="I12" s="19"/>
      <c r="J12" s="19">
        <v>40</v>
      </c>
      <c r="K12" s="19"/>
      <c r="L12" s="19">
        <v>30</v>
      </c>
      <c r="M12" s="19"/>
      <c r="N12" s="19">
        <v>40</v>
      </c>
      <c r="O12" s="19"/>
      <c r="P12" s="19"/>
      <c r="Q12" s="20"/>
      <c r="R12" s="9"/>
      <c r="S12" s="9"/>
      <c r="T12" s="58">
        <f>Tabelle5897111426[[#This Row],[Durchschnittliche Leistung MW Literatur]]/Tabelle5897111426[[#This Row],[Maximalleistung MW Literatur]]</f>
        <v>0.45</v>
      </c>
      <c r="U12" s="58"/>
      <c r="V12" s="20">
        <v>117</v>
      </c>
      <c r="W12" s="20"/>
      <c r="X12" s="19">
        <v>260</v>
      </c>
      <c r="Y12" s="19"/>
      <c r="Z12" s="19">
        <f>Tabelle5897111426[[#This Row],[Maximalleistung MW Literatur]]</f>
        <v>260</v>
      </c>
      <c r="AA12" s="19"/>
      <c r="AG12" s="8"/>
      <c r="AH12" s="8"/>
      <c r="AJ12" s="1" t="s">
        <v>1164</v>
      </c>
      <c r="AK12" s="1" t="s">
        <v>1164</v>
      </c>
      <c r="AL12" s="13">
        <v>27</v>
      </c>
      <c r="AM12" s="1">
        <v>27</v>
      </c>
      <c r="AN12" s="13"/>
      <c r="AO12" s="13"/>
      <c r="AP12" s="13">
        <v>27</v>
      </c>
      <c r="AQ12" s="13">
        <v>27</v>
      </c>
      <c r="AR12" s="1">
        <v>27</v>
      </c>
      <c r="AS12" s="1">
        <v>27</v>
      </c>
    </row>
    <row r="13" spans="1:51" x14ac:dyDescent="0.25">
      <c r="A13" s="1" t="s">
        <v>810</v>
      </c>
      <c r="B13" s="1" t="s">
        <v>126</v>
      </c>
      <c r="C13" s="1">
        <v>2011</v>
      </c>
      <c r="D13" s="1">
        <v>1</v>
      </c>
      <c r="E13" s="1">
        <v>0</v>
      </c>
      <c r="F13" s="1">
        <v>0</v>
      </c>
      <c r="G13" s="1">
        <v>3</v>
      </c>
      <c r="H13" s="19"/>
      <c r="I13" s="19"/>
      <c r="J13" s="19"/>
      <c r="K13" s="19"/>
      <c r="L13" s="19"/>
      <c r="M13" s="19"/>
      <c r="N13" s="19"/>
      <c r="O13" s="19"/>
      <c r="P13" s="19"/>
      <c r="Q13" s="20"/>
      <c r="R13" s="9"/>
      <c r="S13" s="9"/>
      <c r="T13" s="58"/>
      <c r="U13" s="58"/>
      <c r="V13" s="20"/>
      <c r="W13" s="20"/>
      <c r="X13" s="19"/>
      <c r="Y13" s="19"/>
      <c r="Z13" s="19"/>
      <c r="AA13" s="19"/>
      <c r="AG13" s="8"/>
      <c r="AH13" s="8"/>
      <c r="AJ13" s="1" t="s">
        <v>1164</v>
      </c>
      <c r="AK13" s="1" t="s">
        <v>1164</v>
      </c>
      <c r="AL13" s="13"/>
      <c r="AN13" s="13"/>
      <c r="AO13" s="13"/>
      <c r="AP13" s="13"/>
      <c r="AQ13" s="13"/>
      <c r="AS13" s="13"/>
    </row>
    <row r="14" spans="1:51" x14ac:dyDescent="0.25">
      <c r="A14" s="1" t="s">
        <v>361</v>
      </c>
      <c r="B14" s="1" t="s">
        <v>127</v>
      </c>
      <c r="C14" s="1">
        <v>2011</v>
      </c>
      <c r="D14" s="1">
        <v>1</v>
      </c>
      <c r="E14" s="1">
        <v>0</v>
      </c>
      <c r="F14" s="1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20"/>
      <c r="R14" s="9"/>
      <c r="S14" s="9"/>
      <c r="T14" s="9"/>
      <c r="U14" s="9"/>
      <c r="V14" s="20"/>
      <c r="W14" s="20"/>
      <c r="X14" s="19"/>
      <c r="Y14" s="19"/>
      <c r="Z14" s="19"/>
      <c r="AA14" s="19"/>
      <c r="AG14" s="8"/>
      <c r="AH14" s="8"/>
      <c r="AJ14" s="1" t="s">
        <v>1164</v>
      </c>
      <c r="AK14" s="1" t="s">
        <v>1164</v>
      </c>
      <c r="AL14" s="13"/>
      <c r="AN14" s="13"/>
      <c r="AO14" s="13"/>
      <c r="AP14" s="13"/>
      <c r="AQ14" s="13"/>
      <c r="AS14" s="13"/>
    </row>
    <row r="15" spans="1:51" x14ac:dyDescent="0.25">
      <c r="A15" s="55" t="s">
        <v>374</v>
      </c>
      <c r="B15" s="55" t="s">
        <v>127</v>
      </c>
      <c r="C15" s="55">
        <v>2011</v>
      </c>
      <c r="D15" s="1">
        <v>1</v>
      </c>
      <c r="E15" s="1">
        <v>0</v>
      </c>
      <c r="F15" s="1">
        <v>0</v>
      </c>
      <c r="G15" s="55"/>
      <c r="H15" s="56"/>
      <c r="I15" s="56"/>
      <c r="J15" s="56"/>
      <c r="K15" s="56">
        <v>58</v>
      </c>
      <c r="L15" s="56"/>
      <c r="M15" s="56"/>
      <c r="N15" s="56"/>
      <c r="O15" s="56">
        <v>62</v>
      </c>
      <c r="P15" s="56"/>
      <c r="Q15" s="57"/>
      <c r="R15" s="58">
        <v>0.25</v>
      </c>
      <c r="S15" s="58">
        <v>0.27</v>
      </c>
      <c r="T15" s="58">
        <f>Tabelle5897111426[[#This Row],[Durchschnittliche Leistung MW Literatur]]/Tabelle5897111426[[#This Row],[Maximalleistung MW Literatur]]</f>
        <v>0.5</v>
      </c>
      <c r="U15" s="58">
        <f>Tabelle5897111426[[#This Row],[Durchschnittliche Leistung MW Hochrechnung]]/Tabelle5897111426[[#This Row],[Maximalleistung MW Hochrechnung]]</f>
        <v>0.5670995670995671</v>
      </c>
      <c r="V15" s="57">
        <v>167</v>
      </c>
      <c r="W15" s="57">
        <v>131</v>
      </c>
      <c r="X15" s="56">
        <f>Tabelle5897111426[[#This Row],[Durchschnittliche Leistung MW Literatur]]*2</f>
        <v>334</v>
      </c>
      <c r="Y15" s="56">
        <v>231</v>
      </c>
      <c r="Z15" s="56">
        <f>Tabelle5897111426[[#This Row],[Maximalleistung MW Literatur]]</f>
        <v>334</v>
      </c>
      <c r="AA15" s="56">
        <f>Tabelle5897111426[[#This Row],[Maximalleistung MW Hochrechnung]]</f>
        <v>231</v>
      </c>
      <c r="AB15" s="55"/>
      <c r="AC15" s="55"/>
      <c r="AD15" s="55" t="s">
        <v>808</v>
      </c>
      <c r="AE15" s="55"/>
      <c r="AF15" s="55"/>
      <c r="AG15" s="61">
        <f>690*Umrechnungsfaktoren!$B$15/Umrechnungsfaktoren!$B$8</f>
        <v>752.33193277310932</v>
      </c>
      <c r="AH15" s="61">
        <f>3150*Umrechnungsfaktoren!$B$15/Umrechnungsfaktoren!$B$8</f>
        <v>3434.5588235294117</v>
      </c>
      <c r="AI15" s="1" t="s">
        <v>1098</v>
      </c>
      <c r="AJ15" s="1" t="s">
        <v>1164</v>
      </c>
      <c r="AK15" s="1" t="s">
        <v>1164</v>
      </c>
      <c r="AL15" s="62">
        <v>67</v>
      </c>
      <c r="AM15" s="55">
        <v>67</v>
      </c>
      <c r="AN15" s="62"/>
      <c r="AO15" s="62">
        <v>67</v>
      </c>
      <c r="AP15" s="62">
        <v>10</v>
      </c>
      <c r="AQ15" s="13" t="s">
        <v>1002</v>
      </c>
      <c r="AR15" s="13" t="s">
        <v>1002</v>
      </c>
      <c r="AS15" s="55">
        <v>10</v>
      </c>
      <c r="AT15" s="55"/>
      <c r="AU15" s="55"/>
      <c r="AV15" s="55">
        <v>10</v>
      </c>
      <c r="AW15" s="55"/>
      <c r="AX15" s="55">
        <v>125</v>
      </c>
      <c r="AY15" s="55">
        <v>9</v>
      </c>
    </row>
    <row r="16" spans="1:51" x14ac:dyDescent="0.25">
      <c r="A16" s="55" t="s">
        <v>293</v>
      </c>
      <c r="B16" s="55" t="s">
        <v>127</v>
      </c>
      <c r="C16" s="55">
        <v>2011</v>
      </c>
      <c r="D16" s="1">
        <v>1</v>
      </c>
      <c r="E16" s="1">
        <v>0</v>
      </c>
      <c r="F16" s="1">
        <v>0</v>
      </c>
      <c r="G16" s="55"/>
      <c r="H16" s="56">
        <v>20</v>
      </c>
      <c r="I16" s="56"/>
      <c r="J16" s="56">
        <v>30</v>
      </c>
      <c r="K16" s="56">
        <v>22</v>
      </c>
      <c r="L16" s="56">
        <v>20</v>
      </c>
      <c r="M16" s="56"/>
      <c r="N16" s="56">
        <v>30</v>
      </c>
      <c r="O16" s="56">
        <v>17</v>
      </c>
      <c r="P16" s="56"/>
      <c r="Q16" s="57"/>
      <c r="R16" s="58">
        <v>0.21</v>
      </c>
      <c r="S16" s="58">
        <v>0.25</v>
      </c>
      <c r="T16" s="58"/>
      <c r="U16" s="58">
        <f>Tabelle5897111426[[#This Row],[Durchschnittliche Leistung MW Hochrechnung]]/Tabelle5897111426[[#This Row],[Maximalleistung MW Hochrechnung]]</f>
        <v>0.32941176470588235</v>
      </c>
      <c r="V16" s="57"/>
      <c r="W16" s="57">
        <v>28</v>
      </c>
      <c r="X16" s="56"/>
      <c r="Y16" s="56">
        <v>85</v>
      </c>
      <c r="Z16" s="56"/>
      <c r="AA16" s="56">
        <v>85</v>
      </c>
      <c r="AB16" s="55"/>
      <c r="AC16" s="55">
        <v>48</v>
      </c>
      <c r="AD16" s="63" t="s">
        <v>813</v>
      </c>
      <c r="AE16" s="55">
        <v>3</v>
      </c>
      <c r="AF16" s="101">
        <f>Tabelle5897111426[[#This Row],[max. Abrufhäufigkeit pro Woche]]*52.1428571428571</f>
        <v>156.42857142857144</v>
      </c>
      <c r="AG16" s="61"/>
      <c r="AH16" s="61"/>
      <c r="AI16" s="55"/>
      <c r="AJ16" s="1" t="s">
        <v>1164</v>
      </c>
      <c r="AK16" s="1" t="s">
        <v>1164</v>
      </c>
      <c r="AL16" s="13" t="s">
        <v>1003</v>
      </c>
      <c r="AM16" s="13" t="s">
        <v>1003</v>
      </c>
      <c r="AN16" s="62"/>
      <c r="AO16" s="62">
        <v>77</v>
      </c>
      <c r="AP16" s="62"/>
      <c r="AQ16" s="62">
        <v>77</v>
      </c>
      <c r="AR16" s="62">
        <v>77</v>
      </c>
      <c r="AS16" s="62"/>
      <c r="AT16" s="55" t="s">
        <v>812</v>
      </c>
      <c r="AU16" s="55">
        <v>68</v>
      </c>
      <c r="AV16" s="55">
        <v>68</v>
      </c>
      <c r="AW16" s="55">
        <v>70</v>
      </c>
      <c r="AX16" s="55"/>
      <c r="AY16" s="55"/>
    </row>
    <row r="17" spans="1:51" x14ac:dyDescent="0.25">
      <c r="A17" s="55" t="s">
        <v>1121</v>
      </c>
      <c r="B17" s="55" t="s">
        <v>127</v>
      </c>
      <c r="C17" s="55">
        <v>2011</v>
      </c>
      <c r="D17" s="1">
        <v>1</v>
      </c>
      <c r="E17" s="1">
        <v>0</v>
      </c>
      <c r="F17" s="1">
        <v>0</v>
      </c>
      <c r="G17" s="55"/>
      <c r="H17" s="56"/>
      <c r="I17" s="56"/>
      <c r="J17" s="56"/>
      <c r="K17" s="56">
        <v>81</v>
      </c>
      <c r="L17" s="56"/>
      <c r="M17" s="56"/>
      <c r="N17" s="56"/>
      <c r="O17" s="56">
        <v>99</v>
      </c>
      <c r="P17" s="56"/>
      <c r="Q17" s="57"/>
      <c r="R17" s="58">
        <v>0.3</v>
      </c>
      <c r="S17" s="58">
        <v>0.37</v>
      </c>
      <c r="T17" s="58"/>
      <c r="U17" s="58">
        <f>Tabelle5897111426[[#This Row],[Durchschnittliche Leistung MW Hochrechnung]]/Tabelle5897111426[[#This Row],[Maximalleistung MW Hochrechnung]]</f>
        <v>0.47601476014760147</v>
      </c>
      <c r="V17" s="57"/>
      <c r="W17" s="57">
        <v>129</v>
      </c>
      <c r="X17" s="56">
        <v>169</v>
      </c>
      <c r="Y17" s="56">
        <v>271</v>
      </c>
      <c r="Z17" s="56">
        <f>Tabelle5897111426[[#This Row],[Maximalleistung MW Literatur]]</f>
        <v>169</v>
      </c>
      <c r="AA17" s="56">
        <f>Tabelle5897111426[[#This Row],[Maximalleistung MW Hochrechnung]]</f>
        <v>271</v>
      </c>
      <c r="AB17" s="55">
        <v>3</v>
      </c>
      <c r="AC17" s="55"/>
      <c r="AD17" s="55" t="s">
        <v>814</v>
      </c>
      <c r="AE17" s="55"/>
      <c r="AF17" s="55"/>
      <c r="AG17" s="61">
        <f>300*Umrechnungsfaktoren!$B$15/Umrechnungsfaktoren!$B$8</f>
        <v>327.10084033613447</v>
      </c>
      <c r="AH17" s="61">
        <f>600*Umrechnungsfaktoren!$B$15/Umrechnungsfaktoren!$B$8</f>
        <v>654.20168067226894</v>
      </c>
      <c r="AI17" s="55"/>
      <c r="AJ17" s="1" t="s">
        <v>1164</v>
      </c>
      <c r="AK17" s="1" t="s">
        <v>1164</v>
      </c>
      <c r="AL17" s="62">
        <v>88</v>
      </c>
      <c r="AM17" s="55">
        <v>88</v>
      </c>
      <c r="AN17" s="62"/>
      <c r="AO17" s="62">
        <v>88</v>
      </c>
      <c r="AP17" s="62"/>
      <c r="AQ17" s="62">
        <v>88</v>
      </c>
      <c r="AR17" s="1" t="s">
        <v>1004</v>
      </c>
      <c r="AS17" s="55">
        <v>20</v>
      </c>
      <c r="AT17" s="55">
        <v>19</v>
      </c>
      <c r="AU17" s="55"/>
      <c r="AV17" s="55">
        <v>78</v>
      </c>
      <c r="AW17" s="55"/>
      <c r="AX17" s="55">
        <v>125</v>
      </c>
      <c r="AY17" s="55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500-000001000000}">
          <x14:formula1>
            <xm:f>Dropdown!$C$2:$C$4</xm:f>
          </x14:formula1>
          <xm:sqref>B2:B17</xm:sqref>
        </x14:dataValidation>
        <x14:dataValidation type="list" allowBlank="1" showInputMessage="1" showErrorMessage="1" xr:uid="{98606B16-B559-426F-A80B-80C4A6E40926}">
          <x14:formula1>
            <xm:f>Dropdown!$A$2:$A$92</xm:f>
          </x14:formula1>
          <xm:sqref>A2:A17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6"/>
  <dimension ref="A1:BM123"/>
  <sheetViews>
    <sheetView zoomScale="80" zoomScaleNormal="80" workbookViewId="0">
      <pane xSplit="4" ySplit="1" topLeftCell="AT2" activePane="bottomRight" state="frozen"/>
      <selection pane="topRight" activeCell="D1" sqref="D1"/>
      <selection pane="bottomLeft" activeCell="A2" sqref="A2"/>
      <selection pane="bottomRight" activeCell="AL22" sqref="A1:BN123"/>
    </sheetView>
  </sheetViews>
  <sheetFormatPr baseColWidth="10" defaultColWidth="11.453125" defaultRowHeight="12.5" x14ac:dyDescent="0.25"/>
  <cols>
    <col min="1" max="1" width="33.453125" style="1" bestFit="1" customWidth="1"/>
    <col min="2" max="3" width="33.453125" style="1" customWidth="1"/>
    <col min="4" max="4" width="9.54296875" style="1" bestFit="1" customWidth="1"/>
    <col min="5" max="5" width="23.453125" style="1" bestFit="1" customWidth="1"/>
    <col min="6" max="6" width="17.7265625" style="1" bestFit="1" customWidth="1"/>
    <col min="7" max="9" width="17.7265625" style="1" customWidth="1"/>
    <col min="10" max="10" width="32.54296875" style="1" bestFit="1" customWidth="1"/>
    <col min="11" max="12" width="32.54296875" style="1" customWidth="1"/>
    <col min="13" max="13" width="28.81640625" style="1" bestFit="1" customWidth="1"/>
    <col min="14" max="14" width="38.81640625" style="1" bestFit="1" customWidth="1"/>
    <col min="15" max="15" width="38.81640625" style="1" customWidth="1"/>
    <col min="16" max="16" width="24.54296875" style="1" customWidth="1"/>
    <col min="17" max="22" width="24.453125" style="1" customWidth="1"/>
    <col min="23" max="25" width="28.453125" style="1" customWidth="1"/>
    <col min="26" max="26" width="27.453125" style="1" customWidth="1"/>
    <col min="27" max="27" width="20.7265625" style="1" bestFit="1" customWidth="1"/>
    <col min="28" max="32" width="20.7265625" style="1" customWidth="1"/>
    <col min="33" max="33" width="25.81640625" style="1" bestFit="1" customWidth="1"/>
    <col min="34" max="34" width="29.7265625" style="1" bestFit="1" customWidth="1"/>
    <col min="35" max="35" width="24" style="1" bestFit="1" customWidth="1"/>
    <col min="36" max="36" width="24" style="1" customWidth="1"/>
    <col min="37" max="37" width="38.26953125" style="1" bestFit="1" customWidth="1"/>
    <col min="38" max="40" width="38.26953125" style="1" customWidth="1"/>
    <col min="41" max="41" width="33.453125" style="1" bestFit="1" customWidth="1"/>
    <col min="42" max="43" width="33.453125" style="1" customWidth="1"/>
    <col min="44" max="45" width="25.7265625" style="1" customWidth="1"/>
    <col min="46" max="46" width="56.7265625" style="1" bestFit="1" customWidth="1"/>
    <col min="47" max="50" width="35.54296875" style="1" customWidth="1"/>
    <col min="51" max="51" width="31.7265625" style="1" bestFit="1" customWidth="1"/>
    <col min="52" max="54" width="31.54296875" style="1" customWidth="1"/>
    <col min="55" max="55" width="37.453125" style="1" bestFit="1" customWidth="1"/>
    <col min="56" max="56" width="35.7265625" style="1" bestFit="1" customWidth="1"/>
    <col min="57" max="57" width="28.81640625" style="1" bestFit="1" customWidth="1"/>
    <col min="58" max="58" width="34" style="1" bestFit="1" customWidth="1"/>
    <col min="59" max="59" width="37.81640625" style="1" bestFit="1" customWidth="1"/>
    <col min="60" max="60" width="34.453125" style="1" bestFit="1" customWidth="1"/>
    <col min="61" max="61" width="38.1796875" style="1" bestFit="1" customWidth="1"/>
    <col min="62" max="62" width="22.81640625" style="1" bestFit="1" customWidth="1"/>
    <col min="63" max="63" width="28.54296875" style="1" bestFit="1" customWidth="1"/>
    <col min="64" max="64" width="28.26953125" style="1" customWidth="1"/>
    <col min="65" max="65" width="31" style="1" bestFit="1" customWidth="1"/>
    <col min="66" max="66" width="28.81640625" style="1" bestFit="1" customWidth="1"/>
    <col min="67" max="16384" width="11.453125" style="1"/>
  </cols>
  <sheetData>
    <row r="1" spans="1:65" ht="13" x14ac:dyDescent="0.3">
      <c r="A1" s="2" t="s">
        <v>0</v>
      </c>
      <c r="B1" s="2" t="s">
        <v>128</v>
      </c>
      <c r="C1" s="2" t="s">
        <v>402</v>
      </c>
      <c r="D1" s="2" t="s">
        <v>8</v>
      </c>
      <c r="E1" s="2" t="s">
        <v>158</v>
      </c>
      <c r="F1" s="2" t="s">
        <v>159</v>
      </c>
      <c r="G1" s="2" t="s">
        <v>310</v>
      </c>
      <c r="H1" s="2" t="s">
        <v>375</v>
      </c>
      <c r="I1" s="2" t="s">
        <v>376</v>
      </c>
      <c r="J1" s="2" t="s">
        <v>833</v>
      </c>
      <c r="K1" s="2" t="s">
        <v>912</v>
      </c>
      <c r="L1" s="2" t="s">
        <v>884</v>
      </c>
      <c r="M1" s="2" t="s">
        <v>47</v>
      </c>
      <c r="N1" s="2" t="s">
        <v>146</v>
      </c>
      <c r="O1" s="2" t="s">
        <v>1130</v>
      </c>
      <c r="P1" s="2" t="s">
        <v>155</v>
      </c>
      <c r="Q1" s="2" t="s">
        <v>52</v>
      </c>
      <c r="R1" s="2" t="s">
        <v>387</v>
      </c>
      <c r="S1" s="2" t="s">
        <v>388</v>
      </c>
      <c r="T1" s="2" t="s">
        <v>1115</v>
      </c>
      <c r="U1" s="2" t="s">
        <v>232</v>
      </c>
      <c r="V1" s="2" t="s">
        <v>1102</v>
      </c>
      <c r="W1" s="2" t="s">
        <v>412</v>
      </c>
      <c r="X1" s="2" t="s">
        <v>413</v>
      </c>
      <c r="Y1" s="2" t="s">
        <v>410</v>
      </c>
      <c r="Z1" s="2" t="s">
        <v>156</v>
      </c>
      <c r="AA1" s="2" t="s">
        <v>1131</v>
      </c>
      <c r="AB1" s="2" t="s">
        <v>224</v>
      </c>
      <c r="AC1" s="2" t="s">
        <v>157</v>
      </c>
      <c r="AD1" s="2" t="s">
        <v>211</v>
      </c>
      <c r="AE1" s="2" t="s">
        <v>212</v>
      </c>
      <c r="AF1" s="2" t="s">
        <v>3</v>
      </c>
      <c r="AG1" s="2" t="s">
        <v>10</v>
      </c>
      <c r="AH1" s="2" t="s">
        <v>14</v>
      </c>
      <c r="AI1" s="2" t="s">
        <v>378</v>
      </c>
      <c r="AJ1" s="2" t="s">
        <v>501</v>
      </c>
      <c r="AK1" s="2" t="s">
        <v>96</v>
      </c>
      <c r="AL1" s="2" t="s">
        <v>1087</v>
      </c>
      <c r="AM1" s="2" t="s">
        <v>1246</v>
      </c>
      <c r="AN1" s="2" t="s">
        <v>1247</v>
      </c>
      <c r="AO1" s="2" t="s">
        <v>1248</v>
      </c>
      <c r="AP1" s="2" t="s">
        <v>1249</v>
      </c>
      <c r="AQ1" s="2" t="s">
        <v>1250</v>
      </c>
      <c r="AR1" s="2" t="s">
        <v>497</v>
      </c>
      <c r="AS1" s="2" t="s">
        <v>20</v>
      </c>
      <c r="AT1" s="2" t="s">
        <v>161</v>
      </c>
      <c r="AU1" s="2" t="s">
        <v>162</v>
      </c>
      <c r="AV1" s="2" t="s">
        <v>390</v>
      </c>
      <c r="AW1" s="2" t="s">
        <v>867</v>
      </c>
      <c r="AX1" s="2" t="s">
        <v>1</v>
      </c>
      <c r="AY1" s="2" t="s">
        <v>2</v>
      </c>
      <c r="AZ1" s="2" t="s">
        <v>391</v>
      </c>
      <c r="BA1" s="2" t="s">
        <v>1123</v>
      </c>
      <c r="BB1" s="2" t="s">
        <v>233</v>
      </c>
      <c r="BC1" s="2" t="s">
        <v>411</v>
      </c>
      <c r="BD1" s="2" t="s">
        <v>5</v>
      </c>
      <c r="BE1" s="2" t="s">
        <v>6</v>
      </c>
      <c r="BF1" s="2" t="s">
        <v>15</v>
      </c>
      <c r="BG1" s="2" t="s">
        <v>16</v>
      </c>
      <c r="BH1" s="2" t="s">
        <v>7</v>
      </c>
      <c r="BI1" s="2" t="s">
        <v>17</v>
      </c>
      <c r="BJ1" s="2" t="s">
        <v>18</v>
      </c>
      <c r="BK1" s="2" t="s">
        <v>19</v>
      </c>
      <c r="BL1" s="2" t="s">
        <v>498</v>
      </c>
      <c r="BM1" s="2" t="s">
        <v>49</v>
      </c>
    </row>
    <row r="2" spans="1:65" x14ac:dyDescent="0.25">
      <c r="A2" s="1" t="s">
        <v>51</v>
      </c>
      <c r="B2" s="1" t="s">
        <v>126</v>
      </c>
      <c r="C2" s="1" t="str">
        <f>VLOOKUP(Tabelle58971115[[#This Row],[Prozess]],Tabelle22333[],3,FALSE)</f>
        <v>ProcessShed_Ind</v>
      </c>
      <c r="D2" s="1">
        <v>2010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8">
        <v>53.2</v>
      </c>
      <c r="K2" s="8">
        <v>3800</v>
      </c>
      <c r="L2" s="8">
        <v>14000</v>
      </c>
      <c r="M2" s="19"/>
      <c r="N2" s="98"/>
      <c r="O2" s="19">
        <v>211</v>
      </c>
      <c r="P2" s="19"/>
      <c r="Q2" s="9">
        <v>0.75</v>
      </c>
      <c r="R2" s="9">
        <v>0.25</v>
      </c>
      <c r="S2" s="9"/>
      <c r="T2" s="9">
        <v>1</v>
      </c>
      <c r="U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2" s="9">
        <v>0.05</v>
      </c>
      <c r="W2" s="39"/>
      <c r="X2" s="39"/>
      <c r="Y2" s="39">
        <v>1</v>
      </c>
      <c r="Z2" s="99"/>
      <c r="AA2" s="1">
        <v>4</v>
      </c>
      <c r="AC2" s="1">
        <v>0</v>
      </c>
      <c r="AD2" s="1">
        <v>0</v>
      </c>
      <c r="AE2" s="1">
        <v>0</v>
      </c>
      <c r="AF2" s="1">
        <v>0</v>
      </c>
      <c r="AG2" s="1">
        <v>24</v>
      </c>
      <c r="AH2" s="1" t="s">
        <v>368</v>
      </c>
      <c r="AI2" s="1" t="s">
        <v>274</v>
      </c>
      <c r="AJ2" s="1">
        <f>24/4</f>
        <v>6</v>
      </c>
      <c r="AK2" s="99"/>
      <c r="AL2" s="1">
        <v>40</v>
      </c>
      <c r="AM2" s="19">
        <v>0</v>
      </c>
      <c r="AN2" s="97"/>
      <c r="AO2" s="8">
        <f>1*10^3*Umrechnungsfaktoren!$B$15/Umrechnungsfaktoren!$B$11</f>
        <v>1043.2160804020102</v>
      </c>
      <c r="AP2" s="8"/>
      <c r="AQ2" s="8">
        <v>0</v>
      </c>
      <c r="AR2" s="7">
        <v>0.66</v>
      </c>
      <c r="AS2" s="1" t="s">
        <v>379</v>
      </c>
      <c r="AT2" s="1" t="s">
        <v>479</v>
      </c>
      <c r="AU2" s="1" t="s">
        <v>479</v>
      </c>
      <c r="AV2" s="1" t="s">
        <v>479</v>
      </c>
      <c r="AW2" s="1" t="s">
        <v>1103</v>
      </c>
      <c r="AX2" s="13" t="s">
        <v>476</v>
      </c>
      <c r="AY2" s="13" t="s">
        <v>477</v>
      </c>
      <c r="AZ2" s="13" t="s">
        <v>467</v>
      </c>
      <c r="BA2" s="13" t="s">
        <v>467</v>
      </c>
      <c r="BB2" s="13" t="s">
        <v>467</v>
      </c>
      <c r="BC2" s="13" t="s">
        <v>496</v>
      </c>
      <c r="BD2" s="1" t="s">
        <v>475</v>
      </c>
      <c r="BE2" s="1" t="s">
        <v>465</v>
      </c>
      <c r="BF2" s="1" t="s">
        <v>473</v>
      </c>
      <c r="BG2" s="1" t="s">
        <v>465</v>
      </c>
      <c r="BH2" s="1" t="s">
        <v>502</v>
      </c>
      <c r="BI2" s="1" t="s">
        <v>499</v>
      </c>
      <c r="BJ2" s="1" t="s">
        <v>500</v>
      </c>
      <c r="BK2" s="1" t="s">
        <v>499</v>
      </c>
      <c r="BL2" s="1" t="s">
        <v>499</v>
      </c>
    </row>
    <row r="3" spans="1:65" hidden="1" x14ac:dyDescent="0.25">
      <c r="A3" s="1" t="s">
        <v>51</v>
      </c>
      <c r="B3" s="1" t="s">
        <v>126</v>
      </c>
      <c r="C3" s="1" t="str">
        <f>VLOOKUP(Tabelle58971115[[#This Row],[Prozess]],Tabelle22333[],3,FALSE)</f>
        <v>ProcessShed_Ind</v>
      </c>
      <c r="D3" s="1">
        <v>2020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8">
        <v>48.125277550609667</v>
      </c>
      <c r="K3" s="8"/>
      <c r="L3" s="8"/>
      <c r="M3" s="19"/>
      <c r="N3" s="98"/>
      <c r="O3" s="19">
        <v>189</v>
      </c>
      <c r="P3" s="19"/>
      <c r="Q3" s="9">
        <v>0.75</v>
      </c>
      <c r="R3" s="9">
        <v>0.25</v>
      </c>
      <c r="S3" s="9"/>
      <c r="T3" s="9">
        <v>1</v>
      </c>
      <c r="U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3" s="9">
        <v>0.05</v>
      </c>
      <c r="W3" s="39"/>
      <c r="X3" s="39"/>
      <c r="Y3" s="39">
        <v>1</v>
      </c>
      <c r="Z3" s="99"/>
      <c r="AA3" s="1">
        <v>4</v>
      </c>
      <c r="AC3" s="1">
        <v>0</v>
      </c>
      <c r="AD3" s="1">
        <v>0</v>
      </c>
      <c r="AE3" s="1">
        <v>0</v>
      </c>
      <c r="AF3" s="1">
        <v>0</v>
      </c>
      <c r="AG3" s="1">
        <v>24</v>
      </c>
      <c r="AH3" s="1" t="s">
        <v>368</v>
      </c>
      <c r="AI3" s="1" t="s">
        <v>274</v>
      </c>
      <c r="AJ3" s="1">
        <f t="shared" ref="AJ3:AJ17" si="0">24/4</f>
        <v>6</v>
      </c>
      <c r="AK3" s="99"/>
      <c r="AL3" s="1">
        <v>40</v>
      </c>
      <c r="AM3" s="19">
        <v>0</v>
      </c>
      <c r="AN3" s="97"/>
      <c r="AO3" s="8">
        <f>1*10^3*Umrechnungsfaktoren!$B$15/Umrechnungsfaktoren!$B$11</f>
        <v>1043.2160804020102</v>
      </c>
      <c r="AP3" s="8"/>
      <c r="AQ3" s="8">
        <v>0</v>
      </c>
      <c r="AR3" s="7">
        <v>0.66</v>
      </c>
      <c r="AS3" s="1" t="s">
        <v>379</v>
      </c>
      <c r="AT3" s="1" t="s">
        <v>479</v>
      </c>
      <c r="AU3" s="1" t="s">
        <v>479</v>
      </c>
      <c r="AV3" s="1" t="s">
        <v>479</v>
      </c>
      <c r="AW3" s="1" t="s">
        <v>466</v>
      </c>
      <c r="AX3" s="13" t="s">
        <v>470</v>
      </c>
      <c r="AY3" s="13" t="s">
        <v>470</v>
      </c>
      <c r="AZ3" s="13" t="s">
        <v>467</v>
      </c>
      <c r="BA3" s="13" t="s">
        <v>467</v>
      </c>
      <c r="BB3" s="13" t="s">
        <v>467</v>
      </c>
      <c r="BC3" s="13" t="s">
        <v>496</v>
      </c>
      <c r="BD3" s="1" t="s">
        <v>475</v>
      </c>
      <c r="BE3" s="1" t="s">
        <v>465</v>
      </c>
      <c r="BF3" s="1" t="s">
        <v>473</v>
      </c>
      <c r="BG3" s="1" t="s">
        <v>465</v>
      </c>
      <c r="BH3" s="1" t="s">
        <v>502</v>
      </c>
      <c r="BI3" s="1" t="s">
        <v>499</v>
      </c>
      <c r="BJ3" s="1" t="s">
        <v>500</v>
      </c>
      <c r="BK3" s="1" t="s">
        <v>499</v>
      </c>
      <c r="BL3" s="1" t="s">
        <v>499</v>
      </c>
    </row>
    <row r="4" spans="1:65" hidden="1" x14ac:dyDescent="0.25">
      <c r="A4" s="1" t="s">
        <v>51</v>
      </c>
      <c r="B4" s="1" t="s">
        <v>126</v>
      </c>
      <c r="C4" s="1" t="str">
        <f>VLOOKUP(Tabelle58971115[[#This Row],[Prozess]],Tabelle22333[],3,FALSE)</f>
        <v>ProcessShed_Ind</v>
      </c>
      <c r="D4" s="1">
        <v>2030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8">
        <v>43.534630438406289</v>
      </c>
      <c r="K4" s="8"/>
      <c r="L4" s="8"/>
      <c r="M4" s="19"/>
      <c r="N4" s="98"/>
      <c r="O4" s="19">
        <v>171</v>
      </c>
      <c r="P4" s="19"/>
      <c r="Q4" s="9">
        <v>0.75</v>
      </c>
      <c r="R4" s="9">
        <v>0.25</v>
      </c>
      <c r="S4" s="9"/>
      <c r="T4" s="9">
        <v>1</v>
      </c>
      <c r="U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4" s="9">
        <v>0.05</v>
      </c>
      <c r="W4" s="39"/>
      <c r="X4" s="39"/>
      <c r="Y4" s="39">
        <v>1</v>
      </c>
      <c r="Z4" s="99"/>
      <c r="AA4" s="1">
        <v>4</v>
      </c>
      <c r="AC4" s="1">
        <v>0</v>
      </c>
      <c r="AD4" s="1">
        <v>0</v>
      </c>
      <c r="AE4" s="1">
        <v>0</v>
      </c>
      <c r="AF4" s="1">
        <v>0</v>
      </c>
      <c r="AG4" s="1">
        <v>24</v>
      </c>
      <c r="AH4" s="1" t="s">
        <v>368</v>
      </c>
      <c r="AI4" s="1" t="s">
        <v>274</v>
      </c>
      <c r="AJ4" s="1">
        <f t="shared" si="0"/>
        <v>6</v>
      </c>
      <c r="AK4" s="99"/>
      <c r="AL4" s="1">
        <v>40</v>
      </c>
      <c r="AM4" s="19">
        <v>0</v>
      </c>
      <c r="AN4" s="97"/>
      <c r="AO4" s="8">
        <f>1*10^3*Umrechnungsfaktoren!$B$15/Umrechnungsfaktoren!$B$11</f>
        <v>1043.2160804020102</v>
      </c>
      <c r="AP4" s="8"/>
      <c r="AQ4" s="8">
        <v>0</v>
      </c>
      <c r="AR4" s="7">
        <v>0.66</v>
      </c>
      <c r="AS4" s="1" t="s">
        <v>379</v>
      </c>
      <c r="AT4" s="1" t="s">
        <v>479</v>
      </c>
      <c r="AU4" s="1" t="s">
        <v>479</v>
      </c>
      <c r="AV4" s="1" t="s">
        <v>479</v>
      </c>
      <c r="AW4" s="1" t="s">
        <v>466</v>
      </c>
      <c r="AX4" s="13" t="s">
        <v>471</v>
      </c>
      <c r="AY4" s="13" t="s">
        <v>471</v>
      </c>
      <c r="AZ4" s="13" t="s">
        <v>467</v>
      </c>
      <c r="BA4" s="13" t="s">
        <v>467</v>
      </c>
      <c r="BB4" s="13" t="s">
        <v>467</v>
      </c>
      <c r="BC4" s="13" t="s">
        <v>496</v>
      </c>
      <c r="BD4" s="1" t="s">
        <v>475</v>
      </c>
      <c r="BE4" s="1" t="s">
        <v>465</v>
      </c>
      <c r="BF4" s="1" t="s">
        <v>473</v>
      </c>
      <c r="BG4" s="1" t="s">
        <v>465</v>
      </c>
      <c r="BH4" s="1" t="s">
        <v>502</v>
      </c>
      <c r="BI4" s="1" t="s">
        <v>499</v>
      </c>
      <c r="BJ4" s="1" t="s">
        <v>500</v>
      </c>
      <c r="BK4" s="1" t="s">
        <v>499</v>
      </c>
      <c r="BL4" s="1" t="s">
        <v>499</v>
      </c>
    </row>
    <row r="5" spans="1:65" hidden="1" x14ac:dyDescent="0.25">
      <c r="A5" s="1" t="s">
        <v>51</v>
      </c>
      <c r="B5" s="1" t="s">
        <v>126</v>
      </c>
      <c r="C5" s="1" t="str">
        <f>VLOOKUP(Tabelle58971115[[#This Row],[Prozess]],Tabelle22333[],3,FALSE)</f>
        <v>ProcessShed_Ind</v>
      </c>
      <c r="D5" s="1">
        <v>2050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8">
        <v>35.625264049034051</v>
      </c>
      <c r="K5" s="8"/>
      <c r="L5" s="8"/>
      <c r="M5" s="19"/>
      <c r="N5" s="98"/>
      <c r="O5" s="19">
        <v>140</v>
      </c>
      <c r="P5" s="19"/>
      <c r="Q5" s="9">
        <v>0.75</v>
      </c>
      <c r="R5" s="9">
        <v>0.25</v>
      </c>
      <c r="S5" s="9"/>
      <c r="T5" s="9">
        <v>1</v>
      </c>
      <c r="U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5" s="9">
        <v>0.05</v>
      </c>
      <c r="W5" s="39"/>
      <c r="X5" s="39"/>
      <c r="Y5" s="39">
        <v>1</v>
      </c>
      <c r="Z5" s="99"/>
      <c r="AA5" s="1">
        <v>4</v>
      </c>
      <c r="AC5" s="1">
        <v>0</v>
      </c>
      <c r="AD5" s="1">
        <v>0</v>
      </c>
      <c r="AE5" s="1">
        <v>0</v>
      </c>
      <c r="AF5" s="1">
        <v>0</v>
      </c>
      <c r="AG5" s="1">
        <v>24</v>
      </c>
      <c r="AH5" s="1" t="s">
        <v>368</v>
      </c>
      <c r="AI5" s="1" t="s">
        <v>274</v>
      </c>
      <c r="AJ5" s="1">
        <f t="shared" si="0"/>
        <v>6</v>
      </c>
      <c r="AK5" s="99"/>
      <c r="AL5" s="1">
        <v>40</v>
      </c>
      <c r="AM5" s="19">
        <v>0</v>
      </c>
      <c r="AN5" s="97"/>
      <c r="AO5" s="8">
        <f>1*10^3*Umrechnungsfaktoren!$B$15/Umrechnungsfaktoren!$B$11</f>
        <v>1043.2160804020102</v>
      </c>
      <c r="AP5" s="8"/>
      <c r="AQ5" s="8">
        <v>0</v>
      </c>
      <c r="AR5" s="7">
        <v>0.66</v>
      </c>
      <c r="AS5" s="1" t="s">
        <v>379</v>
      </c>
      <c r="AT5" s="1" t="s">
        <v>479</v>
      </c>
      <c r="AU5" s="1" t="s">
        <v>479</v>
      </c>
      <c r="AV5" s="1" t="s">
        <v>479</v>
      </c>
      <c r="AW5" s="1" t="s">
        <v>466</v>
      </c>
      <c r="AX5" s="13" t="s">
        <v>472</v>
      </c>
      <c r="AY5" s="13" t="s">
        <v>472</v>
      </c>
      <c r="AZ5" s="13" t="s">
        <v>467</v>
      </c>
      <c r="BA5" s="13" t="s">
        <v>467</v>
      </c>
      <c r="BB5" s="13" t="s">
        <v>467</v>
      </c>
      <c r="BC5" s="13" t="s">
        <v>496</v>
      </c>
      <c r="BD5" s="1" t="s">
        <v>475</v>
      </c>
      <c r="BE5" s="1" t="s">
        <v>465</v>
      </c>
      <c r="BF5" s="1" t="s">
        <v>473</v>
      </c>
      <c r="BG5" s="1" t="s">
        <v>465</v>
      </c>
      <c r="BH5" s="1" t="s">
        <v>502</v>
      </c>
      <c r="BI5" s="1" t="s">
        <v>499</v>
      </c>
      <c r="BJ5" s="1" t="s">
        <v>500</v>
      </c>
      <c r="BK5" s="1" t="s">
        <v>499</v>
      </c>
      <c r="BL5" s="1" t="s">
        <v>499</v>
      </c>
    </row>
    <row r="6" spans="1:65" x14ac:dyDescent="0.25">
      <c r="A6" s="1" t="s">
        <v>27</v>
      </c>
      <c r="B6" s="1" t="s">
        <v>126</v>
      </c>
      <c r="C6" s="1" t="str">
        <f>VLOOKUP(Tabelle58971115[[#This Row],[Prozess]],Tabelle22333[],3,FALSE)</f>
        <v>ProcessShed_Ind</v>
      </c>
      <c r="D6" s="1">
        <v>2010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8">
        <v>28.410000000000004</v>
      </c>
      <c r="K6" s="8">
        <f>(6.5+4.1)*10^3</f>
        <v>10600</v>
      </c>
      <c r="L6" s="8">
        <f>(2100*6.5+3600*4.1)/10.6</f>
        <v>2680.1886792452833</v>
      </c>
      <c r="M6" s="19"/>
      <c r="N6" s="98"/>
      <c r="O6" s="19">
        <v>575</v>
      </c>
      <c r="P6" s="19"/>
      <c r="Q6" s="9">
        <f>2100/5600*50%+3600/5600*30%</f>
        <v>0.38035714285714284</v>
      </c>
      <c r="R6" s="9">
        <f>2100/5600*(100%-50%)+3600/5600*(100%-30%)</f>
        <v>0.63749999999999996</v>
      </c>
      <c r="S6" s="9"/>
      <c r="T6" s="9">
        <v>0.95</v>
      </c>
      <c r="U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V6" s="9">
        <v>0.05</v>
      </c>
      <c r="W6" s="39"/>
      <c r="X6" s="39"/>
      <c r="Y6" s="39">
        <v>1</v>
      </c>
      <c r="Z6" s="99"/>
      <c r="AA6" s="1">
        <v>4</v>
      </c>
      <c r="AC6" s="1">
        <v>0</v>
      </c>
      <c r="AD6" s="1">
        <v>0</v>
      </c>
      <c r="AE6" s="1">
        <v>0</v>
      </c>
      <c r="AF6" s="1">
        <v>0</v>
      </c>
      <c r="AG6" s="1">
        <v>24</v>
      </c>
      <c r="AH6" s="1" t="s">
        <v>368</v>
      </c>
      <c r="AI6" s="1" t="s">
        <v>274</v>
      </c>
      <c r="AJ6" s="1">
        <f t="shared" si="0"/>
        <v>6</v>
      </c>
      <c r="AK6" s="99"/>
      <c r="AL6" s="1">
        <v>40</v>
      </c>
      <c r="AM6" s="19">
        <v>0</v>
      </c>
      <c r="AN6" s="97"/>
      <c r="AO6" s="8">
        <f>1*10^3*Umrechnungsfaktoren!$B$15/Umrechnungsfaktoren!$B$11</f>
        <v>1043.2160804020102</v>
      </c>
      <c r="AP6" s="8"/>
      <c r="AQ6" s="8">
        <v>0</v>
      </c>
      <c r="AR6" s="7">
        <v>0.66</v>
      </c>
      <c r="AS6" s="1" t="s">
        <v>379</v>
      </c>
      <c r="AT6" s="1" t="s">
        <v>479</v>
      </c>
      <c r="AU6" s="1" t="s">
        <v>479</v>
      </c>
      <c r="AV6" s="1" t="s">
        <v>479</v>
      </c>
      <c r="AW6" s="1" t="s">
        <v>1103</v>
      </c>
      <c r="AX6" s="13" t="s">
        <v>476</v>
      </c>
      <c r="AY6" s="13" t="s">
        <v>477</v>
      </c>
      <c r="AZ6" s="13" t="s">
        <v>467</v>
      </c>
      <c r="BA6" s="13" t="s">
        <v>467</v>
      </c>
      <c r="BB6" s="13" t="s">
        <v>467</v>
      </c>
      <c r="BC6" s="13" t="s">
        <v>496</v>
      </c>
      <c r="BD6" s="1" t="s">
        <v>475</v>
      </c>
      <c r="BE6" s="1" t="s">
        <v>465</v>
      </c>
      <c r="BF6" s="1" t="s">
        <v>473</v>
      </c>
      <c r="BG6" s="1" t="s">
        <v>465</v>
      </c>
      <c r="BH6" s="1" t="s">
        <v>502</v>
      </c>
      <c r="BI6" s="1" t="s">
        <v>499</v>
      </c>
      <c r="BJ6" s="1" t="s">
        <v>500</v>
      </c>
      <c r="BK6" s="1" t="s">
        <v>499</v>
      </c>
      <c r="BL6" s="1" t="s">
        <v>499</v>
      </c>
    </row>
    <row r="7" spans="1:65" hidden="1" x14ac:dyDescent="0.25">
      <c r="A7" s="1" t="s">
        <v>27</v>
      </c>
      <c r="B7" s="1" t="s">
        <v>126</v>
      </c>
      <c r="C7" s="1" t="str">
        <f>VLOOKUP(Tabelle58971115[[#This Row],[Prozess]],Tabelle22333[],3,FALSE)</f>
        <v>ProcessShed_Ind</v>
      </c>
      <c r="D7" s="1">
        <v>2020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8">
        <v>26.485455967763013</v>
      </c>
      <c r="K7" s="8"/>
      <c r="L7" s="8"/>
      <c r="M7" s="19"/>
      <c r="N7" s="98"/>
      <c r="O7" s="19">
        <v>514</v>
      </c>
      <c r="P7" s="19"/>
      <c r="Q7" s="9">
        <f>2100/5600*50%+3600/5600*30%</f>
        <v>0.38035714285714284</v>
      </c>
      <c r="R7" s="9">
        <f>2100/5600*(100%-50%)+3600/5600*(100%-30%)</f>
        <v>0.63749999999999996</v>
      </c>
      <c r="S7" s="9"/>
      <c r="T7" s="9">
        <v>0.95</v>
      </c>
      <c r="U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V7" s="9">
        <v>0.05</v>
      </c>
      <c r="W7" s="39"/>
      <c r="X7" s="39"/>
      <c r="Y7" s="39">
        <v>1</v>
      </c>
      <c r="Z7" s="99"/>
      <c r="AA7" s="1">
        <v>4</v>
      </c>
      <c r="AC7" s="1">
        <v>0</v>
      </c>
      <c r="AD7" s="1">
        <v>0</v>
      </c>
      <c r="AE7" s="1">
        <v>0</v>
      </c>
      <c r="AF7" s="1">
        <v>0</v>
      </c>
      <c r="AG7" s="1">
        <v>24</v>
      </c>
      <c r="AH7" s="1" t="s">
        <v>368</v>
      </c>
      <c r="AI7" s="1" t="s">
        <v>274</v>
      </c>
      <c r="AJ7" s="1">
        <f t="shared" si="0"/>
        <v>6</v>
      </c>
      <c r="AK7" s="99"/>
      <c r="AL7" s="1">
        <v>40</v>
      </c>
      <c r="AM7" s="19">
        <v>0</v>
      </c>
      <c r="AN7" s="97"/>
      <c r="AO7" s="8">
        <f>1*10^3*Umrechnungsfaktoren!$B$15/Umrechnungsfaktoren!$B$11</f>
        <v>1043.2160804020102</v>
      </c>
      <c r="AP7" s="8"/>
      <c r="AQ7" s="8">
        <v>0</v>
      </c>
      <c r="AR7" s="7">
        <v>0.66</v>
      </c>
      <c r="AS7" s="1" t="s">
        <v>379</v>
      </c>
      <c r="AT7" s="1" t="s">
        <v>479</v>
      </c>
      <c r="AU7" s="1" t="s">
        <v>479</v>
      </c>
      <c r="AV7" s="1" t="s">
        <v>479</v>
      </c>
      <c r="AW7" s="1" t="s">
        <v>466</v>
      </c>
      <c r="AX7" s="13" t="s">
        <v>470</v>
      </c>
      <c r="AY7" s="13" t="s">
        <v>470</v>
      </c>
      <c r="AZ7" s="13" t="s">
        <v>467</v>
      </c>
      <c r="BA7" s="13" t="s">
        <v>467</v>
      </c>
      <c r="BB7" s="13" t="s">
        <v>467</v>
      </c>
      <c r="BC7" s="13" t="s">
        <v>496</v>
      </c>
      <c r="BD7" s="1" t="s">
        <v>475</v>
      </c>
      <c r="BE7" s="1" t="s">
        <v>465</v>
      </c>
      <c r="BF7" s="1" t="s">
        <v>473</v>
      </c>
      <c r="BG7" s="1" t="s">
        <v>465</v>
      </c>
      <c r="BH7" s="1" t="s">
        <v>502</v>
      </c>
      <c r="BI7" s="1" t="s">
        <v>499</v>
      </c>
      <c r="BJ7" s="1" t="s">
        <v>500</v>
      </c>
      <c r="BK7" s="1" t="s">
        <v>499</v>
      </c>
      <c r="BL7" s="1" t="s">
        <v>499</v>
      </c>
    </row>
    <row r="8" spans="1:65" hidden="1" x14ac:dyDescent="0.25">
      <c r="A8" s="1" t="s">
        <v>27</v>
      </c>
      <c r="B8" s="1" t="s">
        <v>126</v>
      </c>
      <c r="C8" s="1" t="str">
        <f>VLOOKUP(Tabelle58971115[[#This Row],[Prozess]],Tabelle22333[],3,FALSE)</f>
        <v>ProcessShed_Ind</v>
      </c>
      <c r="D8" s="1">
        <v>2030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8">
        <v>24.691283978187727</v>
      </c>
      <c r="K8" s="8"/>
      <c r="L8" s="8"/>
      <c r="M8" s="19"/>
      <c r="N8" s="98"/>
      <c r="O8" s="19">
        <v>452</v>
      </c>
      <c r="P8" s="19"/>
      <c r="Q8" s="9">
        <f>2100/5600*50%+3600/5600*30%</f>
        <v>0.38035714285714284</v>
      </c>
      <c r="R8" s="9">
        <f>2100/5600*(100%-50%)+3600/5600*(100%-30%)</f>
        <v>0.63749999999999996</v>
      </c>
      <c r="S8" s="9"/>
      <c r="T8" s="9">
        <v>0.95</v>
      </c>
      <c r="U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V8" s="9">
        <v>0.05</v>
      </c>
      <c r="W8" s="39"/>
      <c r="X8" s="39"/>
      <c r="Y8" s="39">
        <v>1</v>
      </c>
      <c r="Z8" s="99"/>
      <c r="AA8" s="1">
        <v>4</v>
      </c>
      <c r="AC8" s="1">
        <v>0</v>
      </c>
      <c r="AD8" s="1">
        <v>0</v>
      </c>
      <c r="AE8" s="1">
        <v>0</v>
      </c>
      <c r="AF8" s="1">
        <v>0</v>
      </c>
      <c r="AG8" s="1">
        <v>24</v>
      </c>
      <c r="AH8" s="1" t="s">
        <v>368</v>
      </c>
      <c r="AI8" s="1" t="s">
        <v>274</v>
      </c>
      <c r="AJ8" s="1">
        <f t="shared" si="0"/>
        <v>6</v>
      </c>
      <c r="AK8" s="99"/>
      <c r="AL8" s="1">
        <v>40</v>
      </c>
      <c r="AM8" s="19">
        <v>0</v>
      </c>
      <c r="AN8" s="97"/>
      <c r="AO8" s="8">
        <f>1*10^3*Umrechnungsfaktoren!$B$15/Umrechnungsfaktoren!$B$11</f>
        <v>1043.2160804020102</v>
      </c>
      <c r="AP8" s="8"/>
      <c r="AQ8" s="8">
        <v>0</v>
      </c>
      <c r="AR8" s="7">
        <v>0.66</v>
      </c>
      <c r="AS8" s="1" t="s">
        <v>379</v>
      </c>
      <c r="AT8" s="1" t="s">
        <v>479</v>
      </c>
      <c r="AU8" s="1" t="s">
        <v>479</v>
      </c>
      <c r="AV8" s="1" t="s">
        <v>479</v>
      </c>
      <c r="AW8" s="1" t="s">
        <v>466</v>
      </c>
      <c r="AX8" s="13" t="s">
        <v>471</v>
      </c>
      <c r="AY8" s="13" t="s">
        <v>471</v>
      </c>
      <c r="AZ8" s="13" t="s">
        <v>467</v>
      </c>
      <c r="BA8" s="13" t="s">
        <v>467</v>
      </c>
      <c r="BB8" s="13" t="s">
        <v>467</v>
      </c>
      <c r="BC8" s="13" t="s">
        <v>496</v>
      </c>
      <c r="BD8" s="1" t="s">
        <v>475</v>
      </c>
      <c r="BE8" s="1" t="s">
        <v>465</v>
      </c>
      <c r="BF8" s="1" t="s">
        <v>473</v>
      </c>
      <c r="BG8" s="1" t="s">
        <v>465</v>
      </c>
      <c r="BH8" s="1" t="s">
        <v>502</v>
      </c>
      <c r="BI8" s="1" t="s">
        <v>499</v>
      </c>
      <c r="BJ8" s="1" t="s">
        <v>500</v>
      </c>
      <c r="BK8" s="1" t="s">
        <v>499</v>
      </c>
      <c r="BL8" s="1" t="s">
        <v>499</v>
      </c>
    </row>
    <row r="9" spans="1:65" hidden="1" x14ac:dyDescent="0.25">
      <c r="A9" s="1" t="s">
        <v>27</v>
      </c>
      <c r="B9" s="1" t="s">
        <v>126</v>
      </c>
      <c r="C9" s="1" t="str">
        <f>VLOOKUP(Tabelle58971115[[#This Row],[Prozess]],Tabelle22333[],3,FALSE)</f>
        <v>ProcessShed_Ind</v>
      </c>
      <c r="D9" s="1">
        <v>2050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8">
        <v>21.45932785960964</v>
      </c>
      <c r="K9" s="8"/>
      <c r="L9" s="8"/>
      <c r="M9" s="19"/>
      <c r="N9" s="98"/>
      <c r="O9" s="19">
        <v>393</v>
      </c>
      <c r="P9" s="19"/>
      <c r="Q9" s="9">
        <f>2100/5600*50%+3600/5600*30%</f>
        <v>0.38035714285714284</v>
      </c>
      <c r="R9" s="9">
        <f>2100/5600*(100%-50%)+3600/5600*(100%-30%)</f>
        <v>0.63749999999999996</v>
      </c>
      <c r="S9" s="9"/>
      <c r="T9" s="9">
        <v>0.95</v>
      </c>
      <c r="U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V9" s="9">
        <v>0.05</v>
      </c>
      <c r="W9" s="39"/>
      <c r="X9" s="39"/>
      <c r="Y9" s="39">
        <v>1</v>
      </c>
      <c r="Z9" s="99"/>
      <c r="AA9" s="1">
        <v>4</v>
      </c>
      <c r="AC9" s="1">
        <v>0</v>
      </c>
      <c r="AD9" s="1">
        <v>0</v>
      </c>
      <c r="AE9" s="1">
        <v>0</v>
      </c>
      <c r="AF9" s="1">
        <v>0</v>
      </c>
      <c r="AG9" s="1">
        <v>24</v>
      </c>
      <c r="AH9" s="1" t="s">
        <v>368</v>
      </c>
      <c r="AI9" s="1" t="s">
        <v>274</v>
      </c>
      <c r="AJ9" s="1">
        <f t="shared" si="0"/>
        <v>6</v>
      </c>
      <c r="AK9" s="99"/>
      <c r="AL9" s="1">
        <v>40</v>
      </c>
      <c r="AM9" s="19">
        <v>0</v>
      </c>
      <c r="AN9" s="97"/>
      <c r="AO9" s="8">
        <f>1*10^3*Umrechnungsfaktoren!$B$15/Umrechnungsfaktoren!$B$11</f>
        <v>1043.2160804020102</v>
      </c>
      <c r="AP9" s="8"/>
      <c r="AQ9" s="8">
        <v>0</v>
      </c>
      <c r="AR9" s="7">
        <v>0.66</v>
      </c>
      <c r="AS9" s="1" t="s">
        <v>379</v>
      </c>
      <c r="AT9" s="1" t="s">
        <v>479</v>
      </c>
      <c r="AU9" s="1" t="s">
        <v>479</v>
      </c>
      <c r="AV9" s="1" t="s">
        <v>479</v>
      </c>
      <c r="AW9" s="1" t="s">
        <v>466</v>
      </c>
      <c r="AX9" s="13" t="s">
        <v>472</v>
      </c>
      <c r="AY9" s="13" t="s">
        <v>472</v>
      </c>
      <c r="AZ9" s="13" t="s">
        <v>467</v>
      </c>
      <c r="BA9" s="13" t="s">
        <v>467</v>
      </c>
      <c r="BB9" s="13" t="s">
        <v>467</v>
      </c>
      <c r="BC9" s="13" t="s">
        <v>496</v>
      </c>
      <c r="BD9" s="1" t="s">
        <v>475</v>
      </c>
      <c r="BE9" s="1" t="s">
        <v>465</v>
      </c>
      <c r="BF9" s="1" t="s">
        <v>473</v>
      </c>
      <c r="BG9" s="1" t="s">
        <v>465</v>
      </c>
      <c r="BH9" s="1" t="s">
        <v>502</v>
      </c>
      <c r="BI9" s="1" t="s">
        <v>499</v>
      </c>
      <c r="BJ9" s="1" t="s">
        <v>500</v>
      </c>
      <c r="BK9" s="1" t="s">
        <v>499</v>
      </c>
      <c r="BL9" s="1" t="s">
        <v>499</v>
      </c>
    </row>
    <row r="10" spans="1:65" x14ac:dyDescent="0.25">
      <c r="A10" s="1" t="s">
        <v>69</v>
      </c>
      <c r="B10" s="1" t="s">
        <v>126</v>
      </c>
      <c r="C10" s="1" t="str">
        <f>VLOOKUP(Tabelle58971115[[#This Row],[Prozess]],Tabelle22333[],3,FALSE)</f>
        <v>ProcessShed_Ind</v>
      </c>
      <c r="D10" s="1">
        <v>2010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8">
        <v>1.085</v>
      </c>
      <c r="K10" s="8">
        <v>3100</v>
      </c>
      <c r="L10" s="8">
        <v>350</v>
      </c>
      <c r="M10" s="19"/>
      <c r="N10" s="98"/>
      <c r="O10" s="19">
        <v>5</v>
      </c>
      <c r="P10" s="19"/>
      <c r="Q10" s="9">
        <v>0.75</v>
      </c>
      <c r="R10" s="9">
        <v>0.25</v>
      </c>
      <c r="S10" s="9"/>
      <c r="T10" s="9">
        <v>1</v>
      </c>
      <c r="U1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0" s="9">
        <v>0.05</v>
      </c>
      <c r="W10" s="39"/>
      <c r="X10" s="39"/>
      <c r="Y10" s="39">
        <v>1</v>
      </c>
      <c r="Z10" s="99"/>
      <c r="AA10" s="1">
        <v>4</v>
      </c>
      <c r="AC10" s="1">
        <v>0</v>
      </c>
      <c r="AD10" s="1">
        <v>0</v>
      </c>
      <c r="AE10" s="1">
        <v>0</v>
      </c>
      <c r="AF10" s="1">
        <v>0</v>
      </c>
      <c r="AG10" s="1">
        <v>24</v>
      </c>
      <c r="AH10" s="1" t="s">
        <v>368</v>
      </c>
      <c r="AI10" s="1" t="s">
        <v>274</v>
      </c>
      <c r="AJ10" s="1">
        <f t="shared" si="0"/>
        <v>6</v>
      </c>
      <c r="AK10" s="99"/>
      <c r="AL10" s="1">
        <v>40</v>
      </c>
      <c r="AM10" s="19">
        <v>0</v>
      </c>
      <c r="AN10" s="97"/>
      <c r="AO10" s="8">
        <f>1*10^3*Umrechnungsfaktoren!$B$15/Umrechnungsfaktoren!$B$11</f>
        <v>1043.2160804020102</v>
      </c>
      <c r="AP10" s="8"/>
      <c r="AQ10" s="8">
        <v>0</v>
      </c>
      <c r="AR10" s="7">
        <v>0.66</v>
      </c>
      <c r="AS10" s="1" t="s">
        <v>379</v>
      </c>
      <c r="AT10" s="1" t="s">
        <v>479</v>
      </c>
      <c r="AU10" s="1" t="s">
        <v>479</v>
      </c>
      <c r="AV10" s="1" t="s">
        <v>479</v>
      </c>
      <c r="AW10" s="1" t="s">
        <v>1103</v>
      </c>
      <c r="AX10" s="13" t="s">
        <v>476</v>
      </c>
      <c r="AY10" s="13" t="s">
        <v>477</v>
      </c>
      <c r="AZ10" s="13" t="s">
        <v>467</v>
      </c>
      <c r="BA10" s="13" t="s">
        <v>467</v>
      </c>
      <c r="BB10" s="13" t="s">
        <v>467</v>
      </c>
      <c r="BC10" s="13" t="s">
        <v>496</v>
      </c>
      <c r="BD10" s="1" t="s">
        <v>475</v>
      </c>
      <c r="BE10" s="1" t="s">
        <v>465</v>
      </c>
      <c r="BF10" s="1" t="s">
        <v>473</v>
      </c>
      <c r="BG10" s="1" t="s">
        <v>465</v>
      </c>
      <c r="BH10" s="1" t="s">
        <v>502</v>
      </c>
      <c r="BI10" s="1" t="s">
        <v>499</v>
      </c>
      <c r="BJ10" s="1" t="s">
        <v>500</v>
      </c>
      <c r="BK10" s="1" t="s">
        <v>499</v>
      </c>
      <c r="BL10" s="1" t="s">
        <v>499</v>
      </c>
    </row>
    <row r="11" spans="1:65" hidden="1" x14ac:dyDescent="0.25">
      <c r="A11" s="1" t="s">
        <v>69</v>
      </c>
      <c r="B11" s="1" t="s">
        <v>126</v>
      </c>
      <c r="C11" s="1" t="str">
        <f>VLOOKUP(Tabelle58971115[[#This Row],[Prozess]],Tabelle22333[],3,FALSE)</f>
        <v>ProcessShed_Ind</v>
      </c>
      <c r="D11" s="1">
        <v>2020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8">
        <v>1.052885927989575</v>
      </c>
      <c r="K11" s="8"/>
      <c r="L11" s="8"/>
      <c r="M11" s="19"/>
      <c r="N11" s="98"/>
      <c r="O11" s="19">
        <v>4</v>
      </c>
      <c r="P11" s="19"/>
      <c r="Q11" s="9">
        <v>0.75</v>
      </c>
      <c r="R11" s="9">
        <v>0.25</v>
      </c>
      <c r="S11" s="9"/>
      <c r="T11" s="9">
        <v>1</v>
      </c>
      <c r="U1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1" s="9">
        <v>0.05</v>
      </c>
      <c r="W11" s="39"/>
      <c r="X11" s="39"/>
      <c r="Y11" s="39">
        <v>1</v>
      </c>
      <c r="Z11" s="99"/>
      <c r="AA11" s="1">
        <v>4</v>
      </c>
      <c r="AC11" s="1">
        <v>0</v>
      </c>
      <c r="AD11" s="1">
        <v>0</v>
      </c>
      <c r="AE11" s="1">
        <v>0</v>
      </c>
      <c r="AF11" s="1">
        <v>0</v>
      </c>
      <c r="AG11" s="1">
        <v>24</v>
      </c>
      <c r="AH11" s="1" t="s">
        <v>368</v>
      </c>
      <c r="AI11" s="1" t="s">
        <v>274</v>
      </c>
      <c r="AJ11" s="1">
        <f t="shared" si="0"/>
        <v>6</v>
      </c>
      <c r="AK11" s="99"/>
      <c r="AL11" s="1">
        <v>40</v>
      </c>
      <c r="AM11" s="19">
        <v>0</v>
      </c>
      <c r="AN11" s="97"/>
      <c r="AO11" s="8">
        <f>1*10^3*Umrechnungsfaktoren!$B$15/Umrechnungsfaktoren!$B$11</f>
        <v>1043.2160804020102</v>
      </c>
      <c r="AP11" s="8"/>
      <c r="AQ11" s="8">
        <v>0</v>
      </c>
      <c r="AR11" s="7">
        <v>0.66</v>
      </c>
      <c r="AS11" s="1" t="s">
        <v>379</v>
      </c>
      <c r="AT11" s="1" t="s">
        <v>479</v>
      </c>
      <c r="AU11" s="1" t="s">
        <v>479</v>
      </c>
      <c r="AV11" s="1" t="s">
        <v>479</v>
      </c>
      <c r="AW11" s="1" t="s">
        <v>466</v>
      </c>
      <c r="AX11" s="13" t="s">
        <v>470</v>
      </c>
      <c r="AY11" s="13" t="s">
        <v>470</v>
      </c>
      <c r="AZ11" s="13" t="s">
        <v>467</v>
      </c>
      <c r="BA11" s="13" t="s">
        <v>467</v>
      </c>
      <c r="BB11" s="13" t="s">
        <v>467</v>
      </c>
      <c r="BC11" s="13" t="s">
        <v>496</v>
      </c>
      <c r="BD11" s="1" t="s">
        <v>475</v>
      </c>
      <c r="BE11" s="1" t="s">
        <v>465</v>
      </c>
      <c r="BF11" s="1" t="s">
        <v>473</v>
      </c>
      <c r="BG11" s="1" t="s">
        <v>465</v>
      </c>
      <c r="BH11" s="1" t="s">
        <v>502</v>
      </c>
      <c r="BI11" s="1" t="s">
        <v>499</v>
      </c>
      <c r="BJ11" s="1" t="s">
        <v>500</v>
      </c>
      <c r="BK11" s="1" t="s">
        <v>499</v>
      </c>
      <c r="BL11" s="1" t="s">
        <v>499</v>
      </c>
    </row>
    <row r="12" spans="1:65" hidden="1" x14ac:dyDescent="0.25">
      <c r="A12" s="1" t="s">
        <v>69</v>
      </c>
      <c r="B12" s="1" t="s">
        <v>126</v>
      </c>
      <c r="C12" s="1" t="str">
        <f>VLOOKUP(Tabelle58971115[[#This Row],[Prozess]],Tabelle22333[],3,FALSE)</f>
        <v>ProcessShed_Ind</v>
      </c>
      <c r="D12" s="1">
        <v>2030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8">
        <v>1.0217223754455931</v>
      </c>
      <c r="K12" s="8"/>
      <c r="L12" s="8"/>
      <c r="M12" s="19"/>
      <c r="N12" s="98"/>
      <c r="O12" s="19">
        <v>4</v>
      </c>
      <c r="P12" s="19"/>
      <c r="Q12" s="9">
        <v>0.75</v>
      </c>
      <c r="R12" s="9">
        <v>0.25</v>
      </c>
      <c r="S12" s="9"/>
      <c r="T12" s="9">
        <v>1</v>
      </c>
      <c r="U1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2" s="9">
        <v>0.05</v>
      </c>
      <c r="W12" s="39"/>
      <c r="X12" s="39"/>
      <c r="Y12" s="39">
        <v>1</v>
      </c>
      <c r="Z12" s="99"/>
      <c r="AA12" s="1">
        <v>4</v>
      </c>
      <c r="AC12" s="1">
        <v>0</v>
      </c>
      <c r="AD12" s="1">
        <v>0</v>
      </c>
      <c r="AE12" s="1">
        <v>0</v>
      </c>
      <c r="AF12" s="1">
        <v>0</v>
      </c>
      <c r="AG12" s="1">
        <v>24</v>
      </c>
      <c r="AH12" s="1" t="s">
        <v>368</v>
      </c>
      <c r="AI12" s="1" t="s">
        <v>274</v>
      </c>
      <c r="AJ12" s="1">
        <f t="shared" si="0"/>
        <v>6</v>
      </c>
      <c r="AK12" s="99"/>
      <c r="AL12" s="1">
        <v>40</v>
      </c>
      <c r="AM12" s="19">
        <v>0</v>
      </c>
      <c r="AN12" s="97"/>
      <c r="AO12" s="8">
        <f>1*10^3*Umrechnungsfaktoren!$B$15/Umrechnungsfaktoren!$B$11</f>
        <v>1043.2160804020102</v>
      </c>
      <c r="AP12" s="8"/>
      <c r="AQ12" s="8">
        <v>0</v>
      </c>
      <c r="AR12" s="7">
        <v>0.66</v>
      </c>
      <c r="AS12" s="1" t="s">
        <v>379</v>
      </c>
      <c r="AT12" s="1" t="s">
        <v>479</v>
      </c>
      <c r="AU12" s="1" t="s">
        <v>479</v>
      </c>
      <c r="AV12" s="1" t="s">
        <v>479</v>
      </c>
      <c r="AW12" s="1" t="s">
        <v>466</v>
      </c>
      <c r="AX12" s="13" t="s">
        <v>471</v>
      </c>
      <c r="AY12" s="13" t="s">
        <v>471</v>
      </c>
      <c r="AZ12" s="13" t="s">
        <v>467</v>
      </c>
      <c r="BA12" s="13" t="s">
        <v>467</v>
      </c>
      <c r="BB12" s="13" t="s">
        <v>467</v>
      </c>
      <c r="BC12" s="13" t="s">
        <v>496</v>
      </c>
      <c r="BD12" s="1" t="s">
        <v>475</v>
      </c>
      <c r="BE12" s="1" t="s">
        <v>465</v>
      </c>
      <c r="BF12" s="1" t="s">
        <v>473</v>
      </c>
      <c r="BG12" s="1" t="s">
        <v>465</v>
      </c>
      <c r="BH12" s="1" t="s">
        <v>502</v>
      </c>
      <c r="BI12" s="1" t="s">
        <v>499</v>
      </c>
      <c r="BJ12" s="1" t="s">
        <v>500</v>
      </c>
      <c r="BK12" s="1" t="s">
        <v>499</v>
      </c>
      <c r="BL12" s="1" t="s">
        <v>499</v>
      </c>
    </row>
    <row r="13" spans="1:65" hidden="1" x14ac:dyDescent="0.25">
      <c r="A13" s="1" t="s">
        <v>69</v>
      </c>
      <c r="B13" s="1" t="s">
        <v>126</v>
      </c>
      <c r="C13" s="1" t="str">
        <f>VLOOKUP(Tabelle58971115[[#This Row],[Prozess]],Tabelle22333[],3,FALSE)</f>
        <v>ProcessShed_Ind</v>
      </c>
      <c r="D13" s="1">
        <v>2050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8">
        <v>0.96213512671537815</v>
      </c>
      <c r="K13" s="8"/>
      <c r="L13" s="8"/>
      <c r="M13" s="19"/>
      <c r="N13" s="98"/>
      <c r="O13" s="19">
        <v>4</v>
      </c>
      <c r="P13" s="19"/>
      <c r="Q13" s="9">
        <v>0.75</v>
      </c>
      <c r="R13" s="9">
        <v>0.25</v>
      </c>
      <c r="S13" s="9"/>
      <c r="T13" s="9">
        <v>1</v>
      </c>
      <c r="U1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3" s="9">
        <v>0.05</v>
      </c>
      <c r="W13" s="39"/>
      <c r="X13" s="39"/>
      <c r="Y13" s="39">
        <v>1</v>
      </c>
      <c r="Z13" s="99"/>
      <c r="AA13" s="1">
        <v>4</v>
      </c>
      <c r="AC13" s="1">
        <v>0</v>
      </c>
      <c r="AD13" s="1">
        <v>0</v>
      </c>
      <c r="AE13" s="1">
        <v>0</v>
      </c>
      <c r="AF13" s="1">
        <v>0</v>
      </c>
      <c r="AG13" s="1">
        <v>24</v>
      </c>
      <c r="AH13" s="1" t="s">
        <v>368</v>
      </c>
      <c r="AI13" s="1" t="s">
        <v>274</v>
      </c>
      <c r="AJ13" s="1">
        <f t="shared" si="0"/>
        <v>6</v>
      </c>
      <c r="AK13" s="99"/>
      <c r="AL13" s="1">
        <v>40</v>
      </c>
      <c r="AM13" s="19">
        <v>0</v>
      </c>
      <c r="AN13" s="97"/>
      <c r="AO13" s="8">
        <f>1*10^3*Umrechnungsfaktoren!$B$15/Umrechnungsfaktoren!$B$11</f>
        <v>1043.2160804020102</v>
      </c>
      <c r="AP13" s="8"/>
      <c r="AQ13" s="8">
        <v>0</v>
      </c>
      <c r="AR13" s="7">
        <v>0.66</v>
      </c>
      <c r="AS13" s="1" t="s">
        <v>379</v>
      </c>
      <c r="AT13" s="1" t="s">
        <v>479</v>
      </c>
      <c r="AU13" s="1" t="s">
        <v>479</v>
      </c>
      <c r="AV13" s="1" t="s">
        <v>479</v>
      </c>
      <c r="AW13" s="1" t="s">
        <v>466</v>
      </c>
      <c r="AX13" s="13" t="s">
        <v>472</v>
      </c>
      <c r="AY13" s="13" t="s">
        <v>472</v>
      </c>
      <c r="AZ13" s="13" t="s">
        <v>467</v>
      </c>
      <c r="BA13" s="13" t="s">
        <v>467</v>
      </c>
      <c r="BB13" s="13" t="s">
        <v>467</v>
      </c>
      <c r="BC13" s="13" t="s">
        <v>496</v>
      </c>
      <c r="BD13" s="1" t="s">
        <v>475</v>
      </c>
      <c r="BE13" s="1" t="s">
        <v>465</v>
      </c>
      <c r="BF13" s="1" t="s">
        <v>473</v>
      </c>
      <c r="BG13" s="1" t="s">
        <v>465</v>
      </c>
      <c r="BH13" s="1" t="s">
        <v>502</v>
      </c>
      <c r="BI13" s="1" t="s">
        <v>499</v>
      </c>
      <c r="BJ13" s="1" t="s">
        <v>500</v>
      </c>
      <c r="BK13" s="1" t="s">
        <v>499</v>
      </c>
      <c r="BL13" s="1" t="s">
        <v>499</v>
      </c>
    </row>
    <row r="14" spans="1:65" x14ac:dyDescent="0.25">
      <c r="A14" s="1" t="s">
        <v>73</v>
      </c>
      <c r="B14" s="1" t="s">
        <v>126</v>
      </c>
      <c r="C14" s="1" t="str">
        <f>VLOOKUP(Tabelle58971115[[#This Row],[Prozess]],Tabelle22333[],3,FALSE)</f>
        <v>ProcessShed_Ind</v>
      </c>
      <c r="D14" s="1">
        <v>2010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8">
        <v>7.1400000000000006</v>
      </c>
      <c r="K14" s="8">
        <v>2100</v>
      </c>
      <c r="L14" s="8">
        <v>3400</v>
      </c>
      <c r="M14" s="19"/>
      <c r="N14" s="98"/>
      <c r="O14" s="19">
        <v>12</v>
      </c>
      <c r="P14" s="19"/>
      <c r="Q14" s="9">
        <v>0.75</v>
      </c>
      <c r="R14" s="9">
        <v>0.25</v>
      </c>
      <c r="S14" s="9"/>
      <c r="T14" s="9">
        <v>1</v>
      </c>
      <c r="U1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4" s="9">
        <v>0.05</v>
      </c>
      <c r="W14" s="39"/>
      <c r="X14" s="39"/>
      <c r="Y14" s="39">
        <v>1</v>
      </c>
      <c r="Z14" s="99"/>
      <c r="AA14" s="1">
        <v>4</v>
      </c>
      <c r="AC14" s="1">
        <v>0</v>
      </c>
      <c r="AD14" s="1">
        <v>0</v>
      </c>
      <c r="AE14" s="1">
        <v>0</v>
      </c>
      <c r="AF14" s="1">
        <v>0</v>
      </c>
      <c r="AG14" s="1">
        <v>24</v>
      </c>
      <c r="AH14" s="1" t="s">
        <v>368</v>
      </c>
      <c r="AI14" s="1" t="s">
        <v>274</v>
      </c>
      <c r="AJ14" s="1">
        <f t="shared" si="0"/>
        <v>6</v>
      </c>
      <c r="AK14" s="99"/>
      <c r="AL14" s="1">
        <v>40</v>
      </c>
      <c r="AM14" s="19">
        <v>0</v>
      </c>
      <c r="AN14" s="97"/>
      <c r="AO14" s="8">
        <f>1*10^3*Umrechnungsfaktoren!$B$15/Umrechnungsfaktoren!$B$11</f>
        <v>1043.2160804020102</v>
      </c>
      <c r="AP14" s="8"/>
      <c r="AQ14" s="8">
        <v>0</v>
      </c>
      <c r="AR14" s="7">
        <v>0.66</v>
      </c>
      <c r="AS14" s="1" t="s">
        <v>379</v>
      </c>
      <c r="AT14" s="1" t="s">
        <v>479</v>
      </c>
      <c r="AU14" s="1" t="s">
        <v>479</v>
      </c>
      <c r="AV14" s="1" t="s">
        <v>479</v>
      </c>
      <c r="AW14" s="1" t="s">
        <v>1103</v>
      </c>
      <c r="AX14" s="13" t="s">
        <v>476</v>
      </c>
      <c r="AY14" s="13" t="s">
        <v>477</v>
      </c>
      <c r="AZ14" s="13" t="s">
        <v>467</v>
      </c>
      <c r="BA14" s="13" t="s">
        <v>467</v>
      </c>
      <c r="BB14" s="13" t="s">
        <v>467</v>
      </c>
      <c r="BC14" s="13" t="s">
        <v>496</v>
      </c>
      <c r="BD14" s="1" t="s">
        <v>474</v>
      </c>
      <c r="BE14" s="1" t="s">
        <v>465</v>
      </c>
      <c r="BF14" s="1" t="s">
        <v>473</v>
      </c>
      <c r="BG14" s="1" t="s">
        <v>465</v>
      </c>
      <c r="BH14" s="1" t="s">
        <v>503</v>
      </c>
      <c r="BI14" s="1" t="s">
        <v>499</v>
      </c>
      <c r="BJ14" s="1" t="s">
        <v>500</v>
      </c>
      <c r="BK14" s="1" t="s">
        <v>499</v>
      </c>
      <c r="BL14" s="1" t="s">
        <v>499</v>
      </c>
    </row>
    <row r="15" spans="1:65" hidden="1" x14ac:dyDescent="0.25">
      <c r="A15" s="1" t="s">
        <v>73</v>
      </c>
      <c r="B15" s="1" t="s">
        <v>126</v>
      </c>
      <c r="C15" s="1" t="str">
        <f>VLOOKUP(Tabelle58971115[[#This Row],[Prozess]],Tabelle22333[],3,FALSE)</f>
        <v>ProcessShed_Ind</v>
      </c>
      <c r="D15" s="1">
        <v>2020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8">
        <v>6.928668687415267</v>
      </c>
      <c r="K15" s="8"/>
      <c r="L15" s="8"/>
      <c r="M15" s="19"/>
      <c r="N15" s="98"/>
      <c r="O15" s="19">
        <v>12</v>
      </c>
      <c r="P15" s="19"/>
      <c r="Q15" s="9">
        <v>0.75</v>
      </c>
      <c r="R15" s="9">
        <v>0.25</v>
      </c>
      <c r="S15" s="9"/>
      <c r="T15" s="9">
        <v>1</v>
      </c>
      <c r="U1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5" s="9">
        <v>0.05</v>
      </c>
      <c r="W15" s="39"/>
      <c r="X15" s="39"/>
      <c r="Y15" s="39">
        <v>1</v>
      </c>
      <c r="Z15" s="99"/>
      <c r="AA15" s="1">
        <v>4</v>
      </c>
      <c r="AC15" s="1">
        <v>0</v>
      </c>
      <c r="AD15" s="1">
        <v>0</v>
      </c>
      <c r="AE15" s="1">
        <v>0</v>
      </c>
      <c r="AF15" s="1">
        <v>0</v>
      </c>
      <c r="AG15" s="1">
        <v>24</v>
      </c>
      <c r="AH15" s="1" t="s">
        <v>368</v>
      </c>
      <c r="AI15" s="1" t="s">
        <v>274</v>
      </c>
      <c r="AJ15" s="1">
        <f t="shared" si="0"/>
        <v>6</v>
      </c>
      <c r="AK15" s="99"/>
      <c r="AL15" s="1">
        <v>40</v>
      </c>
      <c r="AM15" s="19">
        <v>0</v>
      </c>
      <c r="AN15" s="97"/>
      <c r="AO15" s="8">
        <f>1*10^3*Umrechnungsfaktoren!$B$15/Umrechnungsfaktoren!$B$11</f>
        <v>1043.2160804020102</v>
      </c>
      <c r="AP15" s="8"/>
      <c r="AQ15" s="8">
        <v>0</v>
      </c>
      <c r="AR15" s="7">
        <v>0.66</v>
      </c>
      <c r="AS15" s="1" t="s">
        <v>379</v>
      </c>
      <c r="AT15" s="1" t="s">
        <v>479</v>
      </c>
      <c r="AU15" s="1" t="s">
        <v>479</v>
      </c>
      <c r="AV15" s="1" t="s">
        <v>479</v>
      </c>
      <c r="AW15" s="1" t="s">
        <v>466</v>
      </c>
      <c r="AX15" s="13" t="s">
        <v>470</v>
      </c>
      <c r="AY15" s="13" t="s">
        <v>470</v>
      </c>
      <c r="AZ15" s="13" t="s">
        <v>467</v>
      </c>
      <c r="BA15" s="13" t="s">
        <v>467</v>
      </c>
      <c r="BB15" s="13" t="s">
        <v>467</v>
      </c>
      <c r="BC15" s="13" t="s">
        <v>496</v>
      </c>
      <c r="BD15" s="1" t="s">
        <v>474</v>
      </c>
      <c r="BE15" s="1" t="s">
        <v>465</v>
      </c>
      <c r="BF15" s="1" t="s">
        <v>473</v>
      </c>
      <c r="BG15" s="1" t="s">
        <v>465</v>
      </c>
      <c r="BH15" s="1" t="s">
        <v>503</v>
      </c>
      <c r="BI15" s="1" t="s">
        <v>499</v>
      </c>
      <c r="BJ15" s="1" t="s">
        <v>500</v>
      </c>
      <c r="BK15" s="1" t="s">
        <v>499</v>
      </c>
      <c r="BL15" s="1" t="s">
        <v>499</v>
      </c>
    </row>
    <row r="16" spans="1:65" hidden="1" x14ac:dyDescent="0.25">
      <c r="A16" s="1" t="s">
        <v>73</v>
      </c>
      <c r="B16" s="1" t="s">
        <v>126</v>
      </c>
      <c r="C16" s="1" t="str">
        <f>VLOOKUP(Tabelle58971115[[#This Row],[Prozess]],Tabelle22333[],3,FALSE)</f>
        <v>ProcessShed_Ind</v>
      </c>
      <c r="D16" s="1">
        <v>2030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8">
        <v>6.7235924061580956</v>
      </c>
      <c r="K16" s="8"/>
      <c r="L16" s="8"/>
      <c r="M16" s="19"/>
      <c r="N16" s="98"/>
      <c r="O16" s="19">
        <v>12</v>
      </c>
      <c r="P16" s="19"/>
      <c r="Q16" s="9">
        <v>0.75</v>
      </c>
      <c r="R16" s="9">
        <v>0.25</v>
      </c>
      <c r="S16" s="9"/>
      <c r="T16" s="9">
        <v>1</v>
      </c>
      <c r="U1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6" s="9">
        <v>0.05</v>
      </c>
      <c r="W16" s="39"/>
      <c r="X16" s="39"/>
      <c r="Y16" s="39">
        <v>1</v>
      </c>
      <c r="Z16" s="99"/>
      <c r="AA16" s="1">
        <v>4</v>
      </c>
      <c r="AC16" s="1">
        <v>0</v>
      </c>
      <c r="AD16" s="1">
        <v>0</v>
      </c>
      <c r="AE16" s="1">
        <v>0</v>
      </c>
      <c r="AF16" s="1">
        <v>0</v>
      </c>
      <c r="AG16" s="1">
        <v>24</v>
      </c>
      <c r="AH16" s="1" t="s">
        <v>368</v>
      </c>
      <c r="AI16" s="1" t="s">
        <v>274</v>
      </c>
      <c r="AJ16" s="1">
        <f t="shared" si="0"/>
        <v>6</v>
      </c>
      <c r="AK16" s="99"/>
      <c r="AL16" s="1">
        <v>40</v>
      </c>
      <c r="AM16" s="19">
        <v>0</v>
      </c>
      <c r="AN16" s="97"/>
      <c r="AO16" s="8">
        <f>1*10^3*Umrechnungsfaktoren!$B$15/Umrechnungsfaktoren!$B$11</f>
        <v>1043.2160804020102</v>
      </c>
      <c r="AP16" s="8"/>
      <c r="AQ16" s="8">
        <v>0</v>
      </c>
      <c r="AR16" s="7">
        <v>0.66</v>
      </c>
      <c r="AS16" s="1" t="s">
        <v>379</v>
      </c>
      <c r="AT16" s="1" t="s">
        <v>479</v>
      </c>
      <c r="AU16" s="1" t="s">
        <v>479</v>
      </c>
      <c r="AV16" s="1" t="s">
        <v>479</v>
      </c>
      <c r="AW16" s="1" t="s">
        <v>466</v>
      </c>
      <c r="AX16" s="13" t="s">
        <v>471</v>
      </c>
      <c r="AY16" s="13" t="s">
        <v>471</v>
      </c>
      <c r="AZ16" s="13" t="s">
        <v>467</v>
      </c>
      <c r="BA16" s="13" t="s">
        <v>467</v>
      </c>
      <c r="BB16" s="13" t="s">
        <v>467</v>
      </c>
      <c r="BC16" s="13" t="s">
        <v>496</v>
      </c>
      <c r="BD16" s="1" t="s">
        <v>474</v>
      </c>
      <c r="BE16" s="1" t="s">
        <v>465</v>
      </c>
      <c r="BF16" s="1" t="s">
        <v>473</v>
      </c>
      <c r="BG16" s="1" t="s">
        <v>465</v>
      </c>
      <c r="BH16" s="1" t="s">
        <v>503</v>
      </c>
      <c r="BI16" s="1" t="s">
        <v>499</v>
      </c>
      <c r="BJ16" s="1" t="s">
        <v>500</v>
      </c>
      <c r="BK16" s="1" t="s">
        <v>499</v>
      </c>
      <c r="BL16" s="1" t="s">
        <v>499</v>
      </c>
    </row>
    <row r="17" spans="1:64" hidden="1" x14ac:dyDescent="0.25">
      <c r="A17" s="1" t="s">
        <v>73</v>
      </c>
      <c r="B17" s="1" t="s">
        <v>126</v>
      </c>
      <c r="C17" s="1" t="str">
        <f>VLOOKUP(Tabelle58971115[[#This Row],[Prozess]],Tabelle22333[],3,FALSE)</f>
        <v>ProcessShed_Ind</v>
      </c>
      <c r="D17" s="1">
        <v>2050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8">
        <v>6.3314698661270032</v>
      </c>
      <c r="K17" s="8"/>
      <c r="L17" s="8"/>
      <c r="M17" s="19"/>
      <c r="N17" s="98"/>
      <c r="O17" s="19">
        <v>11</v>
      </c>
      <c r="P17" s="19"/>
      <c r="Q17" s="9">
        <v>0.75</v>
      </c>
      <c r="R17" s="9">
        <v>0.25</v>
      </c>
      <c r="S17" s="9"/>
      <c r="T17" s="9">
        <v>1</v>
      </c>
      <c r="U1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7" s="9">
        <v>0.05</v>
      </c>
      <c r="W17" s="39"/>
      <c r="X17" s="39"/>
      <c r="Y17" s="39">
        <v>1</v>
      </c>
      <c r="Z17" s="99"/>
      <c r="AA17" s="1">
        <v>4</v>
      </c>
      <c r="AC17" s="1">
        <v>0</v>
      </c>
      <c r="AD17" s="1">
        <v>0</v>
      </c>
      <c r="AE17" s="1">
        <v>0</v>
      </c>
      <c r="AF17" s="1">
        <v>0</v>
      </c>
      <c r="AG17" s="1">
        <v>24</v>
      </c>
      <c r="AH17" s="1" t="s">
        <v>368</v>
      </c>
      <c r="AI17" s="1" t="s">
        <v>274</v>
      </c>
      <c r="AJ17" s="1">
        <f t="shared" si="0"/>
        <v>6</v>
      </c>
      <c r="AK17" s="99"/>
      <c r="AL17" s="1">
        <v>40</v>
      </c>
      <c r="AM17" s="19">
        <v>0</v>
      </c>
      <c r="AN17" s="97"/>
      <c r="AO17" s="8">
        <f>1*10^3*Umrechnungsfaktoren!$B$15/Umrechnungsfaktoren!$B$11</f>
        <v>1043.2160804020102</v>
      </c>
      <c r="AP17" s="8"/>
      <c r="AQ17" s="8">
        <v>0</v>
      </c>
      <c r="AR17" s="7">
        <v>0.66</v>
      </c>
      <c r="AS17" s="1" t="s">
        <v>379</v>
      </c>
      <c r="AT17" s="1" t="s">
        <v>479</v>
      </c>
      <c r="AU17" s="1" t="s">
        <v>479</v>
      </c>
      <c r="AV17" s="1" t="s">
        <v>479</v>
      </c>
      <c r="AW17" s="1" t="s">
        <v>466</v>
      </c>
      <c r="AX17" s="13" t="s">
        <v>472</v>
      </c>
      <c r="AY17" s="13" t="s">
        <v>472</v>
      </c>
      <c r="AZ17" s="13" t="s">
        <v>467</v>
      </c>
      <c r="BA17" s="13" t="s">
        <v>467</v>
      </c>
      <c r="BB17" s="13" t="s">
        <v>467</v>
      </c>
      <c r="BC17" s="13" t="s">
        <v>496</v>
      </c>
      <c r="BD17" s="1" t="s">
        <v>474</v>
      </c>
      <c r="BE17" s="1" t="s">
        <v>465</v>
      </c>
      <c r="BF17" s="1" t="s">
        <v>473</v>
      </c>
      <c r="BG17" s="1" t="s">
        <v>465</v>
      </c>
      <c r="BH17" s="1" t="s">
        <v>503</v>
      </c>
      <c r="BI17" s="1" t="s">
        <v>499</v>
      </c>
      <c r="BJ17" s="1" t="s">
        <v>500</v>
      </c>
      <c r="BK17" s="1" t="s">
        <v>499</v>
      </c>
      <c r="BL17" s="1" t="s">
        <v>499</v>
      </c>
    </row>
    <row r="18" spans="1:64" x14ac:dyDescent="0.25">
      <c r="A18" s="1" t="s">
        <v>74</v>
      </c>
      <c r="B18" s="1" t="s">
        <v>126</v>
      </c>
      <c r="C18" s="1" t="str">
        <f>VLOOKUP(Tabelle58971115[[#This Row],[Prozess]],Tabelle22333[],3,FALSE)</f>
        <v>ProcessShift_Ind</v>
      </c>
      <c r="D18" s="1">
        <v>2010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8">
        <v>28.5</v>
      </c>
      <c r="K18" s="8">
        <v>19000</v>
      </c>
      <c r="L18" s="8">
        <v>1500</v>
      </c>
      <c r="M18" s="19"/>
      <c r="N18" s="19">
        <v>249</v>
      </c>
      <c r="O18" s="19"/>
      <c r="P18" s="19">
        <v>63</v>
      </c>
      <c r="Q18" s="9">
        <v>0</v>
      </c>
      <c r="R18" s="9">
        <v>1</v>
      </c>
      <c r="S18" s="9">
        <v>1</v>
      </c>
      <c r="T18" s="9">
        <v>0.8</v>
      </c>
      <c r="U1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18" s="9">
        <v>0.05</v>
      </c>
      <c r="W18" s="39"/>
      <c r="X18" s="39"/>
      <c r="Y18" s="39">
        <v>0.99</v>
      </c>
      <c r="Z18" s="1">
        <v>3</v>
      </c>
      <c r="AC18" s="1">
        <v>3</v>
      </c>
      <c r="AD18" s="1">
        <v>4</v>
      </c>
      <c r="AE18" s="1">
        <v>36</v>
      </c>
      <c r="AF18" s="1">
        <v>24</v>
      </c>
      <c r="AG18" s="1">
        <v>24</v>
      </c>
      <c r="AH18" s="1" t="s">
        <v>368</v>
      </c>
      <c r="AI18" s="1" t="s">
        <v>274</v>
      </c>
      <c r="AJ18" s="1">
        <f>24/3</f>
        <v>8</v>
      </c>
      <c r="AK18" s="1">
        <v>365</v>
      </c>
      <c r="AM18" s="8">
        <f>0*10^3*Umrechnungsfaktoren!$B$15/Umrechnungsfaktoren!$B$12</f>
        <v>0</v>
      </c>
      <c r="AN18" s="8">
        <f>150*Umrechnungsfaktoren!$B$15/Umrechnungsfaktoren!$B$12</f>
        <v>155.70000000000002</v>
      </c>
      <c r="AO18" s="8"/>
      <c r="AP18" s="8"/>
      <c r="AQ18" s="8">
        <f>Tabelle58971115[[#This Row],[Investitionsausgaben €_2020/kW]]</f>
        <v>0</v>
      </c>
      <c r="AR18" s="7">
        <v>0.44</v>
      </c>
      <c r="AS18" s="1" t="s">
        <v>379</v>
      </c>
      <c r="AT18" s="1" t="s">
        <v>479</v>
      </c>
      <c r="AU18" s="1" t="s">
        <v>479</v>
      </c>
      <c r="AV18" s="1" t="s">
        <v>479</v>
      </c>
      <c r="AW18" s="1" t="s">
        <v>1103</v>
      </c>
      <c r="AX18" s="13" t="s">
        <v>476</v>
      </c>
      <c r="AY18" s="13" t="s">
        <v>477</v>
      </c>
      <c r="AZ18" s="13" t="s">
        <v>467</v>
      </c>
      <c r="BA18" s="13" t="s">
        <v>467</v>
      </c>
      <c r="BB18" s="13" t="s">
        <v>467</v>
      </c>
      <c r="BC18" s="13" t="s">
        <v>496</v>
      </c>
      <c r="BD18" s="1" t="s">
        <v>474</v>
      </c>
      <c r="BE18" s="1" t="s">
        <v>474</v>
      </c>
      <c r="BF18" s="1" t="s">
        <v>473</v>
      </c>
      <c r="BG18" s="1" t="s">
        <v>465</v>
      </c>
      <c r="BH18" s="1" t="s">
        <v>504</v>
      </c>
      <c r="BI18" s="1" t="s">
        <v>499</v>
      </c>
      <c r="BJ18" s="1" t="s">
        <v>500</v>
      </c>
      <c r="BK18" s="1" t="s">
        <v>499</v>
      </c>
      <c r="BL18" s="1" t="s">
        <v>499</v>
      </c>
    </row>
    <row r="19" spans="1:64" hidden="1" x14ac:dyDescent="0.25">
      <c r="A19" s="1" t="s">
        <v>74</v>
      </c>
      <c r="B19" s="1" t="s">
        <v>126</v>
      </c>
      <c r="C19" s="1" t="str">
        <f>VLOOKUP(Tabelle58971115[[#This Row],[Prozess]],Tabelle22333[],3,FALSE)</f>
        <v>ProcessShift_Ind</v>
      </c>
      <c r="D19" s="1">
        <v>2020</v>
      </c>
      <c r="E19" s="1">
        <v>1</v>
      </c>
      <c r="F19" s="1">
        <v>0</v>
      </c>
      <c r="G19" s="1">
        <v>0</v>
      </c>
      <c r="H19" s="1">
        <v>1</v>
      </c>
      <c r="I19" s="1">
        <v>1</v>
      </c>
      <c r="J19" s="8">
        <v>27.656450643044131</v>
      </c>
      <c r="K19" s="8"/>
      <c r="L19" s="8"/>
      <c r="M19" s="19"/>
      <c r="N19" s="19">
        <v>241</v>
      </c>
      <c r="O19" s="19"/>
      <c r="P19" s="19">
        <v>60</v>
      </c>
      <c r="Q19" s="9">
        <v>0</v>
      </c>
      <c r="R19" s="9">
        <v>1</v>
      </c>
      <c r="S19" s="9">
        <v>1</v>
      </c>
      <c r="T19" s="9">
        <v>0.8</v>
      </c>
      <c r="U1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19" s="9">
        <v>0.05</v>
      </c>
      <c r="W19" s="39"/>
      <c r="X19" s="39"/>
      <c r="Y19" s="39">
        <v>0.99</v>
      </c>
      <c r="Z19" s="1">
        <v>3</v>
      </c>
      <c r="AC19" s="1">
        <v>3</v>
      </c>
      <c r="AD19" s="1">
        <v>4</v>
      </c>
      <c r="AE19" s="1">
        <v>36</v>
      </c>
      <c r="AF19" s="1">
        <v>24</v>
      </c>
      <c r="AG19" s="1">
        <v>24</v>
      </c>
      <c r="AH19" s="1" t="s">
        <v>368</v>
      </c>
      <c r="AI19" s="1" t="s">
        <v>274</v>
      </c>
      <c r="AJ19" s="1">
        <f t="shared" ref="AJ19:AJ29" si="1">24/3</f>
        <v>8</v>
      </c>
      <c r="AK19" s="1">
        <v>365</v>
      </c>
      <c r="AM19" s="8">
        <f>0*10^3*Umrechnungsfaktoren!$B$15/Umrechnungsfaktoren!$B$12</f>
        <v>0</v>
      </c>
      <c r="AN19" s="8">
        <f>150*Umrechnungsfaktoren!$B$15/Umrechnungsfaktoren!$B$12</f>
        <v>155.70000000000002</v>
      </c>
      <c r="AO19" s="8"/>
      <c r="AP19" s="8"/>
      <c r="AQ19" s="8">
        <f>Tabelle58971115[[#This Row],[Investitionsausgaben €_2020/kW]]</f>
        <v>0</v>
      </c>
      <c r="AR19" s="7">
        <v>0.44</v>
      </c>
      <c r="AS19" s="1" t="s">
        <v>379</v>
      </c>
      <c r="AT19" s="1" t="s">
        <v>479</v>
      </c>
      <c r="AU19" s="1" t="s">
        <v>479</v>
      </c>
      <c r="AV19" s="1" t="s">
        <v>479</v>
      </c>
      <c r="AW19" s="1" t="s">
        <v>466</v>
      </c>
      <c r="AX19" s="13" t="s">
        <v>470</v>
      </c>
      <c r="AY19" s="13" t="s">
        <v>470</v>
      </c>
      <c r="AZ19" s="13" t="s">
        <v>467</v>
      </c>
      <c r="BA19" s="13" t="s">
        <v>467</v>
      </c>
      <c r="BB19" s="13" t="s">
        <v>467</v>
      </c>
      <c r="BC19" s="13" t="s">
        <v>496</v>
      </c>
      <c r="BD19" s="1" t="s">
        <v>474</v>
      </c>
      <c r="BE19" s="1" t="s">
        <v>474</v>
      </c>
      <c r="BF19" s="1" t="s">
        <v>473</v>
      </c>
      <c r="BG19" s="1" t="s">
        <v>465</v>
      </c>
      <c r="BH19" s="1" t="s">
        <v>504</v>
      </c>
      <c r="BI19" s="1" t="s">
        <v>499</v>
      </c>
      <c r="BJ19" s="1" t="s">
        <v>500</v>
      </c>
      <c r="BK19" s="1" t="s">
        <v>499</v>
      </c>
      <c r="BL19" s="1" t="s">
        <v>499</v>
      </c>
    </row>
    <row r="20" spans="1:64" hidden="1" x14ac:dyDescent="0.25">
      <c r="A20" s="1" t="s">
        <v>74</v>
      </c>
      <c r="B20" s="1" t="s">
        <v>126</v>
      </c>
      <c r="C20" s="1" t="str">
        <f>VLOOKUP(Tabelle58971115[[#This Row],[Prozess]],Tabelle22333[],3,FALSE)</f>
        <v>ProcessShift_Ind</v>
      </c>
      <c r="D20" s="1">
        <v>2030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8">
        <v>26.837868848110041</v>
      </c>
      <c r="K20" s="8"/>
      <c r="L20" s="8"/>
      <c r="M20" s="19"/>
      <c r="N20" s="19">
        <v>235</v>
      </c>
      <c r="O20" s="19"/>
      <c r="P20" s="19">
        <v>59</v>
      </c>
      <c r="Q20" s="9">
        <v>0</v>
      </c>
      <c r="R20" s="9">
        <v>1</v>
      </c>
      <c r="S20" s="9">
        <v>1</v>
      </c>
      <c r="T20" s="9">
        <v>0.8</v>
      </c>
      <c r="U2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0" s="9">
        <v>0.05</v>
      </c>
      <c r="W20" s="39"/>
      <c r="X20" s="39"/>
      <c r="Y20" s="39">
        <v>0.99</v>
      </c>
      <c r="Z20" s="1">
        <v>3</v>
      </c>
      <c r="AC20" s="1">
        <v>3</v>
      </c>
      <c r="AD20" s="1">
        <v>4</v>
      </c>
      <c r="AE20" s="1">
        <v>36</v>
      </c>
      <c r="AF20" s="1">
        <v>24</v>
      </c>
      <c r="AG20" s="1">
        <v>24</v>
      </c>
      <c r="AH20" s="1" t="s">
        <v>368</v>
      </c>
      <c r="AI20" s="1" t="s">
        <v>274</v>
      </c>
      <c r="AJ20" s="1">
        <f t="shared" si="1"/>
        <v>8</v>
      </c>
      <c r="AK20" s="1">
        <v>365</v>
      </c>
      <c r="AM20" s="8">
        <f>0*10^3*Umrechnungsfaktoren!$B$15/Umrechnungsfaktoren!$B$12</f>
        <v>0</v>
      </c>
      <c r="AN20" s="8">
        <f>150*Umrechnungsfaktoren!$B$15/Umrechnungsfaktoren!$B$12</f>
        <v>155.70000000000002</v>
      </c>
      <c r="AO20" s="8"/>
      <c r="AP20" s="8"/>
      <c r="AQ20" s="8">
        <f>Tabelle58971115[[#This Row],[Investitionsausgaben €_2020/kW]]</f>
        <v>0</v>
      </c>
      <c r="AR20" s="7">
        <v>0.44</v>
      </c>
      <c r="AS20" s="1" t="s">
        <v>379</v>
      </c>
      <c r="AT20" s="1" t="s">
        <v>479</v>
      </c>
      <c r="AU20" s="1" t="s">
        <v>479</v>
      </c>
      <c r="AV20" s="1" t="s">
        <v>479</v>
      </c>
      <c r="AW20" s="1" t="s">
        <v>466</v>
      </c>
      <c r="AX20" s="13" t="s">
        <v>471</v>
      </c>
      <c r="AY20" s="13" t="s">
        <v>471</v>
      </c>
      <c r="AZ20" s="13" t="s">
        <v>467</v>
      </c>
      <c r="BA20" s="13" t="s">
        <v>467</v>
      </c>
      <c r="BB20" s="13" t="s">
        <v>467</v>
      </c>
      <c r="BC20" s="13" t="s">
        <v>496</v>
      </c>
      <c r="BD20" s="1" t="s">
        <v>474</v>
      </c>
      <c r="BE20" s="1" t="s">
        <v>474</v>
      </c>
      <c r="BF20" s="1" t="s">
        <v>473</v>
      </c>
      <c r="BG20" s="1" t="s">
        <v>465</v>
      </c>
      <c r="BH20" s="1" t="s">
        <v>504</v>
      </c>
      <c r="BI20" s="1" t="s">
        <v>499</v>
      </c>
      <c r="BJ20" s="1" t="s">
        <v>500</v>
      </c>
      <c r="BK20" s="1" t="s">
        <v>499</v>
      </c>
      <c r="BL20" s="1" t="s">
        <v>499</v>
      </c>
    </row>
    <row r="21" spans="1:64" hidden="1" x14ac:dyDescent="0.25">
      <c r="A21" s="1" t="s">
        <v>74</v>
      </c>
      <c r="B21" s="1" t="s">
        <v>126</v>
      </c>
      <c r="C21" s="1" t="str">
        <f>VLOOKUP(Tabelle58971115[[#This Row],[Prozess]],Tabelle22333[],3,FALSE)</f>
        <v>ProcessShift_Ind</v>
      </c>
      <c r="D21" s="1">
        <v>2050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8">
        <v>25.272673835380893</v>
      </c>
      <c r="K21" s="8"/>
      <c r="L21" s="8"/>
      <c r="M21" s="19"/>
      <c r="N21" s="19">
        <v>224</v>
      </c>
      <c r="O21" s="19"/>
      <c r="P21" s="19">
        <v>56</v>
      </c>
      <c r="Q21" s="9">
        <v>0</v>
      </c>
      <c r="R21" s="9">
        <v>1</v>
      </c>
      <c r="S21" s="9">
        <v>1</v>
      </c>
      <c r="T21" s="9">
        <v>0.8</v>
      </c>
      <c r="U2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1" s="9">
        <v>0.05</v>
      </c>
      <c r="W21" s="39"/>
      <c r="X21" s="39"/>
      <c r="Y21" s="39">
        <v>0.99</v>
      </c>
      <c r="Z21" s="1">
        <v>3</v>
      </c>
      <c r="AC21" s="1">
        <v>3</v>
      </c>
      <c r="AD21" s="1">
        <v>4</v>
      </c>
      <c r="AE21" s="1">
        <v>36</v>
      </c>
      <c r="AF21" s="1">
        <v>24</v>
      </c>
      <c r="AG21" s="1">
        <v>24</v>
      </c>
      <c r="AH21" s="1" t="s">
        <v>368</v>
      </c>
      <c r="AI21" s="1" t="s">
        <v>274</v>
      </c>
      <c r="AJ21" s="1">
        <f t="shared" si="1"/>
        <v>8</v>
      </c>
      <c r="AK21" s="1">
        <v>365</v>
      </c>
      <c r="AM21" s="8">
        <f>0*10^3*Umrechnungsfaktoren!$B$15/Umrechnungsfaktoren!$B$12</f>
        <v>0</v>
      </c>
      <c r="AN21" s="8">
        <f>150*Umrechnungsfaktoren!$B$15/Umrechnungsfaktoren!$B$12</f>
        <v>155.70000000000002</v>
      </c>
      <c r="AO21" s="8"/>
      <c r="AP21" s="8"/>
      <c r="AQ21" s="8">
        <f>Tabelle58971115[[#This Row],[Investitionsausgaben €_2020/kW]]</f>
        <v>0</v>
      </c>
      <c r="AR21" s="7">
        <v>0.44</v>
      </c>
      <c r="AS21" s="1" t="s">
        <v>379</v>
      </c>
      <c r="AT21" s="1" t="s">
        <v>479</v>
      </c>
      <c r="AU21" s="1" t="s">
        <v>479</v>
      </c>
      <c r="AV21" s="1" t="s">
        <v>479</v>
      </c>
      <c r="AW21" s="1" t="s">
        <v>466</v>
      </c>
      <c r="AX21" s="13" t="s">
        <v>472</v>
      </c>
      <c r="AY21" s="13" t="s">
        <v>472</v>
      </c>
      <c r="AZ21" s="13" t="s">
        <v>467</v>
      </c>
      <c r="BA21" s="13" t="s">
        <v>467</v>
      </c>
      <c r="BB21" s="13" t="s">
        <v>467</v>
      </c>
      <c r="BC21" s="13" t="s">
        <v>496</v>
      </c>
      <c r="BD21" s="1" t="s">
        <v>474</v>
      </c>
      <c r="BE21" s="1" t="s">
        <v>474</v>
      </c>
      <c r="BF21" s="1" t="s">
        <v>473</v>
      </c>
      <c r="BG21" s="1" t="s">
        <v>465</v>
      </c>
      <c r="BH21" s="1" t="s">
        <v>504</v>
      </c>
      <c r="BI21" s="1" t="s">
        <v>499</v>
      </c>
      <c r="BJ21" s="1" t="s">
        <v>500</v>
      </c>
      <c r="BK21" s="1" t="s">
        <v>499</v>
      </c>
      <c r="BL21" s="1" t="s">
        <v>499</v>
      </c>
    </row>
    <row r="22" spans="1:64" x14ac:dyDescent="0.25">
      <c r="A22" s="1" t="s">
        <v>77</v>
      </c>
      <c r="B22" s="1" t="s">
        <v>126</v>
      </c>
      <c r="C22" s="1" t="str">
        <f>VLOOKUP(Tabelle58971115[[#This Row],[Prozess]],Tabelle22333[],3,FALSE)</f>
        <v>ProcessShift_Ind</v>
      </c>
      <c r="D22" s="1">
        <v>2010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8">
        <v>18</v>
      </c>
      <c r="K22" s="8">
        <v>72000</v>
      </c>
      <c r="L22" s="8">
        <v>250</v>
      </c>
      <c r="M22" s="19"/>
      <c r="N22" s="19">
        <v>449</v>
      </c>
      <c r="O22" s="19"/>
      <c r="P22" s="19">
        <v>125</v>
      </c>
      <c r="Q22" s="9">
        <v>0</v>
      </c>
      <c r="R22" s="9">
        <v>1</v>
      </c>
      <c r="S22" s="9">
        <v>1</v>
      </c>
      <c r="T22" s="9">
        <v>0.8</v>
      </c>
      <c r="U2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2" s="9">
        <v>0.05</v>
      </c>
      <c r="W22" s="39"/>
      <c r="X22" s="39"/>
      <c r="Y22" s="39">
        <v>0.99</v>
      </c>
      <c r="Z22" s="1">
        <v>3</v>
      </c>
      <c r="AC22" s="1">
        <v>3</v>
      </c>
      <c r="AD22" s="1">
        <v>4</v>
      </c>
      <c r="AE22" s="1">
        <v>36</v>
      </c>
      <c r="AF22" s="1">
        <v>24</v>
      </c>
      <c r="AG22" s="1">
        <v>24</v>
      </c>
      <c r="AH22" s="1" t="s">
        <v>368</v>
      </c>
      <c r="AI22" s="1" t="s">
        <v>274</v>
      </c>
      <c r="AJ22" s="1">
        <f t="shared" si="1"/>
        <v>8</v>
      </c>
      <c r="AK22" s="1">
        <v>365</v>
      </c>
      <c r="AM22" s="8">
        <f>0*10^3*Umrechnungsfaktoren!$B$15/Umrechnungsfaktoren!$B$12</f>
        <v>0</v>
      </c>
      <c r="AN22" s="8">
        <f>150*Umrechnungsfaktoren!$B$15/Umrechnungsfaktoren!$B$12</f>
        <v>155.70000000000002</v>
      </c>
      <c r="AO22" s="8"/>
      <c r="AP22" s="8"/>
      <c r="AQ22" s="8">
        <f>Tabelle58971115[[#This Row],[Investitionsausgaben €_2020/kW]]</f>
        <v>0</v>
      </c>
      <c r="AR22" s="7">
        <v>0.44</v>
      </c>
      <c r="AS22" s="1" t="s">
        <v>379</v>
      </c>
      <c r="AT22" s="1" t="s">
        <v>479</v>
      </c>
      <c r="AU22" s="1" t="s">
        <v>479</v>
      </c>
      <c r="AV22" s="1" t="s">
        <v>479</v>
      </c>
      <c r="AW22" s="1" t="s">
        <v>1103</v>
      </c>
      <c r="AX22" s="13" t="s">
        <v>476</v>
      </c>
      <c r="AY22" s="13" t="s">
        <v>477</v>
      </c>
      <c r="AZ22" s="13" t="s">
        <v>467</v>
      </c>
      <c r="BA22" s="13" t="s">
        <v>467</v>
      </c>
      <c r="BB22" s="13" t="s">
        <v>467</v>
      </c>
      <c r="BC22" s="13" t="s">
        <v>496</v>
      </c>
      <c r="BD22" s="1" t="s">
        <v>474</v>
      </c>
      <c r="BE22" s="1" t="s">
        <v>474</v>
      </c>
      <c r="BF22" s="1" t="s">
        <v>473</v>
      </c>
      <c r="BG22" s="1" t="s">
        <v>465</v>
      </c>
      <c r="BH22" s="1" t="s">
        <v>504</v>
      </c>
      <c r="BI22" s="1" t="s">
        <v>499</v>
      </c>
      <c r="BJ22" s="1" t="s">
        <v>500</v>
      </c>
      <c r="BK22" s="1" t="s">
        <v>499</v>
      </c>
      <c r="BL22" s="1" t="s">
        <v>499</v>
      </c>
    </row>
    <row r="23" spans="1:64" hidden="1" x14ac:dyDescent="0.25">
      <c r="A23" s="1" t="s">
        <v>77</v>
      </c>
      <c r="B23" s="1" t="s">
        <v>126</v>
      </c>
      <c r="C23" s="1" t="str">
        <f>VLOOKUP(Tabelle58971115[[#This Row],[Prozess]],Tabelle22333[],3,FALSE)</f>
        <v>ProcessShift_Ind</v>
      </c>
      <c r="D23" s="1">
        <v>2020</v>
      </c>
      <c r="E23" s="1">
        <v>1</v>
      </c>
      <c r="F23" s="1">
        <v>0</v>
      </c>
      <c r="G23" s="1">
        <v>0</v>
      </c>
      <c r="H23" s="1">
        <v>1</v>
      </c>
      <c r="I23" s="1">
        <v>1</v>
      </c>
      <c r="J23" s="8">
        <v>24.190494828194193</v>
      </c>
      <c r="K23" s="8"/>
      <c r="L23" s="8"/>
      <c r="M23" s="19"/>
      <c r="N23" s="19">
        <v>622</v>
      </c>
      <c r="O23" s="19"/>
      <c r="P23" s="19">
        <v>156</v>
      </c>
      <c r="Q23" s="9">
        <v>0</v>
      </c>
      <c r="R23" s="9">
        <v>1</v>
      </c>
      <c r="S23" s="9">
        <v>1</v>
      </c>
      <c r="T23" s="9">
        <v>0.8</v>
      </c>
      <c r="U2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3" s="9">
        <v>0.05</v>
      </c>
      <c r="W23" s="39"/>
      <c r="X23" s="39"/>
      <c r="Y23" s="39">
        <v>0.99</v>
      </c>
      <c r="Z23" s="1">
        <v>3</v>
      </c>
      <c r="AC23" s="1">
        <v>3</v>
      </c>
      <c r="AD23" s="1">
        <v>4</v>
      </c>
      <c r="AE23" s="1">
        <v>36</v>
      </c>
      <c r="AF23" s="1">
        <v>24</v>
      </c>
      <c r="AG23" s="1">
        <v>24</v>
      </c>
      <c r="AH23" s="1" t="s">
        <v>368</v>
      </c>
      <c r="AI23" s="1" t="s">
        <v>274</v>
      </c>
      <c r="AJ23" s="1">
        <f t="shared" si="1"/>
        <v>8</v>
      </c>
      <c r="AK23" s="1">
        <v>365</v>
      </c>
      <c r="AM23" s="8">
        <f>0*10^3*Umrechnungsfaktoren!$B$15/Umrechnungsfaktoren!$B$12</f>
        <v>0</v>
      </c>
      <c r="AN23" s="8">
        <f>150*Umrechnungsfaktoren!$B$15/Umrechnungsfaktoren!$B$12</f>
        <v>155.70000000000002</v>
      </c>
      <c r="AO23" s="8"/>
      <c r="AP23" s="8"/>
      <c r="AQ23" s="8">
        <f>Tabelle58971115[[#This Row],[Investitionsausgaben €_2020/kW]]</f>
        <v>0</v>
      </c>
      <c r="AR23" s="7">
        <v>0.44</v>
      </c>
      <c r="AS23" s="1" t="s">
        <v>379</v>
      </c>
      <c r="AT23" s="1" t="s">
        <v>479</v>
      </c>
      <c r="AU23" s="1" t="s">
        <v>479</v>
      </c>
      <c r="AV23" s="1" t="s">
        <v>479</v>
      </c>
      <c r="AW23" s="1" t="s">
        <v>466</v>
      </c>
      <c r="AX23" s="13" t="s">
        <v>470</v>
      </c>
      <c r="AY23" s="13" t="s">
        <v>470</v>
      </c>
      <c r="AZ23" s="13" t="s">
        <v>467</v>
      </c>
      <c r="BA23" s="13" t="s">
        <v>467</v>
      </c>
      <c r="BB23" s="13" t="s">
        <v>467</v>
      </c>
      <c r="BC23" s="13" t="s">
        <v>496</v>
      </c>
      <c r="BD23" s="1" t="s">
        <v>474</v>
      </c>
      <c r="BE23" s="1" t="s">
        <v>474</v>
      </c>
      <c r="BF23" s="1" t="s">
        <v>473</v>
      </c>
      <c r="BG23" s="1" t="s">
        <v>465</v>
      </c>
      <c r="BH23" s="1" t="s">
        <v>504</v>
      </c>
      <c r="BI23" s="1" t="s">
        <v>499</v>
      </c>
      <c r="BJ23" s="1" t="s">
        <v>500</v>
      </c>
      <c r="BK23" s="1" t="s">
        <v>499</v>
      </c>
      <c r="BL23" s="1" t="s">
        <v>499</v>
      </c>
    </row>
    <row r="24" spans="1:64" hidden="1" x14ac:dyDescent="0.25">
      <c r="A24" s="1" t="s">
        <v>77</v>
      </c>
      <c r="B24" s="1" t="s">
        <v>126</v>
      </c>
      <c r="C24" s="1" t="str">
        <f>VLOOKUP(Tabelle58971115[[#This Row],[Prozess]],Tabelle22333[],3,FALSE)</f>
        <v>ProcessShift_Ind</v>
      </c>
      <c r="D24" s="1">
        <v>2030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8">
        <v>28.074056825679079</v>
      </c>
      <c r="K24" s="8"/>
      <c r="L24" s="8"/>
      <c r="M24" s="19"/>
      <c r="N24" s="19">
        <v>722</v>
      </c>
      <c r="O24" s="19"/>
      <c r="P24" s="19">
        <v>180</v>
      </c>
      <c r="Q24" s="9">
        <v>0</v>
      </c>
      <c r="R24" s="9">
        <v>1</v>
      </c>
      <c r="S24" s="9">
        <v>1</v>
      </c>
      <c r="T24" s="9">
        <v>0.8</v>
      </c>
      <c r="U2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4" s="9">
        <v>0.05</v>
      </c>
      <c r="W24" s="39"/>
      <c r="X24" s="39"/>
      <c r="Y24" s="39">
        <v>0.99</v>
      </c>
      <c r="Z24" s="1">
        <v>3</v>
      </c>
      <c r="AC24" s="1">
        <v>3</v>
      </c>
      <c r="AD24" s="1">
        <v>4</v>
      </c>
      <c r="AE24" s="1">
        <v>36</v>
      </c>
      <c r="AF24" s="1">
        <v>24</v>
      </c>
      <c r="AG24" s="1">
        <v>24</v>
      </c>
      <c r="AH24" s="1" t="s">
        <v>368</v>
      </c>
      <c r="AI24" s="1" t="s">
        <v>274</v>
      </c>
      <c r="AJ24" s="1">
        <f t="shared" si="1"/>
        <v>8</v>
      </c>
      <c r="AK24" s="1">
        <v>365</v>
      </c>
      <c r="AM24" s="8">
        <f>0*10^3*Umrechnungsfaktoren!$B$15/Umrechnungsfaktoren!$B$12</f>
        <v>0</v>
      </c>
      <c r="AN24" s="8">
        <f>150*Umrechnungsfaktoren!$B$15/Umrechnungsfaktoren!$B$12</f>
        <v>155.70000000000002</v>
      </c>
      <c r="AO24" s="8"/>
      <c r="AP24" s="8"/>
      <c r="AQ24" s="8">
        <f>Tabelle58971115[[#This Row],[Investitionsausgaben €_2020/kW]]</f>
        <v>0</v>
      </c>
      <c r="AR24" s="7">
        <v>0.44</v>
      </c>
      <c r="AS24" s="1" t="s">
        <v>379</v>
      </c>
      <c r="AT24" s="1" t="s">
        <v>479</v>
      </c>
      <c r="AU24" s="1" t="s">
        <v>479</v>
      </c>
      <c r="AV24" s="1" t="s">
        <v>479</v>
      </c>
      <c r="AW24" s="1" t="s">
        <v>466</v>
      </c>
      <c r="AX24" s="13" t="s">
        <v>471</v>
      </c>
      <c r="AY24" s="13" t="s">
        <v>471</v>
      </c>
      <c r="AZ24" s="13" t="s">
        <v>467</v>
      </c>
      <c r="BA24" s="13" t="s">
        <v>467</v>
      </c>
      <c r="BB24" s="13" t="s">
        <v>467</v>
      </c>
      <c r="BC24" s="13" t="s">
        <v>496</v>
      </c>
      <c r="BD24" s="1" t="s">
        <v>474</v>
      </c>
      <c r="BE24" s="1" t="s">
        <v>474</v>
      </c>
      <c r="BF24" s="1" t="s">
        <v>473</v>
      </c>
      <c r="BG24" s="1" t="s">
        <v>465</v>
      </c>
      <c r="BH24" s="1" t="s">
        <v>504</v>
      </c>
      <c r="BI24" s="1" t="s">
        <v>499</v>
      </c>
      <c r="BJ24" s="1" t="s">
        <v>500</v>
      </c>
      <c r="BK24" s="1" t="s">
        <v>499</v>
      </c>
      <c r="BL24" s="1" t="s">
        <v>499</v>
      </c>
    </row>
    <row r="25" spans="1:64" hidden="1" x14ac:dyDescent="0.25">
      <c r="A25" s="1" t="s">
        <v>77</v>
      </c>
      <c r="B25" s="1" t="s">
        <v>126</v>
      </c>
      <c r="C25" s="1" t="str">
        <f>VLOOKUP(Tabelle58971115[[#This Row],[Prozess]],Tabelle22333[],3,FALSE)</f>
        <v>ProcessShift_Ind</v>
      </c>
      <c r="D25" s="1">
        <v>2050</v>
      </c>
      <c r="E25" s="1">
        <v>1</v>
      </c>
      <c r="F25" s="1">
        <v>0</v>
      </c>
      <c r="G25" s="1">
        <v>0</v>
      </c>
      <c r="H25" s="1">
        <v>1</v>
      </c>
      <c r="I25" s="1">
        <v>1</v>
      </c>
      <c r="J25" s="8">
        <v>37.811683989836531</v>
      </c>
      <c r="K25" s="8"/>
      <c r="L25" s="8"/>
      <c r="M25" s="19"/>
      <c r="N25" s="19">
        <v>972</v>
      </c>
      <c r="O25" s="19"/>
      <c r="P25" s="19">
        <v>243</v>
      </c>
      <c r="Q25" s="9">
        <v>0</v>
      </c>
      <c r="R25" s="9">
        <v>1</v>
      </c>
      <c r="S25" s="9">
        <v>1</v>
      </c>
      <c r="T25" s="9">
        <v>0.8</v>
      </c>
      <c r="U2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5" s="9">
        <v>0.05</v>
      </c>
      <c r="W25" s="39"/>
      <c r="X25" s="39"/>
      <c r="Y25" s="39">
        <v>0.99</v>
      </c>
      <c r="Z25" s="1">
        <v>3</v>
      </c>
      <c r="AC25" s="1">
        <v>3</v>
      </c>
      <c r="AD25" s="1">
        <v>4</v>
      </c>
      <c r="AE25" s="1">
        <v>36</v>
      </c>
      <c r="AF25" s="1">
        <v>24</v>
      </c>
      <c r="AG25" s="1">
        <v>24</v>
      </c>
      <c r="AH25" s="1" t="s">
        <v>368</v>
      </c>
      <c r="AI25" s="1" t="s">
        <v>274</v>
      </c>
      <c r="AJ25" s="1">
        <f t="shared" si="1"/>
        <v>8</v>
      </c>
      <c r="AK25" s="1">
        <v>365</v>
      </c>
      <c r="AM25" s="8">
        <f>0*10^3*Umrechnungsfaktoren!$B$15/Umrechnungsfaktoren!$B$12</f>
        <v>0</v>
      </c>
      <c r="AN25" s="8">
        <f>150*Umrechnungsfaktoren!$B$15/Umrechnungsfaktoren!$B$12</f>
        <v>155.70000000000002</v>
      </c>
      <c r="AO25" s="8"/>
      <c r="AP25" s="8"/>
      <c r="AQ25" s="8">
        <f>Tabelle58971115[[#This Row],[Investitionsausgaben €_2020/kW]]</f>
        <v>0</v>
      </c>
      <c r="AR25" s="7">
        <v>0.44</v>
      </c>
      <c r="AS25" s="1" t="s">
        <v>379</v>
      </c>
      <c r="AT25" s="1" t="s">
        <v>479</v>
      </c>
      <c r="AU25" s="1" t="s">
        <v>479</v>
      </c>
      <c r="AV25" s="1" t="s">
        <v>479</v>
      </c>
      <c r="AW25" s="1" t="s">
        <v>466</v>
      </c>
      <c r="AX25" s="13" t="s">
        <v>472</v>
      </c>
      <c r="AY25" s="13" t="s">
        <v>472</v>
      </c>
      <c r="AZ25" s="13" t="s">
        <v>467</v>
      </c>
      <c r="BA25" s="13" t="s">
        <v>467</v>
      </c>
      <c r="BB25" s="13" t="s">
        <v>467</v>
      </c>
      <c r="BC25" s="13" t="s">
        <v>496</v>
      </c>
      <c r="BD25" s="1" t="s">
        <v>474</v>
      </c>
      <c r="BE25" s="1" t="s">
        <v>474</v>
      </c>
      <c r="BF25" s="1" t="s">
        <v>473</v>
      </c>
      <c r="BG25" s="1" t="s">
        <v>465</v>
      </c>
      <c r="BH25" s="1" t="s">
        <v>504</v>
      </c>
      <c r="BI25" s="1" t="s">
        <v>499</v>
      </c>
      <c r="BJ25" s="1" t="s">
        <v>500</v>
      </c>
      <c r="BK25" s="1" t="s">
        <v>499</v>
      </c>
      <c r="BL25" s="1" t="s">
        <v>499</v>
      </c>
    </row>
    <row r="26" spans="1:64" x14ac:dyDescent="0.25">
      <c r="A26" s="1" t="s">
        <v>78</v>
      </c>
      <c r="B26" s="1" t="s">
        <v>126</v>
      </c>
      <c r="C26" s="1" t="str">
        <f>VLOOKUP(Tabelle58971115[[#This Row],[Prozess]],Tabelle22333[],3,FALSE)</f>
        <v>ProcessShift_Ind</v>
      </c>
      <c r="D26" s="1">
        <v>2010</v>
      </c>
      <c r="E26" s="1">
        <v>1</v>
      </c>
      <c r="F26" s="1">
        <v>0</v>
      </c>
      <c r="G26" s="1">
        <v>0</v>
      </c>
      <c r="H26" s="1">
        <v>1</v>
      </c>
      <c r="I26" s="1">
        <v>1</v>
      </c>
      <c r="J26" s="8">
        <v>50.15</v>
      </c>
      <c r="K26" s="8">
        <v>118000</v>
      </c>
      <c r="L26" s="8">
        <v>425</v>
      </c>
      <c r="M26" s="19"/>
      <c r="N26" s="19">
        <v>204</v>
      </c>
      <c r="O26" s="19"/>
      <c r="P26" s="19">
        <v>112</v>
      </c>
      <c r="Q26" s="9">
        <v>0.7</v>
      </c>
      <c r="R26" s="9">
        <v>0.3</v>
      </c>
      <c r="S26" s="9">
        <v>1</v>
      </c>
      <c r="T26" s="9">
        <v>0.9</v>
      </c>
      <c r="U2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V26" s="9">
        <v>0.05</v>
      </c>
      <c r="W26" s="39"/>
      <c r="X26" s="39"/>
      <c r="Y26" s="39">
        <v>0.99</v>
      </c>
      <c r="Z26" s="1">
        <v>3</v>
      </c>
      <c r="AC26" s="1">
        <v>3</v>
      </c>
      <c r="AD26" s="1">
        <v>4</v>
      </c>
      <c r="AE26" s="1">
        <v>36</v>
      </c>
      <c r="AF26" s="1">
        <v>24</v>
      </c>
      <c r="AG26" s="1">
        <v>24</v>
      </c>
      <c r="AH26" s="1" t="s">
        <v>368</v>
      </c>
      <c r="AI26" s="1" t="s">
        <v>274</v>
      </c>
      <c r="AJ26" s="1">
        <f t="shared" si="1"/>
        <v>8</v>
      </c>
      <c r="AK26" s="1">
        <v>365</v>
      </c>
      <c r="AM26" s="8">
        <f>0*10^3*Umrechnungsfaktoren!$B$15/Umrechnungsfaktoren!$B$12</f>
        <v>0</v>
      </c>
      <c r="AN26" s="8">
        <f>150*Umrechnungsfaktoren!$B$15/Umrechnungsfaktoren!$B$12</f>
        <v>155.70000000000002</v>
      </c>
      <c r="AO26" s="8"/>
      <c r="AP26" s="8"/>
      <c r="AQ26" s="8">
        <f>Tabelle58971115[[#This Row],[Investitionsausgaben €_2020/kW]]</f>
        <v>0</v>
      </c>
      <c r="AR26" s="7">
        <v>0.44</v>
      </c>
      <c r="AS26" s="1" t="s">
        <v>379</v>
      </c>
      <c r="AT26" s="1" t="s">
        <v>479</v>
      </c>
      <c r="AU26" s="1" t="s">
        <v>479</v>
      </c>
      <c r="AV26" s="1" t="s">
        <v>479</v>
      </c>
      <c r="AW26" s="1" t="s">
        <v>1103</v>
      </c>
      <c r="AX26" s="13" t="s">
        <v>476</v>
      </c>
      <c r="AY26" s="13" t="s">
        <v>477</v>
      </c>
      <c r="AZ26" s="13" t="s">
        <v>467</v>
      </c>
      <c r="BA26" s="13" t="s">
        <v>467</v>
      </c>
      <c r="BB26" s="13" t="s">
        <v>467</v>
      </c>
      <c r="BC26" s="13" t="s">
        <v>496</v>
      </c>
      <c r="BD26" s="1" t="s">
        <v>474</v>
      </c>
      <c r="BE26" s="1" t="s">
        <v>474</v>
      </c>
      <c r="BF26" s="1" t="s">
        <v>473</v>
      </c>
      <c r="BG26" s="1" t="s">
        <v>465</v>
      </c>
      <c r="BH26" s="1" t="s">
        <v>504</v>
      </c>
      <c r="BI26" s="1" t="s">
        <v>499</v>
      </c>
      <c r="BJ26" s="1" t="s">
        <v>500</v>
      </c>
      <c r="BK26" s="1" t="s">
        <v>499</v>
      </c>
      <c r="BL26" s="1" t="s">
        <v>499</v>
      </c>
    </row>
    <row r="27" spans="1:64" hidden="1" x14ac:dyDescent="0.25">
      <c r="A27" s="1" t="s">
        <v>78</v>
      </c>
      <c r="B27" s="1" t="s">
        <v>126</v>
      </c>
      <c r="C27" s="1" t="str">
        <f>VLOOKUP(Tabelle58971115[[#This Row],[Prozess]],Tabelle22333[],3,FALSE)</f>
        <v>ProcessShift_Ind</v>
      </c>
      <c r="D27" s="1">
        <v>2020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8">
        <v>56.478472573132237</v>
      </c>
      <c r="K27" s="8"/>
      <c r="L27" s="8"/>
      <c r="M27" s="19"/>
      <c r="N27" s="19">
        <v>236</v>
      </c>
      <c r="O27" s="19"/>
      <c r="P27" s="19">
        <v>145</v>
      </c>
      <c r="Q27" s="9">
        <v>0.7</v>
      </c>
      <c r="R27" s="9">
        <v>0.3</v>
      </c>
      <c r="S27" s="9">
        <v>1</v>
      </c>
      <c r="T27" s="9">
        <v>0.9</v>
      </c>
      <c r="U2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V27" s="9">
        <v>0.05</v>
      </c>
      <c r="W27" s="39"/>
      <c r="X27" s="39"/>
      <c r="Y27" s="39">
        <v>0.99</v>
      </c>
      <c r="Z27" s="1">
        <v>3</v>
      </c>
      <c r="AC27" s="1">
        <v>3</v>
      </c>
      <c r="AD27" s="1">
        <v>4</v>
      </c>
      <c r="AE27" s="1">
        <v>36</v>
      </c>
      <c r="AF27" s="1">
        <v>24</v>
      </c>
      <c r="AG27" s="1">
        <v>24</v>
      </c>
      <c r="AH27" s="1" t="s">
        <v>368</v>
      </c>
      <c r="AI27" s="1" t="s">
        <v>274</v>
      </c>
      <c r="AJ27" s="1">
        <f t="shared" si="1"/>
        <v>8</v>
      </c>
      <c r="AK27" s="1">
        <v>365</v>
      </c>
      <c r="AM27" s="8">
        <f>0*10^3*Umrechnungsfaktoren!$B$15/Umrechnungsfaktoren!$B$12</f>
        <v>0</v>
      </c>
      <c r="AN27" s="8">
        <f>150*Umrechnungsfaktoren!$B$15/Umrechnungsfaktoren!$B$12</f>
        <v>155.70000000000002</v>
      </c>
      <c r="AO27" s="8"/>
      <c r="AP27" s="8"/>
      <c r="AQ27" s="8">
        <f>Tabelle58971115[[#This Row],[Investitionsausgaben €_2020/kW]]</f>
        <v>0</v>
      </c>
      <c r="AR27" s="7">
        <v>0.44</v>
      </c>
      <c r="AS27" s="1" t="s">
        <v>379</v>
      </c>
      <c r="AT27" s="1" t="s">
        <v>479</v>
      </c>
      <c r="AU27" s="1" t="s">
        <v>479</v>
      </c>
      <c r="AV27" s="1" t="s">
        <v>479</v>
      </c>
      <c r="AW27" s="1" t="s">
        <v>466</v>
      </c>
      <c r="AX27" s="13" t="s">
        <v>470</v>
      </c>
      <c r="AY27" s="13" t="s">
        <v>470</v>
      </c>
      <c r="AZ27" s="13" t="s">
        <v>467</v>
      </c>
      <c r="BA27" s="13" t="s">
        <v>467</v>
      </c>
      <c r="BB27" s="13" t="s">
        <v>467</v>
      </c>
      <c r="BC27" s="13" t="s">
        <v>496</v>
      </c>
      <c r="BD27" s="1" t="s">
        <v>474</v>
      </c>
      <c r="BE27" s="1" t="s">
        <v>474</v>
      </c>
      <c r="BF27" s="1" t="s">
        <v>473</v>
      </c>
      <c r="BG27" s="1" t="s">
        <v>465</v>
      </c>
      <c r="BH27" s="1" t="s">
        <v>504</v>
      </c>
      <c r="BI27" s="1" t="s">
        <v>499</v>
      </c>
      <c r="BJ27" s="1" t="s">
        <v>500</v>
      </c>
      <c r="BK27" s="1" t="s">
        <v>499</v>
      </c>
      <c r="BL27" s="1" t="s">
        <v>499</v>
      </c>
    </row>
    <row r="28" spans="1:64" hidden="1" x14ac:dyDescent="0.25">
      <c r="A28" s="1" t="s">
        <v>78</v>
      </c>
      <c r="B28" s="1" t="s">
        <v>126</v>
      </c>
      <c r="C28" s="1" t="str">
        <f>VLOOKUP(Tabelle58971115[[#This Row],[Prozess]],Tabelle22333[],3,FALSE)</f>
        <v>ProcessShift_Ind</v>
      </c>
      <c r="D28" s="1">
        <v>2030</v>
      </c>
      <c r="E28" s="1">
        <v>1</v>
      </c>
      <c r="F28" s="1">
        <v>0</v>
      </c>
      <c r="G28" s="1">
        <v>0</v>
      </c>
      <c r="H28" s="1">
        <v>1</v>
      </c>
      <c r="I28" s="1">
        <v>1</v>
      </c>
      <c r="J28" s="8">
        <v>61.142906839567537</v>
      </c>
      <c r="K28" s="8"/>
      <c r="L28" s="8"/>
      <c r="M28" s="19"/>
      <c r="N28" s="19">
        <v>255</v>
      </c>
      <c r="O28" s="19"/>
      <c r="P28" s="19">
        <v>156</v>
      </c>
      <c r="Q28" s="9">
        <v>0.7</v>
      </c>
      <c r="R28" s="9">
        <v>0.3</v>
      </c>
      <c r="S28" s="9">
        <v>1</v>
      </c>
      <c r="T28" s="9">
        <v>0.9</v>
      </c>
      <c r="U2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V28" s="9">
        <v>0.05</v>
      </c>
      <c r="W28" s="39"/>
      <c r="X28" s="39"/>
      <c r="Y28" s="39">
        <v>0.99</v>
      </c>
      <c r="Z28" s="1">
        <v>3</v>
      </c>
      <c r="AC28" s="1">
        <v>3</v>
      </c>
      <c r="AD28" s="1">
        <v>4</v>
      </c>
      <c r="AE28" s="1">
        <v>36</v>
      </c>
      <c r="AF28" s="1">
        <v>24</v>
      </c>
      <c r="AG28" s="1">
        <v>24</v>
      </c>
      <c r="AH28" s="1" t="s">
        <v>368</v>
      </c>
      <c r="AI28" s="1" t="s">
        <v>274</v>
      </c>
      <c r="AJ28" s="1">
        <f t="shared" si="1"/>
        <v>8</v>
      </c>
      <c r="AK28" s="1">
        <v>365</v>
      </c>
      <c r="AM28" s="8">
        <f>0*10^3*Umrechnungsfaktoren!$B$15/Umrechnungsfaktoren!$B$12</f>
        <v>0</v>
      </c>
      <c r="AN28" s="8">
        <f>150*Umrechnungsfaktoren!$B$15/Umrechnungsfaktoren!$B$12</f>
        <v>155.70000000000002</v>
      </c>
      <c r="AO28" s="8"/>
      <c r="AP28" s="8"/>
      <c r="AQ28" s="8">
        <f>Tabelle58971115[[#This Row],[Investitionsausgaben €_2020/kW]]</f>
        <v>0</v>
      </c>
      <c r="AR28" s="7">
        <v>0.44</v>
      </c>
      <c r="AS28" s="1" t="s">
        <v>379</v>
      </c>
      <c r="AT28" s="1" t="s">
        <v>479</v>
      </c>
      <c r="AU28" s="1" t="s">
        <v>479</v>
      </c>
      <c r="AV28" s="1" t="s">
        <v>479</v>
      </c>
      <c r="AW28" s="1" t="s">
        <v>466</v>
      </c>
      <c r="AX28" s="13" t="s">
        <v>471</v>
      </c>
      <c r="AY28" s="13" t="s">
        <v>471</v>
      </c>
      <c r="AZ28" s="13" t="s">
        <v>467</v>
      </c>
      <c r="BA28" s="13" t="s">
        <v>467</v>
      </c>
      <c r="BB28" s="13" t="s">
        <v>467</v>
      </c>
      <c r="BC28" s="13" t="s">
        <v>496</v>
      </c>
      <c r="BD28" s="1" t="s">
        <v>474</v>
      </c>
      <c r="BE28" s="1" t="s">
        <v>474</v>
      </c>
      <c r="BF28" s="1" t="s">
        <v>473</v>
      </c>
      <c r="BG28" s="1" t="s">
        <v>465</v>
      </c>
      <c r="BH28" s="1" t="s">
        <v>504</v>
      </c>
      <c r="BI28" s="1" t="s">
        <v>499</v>
      </c>
      <c r="BJ28" s="1" t="s">
        <v>500</v>
      </c>
      <c r="BK28" s="1" t="s">
        <v>499</v>
      </c>
      <c r="BL28" s="1" t="s">
        <v>499</v>
      </c>
    </row>
    <row r="29" spans="1:64" hidden="1" x14ac:dyDescent="0.25">
      <c r="A29" s="1" t="s">
        <v>78</v>
      </c>
      <c r="B29" s="1" t="s">
        <v>126</v>
      </c>
      <c r="C29" s="1" t="str">
        <f>VLOOKUP(Tabelle58971115[[#This Row],[Prozess]],Tabelle22333[],3,FALSE)</f>
        <v>ProcessShift_Ind</v>
      </c>
      <c r="D29" s="1">
        <v>2050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8">
        <v>71.659266764781037</v>
      </c>
      <c r="K29" s="8"/>
      <c r="L29" s="8"/>
      <c r="M29" s="19"/>
      <c r="N29" s="19">
        <v>296</v>
      </c>
      <c r="O29" s="19"/>
      <c r="P29" s="19">
        <v>181</v>
      </c>
      <c r="Q29" s="9">
        <v>0.7</v>
      </c>
      <c r="R29" s="9">
        <v>0.3</v>
      </c>
      <c r="S29" s="9">
        <v>1</v>
      </c>
      <c r="T29" s="9">
        <v>0.9</v>
      </c>
      <c r="U2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V29" s="9">
        <v>0.05</v>
      </c>
      <c r="W29" s="39"/>
      <c r="X29" s="39"/>
      <c r="Y29" s="39">
        <v>0.99</v>
      </c>
      <c r="Z29" s="1">
        <v>3</v>
      </c>
      <c r="AC29" s="1">
        <v>3</v>
      </c>
      <c r="AD29" s="1">
        <v>4</v>
      </c>
      <c r="AE29" s="1">
        <v>36</v>
      </c>
      <c r="AF29" s="1">
        <v>24</v>
      </c>
      <c r="AG29" s="1">
        <v>24</v>
      </c>
      <c r="AH29" s="1" t="s">
        <v>368</v>
      </c>
      <c r="AI29" s="1" t="s">
        <v>274</v>
      </c>
      <c r="AJ29" s="1">
        <f t="shared" si="1"/>
        <v>8</v>
      </c>
      <c r="AK29" s="1">
        <v>365</v>
      </c>
      <c r="AM29" s="8">
        <f>0*10^3*Umrechnungsfaktoren!$B$15/Umrechnungsfaktoren!$B$12</f>
        <v>0</v>
      </c>
      <c r="AN29" s="8">
        <f>150*Umrechnungsfaktoren!$B$15/Umrechnungsfaktoren!$B$12</f>
        <v>155.70000000000002</v>
      </c>
      <c r="AO29" s="8"/>
      <c r="AP29" s="8"/>
      <c r="AQ29" s="8">
        <f>Tabelle58971115[[#This Row],[Investitionsausgaben €_2020/kW]]</f>
        <v>0</v>
      </c>
      <c r="AR29" s="7">
        <v>0.44</v>
      </c>
      <c r="AS29" s="1" t="s">
        <v>379</v>
      </c>
      <c r="AT29" s="1" t="s">
        <v>479</v>
      </c>
      <c r="AU29" s="1" t="s">
        <v>479</v>
      </c>
      <c r="AV29" s="1" t="s">
        <v>479</v>
      </c>
      <c r="AW29" s="1" t="s">
        <v>466</v>
      </c>
      <c r="AX29" s="13" t="s">
        <v>472</v>
      </c>
      <c r="AY29" s="13" t="s">
        <v>472</v>
      </c>
      <c r="AZ29" s="13" t="s">
        <v>467</v>
      </c>
      <c r="BA29" s="13" t="s">
        <v>467</v>
      </c>
      <c r="BB29" s="13" t="s">
        <v>467</v>
      </c>
      <c r="BC29" s="13" t="s">
        <v>496</v>
      </c>
      <c r="BD29" s="1" t="s">
        <v>474</v>
      </c>
      <c r="BE29" s="1" t="s">
        <v>474</v>
      </c>
      <c r="BF29" s="1" t="s">
        <v>473</v>
      </c>
      <c r="BG29" s="1" t="s">
        <v>465</v>
      </c>
      <c r="BH29" s="1" t="s">
        <v>504</v>
      </c>
      <c r="BI29" s="1" t="s">
        <v>499</v>
      </c>
      <c r="BJ29" s="1" t="s">
        <v>500</v>
      </c>
      <c r="BK29" s="1" t="s">
        <v>499</v>
      </c>
      <c r="BL29" s="1" t="s">
        <v>499</v>
      </c>
    </row>
    <row r="30" spans="1:64" x14ac:dyDescent="0.25">
      <c r="A30" s="1" t="s">
        <v>81</v>
      </c>
      <c r="B30" s="1" t="s">
        <v>126</v>
      </c>
      <c r="C30" s="1" t="str">
        <f>VLOOKUP(Tabelle58971115[[#This Row],[Prozess]],Tabelle22333[],3,FALSE)</f>
        <v>ProcessShed_Ind</v>
      </c>
      <c r="D30" s="1">
        <v>2010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8">
        <v>47.25</v>
      </c>
      <c r="K30" s="8">
        <v>90000</v>
      </c>
      <c r="L30" s="8">
        <v>525</v>
      </c>
      <c r="M30" s="19"/>
      <c r="N30" s="98"/>
      <c r="O30" s="19">
        <v>931</v>
      </c>
      <c r="P30" s="19"/>
      <c r="Q30" s="9">
        <v>0</v>
      </c>
      <c r="R30" s="9">
        <v>1</v>
      </c>
      <c r="S30" s="9">
        <v>1</v>
      </c>
      <c r="T30" s="9">
        <v>1</v>
      </c>
      <c r="U3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30" s="9">
        <v>0.05</v>
      </c>
      <c r="W30" s="39"/>
      <c r="X30" s="39"/>
      <c r="Y30" s="39">
        <v>1</v>
      </c>
      <c r="Z30" s="99"/>
      <c r="AA30" s="1">
        <v>4</v>
      </c>
      <c r="AC30" s="1">
        <v>0</v>
      </c>
      <c r="AD30" s="1">
        <v>0</v>
      </c>
      <c r="AE30" s="1">
        <v>0</v>
      </c>
      <c r="AF30" s="1">
        <v>0</v>
      </c>
      <c r="AG30" s="1">
        <v>24</v>
      </c>
      <c r="AH30" s="1" t="s">
        <v>368</v>
      </c>
      <c r="AI30" s="1" t="s">
        <v>274</v>
      </c>
      <c r="AJ30" s="1">
        <f>24/4</f>
        <v>6</v>
      </c>
      <c r="AK30" s="99"/>
      <c r="AL30" s="1">
        <v>40</v>
      </c>
      <c r="AM30" s="19">
        <v>0</v>
      </c>
      <c r="AN30" s="8"/>
      <c r="AO30" s="8">
        <f>1*10^3*Umrechnungsfaktoren!$B$15/Umrechnungsfaktoren!$B$11</f>
        <v>1043.2160804020102</v>
      </c>
      <c r="AP30" s="8"/>
      <c r="AQ30" s="8">
        <v>0</v>
      </c>
      <c r="AR30" s="7">
        <v>0.66</v>
      </c>
      <c r="AS30" s="1" t="s">
        <v>379</v>
      </c>
      <c r="AT30" s="1" t="s">
        <v>479</v>
      </c>
      <c r="AU30" s="1" t="s">
        <v>479</v>
      </c>
      <c r="AV30" s="1" t="s">
        <v>479</v>
      </c>
      <c r="AW30" s="1" t="s">
        <v>1103</v>
      </c>
      <c r="AX30" s="13" t="s">
        <v>476</v>
      </c>
      <c r="AY30" s="13" t="s">
        <v>477</v>
      </c>
      <c r="AZ30" s="13" t="s">
        <v>467</v>
      </c>
      <c r="BA30" s="13" t="s">
        <v>467</v>
      </c>
      <c r="BB30" s="13" t="s">
        <v>467</v>
      </c>
      <c r="BC30" s="13" t="s">
        <v>496</v>
      </c>
      <c r="BD30" s="1" t="s">
        <v>475</v>
      </c>
      <c r="BE30" s="1" t="s">
        <v>465</v>
      </c>
      <c r="BF30" s="1" t="s">
        <v>473</v>
      </c>
      <c r="BG30" s="1" t="s">
        <v>465</v>
      </c>
      <c r="BH30" s="1" t="s">
        <v>502</v>
      </c>
      <c r="BI30" s="1" t="s">
        <v>499</v>
      </c>
      <c r="BJ30" s="1" t="s">
        <v>500</v>
      </c>
      <c r="BK30" s="1" t="s">
        <v>499</v>
      </c>
      <c r="BL30" s="1" t="s">
        <v>499</v>
      </c>
    </row>
    <row r="31" spans="1:64" hidden="1" x14ac:dyDescent="0.25">
      <c r="A31" s="1" t="s">
        <v>81</v>
      </c>
      <c r="B31" s="1" t="s">
        <v>126</v>
      </c>
      <c r="C31" s="1" t="str">
        <f>VLOOKUP(Tabelle58971115[[#This Row],[Prozess]],Tabelle22333[],3,FALSE)</f>
        <v>ProcessShed_Ind</v>
      </c>
      <c r="D31" s="1">
        <v>2020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8">
        <v>47.238188828817592</v>
      </c>
      <c r="K31" s="8"/>
      <c r="L31" s="8"/>
      <c r="M31" s="19"/>
      <c r="N31" s="98"/>
      <c r="O31" s="19">
        <v>1173</v>
      </c>
      <c r="P31" s="19"/>
      <c r="Q31" s="9">
        <v>0</v>
      </c>
      <c r="R31" s="9">
        <v>1</v>
      </c>
      <c r="S31" s="9">
        <v>1</v>
      </c>
      <c r="T31" s="9">
        <v>1</v>
      </c>
      <c r="U3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31" s="9">
        <v>0.05</v>
      </c>
      <c r="W31" s="39"/>
      <c r="X31" s="39"/>
      <c r="Y31" s="39">
        <v>1</v>
      </c>
      <c r="Z31" s="99"/>
      <c r="AA31" s="1">
        <v>4</v>
      </c>
      <c r="AC31" s="1">
        <v>0</v>
      </c>
      <c r="AD31" s="1">
        <v>0</v>
      </c>
      <c r="AE31" s="1">
        <v>0</v>
      </c>
      <c r="AF31" s="1">
        <v>0</v>
      </c>
      <c r="AG31" s="1">
        <v>24</v>
      </c>
      <c r="AH31" s="1" t="s">
        <v>368</v>
      </c>
      <c r="AI31" s="1" t="s">
        <v>274</v>
      </c>
      <c r="AJ31" s="1">
        <f>24/4</f>
        <v>6</v>
      </c>
      <c r="AK31" s="99"/>
      <c r="AL31" s="1">
        <v>40</v>
      </c>
      <c r="AM31" s="19">
        <v>0</v>
      </c>
      <c r="AN31" s="8"/>
      <c r="AO31" s="8">
        <f>1*10^3*Umrechnungsfaktoren!$B$15/Umrechnungsfaktoren!$B$11</f>
        <v>1043.2160804020102</v>
      </c>
      <c r="AP31" s="8"/>
      <c r="AQ31" s="8">
        <v>0</v>
      </c>
      <c r="AR31" s="7">
        <v>0.66</v>
      </c>
      <c r="AS31" s="1" t="s">
        <v>379</v>
      </c>
      <c r="AT31" s="1" t="s">
        <v>479</v>
      </c>
      <c r="AU31" s="1" t="s">
        <v>479</v>
      </c>
      <c r="AV31" s="1" t="s">
        <v>479</v>
      </c>
      <c r="AW31" s="1" t="s">
        <v>466</v>
      </c>
      <c r="AX31" s="13" t="s">
        <v>470</v>
      </c>
      <c r="AY31" s="13" t="s">
        <v>470</v>
      </c>
      <c r="AZ31" s="13" t="s">
        <v>467</v>
      </c>
      <c r="BA31" s="13" t="s">
        <v>467</v>
      </c>
      <c r="BB31" s="13" t="s">
        <v>467</v>
      </c>
      <c r="BC31" s="13" t="s">
        <v>496</v>
      </c>
      <c r="BD31" s="1" t="s">
        <v>475</v>
      </c>
      <c r="BE31" s="1" t="s">
        <v>465</v>
      </c>
      <c r="BF31" s="1" t="s">
        <v>473</v>
      </c>
      <c r="BG31" s="1" t="s">
        <v>465</v>
      </c>
      <c r="BH31" s="1" t="s">
        <v>502</v>
      </c>
      <c r="BI31" s="1" t="s">
        <v>499</v>
      </c>
      <c r="BJ31" s="1" t="s">
        <v>500</v>
      </c>
      <c r="BK31" s="1" t="s">
        <v>499</v>
      </c>
      <c r="BL31" s="1" t="s">
        <v>499</v>
      </c>
    </row>
    <row r="32" spans="1:64" hidden="1" x14ac:dyDescent="0.25">
      <c r="A32" s="1" t="s">
        <v>81</v>
      </c>
      <c r="B32" s="1" t="s">
        <v>126</v>
      </c>
      <c r="C32" s="1" t="str">
        <f>VLOOKUP(Tabelle58971115[[#This Row],[Prozess]],Tabelle22333[],3,FALSE)</f>
        <v>ProcessShed_Ind</v>
      </c>
      <c r="D32" s="1">
        <v>2030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8">
        <v>47.226380610095823</v>
      </c>
      <c r="K32" s="8"/>
      <c r="L32" s="8"/>
      <c r="M32" s="19"/>
      <c r="N32" s="98"/>
      <c r="O32" s="19">
        <v>1448</v>
      </c>
      <c r="P32" s="19"/>
      <c r="Q32" s="9">
        <v>0</v>
      </c>
      <c r="R32" s="9">
        <v>1</v>
      </c>
      <c r="S32" s="9">
        <v>1</v>
      </c>
      <c r="T32" s="9">
        <v>1</v>
      </c>
      <c r="U3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32" s="9">
        <v>0.05</v>
      </c>
      <c r="W32" s="39"/>
      <c r="X32" s="39"/>
      <c r="Y32" s="39">
        <v>1</v>
      </c>
      <c r="Z32" s="99"/>
      <c r="AA32" s="1">
        <v>4</v>
      </c>
      <c r="AC32" s="1">
        <v>0</v>
      </c>
      <c r="AD32" s="1">
        <v>0</v>
      </c>
      <c r="AE32" s="1">
        <v>0</v>
      </c>
      <c r="AF32" s="1">
        <v>0</v>
      </c>
      <c r="AG32" s="1">
        <v>24</v>
      </c>
      <c r="AH32" s="1" t="s">
        <v>368</v>
      </c>
      <c r="AI32" s="1" t="s">
        <v>274</v>
      </c>
      <c r="AJ32" s="1">
        <f>24/4</f>
        <v>6</v>
      </c>
      <c r="AK32" s="99"/>
      <c r="AL32" s="1">
        <v>40</v>
      </c>
      <c r="AM32" s="19">
        <v>0</v>
      </c>
      <c r="AN32" s="8"/>
      <c r="AO32" s="8">
        <f>1*10^3*Umrechnungsfaktoren!$B$15/Umrechnungsfaktoren!$B$11</f>
        <v>1043.2160804020102</v>
      </c>
      <c r="AP32" s="8"/>
      <c r="AQ32" s="8">
        <v>0</v>
      </c>
      <c r="AR32" s="7">
        <v>0.66</v>
      </c>
      <c r="AS32" s="1" t="s">
        <v>379</v>
      </c>
      <c r="AT32" s="1" t="s">
        <v>479</v>
      </c>
      <c r="AU32" s="1" t="s">
        <v>479</v>
      </c>
      <c r="AV32" s="1" t="s">
        <v>479</v>
      </c>
      <c r="AW32" s="1" t="s">
        <v>466</v>
      </c>
      <c r="AX32" s="13" t="s">
        <v>471</v>
      </c>
      <c r="AY32" s="13" t="s">
        <v>471</v>
      </c>
      <c r="AZ32" s="13" t="s">
        <v>467</v>
      </c>
      <c r="BA32" s="13" t="s">
        <v>467</v>
      </c>
      <c r="BB32" s="13" t="s">
        <v>467</v>
      </c>
      <c r="BC32" s="13" t="s">
        <v>496</v>
      </c>
      <c r="BD32" s="1" t="s">
        <v>475</v>
      </c>
      <c r="BE32" s="1" t="s">
        <v>465</v>
      </c>
      <c r="BF32" s="1" t="s">
        <v>473</v>
      </c>
      <c r="BG32" s="1" t="s">
        <v>465</v>
      </c>
      <c r="BH32" s="1" t="s">
        <v>502</v>
      </c>
      <c r="BI32" s="1" t="s">
        <v>499</v>
      </c>
      <c r="BJ32" s="1" t="s">
        <v>500</v>
      </c>
      <c r="BK32" s="1" t="s">
        <v>499</v>
      </c>
      <c r="BL32" s="1" t="s">
        <v>499</v>
      </c>
    </row>
    <row r="33" spans="1:64" hidden="1" x14ac:dyDescent="0.25">
      <c r="A33" s="1" t="s">
        <v>81</v>
      </c>
      <c r="B33" s="1" t="s">
        <v>126</v>
      </c>
      <c r="C33" s="1" t="str">
        <f>VLOOKUP(Tabelle58971115[[#This Row],[Prozess]],Tabelle22333[],3,FALSE)</f>
        <v>ProcessShed_Ind</v>
      </c>
      <c r="D33" s="1">
        <v>2050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8">
        <v>47.202773027082209</v>
      </c>
      <c r="K33" s="8"/>
      <c r="L33" s="8"/>
      <c r="M33" s="19"/>
      <c r="N33" s="98"/>
      <c r="O33" s="19">
        <v>1967</v>
      </c>
      <c r="P33" s="19"/>
      <c r="Q33" s="9">
        <v>0</v>
      </c>
      <c r="R33" s="9">
        <v>1</v>
      </c>
      <c r="S33" s="9">
        <v>1</v>
      </c>
      <c r="T33" s="9">
        <v>1</v>
      </c>
      <c r="U3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33" s="9">
        <v>0.05</v>
      </c>
      <c r="W33" s="39"/>
      <c r="X33" s="39"/>
      <c r="Y33" s="39">
        <v>1</v>
      </c>
      <c r="Z33" s="99"/>
      <c r="AA33" s="1">
        <v>4</v>
      </c>
      <c r="AC33" s="1">
        <v>0</v>
      </c>
      <c r="AD33" s="1">
        <v>0</v>
      </c>
      <c r="AE33" s="1">
        <v>0</v>
      </c>
      <c r="AF33" s="1">
        <v>0</v>
      </c>
      <c r="AG33" s="1">
        <v>24</v>
      </c>
      <c r="AH33" s="1" t="s">
        <v>368</v>
      </c>
      <c r="AI33" s="1" t="s">
        <v>274</v>
      </c>
      <c r="AJ33" s="1">
        <f>24/4</f>
        <v>6</v>
      </c>
      <c r="AK33" s="99"/>
      <c r="AL33" s="1">
        <v>40</v>
      </c>
      <c r="AM33" s="19">
        <v>0</v>
      </c>
      <c r="AN33" s="8"/>
      <c r="AO33" s="8">
        <f>1*10^3*Umrechnungsfaktoren!$B$15/Umrechnungsfaktoren!$B$11</f>
        <v>1043.2160804020102</v>
      </c>
      <c r="AP33" s="8"/>
      <c r="AQ33" s="8">
        <v>0</v>
      </c>
      <c r="AR33" s="7">
        <v>0.66</v>
      </c>
      <c r="AS33" s="1" t="s">
        <v>379</v>
      </c>
      <c r="AT33" s="1" t="s">
        <v>479</v>
      </c>
      <c r="AU33" s="1" t="s">
        <v>479</v>
      </c>
      <c r="AV33" s="1" t="s">
        <v>479</v>
      </c>
      <c r="AW33" s="1" t="s">
        <v>466</v>
      </c>
      <c r="AX33" s="13" t="s">
        <v>472</v>
      </c>
      <c r="AY33" s="13" t="s">
        <v>472</v>
      </c>
      <c r="AZ33" s="13" t="s">
        <v>467</v>
      </c>
      <c r="BA33" s="13" t="s">
        <v>467</v>
      </c>
      <c r="BB33" s="13" t="s">
        <v>467</v>
      </c>
      <c r="BC33" s="13" t="s">
        <v>496</v>
      </c>
      <c r="BD33" s="1" t="s">
        <v>475</v>
      </c>
      <c r="BE33" s="1" t="s">
        <v>465</v>
      </c>
      <c r="BF33" s="1" t="s">
        <v>473</v>
      </c>
      <c r="BG33" s="1" t="s">
        <v>465</v>
      </c>
      <c r="BH33" s="1" t="s">
        <v>502</v>
      </c>
      <c r="BI33" s="1" t="s">
        <v>499</v>
      </c>
      <c r="BJ33" s="1" t="s">
        <v>500</v>
      </c>
      <c r="BK33" s="1" t="s">
        <v>499</v>
      </c>
      <c r="BL33" s="1" t="s">
        <v>499</v>
      </c>
    </row>
    <row r="34" spans="1:64" x14ac:dyDescent="0.25">
      <c r="A34" s="1" t="s">
        <v>938</v>
      </c>
      <c r="B34" s="1" t="s">
        <v>126</v>
      </c>
      <c r="C34" s="1" t="str">
        <f>VLOOKUP(Tabelle58971115[[#This Row],[Prozess]],Tabelle22333[],3,FALSE)</f>
        <v>ProcessShift_Ind</v>
      </c>
      <c r="D34" s="1">
        <v>2010</v>
      </c>
      <c r="E34" s="1">
        <v>1</v>
      </c>
      <c r="F34" s="1">
        <v>0</v>
      </c>
      <c r="G34" s="1">
        <v>0</v>
      </c>
      <c r="H34" s="1">
        <v>1</v>
      </c>
      <c r="I34" s="1">
        <v>1</v>
      </c>
      <c r="J34" s="8">
        <v>37.18</v>
      </c>
      <c r="K34" s="8">
        <v>338000</v>
      </c>
      <c r="L34" s="8">
        <v>110</v>
      </c>
      <c r="M34" s="19"/>
      <c r="N34" s="19">
        <v>422</v>
      </c>
      <c r="O34" s="19"/>
      <c r="P34" s="19">
        <v>105</v>
      </c>
      <c r="Q34" s="9">
        <v>0.5</v>
      </c>
      <c r="R34" s="9">
        <v>0.5</v>
      </c>
      <c r="S34" s="9">
        <v>1</v>
      </c>
      <c r="T34" s="9">
        <v>0.8</v>
      </c>
      <c r="U3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4" s="9">
        <v>0.05</v>
      </c>
      <c r="W34" s="39"/>
      <c r="X34" s="39"/>
      <c r="Y34" s="39">
        <v>0.99</v>
      </c>
      <c r="Z34" s="1">
        <v>3</v>
      </c>
      <c r="AC34" s="1">
        <v>3</v>
      </c>
      <c r="AD34" s="1">
        <v>4</v>
      </c>
      <c r="AE34" s="1">
        <v>36</v>
      </c>
      <c r="AF34" s="1">
        <v>24</v>
      </c>
      <c r="AG34" s="1">
        <v>24</v>
      </c>
      <c r="AH34" s="1" t="s">
        <v>478</v>
      </c>
      <c r="AI34" s="1" t="s">
        <v>274</v>
      </c>
      <c r="AJ34" s="1">
        <f t="shared" ref="AJ34:AJ45" si="2">24/3</f>
        <v>8</v>
      </c>
      <c r="AK34" s="1">
        <v>365</v>
      </c>
      <c r="AM34" s="8">
        <f>0*10^3*Umrechnungsfaktoren!$B$15/Umrechnungsfaktoren!$B$12</f>
        <v>0</v>
      </c>
      <c r="AN34" s="8">
        <f>150*Umrechnungsfaktoren!$B$15/Umrechnungsfaktoren!$B$12</f>
        <v>155.70000000000002</v>
      </c>
      <c r="AO34" s="8"/>
      <c r="AP34" s="8"/>
      <c r="AQ34" s="8">
        <f>Tabelle58971115[[#This Row],[Investitionsausgaben €_2020/kW]]</f>
        <v>0</v>
      </c>
      <c r="AR34" s="7">
        <v>0.44</v>
      </c>
      <c r="AS34" s="1" t="s">
        <v>380</v>
      </c>
      <c r="AT34" s="1" t="s">
        <v>479</v>
      </c>
      <c r="AU34" s="1" t="s">
        <v>479</v>
      </c>
      <c r="AV34" s="1" t="s">
        <v>479</v>
      </c>
      <c r="AW34" s="1" t="s">
        <v>1103</v>
      </c>
      <c r="AX34" s="13" t="s">
        <v>476</v>
      </c>
      <c r="AY34" s="13" t="s">
        <v>477</v>
      </c>
      <c r="AZ34" s="13" t="s">
        <v>467</v>
      </c>
      <c r="BA34" s="13" t="s">
        <v>467</v>
      </c>
      <c r="BB34" s="13" t="s">
        <v>467</v>
      </c>
      <c r="BC34" s="13" t="s">
        <v>496</v>
      </c>
      <c r="BD34" s="1" t="s">
        <v>475</v>
      </c>
      <c r="BE34" s="1" t="s">
        <v>474</v>
      </c>
      <c r="BF34" s="1" t="s">
        <v>473</v>
      </c>
      <c r="BG34" s="1" t="s">
        <v>479</v>
      </c>
      <c r="BH34" s="1" t="s">
        <v>505</v>
      </c>
      <c r="BI34" s="1" t="s">
        <v>499</v>
      </c>
      <c r="BJ34" s="1" t="s">
        <v>500</v>
      </c>
      <c r="BK34" s="1" t="s">
        <v>499</v>
      </c>
      <c r="BL34" s="1" t="s">
        <v>499</v>
      </c>
    </row>
    <row r="35" spans="1:64" hidden="1" x14ac:dyDescent="0.25">
      <c r="A35" s="1" t="s">
        <v>938</v>
      </c>
      <c r="B35" s="1" t="s">
        <v>126</v>
      </c>
      <c r="C35" s="1" t="str">
        <f>VLOOKUP(Tabelle58971115[[#This Row],[Prozess]],Tabelle22333[],3,FALSE)</f>
        <v>ProcessShift_Ind</v>
      </c>
      <c r="D35" s="1">
        <v>2020</v>
      </c>
      <c r="E35" s="1">
        <v>1</v>
      </c>
      <c r="F35" s="1">
        <v>0</v>
      </c>
      <c r="G35" s="1">
        <v>0</v>
      </c>
      <c r="H35" s="1">
        <v>1</v>
      </c>
      <c r="I35" s="1">
        <v>1</v>
      </c>
      <c r="J35" s="8">
        <v>35.362274650717403</v>
      </c>
      <c r="K35" s="8"/>
      <c r="L35" s="8"/>
      <c r="M35" s="19"/>
      <c r="N35" s="19">
        <v>397</v>
      </c>
      <c r="O35" s="19"/>
      <c r="P35" s="19">
        <v>99</v>
      </c>
      <c r="Q35" s="9">
        <v>0.5</v>
      </c>
      <c r="R35" s="9">
        <v>0.5</v>
      </c>
      <c r="S35" s="9">
        <v>1</v>
      </c>
      <c r="T35" s="9">
        <v>0.8</v>
      </c>
      <c r="U3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5" s="9">
        <v>0.05</v>
      </c>
      <c r="W35" s="39"/>
      <c r="X35" s="39"/>
      <c r="Y35" s="39">
        <v>0.99</v>
      </c>
      <c r="Z35" s="1">
        <v>3</v>
      </c>
      <c r="AC35" s="1">
        <v>3</v>
      </c>
      <c r="AD35" s="1">
        <v>4</v>
      </c>
      <c r="AE35" s="1">
        <v>36</v>
      </c>
      <c r="AF35" s="1">
        <v>24</v>
      </c>
      <c r="AG35" s="1">
        <v>24</v>
      </c>
      <c r="AH35" s="1" t="s">
        <v>478</v>
      </c>
      <c r="AI35" s="1" t="s">
        <v>274</v>
      </c>
      <c r="AJ35" s="1">
        <f t="shared" si="2"/>
        <v>8</v>
      </c>
      <c r="AK35" s="1">
        <v>365</v>
      </c>
      <c r="AM35" s="8">
        <f>0*10^3*Umrechnungsfaktoren!$B$15/Umrechnungsfaktoren!$B$12</f>
        <v>0</v>
      </c>
      <c r="AN35" s="8">
        <f>150*Umrechnungsfaktoren!$B$15/Umrechnungsfaktoren!$B$12</f>
        <v>155.70000000000002</v>
      </c>
      <c r="AO35" s="8"/>
      <c r="AP35" s="8"/>
      <c r="AQ35" s="8">
        <f>Tabelle58971115[[#This Row],[Investitionsausgaben €_2020/kW]]</f>
        <v>0</v>
      </c>
      <c r="AR35" s="7">
        <v>0.44</v>
      </c>
      <c r="AS35" s="1" t="s">
        <v>380</v>
      </c>
      <c r="AT35" s="1" t="s">
        <v>479</v>
      </c>
      <c r="AU35" s="1" t="s">
        <v>479</v>
      </c>
      <c r="AV35" s="1" t="s">
        <v>479</v>
      </c>
      <c r="AW35" s="1" t="s">
        <v>466</v>
      </c>
      <c r="AX35" s="13" t="s">
        <v>470</v>
      </c>
      <c r="AY35" s="13" t="s">
        <v>470</v>
      </c>
      <c r="AZ35" s="13" t="s">
        <v>467</v>
      </c>
      <c r="BA35" s="13" t="s">
        <v>467</v>
      </c>
      <c r="BB35" s="13" t="s">
        <v>467</v>
      </c>
      <c r="BC35" s="13" t="s">
        <v>496</v>
      </c>
      <c r="BD35" s="1" t="s">
        <v>475</v>
      </c>
      <c r="BE35" s="1" t="s">
        <v>474</v>
      </c>
      <c r="BF35" s="1" t="s">
        <v>473</v>
      </c>
      <c r="BG35" s="1" t="s">
        <v>479</v>
      </c>
      <c r="BH35" s="1" t="s">
        <v>505</v>
      </c>
      <c r="BI35" s="1" t="s">
        <v>499</v>
      </c>
      <c r="BJ35" s="1" t="s">
        <v>500</v>
      </c>
      <c r="BK35" s="1" t="s">
        <v>499</v>
      </c>
      <c r="BL35" s="1" t="s">
        <v>499</v>
      </c>
    </row>
    <row r="36" spans="1:64" hidden="1" x14ac:dyDescent="0.25">
      <c r="A36" s="1" t="s">
        <v>938</v>
      </c>
      <c r="B36" s="1" t="s">
        <v>126</v>
      </c>
      <c r="C36" s="1" t="str">
        <f>VLOOKUP(Tabelle58971115[[#This Row],[Prozess]],Tabelle22333[],3,FALSE)</f>
        <v>ProcessShift_Ind</v>
      </c>
      <c r="D36" s="1">
        <v>2030</v>
      </c>
      <c r="E36" s="1">
        <v>1</v>
      </c>
      <c r="F36" s="1">
        <v>0</v>
      </c>
      <c r="G36" s="1">
        <v>0</v>
      </c>
      <c r="H36" s="1">
        <v>1</v>
      </c>
      <c r="I36" s="1">
        <v>1</v>
      </c>
      <c r="J36" s="8">
        <v>33.633417656610291</v>
      </c>
      <c r="K36" s="8"/>
      <c r="L36" s="8"/>
      <c r="M36" s="19"/>
      <c r="N36" s="19">
        <v>378</v>
      </c>
      <c r="O36" s="19"/>
      <c r="P36" s="19">
        <v>94</v>
      </c>
      <c r="Q36" s="9">
        <v>0.5</v>
      </c>
      <c r="R36" s="9">
        <v>0.5</v>
      </c>
      <c r="S36" s="9">
        <v>1</v>
      </c>
      <c r="T36" s="9">
        <v>0.8</v>
      </c>
      <c r="U3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6" s="9">
        <v>0.05</v>
      </c>
      <c r="W36" s="39"/>
      <c r="X36" s="39"/>
      <c r="Y36" s="39">
        <v>0.99</v>
      </c>
      <c r="Z36" s="1">
        <v>3</v>
      </c>
      <c r="AC36" s="1">
        <v>3</v>
      </c>
      <c r="AD36" s="1">
        <v>4</v>
      </c>
      <c r="AE36" s="1">
        <v>36</v>
      </c>
      <c r="AF36" s="1">
        <v>24</v>
      </c>
      <c r="AG36" s="1">
        <v>24</v>
      </c>
      <c r="AH36" s="1" t="s">
        <v>478</v>
      </c>
      <c r="AI36" s="1" t="s">
        <v>274</v>
      </c>
      <c r="AJ36" s="1">
        <f t="shared" si="2"/>
        <v>8</v>
      </c>
      <c r="AK36" s="1">
        <v>365</v>
      </c>
      <c r="AM36" s="8">
        <f>0*10^3*Umrechnungsfaktoren!$B$15/Umrechnungsfaktoren!$B$12</f>
        <v>0</v>
      </c>
      <c r="AN36" s="8">
        <f>150*Umrechnungsfaktoren!$B$15/Umrechnungsfaktoren!$B$12</f>
        <v>155.70000000000002</v>
      </c>
      <c r="AO36" s="8"/>
      <c r="AP36" s="8"/>
      <c r="AQ36" s="8">
        <f>Tabelle58971115[[#This Row],[Investitionsausgaben €_2020/kW]]</f>
        <v>0</v>
      </c>
      <c r="AR36" s="7">
        <v>0.44</v>
      </c>
      <c r="AS36" s="1" t="s">
        <v>380</v>
      </c>
      <c r="AT36" s="1" t="s">
        <v>479</v>
      </c>
      <c r="AU36" s="1" t="s">
        <v>479</v>
      </c>
      <c r="AV36" s="1" t="s">
        <v>479</v>
      </c>
      <c r="AW36" s="1" t="s">
        <v>466</v>
      </c>
      <c r="AX36" s="13" t="s">
        <v>471</v>
      </c>
      <c r="AY36" s="13" t="s">
        <v>471</v>
      </c>
      <c r="AZ36" s="13" t="s">
        <v>467</v>
      </c>
      <c r="BA36" s="13" t="s">
        <v>467</v>
      </c>
      <c r="BB36" s="13" t="s">
        <v>467</v>
      </c>
      <c r="BC36" s="13" t="s">
        <v>496</v>
      </c>
      <c r="BD36" s="1" t="s">
        <v>475</v>
      </c>
      <c r="BE36" s="1" t="s">
        <v>474</v>
      </c>
      <c r="BF36" s="1" t="s">
        <v>473</v>
      </c>
      <c r="BG36" s="1" t="s">
        <v>479</v>
      </c>
      <c r="BH36" s="1" t="s">
        <v>505</v>
      </c>
      <c r="BI36" s="1" t="s">
        <v>499</v>
      </c>
      <c r="BJ36" s="1" t="s">
        <v>500</v>
      </c>
      <c r="BK36" s="1" t="s">
        <v>499</v>
      </c>
      <c r="BL36" s="1" t="s">
        <v>499</v>
      </c>
    </row>
    <row r="37" spans="1:64" hidden="1" x14ac:dyDescent="0.25">
      <c r="A37" s="1" t="s">
        <v>938</v>
      </c>
      <c r="B37" s="1" t="s">
        <v>126</v>
      </c>
      <c r="C37" s="1" t="str">
        <f>VLOOKUP(Tabelle58971115[[#This Row],[Prozess]],Tabelle22333[],3,FALSE)</f>
        <v>ProcessShift_Ind</v>
      </c>
      <c r="D37" s="1">
        <v>2050</v>
      </c>
      <c r="E37" s="1">
        <v>1</v>
      </c>
      <c r="F37" s="1">
        <v>0</v>
      </c>
      <c r="G37" s="1">
        <v>0</v>
      </c>
      <c r="H37" s="1">
        <v>1</v>
      </c>
      <c r="I37" s="1">
        <v>1</v>
      </c>
      <c r="J37" s="8">
        <v>30.425142099623045</v>
      </c>
      <c r="K37" s="8"/>
      <c r="L37" s="8"/>
      <c r="M37" s="19"/>
      <c r="N37" s="19">
        <v>342</v>
      </c>
      <c r="O37" s="19"/>
      <c r="P37" s="19">
        <v>85</v>
      </c>
      <c r="Q37" s="9">
        <v>0.5</v>
      </c>
      <c r="R37" s="9">
        <v>0.5</v>
      </c>
      <c r="S37" s="9">
        <v>1</v>
      </c>
      <c r="T37" s="9">
        <v>0.8</v>
      </c>
      <c r="U3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7" s="9">
        <v>0.05</v>
      </c>
      <c r="W37" s="39"/>
      <c r="X37" s="39"/>
      <c r="Y37" s="39">
        <v>0.99</v>
      </c>
      <c r="Z37" s="1">
        <v>3</v>
      </c>
      <c r="AC37" s="1">
        <v>3</v>
      </c>
      <c r="AD37" s="1">
        <v>4</v>
      </c>
      <c r="AE37" s="1">
        <v>36</v>
      </c>
      <c r="AF37" s="1">
        <v>24</v>
      </c>
      <c r="AG37" s="1">
        <v>24</v>
      </c>
      <c r="AH37" s="1" t="s">
        <v>478</v>
      </c>
      <c r="AI37" s="1" t="s">
        <v>274</v>
      </c>
      <c r="AJ37" s="1">
        <f t="shared" si="2"/>
        <v>8</v>
      </c>
      <c r="AK37" s="1">
        <v>365</v>
      </c>
      <c r="AM37" s="8">
        <f>0*10^3*Umrechnungsfaktoren!$B$15/Umrechnungsfaktoren!$B$12</f>
        <v>0</v>
      </c>
      <c r="AN37" s="8">
        <f>150*Umrechnungsfaktoren!$B$15/Umrechnungsfaktoren!$B$12</f>
        <v>155.70000000000002</v>
      </c>
      <c r="AO37" s="8"/>
      <c r="AP37" s="8"/>
      <c r="AQ37" s="8">
        <f>Tabelle58971115[[#This Row],[Investitionsausgaben €_2020/kW]]</f>
        <v>0</v>
      </c>
      <c r="AR37" s="7">
        <v>0.44</v>
      </c>
      <c r="AS37" s="1" t="s">
        <v>380</v>
      </c>
      <c r="AT37" s="1" t="s">
        <v>479</v>
      </c>
      <c r="AU37" s="1" t="s">
        <v>479</v>
      </c>
      <c r="AV37" s="1" t="s">
        <v>479</v>
      </c>
      <c r="AW37" s="1" t="s">
        <v>466</v>
      </c>
      <c r="AX37" s="13" t="s">
        <v>472</v>
      </c>
      <c r="AY37" s="13" t="s">
        <v>472</v>
      </c>
      <c r="AZ37" s="13" t="s">
        <v>467</v>
      </c>
      <c r="BA37" s="13" t="s">
        <v>467</v>
      </c>
      <c r="BB37" s="13" t="s">
        <v>467</v>
      </c>
      <c r="BC37" s="13" t="s">
        <v>496</v>
      </c>
      <c r="BD37" s="1" t="s">
        <v>475</v>
      </c>
      <c r="BE37" s="1" t="s">
        <v>474</v>
      </c>
      <c r="BF37" s="1" t="s">
        <v>473</v>
      </c>
      <c r="BG37" s="1" t="s">
        <v>479</v>
      </c>
      <c r="BH37" s="1" t="s">
        <v>505</v>
      </c>
      <c r="BI37" s="1" t="s">
        <v>499</v>
      </c>
      <c r="BJ37" s="1" t="s">
        <v>500</v>
      </c>
      <c r="BK37" s="1" t="s">
        <v>499</v>
      </c>
      <c r="BL37" s="1" t="s">
        <v>499</v>
      </c>
    </row>
    <row r="38" spans="1:64" x14ac:dyDescent="0.25">
      <c r="A38" s="1" t="s">
        <v>370</v>
      </c>
      <c r="B38" s="1" t="s">
        <v>126</v>
      </c>
      <c r="C38" s="1" t="str">
        <f>VLOOKUP(Tabelle58971115[[#This Row],[Prozess]],Tabelle22333[],3,FALSE)</f>
        <v>ProcessShift_Ind</v>
      </c>
      <c r="D38" s="1">
        <v>2010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8">
        <v>1.24</v>
      </c>
      <c r="K38" s="8">
        <v>400</v>
      </c>
      <c r="L38" s="8">
        <v>3100</v>
      </c>
      <c r="M38" s="19"/>
      <c r="N38" s="19">
        <v>12</v>
      </c>
      <c r="O38" s="19"/>
      <c r="P38" s="19">
        <v>14</v>
      </c>
      <c r="Q38" s="9">
        <v>0</v>
      </c>
      <c r="R38" s="9">
        <v>1</v>
      </c>
      <c r="S38" s="9">
        <v>1</v>
      </c>
      <c r="T38" s="9">
        <v>0.8</v>
      </c>
      <c r="U3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8" s="9">
        <v>0.05</v>
      </c>
      <c r="W38" s="39"/>
      <c r="X38" s="39"/>
      <c r="Y38" s="39">
        <v>0.99</v>
      </c>
      <c r="Z38" s="1">
        <v>3</v>
      </c>
      <c r="AC38" s="1">
        <v>3</v>
      </c>
      <c r="AD38" s="1">
        <v>4</v>
      </c>
      <c r="AE38" s="1">
        <v>36</v>
      </c>
      <c r="AF38" s="1">
        <v>24</v>
      </c>
      <c r="AG38" s="1">
        <v>24</v>
      </c>
      <c r="AH38" s="1" t="s">
        <v>368</v>
      </c>
      <c r="AI38" s="1" t="s">
        <v>274</v>
      </c>
      <c r="AJ38" s="1">
        <f t="shared" si="2"/>
        <v>8</v>
      </c>
      <c r="AK38" s="1">
        <v>365</v>
      </c>
      <c r="AM38" s="8">
        <f>0*10^3*Umrechnungsfaktoren!$B$15/Umrechnungsfaktoren!$B$12</f>
        <v>0</v>
      </c>
      <c r="AN38" s="8">
        <f>150*Umrechnungsfaktoren!$B$15/Umrechnungsfaktoren!$B$12</f>
        <v>155.70000000000002</v>
      </c>
      <c r="AO38" s="8"/>
      <c r="AP38" s="8"/>
      <c r="AQ38" s="8">
        <f>Tabelle58971115[[#This Row],[Investitionsausgaben €_2020/kW]]</f>
        <v>0</v>
      </c>
      <c r="AR38" s="7">
        <v>0.44</v>
      </c>
      <c r="AS38" s="1" t="s">
        <v>379</v>
      </c>
      <c r="AT38" s="1" t="s">
        <v>479</v>
      </c>
      <c r="AU38" s="1" t="s">
        <v>479</v>
      </c>
      <c r="AV38" s="1" t="s">
        <v>479</v>
      </c>
      <c r="AW38" s="1" t="s">
        <v>1103</v>
      </c>
      <c r="AX38" s="13" t="s">
        <v>476</v>
      </c>
      <c r="AY38" s="13" t="s">
        <v>477</v>
      </c>
      <c r="AZ38" s="13" t="s">
        <v>467</v>
      </c>
      <c r="BA38" s="13" t="s">
        <v>467</v>
      </c>
      <c r="BB38" s="13" t="s">
        <v>467</v>
      </c>
      <c r="BC38" s="13" t="s">
        <v>496</v>
      </c>
      <c r="BD38" s="1" t="s">
        <v>474</v>
      </c>
      <c r="BE38" s="1" t="s">
        <v>474</v>
      </c>
      <c r="BF38" s="1" t="s">
        <v>473</v>
      </c>
      <c r="BG38" s="1" t="s">
        <v>465</v>
      </c>
      <c r="BH38" s="1" t="s">
        <v>504</v>
      </c>
      <c r="BI38" s="1" t="s">
        <v>499</v>
      </c>
      <c r="BJ38" s="1" t="s">
        <v>500</v>
      </c>
      <c r="BK38" s="1" t="s">
        <v>499</v>
      </c>
      <c r="BL38" s="1" t="s">
        <v>499</v>
      </c>
    </row>
    <row r="39" spans="1:64" hidden="1" x14ac:dyDescent="0.25">
      <c r="A39" s="1" t="s">
        <v>370</v>
      </c>
      <c r="B39" s="1" t="s">
        <v>126</v>
      </c>
      <c r="C39" s="1" t="str">
        <f>VLOOKUP(Tabelle58971115[[#This Row],[Prozess]],Tabelle22333[],3,FALSE)</f>
        <v>ProcessShift_Ind</v>
      </c>
      <c r="D39" s="1">
        <v>2020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8">
        <v>1.0882413260603228</v>
      </c>
      <c r="K39" s="8"/>
      <c r="L39" s="8"/>
      <c r="M39" s="19"/>
      <c r="N39" s="19">
        <v>10</v>
      </c>
      <c r="O39" s="19"/>
      <c r="P39" s="19">
        <v>12</v>
      </c>
      <c r="Q39" s="9">
        <v>0</v>
      </c>
      <c r="R39" s="9">
        <v>1</v>
      </c>
      <c r="S39" s="9">
        <v>1</v>
      </c>
      <c r="T39" s="9">
        <v>0.8</v>
      </c>
      <c r="U3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9" s="9">
        <v>0.05</v>
      </c>
      <c r="W39" s="39"/>
      <c r="X39" s="39"/>
      <c r="Y39" s="39">
        <v>0.99</v>
      </c>
      <c r="Z39" s="1">
        <v>3</v>
      </c>
      <c r="AC39" s="1">
        <v>3</v>
      </c>
      <c r="AD39" s="1">
        <v>4</v>
      </c>
      <c r="AE39" s="1">
        <v>36</v>
      </c>
      <c r="AF39" s="1">
        <v>24</v>
      </c>
      <c r="AG39" s="1">
        <v>24</v>
      </c>
      <c r="AH39" s="1" t="s">
        <v>368</v>
      </c>
      <c r="AI39" s="1" t="s">
        <v>274</v>
      </c>
      <c r="AJ39" s="1">
        <f t="shared" si="2"/>
        <v>8</v>
      </c>
      <c r="AK39" s="1">
        <v>365</v>
      </c>
      <c r="AM39" s="8">
        <f>0*10^3*Umrechnungsfaktoren!$B$15/Umrechnungsfaktoren!$B$12</f>
        <v>0</v>
      </c>
      <c r="AN39" s="8">
        <f>150*Umrechnungsfaktoren!$B$15/Umrechnungsfaktoren!$B$12</f>
        <v>155.70000000000002</v>
      </c>
      <c r="AO39" s="8"/>
      <c r="AP39" s="8"/>
      <c r="AQ39" s="8">
        <f>Tabelle58971115[[#This Row],[Investitionsausgaben €_2020/kW]]</f>
        <v>0</v>
      </c>
      <c r="AR39" s="7">
        <v>0.44</v>
      </c>
      <c r="AS39" s="1" t="s">
        <v>379</v>
      </c>
      <c r="AT39" s="1" t="s">
        <v>479</v>
      </c>
      <c r="AU39" s="1" t="s">
        <v>479</v>
      </c>
      <c r="AV39" s="1" t="s">
        <v>479</v>
      </c>
      <c r="AW39" s="1" t="s">
        <v>466</v>
      </c>
      <c r="AX39" s="13" t="s">
        <v>470</v>
      </c>
      <c r="AY39" s="13" t="s">
        <v>470</v>
      </c>
      <c r="AZ39" s="13" t="s">
        <v>467</v>
      </c>
      <c r="BA39" s="13" t="s">
        <v>467</v>
      </c>
      <c r="BB39" s="13" t="s">
        <v>467</v>
      </c>
      <c r="BC39" s="13" t="s">
        <v>496</v>
      </c>
      <c r="BD39" s="1" t="s">
        <v>474</v>
      </c>
      <c r="BE39" s="1" t="s">
        <v>474</v>
      </c>
      <c r="BF39" s="1" t="s">
        <v>473</v>
      </c>
      <c r="BG39" s="1" t="s">
        <v>465</v>
      </c>
      <c r="BH39" s="1" t="s">
        <v>504</v>
      </c>
      <c r="BI39" s="1" t="s">
        <v>499</v>
      </c>
      <c r="BJ39" s="1" t="s">
        <v>500</v>
      </c>
      <c r="BK39" s="1" t="s">
        <v>499</v>
      </c>
      <c r="BL39" s="1" t="s">
        <v>499</v>
      </c>
    </row>
    <row r="40" spans="1:64" hidden="1" x14ac:dyDescent="0.25">
      <c r="A40" s="1" t="s">
        <v>370</v>
      </c>
      <c r="B40" s="1" t="s">
        <v>126</v>
      </c>
      <c r="C40" s="1" t="str">
        <f>VLOOKUP(Tabelle58971115[[#This Row],[Prozess]],Tabelle22333[],3,FALSE)</f>
        <v>ProcessShift_Ind</v>
      </c>
      <c r="D40" s="1">
        <v>2030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8">
        <v>0.95505579334316892</v>
      </c>
      <c r="K40" s="8"/>
      <c r="L40" s="8"/>
      <c r="M40" s="19"/>
      <c r="N40" s="19">
        <v>9</v>
      </c>
      <c r="O40" s="19"/>
      <c r="P40" s="19">
        <v>11</v>
      </c>
      <c r="Q40" s="9">
        <v>0</v>
      </c>
      <c r="R40" s="9">
        <v>1</v>
      </c>
      <c r="S40" s="9">
        <v>1</v>
      </c>
      <c r="T40" s="9">
        <v>0.8</v>
      </c>
      <c r="U4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0" s="9">
        <v>0.05</v>
      </c>
      <c r="W40" s="39"/>
      <c r="X40" s="39"/>
      <c r="Y40" s="39">
        <v>0.99</v>
      </c>
      <c r="Z40" s="1">
        <v>3</v>
      </c>
      <c r="AC40" s="1">
        <v>3</v>
      </c>
      <c r="AD40" s="1">
        <v>4</v>
      </c>
      <c r="AE40" s="1">
        <v>36</v>
      </c>
      <c r="AF40" s="1">
        <v>24</v>
      </c>
      <c r="AG40" s="1">
        <v>24</v>
      </c>
      <c r="AH40" s="1" t="s">
        <v>368</v>
      </c>
      <c r="AI40" s="1" t="s">
        <v>274</v>
      </c>
      <c r="AJ40" s="1">
        <f t="shared" si="2"/>
        <v>8</v>
      </c>
      <c r="AK40" s="1">
        <v>365</v>
      </c>
      <c r="AM40" s="8">
        <f>0*10^3*Umrechnungsfaktoren!$B$15/Umrechnungsfaktoren!$B$12</f>
        <v>0</v>
      </c>
      <c r="AN40" s="8">
        <f>150*Umrechnungsfaktoren!$B$15/Umrechnungsfaktoren!$B$12</f>
        <v>155.70000000000002</v>
      </c>
      <c r="AO40" s="8"/>
      <c r="AP40" s="8"/>
      <c r="AQ40" s="8">
        <f>Tabelle58971115[[#This Row],[Investitionsausgaben €_2020/kW]]</f>
        <v>0</v>
      </c>
      <c r="AR40" s="7">
        <v>0.44</v>
      </c>
      <c r="AS40" s="1" t="s">
        <v>379</v>
      </c>
      <c r="AT40" s="1" t="s">
        <v>479</v>
      </c>
      <c r="AU40" s="1" t="s">
        <v>479</v>
      </c>
      <c r="AV40" s="1" t="s">
        <v>479</v>
      </c>
      <c r="AW40" s="1" t="s">
        <v>466</v>
      </c>
      <c r="AX40" s="13" t="s">
        <v>471</v>
      </c>
      <c r="AY40" s="13" t="s">
        <v>471</v>
      </c>
      <c r="AZ40" s="13" t="s">
        <v>467</v>
      </c>
      <c r="BA40" s="13" t="s">
        <v>467</v>
      </c>
      <c r="BB40" s="13" t="s">
        <v>467</v>
      </c>
      <c r="BC40" s="13" t="s">
        <v>496</v>
      </c>
      <c r="BD40" s="1" t="s">
        <v>474</v>
      </c>
      <c r="BE40" s="1" t="s">
        <v>474</v>
      </c>
      <c r="BF40" s="1" t="s">
        <v>473</v>
      </c>
      <c r="BG40" s="1" t="s">
        <v>465</v>
      </c>
      <c r="BH40" s="1" t="s">
        <v>504</v>
      </c>
      <c r="BI40" s="1" t="s">
        <v>499</v>
      </c>
      <c r="BJ40" s="1" t="s">
        <v>500</v>
      </c>
      <c r="BK40" s="1" t="s">
        <v>499</v>
      </c>
      <c r="BL40" s="1" t="s">
        <v>499</v>
      </c>
    </row>
    <row r="41" spans="1:64" hidden="1" x14ac:dyDescent="0.25">
      <c r="A41" s="1" t="s">
        <v>370</v>
      </c>
      <c r="B41" s="1" t="s">
        <v>126</v>
      </c>
      <c r="C41" s="1" t="str">
        <f>VLOOKUP(Tabelle58971115[[#This Row],[Prozess]],Tabelle22333[],3,FALSE)</f>
        <v>ProcessShift_Ind</v>
      </c>
      <c r="D41" s="1">
        <v>2050</v>
      </c>
      <c r="E41" s="1">
        <v>1</v>
      </c>
      <c r="F41" s="1">
        <v>0</v>
      </c>
      <c r="G41" s="1">
        <v>0</v>
      </c>
      <c r="H41" s="1">
        <v>1</v>
      </c>
      <c r="I41" s="1">
        <v>1</v>
      </c>
      <c r="J41" s="8">
        <v>0.73558997451479824</v>
      </c>
      <c r="K41" s="8"/>
      <c r="L41" s="8"/>
      <c r="M41" s="19"/>
      <c r="N41" s="19">
        <v>7</v>
      </c>
      <c r="O41" s="19"/>
      <c r="P41" s="19">
        <v>8</v>
      </c>
      <c r="Q41" s="9">
        <v>0</v>
      </c>
      <c r="R41" s="9">
        <v>1</v>
      </c>
      <c r="S41" s="9">
        <v>1</v>
      </c>
      <c r="T41" s="9">
        <v>0.8</v>
      </c>
      <c r="U4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1" s="9">
        <v>0.05</v>
      </c>
      <c r="W41" s="39"/>
      <c r="X41" s="39"/>
      <c r="Y41" s="39">
        <v>0.99</v>
      </c>
      <c r="Z41" s="1">
        <v>3</v>
      </c>
      <c r="AC41" s="1">
        <v>3</v>
      </c>
      <c r="AD41" s="1">
        <v>4</v>
      </c>
      <c r="AE41" s="1">
        <v>36</v>
      </c>
      <c r="AF41" s="1">
        <v>24</v>
      </c>
      <c r="AG41" s="1">
        <v>24</v>
      </c>
      <c r="AH41" s="1" t="s">
        <v>368</v>
      </c>
      <c r="AI41" s="1" t="s">
        <v>274</v>
      </c>
      <c r="AJ41" s="1">
        <f t="shared" si="2"/>
        <v>8</v>
      </c>
      <c r="AK41" s="1">
        <v>365</v>
      </c>
      <c r="AM41" s="8">
        <f>0*10^3*Umrechnungsfaktoren!$B$15/Umrechnungsfaktoren!$B$12</f>
        <v>0</v>
      </c>
      <c r="AN41" s="8">
        <f>150*Umrechnungsfaktoren!$B$15/Umrechnungsfaktoren!$B$12</f>
        <v>155.70000000000002</v>
      </c>
      <c r="AO41" s="8"/>
      <c r="AP41" s="8"/>
      <c r="AQ41" s="8">
        <f>Tabelle58971115[[#This Row],[Investitionsausgaben €_2020/kW]]</f>
        <v>0</v>
      </c>
      <c r="AR41" s="7">
        <v>0.44</v>
      </c>
      <c r="AS41" s="1" t="s">
        <v>379</v>
      </c>
      <c r="AT41" s="1" t="s">
        <v>479</v>
      </c>
      <c r="AU41" s="1" t="s">
        <v>479</v>
      </c>
      <c r="AV41" s="1" t="s">
        <v>479</v>
      </c>
      <c r="AW41" s="1" t="s">
        <v>466</v>
      </c>
      <c r="AX41" s="13" t="s">
        <v>472</v>
      </c>
      <c r="AY41" s="13" t="s">
        <v>472</v>
      </c>
      <c r="AZ41" s="13" t="s">
        <v>467</v>
      </c>
      <c r="BA41" s="13" t="s">
        <v>467</v>
      </c>
      <c r="BB41" s="13" t="s">
        <v>467</v>
      </c>
      <c r="BC41" s="13" t="s">
        <v>496</v>
      </c>
      <c r="BD41" s="1" t="s">
        <v>474</v>
      </c>
      <c r="BE41" s="1" t="s">
        <v>474</v>
      </c>
      <c r="BF41" s="1" t="s">
        <v>473</v>
      </c>
      <c r="BG41" s="1" t="s">
        <v>465</v>
      </c>
      <c r="BH41" s="1" t="s">
        <v>504</v>
      </c>
      <c r="BI41" s="1" t="s">
        <v>499</v>
      </c>
      <c r="BJ41" s="1" t="s">
        <v>500</v>
      </c>
      <c r="BK41" s="1" t="s">
        <v>499</v>
      </c>
      <c r="BL41" s="1" t="s">
        <v>499</v>
      </c>
    </row>
    <row r="42" spans="1:64" x14ac:dyDescent="0.25">
      <c r="A42" s="1" t="s">
        <v>39</v>
      </c>
      <c r="B42" s="1" t="s">
        <v>126</v>
      </c>
      <c r="C42" s="1" t="str">
        <f>VLOOKUP(Tabelle58971115[[#This Row],[Prozess]],Tabelle22333[],3,FALSE)</f>
        <v>ProcessShift_Ind</v>
      </c>
      <c r="D42" s="1">
        <v>2010</v>
      </c>
      <c r="E42" s="1">
        <v>1</v>
      </c>
      <c r="F42" s="1">
        <v>0</v>
      </c>
      <c r="G42" s="1">
        <v>0</v>
      </c>
      <c r="H42" s="1">
        <v>1</v>
      </c>
      <c r="I42" s="1">
        <v>1</v>
      </c>
      <c r="J42" s="8">
        <v>9.5134000000000025</v>
      </c>
      <c r="K42" s="8">
        <f>23000+14000+8000</f>
        <v>45000</v>
      </c>
      <c r="L42" s="8">
        <f>(238*23+150*18+224*8)/41</f>
        <v>243.07317073170731</v>
      </c>
      <c r="M42" s="19"/>
      <c r="N42" s="19">
        <v>51</v>
      </c>
      <c r="O42" s="19"/>
      <c r="P42" s="19">
        <v>61</v>
      </c>
      <c r="Q42" s="9">
        <v>0.6</v>
      </c>
      <c r="R42" s="9">
        <v>0.4</v>
      </c>
      <c r="S42" s="9">
        <v>1</v>
      </c>
      <c r="T42" s="9">
        <v>0.8</v>
      </c>
      <c r="U4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2" s="9">
        <v>0.05</v>
      </c>
      <c r="W42" s="39"/>
      <c r="X42" s="39"/>
      <c r="Y42" s="39">
        <v>0.99</v>
      </c>
      <c r="Z42" s="1">
        <v>3</v>
      </c>
      <c r="AC42" s="1">
        <v>3</v>
      </c>
      <c r="AD42" s="1">
        <v>4</v>
      </c>
      <c r="AE42" s="1">
        <v>36</v>
      </c>
      <c r="AF42" s="1">
        <v>24</v>
      </c>
      <c r="AG42" s="1">
        <v>24</v>
      </c>
      <c r="AH42" s="1" t="s">
        <v>368</v>
      </c>
      <c r="AI42" s="1" t="s">
        <v>274</v>
      </c>
      <c r="AJ42" s="1">
        <f t="shared" si="2"/>
        <v>8</v>
      </c>
      <c r="AK42" s="1">
        <v>365</v>
      </c>
      <c r="AM42" s="8">
        <f>0*10^3*Umrechnungsfaktoren!$B$15/Umrechnungsfaktoren!$B$12</f>
        <v>0</v>
      </c>
      <c r="AN42" s="8">
        <f>150*Umrechnungsfaktoren!$B$15/Umrechnungsfaktoren!$B$12</f>
        <v>155.70000000000002</v>
      </c>
      <c r="AO42" s="8"/>
      <c r="AP42" s="8"/>
      <c r="AQ42" s="8">
        <f>Tabelle58971115[[#This Row],[Investitionsausgaben €_2020/kW]]</f>
        <v>0</v>
      </c>
      <c r="AR42" s="7">
        <v>0.44</v>
      </c>
      <c r="AS42" s="1" t="s">
        <v>379</v>
      </c>
      <c r="AT42" s="1" t="s">
        <v>479</v>
      </c>
      <c r="AU42" s="1" t="s">
        <v>479</v>
      </c>
      <c r="AV42" s="1" t="s">
        <v>479</v>
      </c>
      <c r="AW42" s="1" t="s">
        <v>1103</v>
      </c>
      <c r="AX42" s="13" t="s">
        <v>476</v>
      </c>
      <c r="AY42" s="13" t="s">
        <v>477</v>
      </c>
      <c r="AZ42" s="13" t="s">
        <v>467</v>
      </c>
      <c r="BA42" s="13" t="s">
        <v>467</v>
      </c>
      <c r="BB42" s="13" t="s">
        <v>467</v>
      </c>
      <c r="BC42" s="13" t="s">
        <v>496</v>
      </c>
      <c r="BD42" s="1" t="s">
        <v>474</v>
      </c>
      <c r="BE42" s="1" t="s">
        <v>474</v>
      </c>
      <c r="BF42" s="1" t="s">
        <v>473</v>
      </c>
      <c r="BG42" s="1" t="s">
        <v>465</v>
      </c>
      <c r="BH42" s="1" t="s">
        <v>504</v>
      </c>
      <c r="BI42" s="1" t="s">
        <v>499</v>
      </c>
      <c r="BJ42" s="1" t="s">
        <v>500</v>
      </c>
      <c r="BK42" s="1" t="s">
        <v>499</v>
      </c>
      <c r="BL42" s="1" t="s">
        <v>499</v>
      </c>
    </row>
    <row r="43" spans="1:64" hidden="1" x14ac:dyDescent="0.25">
      <c r="A43" s="1" t="s">
        <v>39</v>
      </c>
      <c r="B43" s="1" t="s">
        <v>126</v>
      </c>
      <c r="C43" s="1" t="str">
        <f>VLOOKUP(Tabelle58971115[[#This Row],[Prozess]],Tabelle22333[],3,FALSE)</f>
        <v>ProcessShift_Ind</v>
      </c>
      <c r="D43" s="1">
        <v>2020</v>
      </c>
      <c r="E43" s="1">
        <v>1</v>
      </c>
      <c r="F43" s="1">
        <v>0</v>
      </c>
      <c r="G43" s="1">
        <v>0</v>
      </c>
      <c r="H43" s="1">
        <v>1</v>
      </c>
      <c r="I43" s="1">
        <v>1</v>
      </c>
      <c r="J43" s="8">
        <v>9.7039367721458536</v>
      </c>
      <c r="K43" s="8"/>
      <c r="L43" s="8"/>
      <c r="M43" s="19"/>
      <c r="N43" s="19">
        <v>52</v>
      </c>
      <c r="O43" s="19"/>
      <c r="P43" s="19">
        <v>62</v>
      </c>
      <c r="Q43" s="9">
        <v>0.6</v>
      </c>
      <c r="R43" s="9">
        <v>0.4</v>
      </c>
      <c r="S43" s="9">
        <v>1</v>
      </c>
      <c r="T43" s="9">
        <v>0.8</v>
      </c>
      <c r="U4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3" s="9">
        <v>0.05</v>
      </c>
      <c r="W43" s="39"/>
      <c r="X43" s="39"/>
      <c r="Y43" s="39">
        <v>0.99</v>
      </c>
      <c r="Z43" s="1">
        <v>3</v>
      </c>
      <c r="AC43" s="1">
        <v>3</v>
      </c>
      <c r="AD43" s="1">
        <v>4</v>
      </c>
      <c r="AE43" s="1">
        <v>36</v>
      </c>
      <c r="AF43" s="1">
        <v>24</v>
      </c>
      <c r="AG43" s="1">
        <v>24</v>
      </c>
      <c r="AH43" s="1" t="s">
        <v>368</v>
      </c>
      <c r="AI43" s="1" t="s">
        <v>274</v>
      </c>
      <c r="AJ43" s="1">
        <f t="shared" si="2"/>
        <v>8</v>
      </c>
      <c r="AK43" s="1">
        <v>365</v>
      </c>
      <c r="AM43" s="8">
        <f>0*10^3*Umrechnungsfaktoren!$B$15/Umrechnungsfaktoren!$B$12</f>
        <v>0</v>
      </c>
      <c r="AN43" s="8">
        <f>150*Umrechnungsfaktoren!$B$15/Umrechnungsfaktoren!$B$12</f>
        <v>155.70000000000002</v>
      </c>
      <c r="AO43" s="8"/>
      <c r="AP43" s="8"/>
      <c r="AQ43" s="8">
        <f>Tabelle58971115[[#This Row],[Investitionsausgaben €_2020/kW]]</f>
        <v>0</v>
      </c>
      <c r="AR43" s="7">
        <v>0.44</v>
      </c>
      <c r="AS43" s="1" t="s">
        <v>379</v>
      </c>
      <c r="AT43" s="1" t="s">
        <v>479</v>
      </c>
      <c r="AU43" s="1" t="s">
        <v>479</v>
      </c>
      <c r="AV43" s="1" t="s">
        <v>479</v>
      </c>
      <c r="AW43" s="1" t="s">
        <v>466</v>
      </c>
      <c r="AX43" s="13" t="s">
        <v>470</v>
      </c>
      <c r="AY43" s="13" t="s">
        <v>470</v>
      </c>
      <c r="AZ43" s="13" t="s">
        <v>467</v>
      </c>
      <c r="BA43" s="13" t="s">
        <v>467</v>
      </c>
      <c r="BB43" s="13" t="s">
        <v>467</v>
      </c>
      <c r="BC43" s="13" t="s">
        <v>496</v>
      </c>
      <c r="BD43" s="1" t="s">
        <v>474</v>
      </c>
      <c r="BE43" s="1" t="s">
        <v>474</v>
      </c>
      <c r="BF43" s="1" t="s">
        <v>473</v>
      </c>
      <c r="BG43" s="1" t="s">
        <v>465</v>
      </c>
      <c r="BH43" s="1" t="s">
        <v>504</v>
      </c>
      <c r="BI43" s="1" t="s">
        <v>499</v>
      </c>
      <c r="BJ43" s="1" t="s">
        <v>500</v>
      </c>
      <c r="BK43" s="1" t="s">
        <v>499</v>
      </c>
      <c r="BL43" s="1" t="s">
        <v>499</v>
      </c>
    </row>
    <row r="44" spans="1:64" hidden="1" x14ac:dyDescent="0.25">
      <c r="A44" s="1" t="s">
        <v>39</v>
      </c>
      <c r="B44" s="1" t="s">
        <v>126</v>
      </c>
      <c r="C44" s="1" t="str">
        <f>VLOOKUP(Tabelle58971115[[#This Row],[Prozess]],Tabelle22333[],3,FALSE)</f>
        <v>ProcessShift_Ind</v>
      </c>
      <c r="D44" s="1">
        <v>2030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8">
        <v>9.8982896627708765</v>
      </c>
      <c r="K44" s="8"/>
      <c r="L44" s="8"/>
      <c r="M44" s="19"/>
      <c r="N44" s="19">
        <v>53</v>
      </c>
      <c r="O44" s="19"/>
      <c r="P44" s="19">
        <v>64</v>
      </c>
      <c r="Q44" s="9">
        <v>0.6</v>
      </c>
      <c r="R44" s="9">
        <v>0.4</v>
      </c>
      <c r="S44" s="9">
        <v>1</v>
      </c>
      <c r="T44" s="9">
        <v>0.8</v>
      </c>
      <c r="U4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4" s="9">
        <v>0.05</v>
      </c>
      <c r="W44" s="39"/>
      <c r="X44" s="39"/>
      <c r="Y44" s="39">
        <v>0.99</v>
      </c>
      <c r="Z44" s="1">
        <v>3</v>
      </c>
      <c r="AC44" s="1">
        <v>3</v>
      </c>
      <c r="AD44" s="1">
        <v>4</v>
      </c>
      <c r="AE44" s="1">
        <v>36</v>
      </c>
      <c r="AF44" s="1">
        <v>24</v>
      </c>
      <c r="AG44" s="1">
        <v>24</v>
      </c>
      <c r="AH44" s="1" t="s">
        <v>368</v>
      </c>
      <c r="AI44" s="1" t="s">
        <v>274</v>
      </c>
      <c r="AJ44" s="1">
        <f t="shared" si="2"/>
        <v>8</v>
      </c>
      <c r="AK44" s="1">
        <v>365</v>
      </c>
      <c r="AM44" s="8">
        <f>0*10^3*Umrechnungsfaktoren!$B$15/Umrechnungsfaktoren!$B$12</f>
        <v>0</v>
      </c>
      <c r="AN44" s="8">
        <f>150*Umrechnungsfaktoren!$B$15/Umrechnungsfaktoren!$B$12</f>
        <v>155.70000000000002</v>
      </c>
      <c r="AO44" s="8"/>
      <c r="AP44" s="8"/>
      <c r="AQ44" s="8">
        <f>Tabelle58971115[[#This Row],[Investitionsausgaben €_2020/kW]]</f>
        <v>0</v>
      </c>
      <c r="AR44" s="7">
        <v>0.44</v>
      </c>
      <c r="AS44" s="1" t="s">
        <v>379</v>
      </c>
      <c r="AT44" s="1" t="s">
        <v>479</v>
      </c>
      <c r="AU44" s="1" t="s">
        <v>479</v>
      </c>
      <c r="AV44" s="1" t="s">
        <v>479</v>
      </c>
      <c r="AW44" s="1" t="s">
        <v>466</v>
      </c>
      <c r="AX44" s="13" t="s">
        <v>471</v>
      </c>
      <c r="AY44" s="13" t="s">
        <v>471</v>
      </c>
      <c r="AZ44" s="13" t="s">
        <v>467</v>
      </c>
      <c r="BA44" s="13" t="s">
        <v>467</v>
      </c>
      <c r="BB44" s="13" t="s">
        <v>467</v>
      </c>
      <c r="BC44" s="13" t="s">
        <v>496</v>
      </c>
      <c r="BD44" s="1" t="s">
        <v>474</v>
      </c>
      <c r="BE44" s="1" t="s">
        <v>474</v>
      </c>
      <c r="BF44" s="1" t="s">
        <v>473</v>
      </c>
      <c r="BG44" s="1" t="s">
        <v>465</v>
      </c>
      <c r="BH44" s="1" t="s">
        <v>504</v>
      </c>
      <c r="BI44" s="1" t="s">
        <v>499</v>
      </c>
      <c r="BJ44" s="1" t="s">
        <v>500</v>
      </c>
      <c r="BK44" s="1" t="s">
        <v>499</v>
      </c>
      <c r="BL44" s="1" t="s">
        <v>499</v>
      </c>
    </row>
    <row r="45" spans="1:64" hidden="1" x14ac:dyDescent="0.25">
      <c r="A45" s="1" t="s">
        <v>39</v>
      </c>
      <c r="B45" s="1" t="s">
        <v>126</v>
      </c>
      <c r="C45" s="1" t="str">
        <f>VLOOKUP(Tabelle58971115[[#This Row],[Prozess]],Tabelle22333[],3,FALSE)</f>
        <v>ProcessShift_Ind</v>
      </c>
      <c r="D45" s="1">
        <v>2050</v>
      </c>
      <c r="E45" s="1">
        <v>1</v>
      </c>
      <c r="F45" s="1">
        <v>0</v>
      </c>
      <c r="G45" s="1">
        <v>0</v>
      </c>
      <c r="H45" s="1">
        <v>1</v>
      </c>
      <c r="I45" s="1">
        <v>1</v>
      </c>
      <c r="J45" s="8">
        <v>10.298751050950953</v>
      </c>
      <c r="K45" s="8"/>
      <c r="L45" s="8"/>
      <c r="M45" s="19"/>
      <c r="N45" s="19">
        <v>56</v>
      </c>
      <c r="O45" s="19"/>
      <c r="P45" s="19">
        <v>66</v>
      </c>
      <c r="Q45" s="9">
        <v>0.6</v>
      </c>
      <c r="R45" s="9">
        <v>0.4</v>
      </c>
      <c r="S45" s="9">
        <v>1</v>
      </c>
      <c r="T45" s="9">
        <v>0.8</v>
      </c>
      <c r="U4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5" s="9">
        <v>0.05</v>
      </c>
      <c r="W45" s="39"/>
      <c r="X45" s="39"/>
      <c r="Y45" s="39">
        <v>0.99</v>
      </c>
      <c r="Z45" s="1">
        <v>3</v>
      </c>
      <c r="AC45" s="1">
        <v>3</v>
      </c>
      <c r="AD45" s="1">
        <v>4</v>
      </c>
      <c r="AE45" s="1">
        <v>36</v>
      </c>
      <c r="AF45" s="1">
        <v>24</v>
      </c>
      <c r="AG45" s="1">
        <v>24</v>
      </c>
      <c r="AH45" s="1" t="s">
        <v>368</v>
      </c>
      <c r="AI45" s="1" t="s">
        <v>274</v>
      </c>
      <c r="AJ45" s="1">
        <f t="shared" si="2"/>
        <v>8</v>
      </c>
      <c r="AK45" s="1">
        <v>365</v>
      </c>
      <c r="AM45" s="8">
        <f>0*10^3*Umrechnungsfaktoren!$B$15/Umrechnungsfaktoren!$B$12</f>
        <v>0</v>
      </c>
      <c r="AN45" s="8">
        <f>150*Umrechnungsfaktoren!$B$15/Umrechnungsfaktoren!$B$12</f>
        <v>155.70000000000002</v>
      </c>
      <c r="AO45" s="8"/>
      <c r="AP45" s="8"/>
      <c r="AQ45" s="8">
        <f>Tabelle58971115[[#This Row],[Investitionsausgaben €_2020/kW]]</f>
        <v>0</v>
      </c>
      <c r="AR45" s="7">
        <v>0.44</v>
      </c>
      <c r="AS45" s="1" t="s">
        <v>379</v>
      </c>
      <c r="AT45" s="1" t="s">
        <v>479</v>
      </c>
      <c r="AU45" s="1" t="s">
        <v>479</v>
      </c>
      <c r="AV45" s="1" t="s">
        <v>479</v>
      </c>
      <c r="AW45" s="1" t="s">
        <v>466</v>
      </c>
      <c r="AX45" s="13" t="s">
        <v>472</v>
      </c>
      <c r="AY45" s="13" t="s">
        <v>472</v>
      </c>
      <c r="AZ45" s="13" t="s">
        <v>467</v>
      </c>
      <c r="BA45" s="13" t="s">
        <v>467</v>
      </c>
      <c r="BB45" s="13" t="s">
        <v>467</v>
      </c>
      <c r="BC45" s="13" t="s">
        <v>496</v>
      </c>
      <c r="BD45" s="1" t="s">
        <v>474</v>
      </c>
      <c r="BE45" s="1" t="s">
        <v>474</v>
      </c>
      <c r="BF45" s="1" t="s">
        <v>473</v>
      </c>
      <c r="BG45" s="1" t="s">
        <v>465</v>
      </c>
      <c r="BH45" s="1" t="s">
        <v>504</v>
      </c>
      <c r="BI45" s="1" t="s">
        <v>499</v>
      </c>
      <c r="BJ45" s="1" t="s">
        <v>500</v>
      </c>
      <c r="BK45" s="1" t="s">
        <v>499</v>
      </c>
      <c r="BL45" s="1" t="s">
        <v>499</v>
      </c>
    </row>
    <row r="46" spans="1:64" x14ac:dyDescent="0.25">
      <c r="A46" s="1" t="s">
        <v>97</v>
      </c>
      <c r="B46" s="1" t="s">
        <v>126</v>
      </c>
      <c r="C46" s="1" t="str">
        <f>VLOOKUP(Tabelle58971115[[#This Row],[Prozess]],Tabelle22333[],3,FALSE)</f>
        <v>CollingWater_ComInd</v>
      </c>
      <c r="D46" s="1">
        <v>2010</v>
      </c>
      <c r="E46" s="1">
        <v>1</v>
      </c>
      <c r="F46" s="1">
        <v>0</v>
      </c>
      <c r="G46" s="1">
        <v>0</v>
      </c>
      <c r="H46" s="1">
        <v>1</v>
      </c>
      <c r="I46" s="1">
        <v>1</v>
      </c>
      <c r="J46" s="1">
        <v>31</v>
      </c>
      <c r="M46" s="19"/>
      <c r="N46" s="19">
        <v>275</v>
      </c>
      <c r="O46" s="19"/>
      <c r="P46" s="19">
        <v>255</v>
      </c>
      <c r="Q46" s="9">
        <v>0.6</v>
      </c>
      <c r="R46" s="9">
        <v>0.5</v>
      </c>
      <c r="S46" s="9">
        <v>0.9</v>
      </c>
      <c r="T46" s="9">
        <f>5840/8760</f>
        <v>0.66666666666666663</v>
      </c>
      <c r="U46" s="9"/>
      <c r="V46" s="9"/>
      <c r="W46" s="40">
        <v>0.95499999999999996</v>
      </c>
      <c r="X46" s="40">
        <v>0.98</v>
      </c>
      <c r="Y46" s="9"/>
      <c r="Z46" s="1">
        <v>2</v>
      </c>
      <c r="AC46" s="1">
        <v>2</v>
      </c>
      <c r="AD46" s="1">
        <v>2</v>
      </c>
      <c r="AE46" s="1">
        <v>6</v>
      </c>
      <c r="AF46" s="1">
        <v>24</v>
      </c>
      <c r="AG46" s="1">
        <v>8</v>
      </c>
      <c r="AH46" s="1" t="s">
        <v>478</v>
      </c>
      <c r="AI46" s="1" t="s">
        <v>274</v>
      </c>
      <c r="AJ46" s="1">
        <f>8/2</f>
        <v>4</v>
      </c>
      <c r="AK46" s="1">
        <v>1095</v>
      </c>
      <c r="AM46" s="19"/>
      <c r="AN46" s="3">
        <f>0.05*10^3*Umrechnungsfaktoren!$B$15/Umrechnungsfaktoren!$B$11</f>
        <v>52.160804020100507</v>
      </c>
      <c r="AO46" s="3"/>
      <c r="AP46" s="8"/>
      <c r="AQ46" s="8"/>
      <c r="AS46" s="1" t="s">
        <v>379</v>
      </c>
      <c r="AT46" s="1" t="s">
        <v>479</v>
      </c>
      <c r="AU46" s="1" t="s">
        <v>479</v>
      </c>
      <c r="AV46" s="1" t="s">
        <v>479</v>
      </c>
      <c r="AW46" s="1" t="s">
        <v>481</v>
      </c>
      <c r="AX46" s="13" t="s">
        <v>476</v>
      </c>
      <c r="AY46" s="13" t="s">
        <v>477</v>
      </c>
      <c r="AZ46" s="13" t="s">
        <v>467</v>
      </c>
      <c r="BA46" s="13" t="s">
        <v>467</v>
      </c>
      <c r="BB46" s="13" t="s">
        <v>467</v>
      </c>
      <c r="BC46" s="13" t="s">
        <v>496</v>
      </c>
      <c r="BD46" s="1" t="s">
        <v>474</v>
      </c>
      <c r="BE46" s="1" t="s">
        <v>474</v>
      </c>
      <c r="BF46" s="1" t="s">
        <v>473</v>
      </c>
      <c r="BG46" s="1" t="s">
        <v>479</v>
      </c>
      <c r="BH46" s="1" t="s">
        <v>504</v>
      </c>
      <c r="BI46" s="1" t="s">
        <v>499</v>
      </c>
      <c r="BJ46" s="1" t="s">
        <v>500</v>
      </c>
      <c r="BK46" s="1" t="s">
        <v>499</v>
      </c>
      <c r="BL46" s="1" t="s">
        <v>499</v>
      </c>
    </row>
    <row r="47" spans="1:64" hidden="1" x14ac:dyDescent="0.25">
      <c r="A47" s="1" t="s">
        <v>97</v>
      </c>
      <c r="B47" s="1" t="s">
        <v>126</v>
      </c>
      <c r="C47" s="1" t="str">
        <f>VLOOKUP(Tabelle58971115[[#This Row],[Prozess]],Tabelle22333[],3,FALSE)</f>
        <v>CollingWater_ComInd</v>
      </c>
      <c r="D47" s="1">
        <v>2020</v>
      </c>
      <c r="E47" s="1">
        <v>1</v>
      </c>
      <c r="F47" s="1">
        <v>0</v>
      </c>
      <c r="G47" s="1">
        <v>0</v>
      </c>
      <c r="H47" s="1">
        <v>1</v>
      </c>
      <c r="I47" s="1">
        <v>1</v>
      </c>
      <c r="M47" s="19"/>
      <c r="N47" s="19">
        <v>275</v>
      </c>
      <c r="O47" s="19"/>
      <c r="P47" s="19">
        <v>255</v>
      </c>
      <c r="Q47" s="9">
        <v>0.6</v>
      </c>
      <c r="R47" s="9">
        <v>0.5</v>
      </c>
      <c r="S47" s="9">
        <v>0.9</v>
      </c>
      <c r="T47" s="9">
        <f>5840/8760</f>
        <v>0.66666666666666663</v>
      </c>
      <c r="U4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47" s="9"/>
      <c r="W47" s="40">
        <v>0.95499999999999996</v>
      </c>
      <c r="X47" s="40">
        <v>0.98</v>
      </c>
      <c r="Y47" s="9"/>
      <c r="Z47" s="1">
        <v>2</v>
      </c>
      <c r="AC47" s="1">
        <v>2</v>
      </c>
      <c r="AD47" s="1">
        <v>2</v>
      </c>
      <c r="AE47" s="1">
        <v>6</v>
      </c>
      <c r="AF47" s="1">
        <v>24</v>
      </c>
      <c r="AG47" s="1">
        <v>8</v>
      </c>
      <c r="AH47" s="1" t="s">
        <v>478</v>
      </c>
      <c r="AI47" s="1" t="s">
        <v>274</v>
      </c>
      <c r="AJ47" s="1">
        <f>8/2</f>
        <v>4</v>
      </c>
      <c r="AK47" s="1">
        <v>1095</v>
      </c>
      <c r="AM47" s="19"/>
      <c r="AN47" s="3">
        <f>0.05*10^3*Umrechnungsfaktoren!$B$15/Umrechnungsfaktoren!$B$11</f>
        <v>52.160804020100507</v>
      </c>
      <c r="AO47" s="3"/>
      <c r="AP47" s="8"/>
      <c r="AQ47" s="8"/>
      <c r="AS47" s="1" t="s">
        <v>379</v>
      </c>
      <c r="AT47" s="1" t="s">
        <v>479</v>
      </c>
      <c r="AU47" s="1" t="s">
        <v>479</v>
      </c>
      <c r="AV47" s="1" t="s">
        <v>479</v>
      </c>
      <c r="AX47" s="13" t="s">
        <v>470</v>
      </c>
      <c r="AY47" s="13" t="s">
        <v>470</v>
      </c>
      <c r="AZ47" s="13" t="s">
        <v>467</v>
      </c>
      <c r="BA47" s="13" t="s">
        <v>467</v>
      </c>
      <c r="BB47" s="13" t="s">
        <v>467</v>
      </c>
      <c r="BC47" s="13" t="s">
        <v>496</v>
      </c>
      <c r="BD47" s="1" t="s">
        <v>474</v>
      </c>
      <c r="BE47" s="1" t="s">
        <v>474</v>
      </c>
      <c r="BF47" s="1" t="s">
        <v>473</v>
      </c>
      <c r="BG47" s="1" t="s">
        <v>479</v>
      </c>
      <c r="BH47" s="1" t="s">
        <v>504</v>
      </c>
      <c r="BI47" s="1" t="s">
        <v>499</v>
      </c>
      <c r="BJ47" s="1" t="s">
        <v>500</v>
      </c>
      <c r="BK47" s="1" t="s">
        <v>499</v>
      </c>
      <c r="BL47" s="1" t="s">
        <v>499</v>
      </c>
    </row>
    <row r="48" spans="1:64" hidden="1" x14ac:dyDescent="0.25">
      <c r="A48" s="1" t="s">
        <v>97</v>
      </c>
      <c r="B48" s="1" t="s">
        <v>126</v>
      </c>
      <c r="C48" s="1" t="str">
        <f>VLOOKUP(Tabelle58971115[[#This Row],[Prozess]],Tabelle22333[],3,FALSE)</f>
        <v>CollingWater_ComInd</v>
      </c>
      <c r="D48" s="1">
        <v>2030</v>
      </c>
      <c r="E48" s="1">
        <v>1</v>
      </c>
      <c r="F48" s="1">
        <v>0</v>
      </c>
      <c r="G48" s="1">
        <v>0</v>
      </c>
      <c r="H48" s="1">
        <v>1</v>
      </c>
      <c r="I48" s="1">
        <v>1</v>
      </c>
      <c r="M48" s="19"/>
      <c r="N48" s="19">
        <v>275</v>
      </c>
      <c r="O48" s="19"/>
      <c r="P48" s="19">
        <v>255</v>
      </c>
      <c r="Q48" s="9">
        <v>0.6</v>
      </c>
      <c r="R48" s="9">
        <v>0.5</v>
      </c>
      <c r="S48" s="9">
        <v>0.9</v>
      </c>
      <c r="T48" s="9">
        <f>5840/8760</f>
        <v>0.66666666666666663</v>
      </c>
      <c r="U4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48" s="9"/>
      <c r="W48" s="40">
        <v>0.95499999999999996</v>
      </c>
      <c r="X48" s="40">
        <v>0.98</v>
      </c>
      <c r="Y48" s="9"/>
      <c r="Z48" s="1">
        <v>2</v>
      </c>
      <c r="AC48" s="1">
        <v>2</v>
      </c>
      <c r="AD48" s="1">
        <v>2</v>
      </c>
      <c r="AE48" s="1">
        <v>6</v>
      </c>
      <c r="AF48" s="1">
        <v>24</v>
      </c>
      <c r="AG48" s="1">
        <v>8</v>
      </c>
      <c r="AH48" s="1" t="s">
        <v>478</v>
      </c>
      <c r="AI48" s="1" t="s">
        <v>274</v>
      </c>
      <c r="AJ48" s="1">
        <f>8/2</f>
        <v>4</v>
      </c>
      <c r="AK48" s="1">
        <v>1095</v>
      </c>
      <c r="AM48" s="19"/>
      <c r="AN48" s="3">
        <f>0.05*10^3*Umrechnungsfaktoren!$B$15/Umrechnungsfaktoren!$B$11</f>
        <v>52.160804020100507</v>
      </c>
      <c r="AO48" s="3"/>
      <c r="AP48" s="8"/>
      <c r="AQ48" s="8"/>
      <c r="AS48" s="1" t="s">
        <v>379</v>
      </c>
      <c r="AT48" s="1" t="s">
        <v>479</v>
      </c>
      <c r="AU48" s="1" t="s">
        <v>479</v>
      </c>
      <c r="AV48" s="1" t="s">
        <v>479</v>
      </c>
      <c r="AX48" s="13" t="s">
        <v>471</v>
      </c>
      <c r="AY48" s="13" t="s">
        <v>471</v>
      </c>
      <c r="AZ48" s="13" t="s">
        <v>467</v>
      </c>
      <c r="BA48" s="13" t="s">
        <v>467</v>
      </c>
      <c r="BB48" s="13" t="s">
        <v>467</v>
      </c>
      <c r="BC48" s="13" t="s">
        <v>496</v>
      </c>
      <c r="BD48" s="1" t="s">
        <v>474</v>
      </c>
      <c r="BE48" s="1" t="s">
        <v>474</v>
      </c>
      <c r="BF48" s="1" t="s">
        <v>473</v>
      </c>
      <c r="BG48" s="1" t="s">
        <v>479</v>
      </c>
      <c r="BH48" s="1" t="s">
        <v>504</v>
      </c>
      <c r="BI48" s="1" t="s">
        <v>499</v>
      </c>
      <c r="BJ48" s="1" t="s">
        <v>500</v>
      </c>
      <c r="BK48" s="1" t="s">
        <v>499</v>
      </c>
      <c r="BL48" s="1" t="s">
        <v>499</v>
      </c>
    </row>
    <row r="49" spans="1:64" hidden="1" x14ac:dyDescent="0.25">
      <c r="A49" s="1" t="s">
        <v>97</v>
      </c>
      <c r="B49" s="1" t="s">
        <v>126</v>
      </c>
      <c r="C49" s="1" t="str">
        <f>VLOOKUP(Tabelle58971115[[#This Row],[Prozess]],Tabelle22333[],3,FALSE)</f>
        <v>CollingWater_ComInd</v>
      </c>
      <c r="D49" s="1">
        <v>2050</v>
      </c>
      <c r="E49" s="1">
        <v>1</v>
      </c>
      <c r="F49" s="1">
        <v>0</v>
      </c>
      <c r="G49" s="1">
        <v>0</v>
      </c>
      <c r="H49" s="1">
        <v>1</v>
      </c>
      <c r="I49" s="1">
        <v>1</v>
      </c>
      <c r="M49" s="19"/>
      <c r="N49" s="19">
        <v>275</v>
      </c>
      <c r="O49" s="19"/>
      <c r="P49" s="19">
        <v>255</v>
      </c>
      <c r="Q49" s="9">
        <v>0.6</v>
      </c>
      <c r="R49" s="9">
        <v>0.5</v>
      </c>
      <c r="S49" s="9">
        <v>0.9</v>
      </c>
      <c r="T49" s="9">
        <f>5840/8760</f>
        <v>0.66666666666666663</v>
      </c>
      <c r="U4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49" s="9"/>
      <c r="W49" s="40">
        <v>0.95499999999999996</v>
      </c>
      <c r="X49" s="40">
        <v>0.98</v>
      </c>
      <c r="Y49" s="9"/>
      <c r="Z49" s="1">
        <v>2</v>
      </c>
      <c r="AC49" s="1">
        <v>2</v>
      </c>
      <c r="AD49" s="1">
        <v>2</v>
      </c>
      <c r="AE49" s="1">
        <v>6</v>
      </c>
      <c r="AF49" s="1">
        <v>24</v>
      </c>
      <c r="AG49" s="1">
        <v>8</v>
      </c>
      <c r="AH49" s="1" t="s">
        <v>478</v>
      </c>
      <c r="AI49" s="1" t="s">
        <v>274</v>
      </c>
      <c r="AJ49" s="1">
        <f>8/2</f>
        <v>4</v>
      </c>
      <c r="AK49" s="1">
        <v>1095</v>
      </c>
      <c r="AM49" s="19"/>
      <c r="AN49" s="3">
        <f>0.05*10^3*Umrechnungsfaktoren!$B$15/Umrechnungsfaktoren!$B$11</f>
        <v>52.160804020100507</v>
      </c>
      <c r="AO49" s="3"/>
      <c r="AP49" s="8"/>
      <c r="AQ49" s="8"/>
      <c r="AS49" s="1" t="s">
        <v>379</v>
      </c>
      <c r="AT49" s="1" t="s">
        <v>479</v>
      </c>
      <c r="AU49" s="1" t="s">
        <v>479</v>
      </c>
      <c r="AV49" s="1" t="s">
        <v>479</v>
      </c>
      <c r="AX49" s="13" t="s">
        <v>472</v>
      </c>
      <c r="AY49" s="13" t="s">
        <v>472</v>
      </c>
      <c r="AZ49" s="13" t="s">
        <v>467</v>
      </c>
      <c r="BA49" s="13" t="s">
        <v>467</v>
      </c>
      <c r="BB49" s="13" t="s">
        <v>467</v>
      </c>
      <c r="BC49" s="13" t="s">
        <v>496</v>
      </c>
      <c r="BD49" s="1" t="s">
        <v>474</v>
      </c>
      <c r="BE49" s="1" t="s">
        <v>474</v>
      </c>
      <c r="BF49" s="1" t="s">
        <v>473</v>
      </c>
      <c r="BG49" s="1" t="s">
        <v>479</v>
      </c>
      <c r="BH49" s="1" t="s">
        <v>504</v>
      </c>
      <c r="BI49" s="1" t="s">
        <v>499</v>
      </c>
      <c r="BJ49" s="1" t="s">
        <v>500</v>
      </c>
      <c r="BK49" s="1" t="s">
        <v>499</v>
      </c>
      <c r="BL49" s="1" t="s">
        <v>499</v>
      </c>
    </row>
    <row r="50" spans="1:64" x14ac:dyDescent="0.25">
      <c r="A50" s="1" t="s">
        <v>208</v>
      </c>
      <c r="B50" s="1" t="s">
        <v>126</v>
      </c>
      <c r="C50" s="1" t="s">
        <v>495</v>
      </c>
      <c r="D50" s="1">
        <v>2010</v>
      </c>
      <c r="E50" s="1">
        <v>1</v>
      </c>
      <c r="F50" s="1">
        <v>0</v>
      </c>
      <c r="G50" s="1">
        <v>0</v>
      </c>
      <c r="H50" s="1">
        <v>0</v>
      </c>
      <c r="I50" s="1">
        <v>1</v>
      </c>
      <c r="J50" s="1">
        <v>12</v>
      </c>
      <c r="M50" s="19"/>
      <c r="N50" s="19">
        <v>147</v>
      </c>
      <c r="O50" s="19"/>
      <c r="P50" s="19">
        <v>73</v>
      </c>
      <c r="Q50" s="9">
        <v>0.5</v>
      </c>
      <c r="R50" s="9">
        <v>0.5</v>
      </c>
      <c r="S50" s="9"/>
      <c r="T50" s="9">
        <f>7008/8760</f>
        <v>0.8</v>
      </c>
      <c r="U50" s="9"/>
      <c r="V50" s="9"/>
      <c r="W50" s="39">
        <v>0.97</v>
      </c>
      <c r="X50" s="39">
        <v>0.97</v>
      </c>
      <c r="Y50" s="9"/>
      <c r="Z50" s="1">
        <v>1</v>
      </c>
      <c r="AC50" s="1">
        <v>1</v>
      </c>
      <c r="AF50" s="1">
        <v>2</v>
      </c>
      <c r="AG50" s="1">
        <v>4</v>
      </c>
      <c r="AH50" s="1" t="s">
        <v>372</v>
      </c>
      <c r="AI50" s="1" t="s">
        <v>274</v>
      </c>
      <c r="AJ50" s="1">
        <f>4/1</f>
        <v>4</v>
      </c>
      <c r="AK50" s="1">
        <v>1095</v>
      </c>
      <c r="AM50" s="19">
        <f>10*Umrechnungsfaktoren!$B$15/Umrechnungsfaktoren!$B$12</f>
        <v>10.38</v>
      </c>
      <c r="AN50" s="19">
        <f>5*Umrechnungsfaktoren!$B$15/Umrechnungsfaktoren!$B$12</f>
        <v>5.19</v>
      </c>
      <c r="AO50" s="19"/>
      <c r="AP50" s="8"/>
      <c r="AQ50" s="8">
        <f>0.03*Tabelle58971115[[#This Row],[Investitionsausgaben €_2020/kW]]</f>
        <v>0.31140000000000001</v>
      </c>
      <c r="AR50" s="7">
        <v>0.08</v>
      </c>
      <c r="AS50" s="1" t="s">
        <v>381</v>
      </c>
      <c r="AT50" s="1" t="s">
        <v>479</v>
      </c>
      <c r="AU50" s="1" t="s">
        <v>479</v>
      </c>
      <c r="AV50" s="1" t="s">
        <v>479</v>
      </c>
      <c r="AW50" s="1" t="s">
        <v>481</v>
      </c>
      <c r="AX50" s="13" t="s">
        <v>476</v>
      </c>
      <c r="AY50" s="13" t="s">
        <v>477</v>
      </c>
      <c r="AZ50" s="13" t="s">
        <v>467</v>
      </c>
      <c r="BA50" s="13" t="s">
        <v>467</v>
      </c>
      <c r="BB50" s="13" t="s">
        <v>467</v>
      </c>
      <c r="BC50" s="13" t="s">
        <v>496</v>
      </c>
      <c r="BD50" s="1" t="s">
        <v>474</v>
      </c>
      <c r="BE50" s="1" t="s">
        <v>474</v>
      </c>
      <c r="BF50" s="1" t="s">
        <v>473</v>
      </c>
      <c r="BG50" s="1" t="s">
        <v>465</v>
      </c>
      <c r="BH50" s="1" t="s">
        <v>504</v>
      </c>
      <c r="BI50" s="1" t="s">
        <v>499</v>
      </c>
      <c r="BJ50" s="1" t="s">
        <v>500</v>
      </c>
      <c r="BK50" s="1" t="s">
        <v>499</v>
      </c>
      <c r="BL50" s="1" t="s">
        <v>499</v>
      </c>
    </row>
    <row r="51" spans="1:64" hidden="1" x14ac:dyDescent="0.25">
      <c r="A51" s="1" t="s">
        <v>208</v>
      </c>
      <c r="B51" s="1" t="s">
        <v>126</v>
      </c>
      <c r="C51" s="1" t="s">
        <v>495</v>
      </c>
      <c r="D51" s="1">
        <v>2020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M51" s="19"/>
      <c r="N51" s="19">
        <v>147</v>
      </c>
      <c r="O51" s="19"/>
      <c r="P51" s="19">
        <v>73</v>
      </c>
      <c r="Q51" s="9">
        <v>0.5</v>
      </c>
      <c r="R51" s="9">
        <v>0.5</v>
      </c>
      <c r="S51" s="9"/>
      <c r="T51" s="9">
        <f>7008/8760</f>
        <v>0.8</v>
      </c>
      <c r="U5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1" s="9"/>
      <c r="W51" s="39">
        <v>0.97</v>
      </c>
      <c r="X51" s="39">
        <v>0.97</v>
      </c>
      <c r="Y51" s="9"/>
      <c r="Z51" s="1">
        <v>1</v>
      </c>
      <c r="AC51" s="1">
        <v>1</v>
      </c>
      <c r="AF51" s="1">
        <v>2</v>
      </c>
      <c r="AG51" s="1">
        <v>4</v>
      </c>
      <c r="AH51" s="1" t="s">
        <v>372</v>
      </c>
      <c r="AI51" s="1" t="s">
        <v>274</v>
      </c>
      <c r="AJ51" s="1">
        <f t="shared" ref="AJ51:AJ57" si="3">4/1</f>
        <v>4</v>
      </c>
      <c r="AK51" s="1">
        <v>1095</v>
      </c>
      <c r="AM51" s="19">
        <f>10*Umrechnungsfaktoren!$B$15/Umrechnungsfaktoren!$B$12</f>
        <v>10.38</v>
      </c>
      <c r="AN51" s="19">
        <f>5*Umrechnungsfaktoren!$B$15/Umrechnungsfaktoren!$B$12</f>
        <v>5.19</v>
      </c>
      <c r="AO51" s="19"/>
      <c r="AP51" s="8"/>
      <c r="AQ51" s="8">
        <f>0.03*Tabelle58971115[[#This Row],[Investitionsausgaben €_2020/kW]]</f>
        <v>0.31140000000000001</v>
      </c>
      <c r="AR51" s="7">
        <v>0.08</v>
      </c>
      <c r="AS51" s="1" t="s">
        <v>381</v>
      </c>
      <c r="AT51" s="1" t="s">
        <v>479</v>
      </c>
      <c r="AU51" s="1" t="s">
        <v>479</v>
      </c>
      <c r="AV51" s="1" t="s">
        <v>479</v>
      </c>
      <c r="AX51" s="13" t="s">
        <v>470</v>
      </c>
      <c r="AY51" s="13" t="s">
        <v>470</v>
      </c>
      <c r="AZ51" s="13" t="s">
        <v>467</v>
      </c>
      <c r="BA51" s="13" t="s">
        <v>467</v>
      </c>
      <c r="BB51" s="13" t="s">
        <v>467</v>
      </c>
      <c r="BC51" s="13" t="s">
        <v>496</v>
      </c>
      <c r="BD51" s="1" t="s">
        <v>474</v>
      </c>
      <c r="BE51" s="1" t="s">
        <v>474</v>
      </c>
      <c r="BF51" s="1" t="s">
        <v>473</v>
      </c>
      <c r="BG51" s="1" t="s">
        <v>465</v>
      </c>
      <c r="BH51" s="1" t="s">
        <v>504</v>
      </c>
      <c r="BI51" s="1" t="s">
        <v>499</v>
      </c>
      <c r="BJ51" s="1" t="s">
        <v>500</v>
      </c>
      <c r="BK51" s="1" t="s">
        <v>499</v>
      </c>
      <c r="BL51" s="1" t="s">
        <v>499</v>
      </c>
    </row>
    <row r="52" spans="1:64" hidden="1" x14ac:dyDescent="0.25">
      <c r="A52" s="1" t="s">
        <v>208</v>
      </c>
      <c r="B52" s="1" t="s">
        <v>126</v>
      </c>
      <c r="C52" s="1" t="s">
        <v>495</v>
      </c>
      <c r="D52" s="1">
        <v>2030</v>
      </c>
      <c r="E52" s="1">
        <v>1</v>
      </c>
      <c r="F52" s="1">
        <v>0</v>
      </c>
      <c r="G52" s="1">
        <v>0</v>
      </c>
      <c r="H52" s="1">
        <v>0</v>
      </c>
      <c r="I52" s="1">
        <v>1</v>
      </c>
      <c r="M52" s="19"/>
      <c r="N52" s="19">
        <v>147</v>
      </c>
      <c r="O52" s="19"/>
      <c r="P52" s="19">
        <v>73</v>
      </c>
      <c r="Q52" s="9">
        <v>0.5</v>
      </c>
      <c r="R52" s="9">
        <v>0.5</v>
      </c>
      <c r="S52" s="9"/>
      <c r="T52" s="9">
        <f>7008/8760</f>
        <v>0.8</v>
      </c>
      <c r="U5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2" s="9"/>
      <c r="W52" s="39">
        <v>0.97</v>
      </c>
      <c r="X52" s="39">
        <v>0.97</v>
      </c>
      <c r="Y52" s="9"/>
      <c r="Z52" s="1">
        <v>1</v>
      </c>
      <c r="AC52" s="1">
        <v>1</v>
      </c>
      <c r="AF52" s="1">
        <v>2</v>
      </c>
      <c r="AG52" s="1">
        <v>4</v>
      </c>
      <c r="AH52" s="1" t="s">
        <v>372</v>
      </c>
      <c r="AI52" s="1" t="s">
        <v>274</v>
      </c>
      <c r="AJ52" s="1">
        <f t="shared" si="3"/>
        <v>4</v>
      </c>
      <c r="AK52" s="1">
        <v>1095</v>
      </c>
      <c r="AM52" s="19">
        <f>10*Umrechnungsfaktoren!$B$15/Umrechnungsfaktoren!$B$12</f>
        <v>10.38</v>
      </c>
      <c r="AN52" s="19">
        <f>5*Umrechnungsfaktoren!$B$15/Umrechnungsfaktoren!$B$12</f>
        <v>5.19</v>
      </c>
      <c r="AO52" s="19"/>
      <c r="AP52" s="8"/>
      <c r="AQ52" s="8">
        <f>0.03*Tabelle58971115[[#This Row],[Investitionsausgaben €_2020/kW]]</f>
        <v>0.31140000000000001</v>
      </c>
      <c r="AR52" s="7">
        <v>0.08</v>
      </c>
      <c r="AS52" s="1" t="s">
        <v>381</v>
      </c>
      <c r="AT52" s="1" t="s">
        <v>479</v>
      </c>
      <c r="AU52" s="1" t="s">
        <v>479</v>
      </c>
      <c r="AV52" s="1" t="s">
        <v>479</v>
      </c>
      <c r="AX52" s="13" t="s">
        <v>471</v>
      </c>
      <c r="AY52" s="13" t="s">
        <v>471</v>
      </c>
      <c r="AZ52" s="13" t="s">
        <v>467</v>
      </c>
      <c r="BA52" s="13" t="s">
        <v>467</v>
      </c>
      <c r="BB52" s="13" t="s">
        <v>467</v>
      </c>
      <c r="BC52" s="13" t="s">
        <v>496</v>
      </c>
      <c r="BD52" s="1" t="s">
        <v>474</v>
      </c>
      <c r="BE52" s="1" t="s">
        <v>474</v>
      </c>
      <c r="BF52" s="1" t="s">
        <v>473</v>
      </c>
      <c r="BG52" s="1" t="s">
        <v>465</v>
      </c>
      <c r="BH52" s="1" t="s">
        <v>504</v>
      </c>
      <c r="BI52" s="1" t="s">
        <v>499</v>
      </c>
      <c r="BJ52" s="1" t="s">
        <v>500</v>
      </c>
      <c r="BK52" s="1" t="s">
        <v>499</v>
      </c>
      <c r="BL52" s="1" t="s">
        <v>499</v>
      </c>
    </row>
    <row r="53" spans="1:64" hidden="1" x14ac:dyDescent="0.25">
      <c r="A53" s="1" t="s">
        <v>208</v>
      </c>
      <c r="B53" s="1" t="s">
        <v>126</v>
      </c>
      <c r="C53" s="1" t="s">
        <v>495</v>
      </c>
      <c r="D53" s="1">
        <v>2050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M53" s="19"/>
      <c r="N53" s="19">
        <v>147</v>
      </c>
      <c r="O53" s="19"/>
      <c r="P53" s="19">
        <v>73</v>
      </c>
      <c r="Q53" s="9">
        <v>0.5</v>
      </c>
      <c r="R53" s="9">
        <v>0.5</v>
      </c>
      <c r="S53" s="9"/>
      <c r="T53" s="9">
        <f>7008/8760</f>
        <v>0.8</v>
      </c>
      <c r="U5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3" s="9"/>
      <c r="W53" s="39">
        <v>0.97</v>
      </c>
      <c r="X53" s="39">
        <v>0.97</v>
      </c>
      <c r="Y53" s="9"/>
      <c r="Z53" s="1">
        <v>1</v>
      </c>
      <c r="AC53" s="1">
        <v>1</v>
      </c>
      <c r="AF53" s="1">
        <v>2</v>
      </c>
      <c r="AG53" s="1">
        <v>4</v>
      </c>
      <c r="AH53" s="1" t="s">
        <v>372</v>
      </c>
      <c r="AI53" s="1" t="s">
        <v>274</v>
      </c>
      <c r="AJ53" s="1">
        <f t="shared" si="3"/>
        <v>4</v>
      </c>
      <c r="AK53" s="1">
        <v>1095</v>
      </c>
      <c r="AM53" s="19">
        <f>10*Umrechnungsfaktoren!$B$15/Umrechnungsfaktoren!$B$12</f>
        <v>10.38</v>
      </c>
      <c r="AN53" s="19">
        <f>5*Umrechnungsfaktoren!$B$15/Umrechnungsfaktoren!$B$12</f>
        <v>5.19</v>
      </c>
      <c r="AO53" s="19"/>
      <c r="AP53" s="8"/>
      <c r="AQ53" s="8">
        <f>0.03*Tabelle58971115[[#This Row],[Investitionsausgaben €_2020/kW]]</f>
        <v>0.31140000000000001</v>
      </c>
      <c r="AR53" s="7">
        <v>0.08</v>
      </c>
      <c r="AS53" s="1" t="s">
        <v>381</v>
      </c>
      <c r="AT53" s="1" t="s">
        <v>479</v>
      </c>
      <c r="AU53" s="1" t="s">
        <v>479</v>
      </c>
      <c r="AV53" s="1" t="s">
        <v>479</v>
      </c>
      <c r="AX53" s="13" t="s">
        <v>472</v>
      </c>
      <c r="AY53" s="13" t="s">
        <v>472</v>
      </c>
      <c r="AZ53" s="13" t="s">
        <v>467</v>
      </c>
      <c r="BA53" s="13" t="s">
        <v>467</v>
      </c>
      <c r="BB53" s="13" t="s">
        <v>467</v>
      </c>
      <c r="BC53" s="13" t="s">
        <v>496</v>
      </c>
      <c r="BD53" s="1" t="s">
        <v>474</v>
      </c>
      <c r="BE53" s="1" t="s">
        <v>474</v>
      </c>
      <c r="BF53" s="1" t="s">
        <v>473</v>
      </c>
      <c r="BG53" s="1" t="s">
        <v>465</v>
      </c>
      <c r="BH53" s="1" t="s">
        <v>504</v>
      </c>
      <c r="BI53" s="1" t="s">
        <v>499</v>
      </c>
      <c r="BJ53" s="1" t="s">
        <v>500</v>
      </c>
      <c r="BK53" s="1" t="s">
        <v>499</v>
      </c>
      <c r="BL53" s="1" t="s">
        <v>499</v>
      </c>
    </row>
    <row r="54" spans="1:64" x14ac:dyDescent="0.25">
      <c r="A54" s="1" t="s">
        <v>403</v>
      </c>
      <c r="B54" s="1" t="s">
        <v>127</v>
      </c>
      <c r="C54" s="1" t="s">
        <v>495</v>
      </c>
      <c r="D54" s="1">
        <v>2010</v>
      </c>
      <c r="E54" s="1">
        <v>1</v>
      </c>
      <c r="F54" s="1">
        <v>0</v>
      </c>
      <c r="G54" s="1">
        <v>0</v>
      </c>
      <c r="H54" s="1">
        <v>0</v>
      </c>
      <c r="I54" s="1">
        <v>1</v>
      </c>
      <c r="M54" s="19"/>
      <c r="N54" s="19">
        <v>779</v>
      </c>
      <c r="O54" s="19"/>
      <c r="P54" s="19">
        <v>389</v>
      </c>
      <c r="Q54" s="9"/>
      <c r="R54" s="9"/>
      <c r="S54" s="9"/>
      <c r="T54" s="9">
        <f>5840/8760</f>
        <v>0.66666666666666663</v>
      </c>
      <c r="U5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4" s="9"/>
      <c r="W54" s="39">
        <v>0.97</v>
      </c>
      <c r="X54" s="39">
        <v>0.97</v>
      </c>
      <c r="Y54" s="9"/>
      <c r="Z54" s="1">
        <v>1</v>
      </c>
      <c r="AC54" s="1">
        <v>1</v>
      </c>
      <c r="AF54" s="1">
        <v>2</v>
      </c>
      <c r="AG54" s="1">
        <v>4</v>
      </c>
      <c r="AH54" s="1" t="s">
        <v>478</v>
      </c>
      <c r="AI54" s="1" t="s">
        <v>274</v>
      </c>
      <c r="AJ54" s="1">
        <f t="shared" si="3"/>
        <v>4</v>
      </c>
      <c r="AK54" s="1">
        <v>1095</v>
      </c>
      <c r="AM54" s="19">
        <f>10*Umrechnungsfaktoren!$B$15/Umrechnungsfaktoren!$B$12</f>
        <v>10.38</v>
      </c>
      <c r="AN54" s="19">
        <f>5*Umrechnungsfaktoren!$B$15/Umrechnungsfaktoren!$B$12</f>
        <v>5.19</v>
      </c>
      <c r="AO54" s="19"/>
      <c r="AP54" s="8"/>
      <c r="AQ54" s="8">
        <f>0.03*Tabelle58971115[[#This Row],[Investitionsausgaben €_2020/kW]]</f>
        <v>0.31140000000000001</v>
      </c>
      <c r="AR54" s="7">
        <v>0.08</v>
      </c>
      <c r="AS54" s="1" t="s">
        <v>383</v>
      </c>
      <c r="AT54" s="1" t="s">
        <v>479</v>
      </c>
      <c r="AU54" s="1" t="s">
        <v>479</v>
      </c>
      <c r="AV54" s="1" t="s">
        <v>479</v>
      </c>
      <c r="AX54" s="13" t="s">
        <v>476</v>
      </c>
      <c r="AY54" s="13" t="s">
        <v>477</v>
      </c>
      <c r="AZ54" s="13"/>
      <c r="BA54" s="13" t="s">
        <v>468</v>
      </c>
      <c r="BB54" s="13" t="s">
        <v>468</v>
      </c>
      <c r="BC54" s="13" t="s">
        <v>496</v>
      </c>
      <c r="BD54" s="1" t="s">
        <v>474</v>
      </c>
      <c r="BE54" s="1" t="s">
        <v>474</v>
      </c>
      <c r="BF54" s="1" t="s">
        <v>473</v>
      </c>
      <c r="BG54" s="1" t="s">
        <v>479</v>
      </c>
      <c r="BH54" s="1" t="s">
        <v>504</v>
      </c>
      <c r="BI54" s="1" t="s">
        <v>499</v>
      </c>
      <c r="BJ54" s="1" t="s">
        <v>500</v>
      </c>
      <c r="BK54" s="1" t="s">
        <v>499</v>
      </c>
      <c r="BL54" s="1" t="s">
        <v>499</v>
      </c>
    </row>
    <row r="55" spans="1:64" hidden="1" x14ac:dyDescent="0.25">
      <c r="A55" s="1" t="s">
        <v>403</v>
      </c>
      <c r="B55" s="1" t="s">
        <v>127</v>
      </c>
      <c r="C55" s="1" t="s">
        <v>495</v>
      </c>
      <c r="D55" s="1">
        <v>2020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M55" s="19"/>
      <c r="N55" s="19">
        <v>395</v>
      </c>
      <c r="O55" s="19"/>
      <c r="P55" s="19">
        <v>439</v>
      </c>
      <c r="Q55" s="9"/>
      <c r="R55" s="9">
        <v>0.45</v>
      </c>
      <c r="S55" s="9">
        <v>1</v>
      </c>
      <c r="T55" s="9"/>
      <c r="U5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5" s="9"/>
      <c r="W55" s="39">
        <v>0.97</v>
      </c>
      <c r="X55" s="39">
        <v>0.97</v>
      </c>
      <c r="Y55" s="9"/>
      <c r="Z55" s="1">
        <v>1</v>
      </c>
      <c r="AC55" s="1">
        <v>1</v>
      </c>
      <c r="AF55" s="1">
        <v>2</v>
      </c>
      <c r="AG55" s="1">
        <v>4</v>
      </c>
      <c r="AH55" s="1" t="s">
        <v>478</v>
      </c>
      <c r="AI55" s="1" t="s">
        <v>274</v>
      </c>
      <c r="AJ55" s="1">
        <f t="shared" si="3"/>
        <v>4</v>
      </c>
      <c r="AK55" s="1">
        <v>1095</v>
      </c>
      <c r="AM55" s="19">
        <f>10*Umrechnungsfaktoren!$B$15/Umrechnungsfaktoren!$B$12</f>
        <v>10.38</v>
      </c>
      <c r="AN55" s="19">
        <f>5*Umrechnungsfaktoren!$B$15/Umrechnungsfaktoren!$B$12</f>
        <v>5.19</v>
      </c>
      <c r="AO55" s="19"/>
      <c r="AP55" s="8"/>
      <c r="AQ55" s="8">
        <f>0.03*Tabelle58971115[[#This Row],[Investitionsausgaben €_2020/kW]]</f>
        <v>0.31140000000000001</v>
      </c>
      <c r="AR55" s="7">
        <v>0.08</v>
      </c>
      <c r="AS55" s="1" t="s">
        <v>383</v>
      </c>
      <c r="AT55" s="1" t="s">
        <v>479</v>
      </c>
      <c r="AU55" s="1" t="s">
        <v>479</v>
      </c>
      <c r="AV55" s="1" t="s">
        <v>479</v>
      </c>
      <c r="AX55" s="13" t="s">
        <v>470</v>
      </c>
      <c r="AY55" s="13" t="s">
        <v>470</v>
      </c>
      <c r="AZ55" s="13"/>
      <c r="BA55" s="13" t="s">
        <v>468</v>
      </c>
      <c r="BB55" s="13" t="s">
        <v>468</v>
      </c>
      <c r="BC55" s="13" t="s">
        <v>496</v>
      </c>
      <c r="BD55" s="1" t="s">
        <v>474</v>
      </c>
      <c r="BE55" s="1" t="s">
        <v>474</v>
      </c>
      <c r="BF55" s="1" t="s">
        <v>473</v>
      </c>
      <c r="BG55" s="1" t="s">
        <v>479</v>
      </c>
      <c r="BH55" s="1" t="s">
        <v>504</v>
      </c>
      <c r="BI55" s="1" t="s">
        <v>499</v>
      </c>
      <c r="BJ55" s="1" t="s">
        <v>500</v>
      </c>
      <c r="BK55" s="1" t="s">
        <v>499</v>
      </c>
      <c r="BL55" s="1" t="s">
        <v>499</v>
      </c>
    </row>
    <row r="56" spans="1:64" hidden="1" x14ac:dyDescent="0.25">
      <c r="A56" s="1" t="s">
        <v>403</v>
      </c>
      <c r="B56" s="1" t="s">
        <v>127</v>
      </c>
      <c r="C56" s="1" t="s">
        <v>495</v>
      </c>
      <c r="D56" s="1">
        <v>2030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M56" s="19"/>
      <c r="N56" s="19">
        <v>478</v>
      </c>
      <c r="O56" s="19"/>
      <c r="P56" s="19">
        <v>478</v>
      </c>
      <c r="Q56" s="9"/>
      <c r="R56" s="9">
        <v>0.5</v>
      </c>
      <c r="S56" s="9">
        <v>1</v>
      </c>
      <c r="T56" s="9"/>
      <c r="U5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6" s="9"/>
      <c r="W56" s="39">
        <v>0.97</v>
      </c>
      <c r="X56" s="39">
        <v>0.97</v>
      </c>
      <c r="Y56" s="9"/>
      <c r="Z56" s="1">
        <v>1</v>
      </c>
      <c r="AC56" s="1">
        <v>1</v>
      </c>
      <c r="AF56" s="1">
        <v>2</v>
      </c>
      <c r="AG56" s="1">
        <v>4</v>
      </c>
      <c r="AH56" s="1" t="s">
        <v>478</v>
      </c>
      <c r="AI56" s="1" t="s">
        <v>274</v>
      </c>
      <c r="AJ56" s="1">
        <f t="shared" si="3"/>
        <v>4</v>
      </c>
      <c r="AK56" s="1">
        <v>1095</v>
      </c>
      <c r="AM56" s="19">
        <f>10*Umrechnungsfaktoren!$B$15/Umrechnungsfaktoren!$B$12</f>
        <v>10.38</v>
      </c>
      <c r="AN56" s="19">
        <f>5*Umrechnungsfaktoren!$B$15/Umrechnungsfaktoren!$B$12</f>
        <v>5.19</v>
      </c>
      <c r="AO56" s="19"/>
      <c r="AP56" s="8"/>
      <c r="AQ56" s="8">
        <f>0.03*Tabelle58971115[[#This Row],[Investitionsausgaben €_2020/kW]]</f>
        <v>0.31140000000000001</v>
      </c>
      <c r="AR56" s="7">
        <v>0.08</v>
      </c>
      <c r="AS56" s="1" t="s">
        <v>383</v>
      </c>
      <c r="AT56" s="1" t="s">
        <v>479</v>
      </c>
      <c r="AU56" s="1" t="s">
        <v>479</v>
      </c>
      <c r="AV56" s="1" t="s">
        <v>479</v>
      </c>
      <c r="AX56" s="13" t="s">
        <v>471</v>
      </c>
      <c r="AY56" s="13" t="s">
        <v>471</v>
      </c>
      <c r="AZ56" s="13"/>
      <c r="BA56" s="13" t="s">
        <v>468</v>
      </c>
      <c r="BB56" s="13" t="s">
        <v>468</v>
      </c>
      <c r="BC56" s="13" t="s">
        <v>496</v>
      </c>
      <c r="BD56" s="1" t="s">
        <v>474</v>
      </c>
      <c r="BE56" s="1" t="s">
        <v>474</v>
      </c>
      <c r="BF56" s="1" t="s">
        <v>473</v>
      </c>
      <c r="BG56" s="1" t="s">
        <v>479</v>
      </c>
      <c r="BH56" s="1" t="s">
        <v>504</v>
      </c>
      <c r="BI56" s="1" t="s">
        <v>499</v>
      </c>
      <c r="BJ56" s="1" t="s">
        <v>500</v>
      </c>
      <c r="BK56" s="1" t="s">
        <v>499</v>
      </c>
      <c r="BL56" s="1" t="s">
        <v>499</v>
      </c>
    </row>
    <row r="57" spans="1:64" hidden="1" x14ac:dyDescent="0.25">
      <c r="A57" s="1" t="s">
        <v>403</v>
      </c>
      <c r="B57" s="1" t="s">
        <v>127</v>
      </c>
      <c r="C57" s="1" t="s">
        <v>495</v>
      </c>
      <c r="D57" s="1">
        <v>2050</v>
      </c>
      <c r="E57" s="1">
        <v>1</v>
      </c>
      <c r="F57" s="1">
        <v>0</v>
      </c>
      <c r="G57" s="1">
        <v>0</v>
      </c>
      <c r="H57" s="1">
        <v>0</v>
      </c>
      <c r="I57" s="1">
        <v>1</v>
      </c>
      <c r="M57" s="19"/>
      <c r="N57" s="19">
        <v>535</v>
      </c>
      <c r="O57" s="19"/>
      <c r="P57" s="19">
        <v>446</v>
      </c>
      <c r="Q57" s="9"/>
      <c r="R57" s="9">
        <v>0.6</v>
      </c>
      <c r="S57" s="9">
        <v>1</v>
      </c>
      <c r="T57" s="9"/>
      <c r="U5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7" s="9"/>
      <c r="W57" s="39">
        <v>0.97</v>
      </c>
      <c r="X57" s="39">
        <v>0.97</v>
      </c>
      <c r="Y57" s="9"/>
      <c r="Z57" s="1">
        <v>1</v>
      </c>
      <c r="AC57" s="1">
        <v>1</v>
      </c>
      <c r="AF57" s="1">
        <v>2</v>
      </c>
      <c r="AG57" s="1">
        <v>4</v>
      </c>
      <c r="AH57" s="1" t="s">
        <v>478</v>
      </c>
      <c r="AI57" s="1" t="s">
        <v>274</v>
      </c>
      <c r="AJ57" s="1">
        <f t="shared" si="3"/>
        <v>4</v>
      </c>
      <c r="AK57" s="1">
        <v>1095</v>
      </c>
      <c r="AM57" s="19">
        <f>10*Umrechnungsfaktoren!$B$15/Umrechnungsfaktoren!$B$12</f>
        <v>10.38</v>
      </c>
      <c r="AN57" s="19">
        <f>5*Umrechnungsfaktoren!$B$15/Umrechnungsfaktoren!$B$12</f>
        <v>5.19</v>
      </c>
      <c r="AO57" s="19"/>
      <c r="AP57" s="8"/>
      <c r="AQ57" s="8">
        <f>0.03*Tabelle58971115[[#This Row],[Investitionsausgaben €_2020/kW]]</f>
        <v>0.31140000000000001</v>
      </c>
      <c r="AR57" s="7">
        <v>0.08</v>
      </c>
      <c r="AS57" s="1" t="s">
        <v>383</v>
      </c>
      <c r="AT57" s="1" t="s">
        <v>479</v>
      </c>
      <c r="AU57" s="1" t="s">
        <v>479</v>
      </c>
      <c r="AV57" s="1" t="s">
        <v>479</v>
      </c>
      <c r="AX57" s="13" t="s">
        <v>472</v>
      </c>
      <c r="AY57" s="13" t="s">
        <v>472</v>
      </c>
      <c r="AZ57" s="13"/>
      <c r="BA57" s="13" t="s">
        <v>468</v>
      </c>
      <c r="BB57" s="13" t="s">
        <v>468</v>
      </c>
      <c r="BC57" s="13" t="s">
        <v>496</v>
      </c>
      <c r="BD57" s="1" t="s">
        <v>474</v>
      </c>
      <c r="BE57" s="1" t="s">
        <v>474</v>
      </c>
      <c r="BF57" s="1" t="s">
        <v>473</v>
      </c>
      <c r="BG57" s="1" t="s">
        <v>479</v>
      </c>
      <c r="BH57" s="1" t="s">
        <v>504</v>
      </c>
      <c r="BI57" s="1" t="s">
        <v>499</v>
      </c>
      <c r="BJ57" s="1" t="s">
        <v>500</v>
      </c>
      <c r="BK57" s="1" t="s">
        <v>499</v>
      </c>
      <c r="BL57" s="1" t="s">
        <v>499</v>
      </c>
    </row>
    <row r="58" spans="1:64" x14ac:dyDescent="0.25">
      <c r="A58" s="1" t="s">
        <v>1121</v>
      </c>
      <c r="B58" s="1" t="s">
        <v>127</v>
      </c>
      <c r="C58" s="1" t="str">
        <f>VLOOKUP(Tabelle58971115[[#This Row],[Prozess]],Tabelle22333[],3,FALSE)</f>
        <v>CollingWater_ComInd</v>
      </c>
      <c r="D58" s="1">
        <v>2010</v>
      </c>
      <c r="E58" s="1">
        <v>1</v>
      </c>
      <c r="F58" s="1">
        <v>0</v>
      </c>
      <c r="G58" s="1">
        <v>0</v>
      </c>
      <c r="H58" s="1">
        <v>1</v>
      </c>
      <c r="I58" s="1">
        <v>1</v>
      </c>
      <c r="M58" s="19"/>
      <c r="N58" s="19">
        <v>104</v>
      </c>
      <c r="O58" s="19"/>
      <c r="P58" s="19">
        <v>78</v>
      </c>
      <c r="Q58" s="9"/>
      <c r="R58" s="9"/>
      <c r="S58" s="9"/>
      <c r="T58" s="9">
        <f>5000/8760</f>
        <v>0.57077625570776258</v>
      </c>
      <c r="U5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8" s="9"/>
      <c r="W58" s="40">
        <v>0.95499999999999996</v>
      </c>
      <c r="X58" s="40">
        <v>0.98</v>
      </c>
      <c r="Y58" s="9"/>
      <c r="Z58" s="1">
        <v>2</v>
      </c>
      <c r="AC58" s="1">
        <v>2</v>
      </c>
      <c r="AD58" s="1">
        <v>2</v>
      </c>
      <c r="AE58" s="1">
        <v>6</v>
      </c>
      <c r="AF58" s="1">
        <v>2</v>
      </c>
      <c r="AG58" s="1">
        <v>8</v>
      </c>
      <c r="AH58" s="1" t="s">
        <v>478</v>
      </c>
      <c r="AI58" s="1" t="s">
        <v>274</v>
      </c>
      <c r="AJ58" s="1">
        <f t="shared" ref="AJ58:AJ65" si="4">8/2</f>
        <v>4</v>
      </c>
      <c r="AK58" s="1">
        <v>1095</v>
      </c>
      <c r="AM58" s="19">
        <f>5*Umrechnungsfaktoren!$B$15/Umrechnungsfaktoren!$B$12</f>
        <v>5.19</v>
      </c>
      <c r="AN58" s="3">
        <f>20*Umrechnungsfaktoren!$B$15/Umrechnungsfaktoren!$B$11</f>
        <v>20.864321608040203</v>
      </c>
      <c r="AO58" s="3"/>
      <c r="AP58" s="8">
        <f>0.03*Tabelle58971115[[#This Row],[Investitionsausgaben €_2020/kW]]</f>
        <v>0.15570000000000001</v>
      </c>
      <c r="AQ58" s="8"/>
      <c r="AR58" s="7">
        <v>0.31</v>
      </c>
      <c r="AS58" s="1" t="s">
        <v>383</v>
      </c>
      <c r="AT58" s="1" t="s">
        <v>479</v>
      </c>
      <c r="AU58" s="1" t="s">
        <v>479</v>
      </c>
      <c r="AV58" s="1" t="s">
        <v>479</v>
      </c>
      <c r="AX58" s="13" t="s">
        <v>476</v>
      </c>
      <c r="AY58" s="13" t="s">
        <v>477</v>
      </c>
      <c r="AZ58" s="13"/>
      <c r="BA58" s="13" t="s">
        <v>468</v>
      </c>
      <c r="BB58" s="13" t="s">
        <v>468</v>
      </c>
      <c r="BC58" s="13" t="s">
        <v>496</v>
      </c>
      <c r="BD58" s="1" t="s">
        <v>474</v>
      </c>
      <c r="BE58" s="1" t="s">
        <v>474</v>
      </c>
      <c r="BF58" s="1" t="s">
        <v>473</v>
      </c>
      <c r="BG58" s="1" t="s">
        <v>479</v>
      </c>
      <c r="BH58" s="1" t="s">
        <v>504</v>
      </c>
      <c r="BI58" s="1" t="s">
        <v>499</v>
      </c>
      <c r="BJ58" s="1" t="s">
        <v>500</v>
      </c>
      <c r="BK58" s="1" t="s">
        <v>499</v>
      </c>
      <c r="BL58" s="1" t="s">
        <v>499</v>
      </c>
    </row>
    <row r="59" spans="1:64" hidden="1" x14ac:dyDescent="0.25">
      <c r="A59" s="1" t="s">
        <v>1121</v>
      </c>
      <c r="B59" s="1" t="s">
        <v>127</v>
      </c>
      <c r="C59" s="1" t="str">
        <f>VLOOKUP(Tabelle58971115[[#This Row],[Prozess]],Tabelle22333[],3,FALSE)</f>
        <v>CollingWater_ComInd</v>
      </c>
      <c r="D59" s="1">
        <v>2020</v>
      </c>
      <c r="E59" s="1">
        <v>1</v>
      </c>
      <c r="F59" s="1">
        <v>0</v>
      </c>
      <c r="G59" s="1">
        <v>0</v>
      </c>
      <c r="H59" s="1">
        <v>1</v>
      </c>
      <c r="I59" s="1">
        <v>1</v>
      </c>
      <c r="M59" s="19"/>
      <c r="N59" s="19">
        <v>64</v>
      </c>
      <c r="O59" s="19"/>
      <c r="P59" s="19">
        <v>79</v>
      </c>
      <c r="Q59" s="9"/>
      <c r="R59" s="9">
        <v>0.55000000000000004</v>
      </c>
      <c r="S59" s="9">
        <v>0.9</v>
      </c>
      <c r="T59" s="9"/>
      <c r="U5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9" s="9"/>
      <c r="W59" s="40">
        <v>0.95499999999999996</v>
      </c>
      <c r="X59" s="40">
        <v>0.98</v>
      </c>
      <c r="Y59" s="9"/>
      <c r="Z59" s="1">
        <v>2</v>
      </c>
      <c r="AC59" s="1">
        <v>2</v>
      </c>
      <c r="AD59" s="1">
        <v>2</v>
      </c>
      <c r="AE59" s="1">
        <v>6</v>
      </c>
      <c r="AF59" s="1">
        <v>2</v>
      </c>
      <c r="AG59" s="1">
        <v>8</v>
      </c>
      <c r="AH59" s="1" t="s">
        <v>478</v>
      </c>
      <c r="AI59" s="1" t="s">
        <v>274</v>
      </c>
      <c r="AJ59" s="1">
        <f t="shared" si="4"/>
        <v>4</v>
      </c>
      <c r="AK59" s="1">
        <v>1095</v>
      </c>
      <c r="AM59" s="19">
        <f>5*Umrechnungsfaktoren!$B$15/Umrechnungsfaktoren!$B$12</f>
        <v>5.19</v>
      </c>
      <c r="AN59" s="3">
        <f>20*Umrechnungsfaktoren!$B$15/Umrechnungsfaktoren!$B$11</f>
        <v>20.864321608040203</v>
      </c>
      <c r="AO59" s="3"/>
      <c r="AP59" s="8">
        <f>0.03*Tabelle58971115[[#This Row],[Investitionsausgaben €_2020/kW]]</f>
        <v>0.15570000000000001</v>
      </c>
      <c r="AQ59" s="8"/>
      <c r="AR59" s="7">
        <v>0.31</v>
      </c>
      <c r="AS59" s="1" t="s">
        <v>383</v>
      </c>
      <c r="AT59" s="1" t="s">
        <v>479</v>
      </c>
      <c r="AU59" s="1" t="s">
        <v>479</v>
      </c>
      <c r="AV59" s="1" t="s">
        <v>479</v>
      </c>
      <c r="AX59" s="13" t="s">
        <v>470</v>
      </c>
      <c r="AY59" s="13" t="s">
        <v>470</v>
      </c>
      <c r="AZ59" s="13"/>
      <c r="BA59" s="13" t="s">
        <v>468</v>
      </c>
      <c r="BB59" s="13" t="s">
        <v>468</v>
      </c>
      <c r="BC59" s="13" t="s">
        <v>496</v>
      </c>
      <c r="BD59" s="1" t="s">
        <v>474</v>
      </c>
      <c r="BE59" s="1" t="s">
        <v>474</v>
      </c>
      <c r="BF59" s="1" t="s">
        <v>473</v>
      </c>
      <c r="BG59" s="1" t="s">
        <v>479</v>
      </c>
      <c r="BH59" s="1" t="s">
        <v>504</v>
      </c>
      <c r="BI59" s="1" t="s">
        <v>499</v>
      </c>
      <c r="BJ59" s="1" t="s">
        <v>500</v>
      </c>
      <c r="BK59" s="1" t="s">
        <v>499</v>
      </c>
      <c r="BL59" s="1" t="s">
        <v>499</v>
      </c>
    </row>
    <row r="60" spans="1:64" hidden="1" x14ac:dyDescent="0.25">
      <c r="A60" s="1" t="s">
        <v>1121</v>
      </c>
      <c r="B60" s="1" t="s">
        <v>127</v>
      </c>
      <c r="C60" s="1" t="str">
        <f>VLOOKUP(Tabelle58971115[[#This Row],[Prozess]],Tabelle22333[],3,FALSE)</f>
        <v>CollingWater_ComInd</v>
      </c>
      <c r="D60" s="1">
        <v>2030</v>
      </c>
      <c r="E60" s="1">
        <v>1</v>
      </c>
      <c r="F60" s="1">
        <v>0</v>
      </c>
      <c r="G60" s="1">
        <v>0</v>
      </c>
      <c r="H60" s="1">
        <v>1</v>
      </c>
      <c r="I60" s="1">
        <v>1</v>
      </c>
      <c r="M60" s="19"/>
      <c r="N60" s="19">
        <v>76</v>
      </c>
      <c r="O60" s="19"/>
      <c r="P60" s="19">
        <v>86</v>
      </c>
      <c r="Q60" s="9"/>
      <c r="R60" s="9">
        <v>0.6</v>
      </c>
      <c r="S60" s="9">
        <v>0.9</v>
      </c>
      <c r="T60" s="9"/>
      <c r="U6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0" s="9"/>
      <c r="W60" s="40">
        <v>0.95499999999999996</v>
      </c>
      <c r="X60" s="40">
        <v>0.98</v>
      </c>
      <c r="Y60" s="9"/>
      <c r="Z60" s="1">
        <v>2</v>
      </c>
      <c r="AC60" s="1">
        <v>2</v>
      </c>
      <c r="AD60" s="1">
        <v>2</v>
      </c>
      <c r="AE60" s="1">
        <v>6</v>
      </c>
      <c r="AF60" s="1">
        <v>2</v>
      </c>
      <c r="AG60" s="1">
        <v>8</v>
      </c>
      <c r="AH60" s="1" t="s">
        <v>478</v>
      </c>
      <c r="AI60" s="1" t="s">
        <v>274</v>
      </c>
      <c r="AJ60" s="1">
        <f t="shared" si="4"/>
        <v>4</v>
      </c>
      <c r="AK60" s="1">
        <v>1095</v>
      </c>
      <c r="AM60" s="19">
        <f>5*Umrechnungsfaktoren!$B$15/Umrechnungsfaktoren!$B$12</f>
        <v>5.19</v>
      </c>
      <c r="AN60" s="3">
        <f>20*Umrechnungsfaktoren!$B$15/Umrechnungsfaktoren!$B$11</f>
        <v>20.864321608040203</v>
      </c>
      <c r="AO60" s="3"/>
      <c r="AP60" s="8">
        <f>0.03*Tabelle58971115[[#This Row],[Investitionsausgaben €_2020/kW]]</f>
        <v>0.15570000000000001</v>
      </c>
      <c r="AQ60" s="8"/>
      <c r="AR60" s="7">
        <v>0.31</v>
      </c>
      <c r="AS60" s="1" t="s">
        <v>383</v>
      </c>
      <c r="AT60" s="1" t="s">
        <v>479</v>
      </c>
      <c r="AU60" s="1" t="s">
        <v>479</v>
      </c>
      <c r="AV60" s="1" t="s">
        <v>479</v>
      </c>
      <c r="AX60" s="13" t="s">
        <v>471</v>
      </c>
      <c r="AY60" s="13" t="s">
        <v>471</v>
      </c>
      <c r="AZ60" s="13"/>
      <c r="BA60" s="13" t="s">
        <v>468</v>
      </c>
      <c r="BB60" s="13" t="s">
        <v>468</v>
      </c>
      <c r="BC60" s="13" t="s">
        <v>496</v>
      </c>
      <c r="BD60" s="1" t="s">
        <v>474</v>
      </c>
      <c r="BE60" s="1" t="s">
        <v>474</v>
      </c>
      <c r="BF60" s="1" t="s">
        <v>473</v>
      </c>
      <c r="BG60" s="1" t="s">
        <v>479</v>
      </c>
      <c r="BH60" s="1" t="s">
        <v>504</v>
      </c>
      <c r="BI60" s="1" t="s">
        <v>499</v>
      </c>
      <c r="BJ60" s="1" t="s">
        <v>500</v>
      </c>
      <c r="BK60" s="1" t="s">
        <v>499</v>
      </c>
      <c r="BL60" s="1" t="s">
        <v>499</v>
      </c>
    </row>
    <row r="61" spans="1:64" hidden="1" x14ac:dyDescent="0.25">
      <c r="A61" s="1" t="s">
        <v>1121</v>
      </c>
      <c r="B61" s="1" t="s">
        <v>127</v>
      </c>
      <c r="C61" s="1" t="str">
        <f>VLOOKUP(Tabelle58971115[[#This Row],[Prozess]],Tabelle22333[],3,FALSE)</f>
        <v>CollingWater_ComInd</v>
      </c>
      <c r="D61" s="1">
        <v>2050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M61" s="19"/>
      <c r="N61" s="19">
        <v>83</v>
      </c>
      <c r="O61" s="19"/>
      <c r="P61" s="19">
        <v>80</v>
      </c>
      <c r="Q61" s="9"/>
      <c r="R61" s="9">
        <v>0.7</v>
      </c>
      <c r="S61" s="9">
        <v>0.9</v>
      </c>
      <c r="T61" s="9"/>
      <c r="U6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1" s="9"/>
      <c r="W61" s="40">
        <v>0.95499999999999996</v>
      </c>
      <c r="X61" s="40">
        <v>0.98</v>
      </c>
      <c r="Y61" s="9"/>
      <c r="Z61" s="1">
        <v>2</v>
      </c>
      <c r="AC61" s="1">
        <v>2</v>
      </c>
      <c r="AD61" s="1">
        <v>2</v>
      </c>
      <c r="AE61" s="1">
        <v>6</v>
      </c>
      <c r="AF61" s="1">
        <v>2</v>
      </c>
      <c r="AG61" s="1">
        <v>8</v>
      </c>
      <c r="AH61" s="1" t="s">
        <v>478</v>
      </c>
      <c r="AI61" s="1" t="s">
        <v>274</v>
      </c>
      <c r="AJ61" s="1">
        <f t="shared" si="4"/>
        <v>4</v>
      </c>
      <c r="AK61" s="1">
        <v>1095</v>
      </c>
      <c r="AM61" s="19">
        <f>5*Umrechnungsfaktoren!$B$15/Umrechnungsfaktoren!$B$12</f>
        <v>5.19</v>
      </c>
      <c r="AN61" s="3">
        <f>20*Umrechnungsfaktoren!$B$15/Umrechnungsfaktoren!$B$11</f>
        <v>20.864321608040203</v>
      </c>
      <c r="AO61" s="3"/>
      <c r="AP61" s="8">
        <f>0.03*Tabelle58971115[[#This Row],[Investitionsausgaben €_2020/kW]]</f>
        <v>0.15570000000000001</v>
      </c>
      <c r="AQ61" s="8"/>
      <c r="AR61" s="7">
        <v>0.31</v>
      </c>
      <c r="AS61" s="1" t="s">
        <v>383</v>
      </c>
      <c r="AT61" s="1" t="s">
        <v>479</v>
      </c>
      <c r="AU61" s="1" t="s">
        <v>479</v>
      </c>
      <c r="AV61" s="1" t="s">
        <v>479</v>
      </c>
      <c r="AX61" s="13" t="s">
        <v>472</v>
      </c>
      <c r="AY61" s="13" t="s">
        <v>472</v>
      </c>
      <c r="AZ61" s="13"/>
      <c r="BA61" s="13" t="s">
        <v>468</v>
      </c>
      <c r="BB61" s="13" t="s">
        <v>468</v>
      </c>
      <c r="BC61" s="13" t="s">
        <v>496</v>
      </c>
      <c r="BD61" s="1" t="s">
        <v>474</v>
      </c>
      <c r="BE61" s="1" t="s">
        <v>474</v>
      </c>
      <c r="BF61" s="1" t="s">
        <v>473</v>
      </c>
      <c r="BG61" s="1" t="s">
        <v>479</v>
      </c>
      <c r="BH61" s="1" t="s">
        <v>504</v>
      </c>
      <c r="BI61" s="1" t="s">
        <v>499</v>
      </c>
      <c r="BJ61" s="1" t="s">
        <v>500</v>
      </c>
      <c r="BK61" s="1" t="s">
        <v>499</v>
      </c>
      <c r="BL61" s="1" t="s">
        <v>499</v>
      </c>
    </row>
    <row r="62" spans="1:64" x14ac:dyDescent="0.25">
      <c r="A62" s="1" t="s">
        <v>373</v>
      </c>
      <c r="B62" s="1" t="s">
        <v>127</v>
      </c>
      <c r="C62" s="1" t="str">
        <f>VLOOKUP(Tabelle58971115[[#This Row],[Prozess]],Tabelle22333[],3,FALSE)</f>
        <v>CollingWater_ComInd</v>
      </c>
      <c r="D62" s="1">
        <v>2010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M62" s="19"/>
      <c r="N62" s="19">
        <v>156</v>
      </c>
      <c r="O62" s="19"/>
      <c r="P62" s="19">
        <v>117</v>
      </c>
      <c r="Q62" s="9"/>
      <c r="R62" s="9"/>
      <c r="S62" s="9"/>
      <c r="T62" s="9">
        <f>5000/8760</f>
        <v>0.57077625570776258</v>
      </c>
      <c r="U6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2" s="9"/>
      <c r="W62" s="40">
        <v>0.95499999999999996</v>
      </c>
      <c r="X62" s="40">
        <v>0.98</v>
      </c>
      <c r="Y62" s="9"/>
      <c r="Z62" s="1">
        <v>2</v>
      </c>
      <c r="AC62" s="1">
        <v>2</v>
      </c>
      <c r="AD62" s="1">
        <v>2</v>
      </c>
      <c r="AE62" s="1">
        <v>6</v>
      </c>
      <c r="AF62" s="1">
        <v>2</v>
      </c>
      <c r="AG62" s="1">
        <v>8</v>
      </c>
      <c r="AH62" s="1" t="s">
        <v>478</v>
      </c>
      <c r="AI62" s="1" t="s">
        <v>274</v>
      </c>
      <c r="AJ62" s="1">
        <f t="shared" si="4"/>
        <v>4</v>
      </c>
      <c r="AK62" s="1">
        <v>1095</v>
      </c>
      <c r="AM62" s="19">
        <f>5*Umrechnungsfaktoren!$B$15/Umrechnungsfaktoren!$B$12</f>
        <v>5.19</v>
      </c>
      <c r="AN62" s="3">
        <f>20*Umrechnungsfaktoren!$B$15/Umrechnungsfaktoren!$B$11</f>
        <v>20.864321608040203</v>
      </c>
      <c r="AO62" s="3"/>
      <c r="AP62" s="8">
        <f>0.03*Tabelle58971115[[#This Row],[Investitionsausgaben €_2020/kW]]</f>
        <v>0.15570000000000001</v>
      </c>
      <c r="AQ62" s="8"/>
      <c r="AR62" s="7">
        <v>0.31</v>
      </c>
      <c r="AS62" s="1" t="s">
        <v>383</v>
      </c>
      <c r="AT62" s="1" t="s">
        <v>479</v>
      </c>
      <c r="AU62" s="1" t="s">
        <v>479</v>
      </c>
      <c r="AV62" s="1" t="s">
        <v>479</v>
      </c>
      <c r="AX62" s="13" t="s">
        <v>476</v>
      </c>
      <c r="AY62" s="13" t="s">
        <v>477</v>
      </c>
      <c r="AZ62" s="13"/>
      <c r="BA62" s="13" t="s">
        <v>468</v>
      </c>
      <c r="BB62" s="13" t="s">
        <v>468</v>
      </c>
      <c r="BC62" s="13" t="s">
        <v>496</v>
      </c>
      <c r="BD62" s="1" t="s">
        <v>474</v>
      </c>
      <c r="BE62" s="1" t="s">
        <v>474</v>
      </c>
      <c r="BF62" s="1" t="s">
        <v>473</v>
      </c>
      <c r="BG62" s="1" t="s">
        <v>479</v>
      </c>
      <c r="BH62" s="1" t="s">
        <v>504</v>
      </c>
      <c r="BI62" s="1" t="s">
        <v>499</v>
      </c>
      <c r="BJ62" s="1" t="s">
        <v>500</v>
      </c>
      <c r="BK62" s="1" t="s">
        <v>499</v>
      </c>
      <c r="BL62" s="1" t="s">
        <v>499</v>
      </c>
    </row>
    <row r="63" spans="1:64" hidden="1" x14ac:dyDescent="0.25">
      <c r="A63" s="1" t="s">
        <v>373</v>
      </c>
      <c r="B63" s="1" t="s">
        <v>127</v>
      </c>
      <c r="C63" s="1" t="str">
        <f>VLOOKUP(Tabelle58971115[[#This Row],[Prozess]],Tabelle22333[],3,FALSE)</f>
        <v>CollingWater_ComInd</v>
      </c>
      <c r="D63" s="1">
        <v>2020</v>
      </c>
      <c r="E63" s="1">
        <v>1</v>
      </c>
      <c r="F63" s="1">
        <v>0</v>
      </c>
      <c r="G63" s="1">
        <v>0</v>
      </c>
      <c r="H63" s="1">
        <v>1</v>
      </c>
      <c r="I63" s="1">
        <v>1</v>
      </c>
      <c r="M63" s="19"/>
      <c r="N63" s="19">
        <v>40</v>
      </c>
      <c r="O63" s="19"/>
      <c r="P63" s="19">
        <v>118</v>
      </c>
      <c r="Q63" s="9"/>
      <c r="R63" s="9">
        <v>0.23</v>
      </c>
      <c r="S63" s="9">
        <v>0.9</v>
      </c>
      <c r="T63" s="9"/>
      <c r="U6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3" s="9"/>
      <c r="W63" s="40">
        <v>0.95499999999999996</v>
      </c>
      <c r="X63" s="40">
        <v>0.98</v>
      </c>
      <c r="Y63" s="9"/>
      <c r="Z63" s="1">
        <v>2</v>
      </c>
      <c r="AC63" s="1">
        <v>2</v>
      </c>
      <c r="AD63" s="1">
        <v>2</v>
      </c>
      <c r="AE63" s="1">
        <v>6</v>
      </c>
      <c r="AF63" s="1">
        <v>2</v>
      </c>
      <c r="AG63" s="1">
        <v>8</v>
      </c>
      <c r="AH63" s="1" t="s">
        <v>478</v>
      </c>
      <c r="AI63" s="1" t="s">
        <v>274</v>
      </c>
      <c r="AJ63" s="1">
        <f t="shared" si="4"/>
        <v>4</v>
      </c>
      <c r="AK63" s="1">
        <v>1095</v>
      </c>
      <c r="AM63" s="19">
        <f>5*Umrechnungsfaktoren!$B$15/Umrechnungsfaktoren!$B$12</f>
        <v>5.19</v>
      </c>
      <c r="AN63" s="3">
        <f>20*Umrechnungsfaktoren!$B$15/Umrechnungsfaktoren!$B$11</f>
        <v>20.864321608040203</v>
      </c>
      <c r="AO63" s="3"/>
      <c r="AP63" s="8">
        <f>0.03*Tabelle58971115[[#This Row],[Investitionsausgaben €_2020/kW]]</f>
        <v>0.15570000000000001</v>
      </c>
      <c r="AQ63" s="8"/>
      <c r="AR63" s="7">
        <v>0.31</v>
      </c>
      <c r="AS63" s="1" t="s">
        <v>383</v>
      </c>
      <c r="AT63" s="1" t="s">
        <v>479</v>
      </c>
      <c r="AU63" s="1" t="s">
        <v>479</v>
      </c>
      <c r="AV63" s="1" t="s">
        <v>479</v>
      </c>
      <c r="AX63" s="13" t="s">
        <v>470</v>
      </c>
      <c r="AY63" s="13" t="s">
        <v>470</v>
      </c>
      <c r="AZ63" s="13"/>
      <c r="BA63" s="13" t="s">
        <v>468</v>
      </c>
      <c r="BB63" s="13" t="s">
        <v>468</v>
      </c>
      <c r="BC63" s="13" t="s">
        <v>496</v>
      </c>
      <c r="BD63" s="1" t="s">
        <v>474</v>
      </c>
      <c r="BE63" s="1" t="s">
        <v>474</v>
      </c>
      <c r="BF63" s="1" t="s">
        <v>473</v>
      </c>
      <c r="BG63" s="1" t="s">
        <v>479</v>
      </c>
      <c r="BH63" s="1" t="s">
        <v>504</v>
      </c>
      <c r="BI63" s="1" t="s">
        <v>499</v>
      </c>
      <c r="BJ63" s="1" t="s">
        <v>500</v>
      </c>
      <c r="BK63" s="1" t="s">
        <v>499</v>
      </c>
      <c r="BL63" s="1" t="s">
        <v>499</v>
      </c>
    </row>
    <row r="64" spans="1:64" hidden="1" x14ac:dyDescent="0.25">
      <c r="A64" s="1" t="s">
        <v>373</v>
      </c>
      <c r="B64" s="1" t="s">
        <v>127</v>
      </c>
      <c r="C64" s="1" t="str">
        <f>VLOOKUP(Tabelle58971115[[#This Row],[Prozess]],Tabelle22333[],3,FALSE)</f>
        <v>CollingWater_ComInd</v>
      </c>
      <c r="D64" s="1">
        <v>2030</v>
      </c>
      <c r="E64" s="1">
        <v>1</v>
      </c>
      <c r="F64" s="1">
        <v>0</v>
      </c>
      <c r="G64" s="1">
        <v>0</v>
      </c>
      <c r="H64" s="1">
        <v>1</v>
      </c>
      <c r="I64" s="1">
        <v>1</v>
      </c>
      <c r="M64" s="19"/>
      <c r="N64" s="19">
        <v>48</v>
      </c>
      <c r="O64" s="19"/>
      <c r="P64" s="19">
        <v>129</v>
      </c>
      <c r="Q64" s="9"/>
      <c r="R64" s="9">
        <v>0.25</v>
      </c>
      <c r="S64" s="9">
        <v>0.9</v>
      </c>
      <c r="T64" s="9"/>
      <c r="U6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4" s="9"/>
      <c r="W64" s="40">
        <v>0.95499999999999996</v>
      </c>
      <c r="X64" s="40">
        <v>0.98</v>
      </c>
      <c r="Y64" s="9"/>
      <c r="Z64" s="1">
        <v>2</v>
      </c>
      <c r="AC64" s="1">
        <v>2</v>
      </c>
      <c r="AD64" s="1">
        <v>2</v>
      </c>
      <c r="AE64" s="1">
        <v>6</v>
      </c>
      <c r="AF64" s="1">
        <v>2</v>
      </c>
      <c r="AG64" s="1">
        <v>8</v>
      </c>
      <c r="AH64" s="1" t="s">
        <v>478</v>
      </c>
      <c r="AI64" s="1" t="s">
        <v>274</v>
      </c>
      <c r="AJ64" s="1">
        <f t="shared" si="4"/>
        <v>4</v>
      </c>
      <c r="AK64" s="1">
        <v>1095</v>
      </c>
      <c r="AM64" s="19">
        <f>5*Umrechnungsfaktoren!$B$15/Umrechnungsfaktoren!$B$12</f>
        <v>5.19</v>
      </c>
      <c r="AN64" s="3">
        <f>20*Umrechnungsfaktoren!$B$15/Umrechnungsfaktoren!$B$11</f>
        <v>20.864321608040203</v>
      </c>
      <c r="AO64" s="3"/>
      <c r="AP64" s="8">
        <f>0.03*Tabelle58971115[[#This Row],[Investitionsausgaben €_2020/kW]]</f>
        <v>0.15570000000000001</v>
      </c>
      <c r="AQ64" s="8"/>
      <c r="AR64" s="7">
        <v>0.31</v>
      </c>
      <c r="AS64" s="1" t="s">
        <v>383</v>
      </c>
      <c r="AT64" s="1" t="s">
        <v>479</v>
      </c>
      <c r="AU64" s="1" t="s">
        <v>479</v>
      </c>
      <c r="AV64" s="1" t="s">
        <v>479</v>
      </c>
      <c r="AX64" s="13" t="s">
        <v>471</v>
      </c>
      <c r="AY64" s="13" t="s">
        <v>471</v>
      </c>
      <c r="AZ64" s="13"/>
      <c r="BA64" s="13" t="s">
        <v>468</v>
      </c>
      <c r="BB64" s="13" t="s">
        <v>468</v>
      </c>
      <c r="BC64" s="13" t="s">
        <v>496</v>
      </c>
      <c r="BD64" s="1" t="s">
        <v>474</v>
      </c>
      <c r="BE64" s="1" t="s">
        <v>474</v>
      </c>
      <c r="BF64" s="1" t="s">
        <v>473</v>
      </c>
      <c r="BG64" s="1" t="s">
        <v>479</v>
      </c>
      <c r="BH64" s="1" t="s">
        <v>504</v>
      </c>
      <c r="BI64" s="1" t="s">
        <v>499</v>
      </c>
      <c r="BJ64" s="1" t="s">
        <v>500</v>
      </c>
      <c r="BK64" s="1" t="s">
        <v>499</v>
      </c>
      <c r="BL64" s="1" t="s">
        <v>499</v>
      </c>
    </row>
    <row r="65" spans="1:65" hidden="1" x14ac:dyDescent="0.25">
      <c r="A65" s="1" t="s">
        <v>373</v>
      </c>
      <c r="B65" s="1" t="s">
        <v>127</v>
      </c>
      <c r="C65" s="1" t="str">
        <f>VLOOKUP(Tabelle58971115[[#This Row],[Prozess]],Tabelle22333[],3,FALSE)</f>
        <v>CollingWater_ComInd</v>
      </c>
      <c r="D65" s="1">
        <v>2050</v>
      </c>
      <c r="E65" s="1">
        <v>1</v>
      </c>
      <c r="F65" s="1">
        <v>0</v>
      </c>
      <c r="G65" s="1">
        <v>0</v>
      </c>
      <c r="H65" s="1">
        <v>1</v>
      </c>
      <c r="I65" s="1">
        <v>1</v>
      </c>
      <c r="M65" s="19"/>
      <c r="N65" s="19">
        <v>53</v>
      </c>
      <c r="O65" s="19"/>
      <c r="P65" s="19">
        <v>120</v>
      </c>
      <c r="Q65" s="9"/>
      <c r="R65" s="9">
        <v>0.3</v>
      </c>
      <c r="S65" s="9">
        <v>0.9</v>
      </c>
      <c r="T65" s="9"/>
      <c r="U6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5" s="9"/>
      <c r="W65" s="40">
        <v>0.95499999999999996</v>
      </c>
      <c r="X65" s="40">
        <v>0.98</v>
      </c>
      <c r="Y65" s="9"/>
      <c r="Z65" s="1">
        <v>2</v>
      </c>
      <c r="AC65" s="1">
        <v>2</v>
      </c>
      <c r="AD65" s="1">
        <v>2</v>
      </c>
      <c r="AE65" s="1">
        <v>6</v>
      </c>
      <c r="AF65" s="1">
        <v>2</v>
      </c>
      <c r="AG65" s="1">
        <v>8</v>
      </c>
      <c r="AH65" s="1" t="s">
        <v>478</v>
      </c>
      <c r="AI65" s="1" t="s">
        <v>274</v>
      </c>
      <c r="AJ65" s="1">
        <f t="shared" si="4"/>
        <v>4</v>
      </c>
      <c r="AK65" s="1">
        <v>1095</v>
      </c>
      <c r="AM65" s="19">
        <f>5*Umrechnungsfaktoren!$B$15/Umrechnungsfaktoren!$B$12</f>
        <v>5.19</v>
      </c>
      <c r="AN65" s="3">
        <f>20*Umrechnungsfaktoren!$B$15/Umrechnungsfaktoren!$B$11</f>
        <v>20.864321608040203</v>
      </c>
      <c r="AO65" s="3"/>
      <c r="AP65" s="8">
        <f>0.03*Tabelle58971115[[#This Row],[Investitionsausgaben €_2020/kW]]</f>
        <v>0.15570000000000001</v>
      </c>
      <c r="AQ65" s="8"/>
      <c r="AR65" s="7">
        <v>0.31</v>
      </c>
      <c r="AS65" s="1" t="s">
        <v>383</v>
      </c>
      <c r="AT65" s="1" t="s">
        <v>479</v>
      </c>
      <c r="AU65" s="1" t="s">
        <v>479</v>
      </c>
      <c r="AV65" s="1" t="s">
        <v>479</v>
      </c>
      <c r="AX65" s="13" t="s">
        <v>472</v>
      </c>
      <c r="AY65" s="13" t="s">
        <v>472</v>
      </c>
      <c r="AZ65" s="13"/>
      <c r="BA65" s="13" t="s">
        <v>468</v>
      </c>
      <c r="BB65" s="13" t="s">
        <v>468</v>
      </c>
      <c r="BC65" s="13" t="s">
        <v>496</v>
      </c>
      <c r="BD65" s="1" t="s">
        <v>474</v>
      </c>
      <c r="BE65" s="1" t="s">
        <v>474</v>
      </c>
      <c r="BF65" s="1" t="s">
        <v>473</v>
      </c>
      <c r="BG65" s="1" t="s">
        <v>479</v>
      </c>
      <c r="BH65" s="1" t="s">
        <v>504</v>
      </c>
      <c r="BI65" s="1" t="s">
        <v>499</v>
      </c>
      <c r="BJ65" s="1" t="s">
        <v>500</v>
      </c>
      <c r="BK65" s="1" t="s">
        <v>499</v>
      </c>
      <c r="BL65" s="1" t="s">
        <v>499</v>
      </c>
    </row>
    <row r="66" spans="1:65" x14ac:dyDescent="0.25">
      <c r="A66" s="1" t="s">
        <v>208</v>
      </c>
      <c r="B66" s="1" t="s">
        <v>127</v>
      </c>
      <c r="C66" s="1" t="s">
        <v>495</v>
      </c>
      <c r="D66" s="1">
        <v>2010</v>
      </c>
      <c r="E66" s="1">
        <v>1</v>
      </c>
      <c r="F66" s="1">
        <v>0</v>
      </c>
      <c r="G66" s="1">
        <v>0</v>
      </c>
      <c r="H66" s="1">
        <v>0</v>
      </c>
      <c r="I66" s="1">
        <v>1</v>
      </c>
      <c r="M66" s="19"/>
      <c r="N66" s="19">
        <v>1962</v>
      </c>
      <c r="O66" s="19"/>
      <c r="P66" s="19">
        <v>1962</v>
      </c>
      <c r="Q66" s="9"/>
      <c r="R66" s="9"/>
      <c r="S66" s="9"/>
      <c r="T66" s="9">
        <f>4380/8760</f>
        <v>0.5</v>
      </c>
      <c r="U6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6" s="9"/>
      <c r="W66" s="39"/>
      <c r="X66" s="39"/>
      <c r="Y66" s="9">
        <v>0.97</v>
      </c>
      <c r="Z66" s="1">
        <v>1</v>
      </c>
      <c r="AC66" s="1">
        <v>1</v>
      </c>
      <c r="AF66" s="1">
        <v>2</v>
      </c>
      <c r="AG66" s="1">
        <v>4</v>
      </c>
      <c r="AH66" s="1" t="s">
        <v>480</v>
      </c>
      <c r="AI66" s="1" t="s">
        <v>274</v>
      </c>
      <c r="AJ66" s="1">
        <f t="shared" ref="AJ66:AJ73" si="5">4/1</f>
        <v>4</v>
      </c>
      <c r="AK66" s="1">
        <v>1095</v>
      </c>
      <c r="AM66" s="19">
        <f>10*Umrechnungsfaktoren!$B$15/Umrechnungsfaktoren!$B$12</f>
        <v>10.38</v>
      </c>
      <c r="AN66" s="19">
        <f>5*Umrechnungsfaktoren!$B$15/Umrechnungsfaktoren!$B$12</f>
        <v>5.19</v>
      </c>
      <c r="AO66" s="19"/>
      <c r="AP66" s="8"/>
      <c r="AQ66" s="8">
        <f>0.03*Tabelle58971115[[#This Row],[Investitionsausgaben €_2020/kW]]</f>
        <v>0.31140000000000001</v>
      </c>
      <c r="AR66" s="7">
        <v>0.08</v>
      </c>
      <c r="AS66" s="1" t="s">
        <v>382</v>
      </c>
      <c r="AT66" s="1" t="s">
        <v>479</v>
      </c>
      <c r="AU66" s="1" t="s">
        <v>479</v>
      </c>
      <c r="AV66" s="1" t="s">
        <v>479</v>
      </c>
      <c r="AX66" s="13" t="s">
        <v>476</v>
      </c>
      <c r="AY66" s="13" t="s">
        <v>477</v>
      </c>
      <c r="AZ66" s="13"/>
      <c r="BA66" s="13" t="s">
        <v>468</v>
      </c>
      <c r="BB66" s="13" t="s">
        <v>468</v>
      </c>
      <c r="BC66" s="13" t="s">
        <v>496</v>
      </c>
      <c r="BD66" s="1" t="s">
        <v>474</v>
      </c>
      <c r="BE66" s="1" t="s">
        <v>474</v>
      </c>
      <c r="BF66" s="1" t="s">
        <v>473</v>
      </c>
      <c r="BG66" s="1" t="s">
        <v>479</v>
      </c>
      <c r="BH66" s="1" t="s">
        <v>504</v>
      </c>
      <c r="BI66" s="1" t="s">
        <v>499</v>
      </c>
      <c r="BJ66" s="1" t="s">
        <v>500</v>
      </c>
      <c r="BK66" s="1" t="s">
        <v>499</v>
      </c>
      <c r="BL66" s="1" t="s">
        <v>499</v>
      </c>
    </row>
    <row r="67" spans="1:65" hidden="1" x14ac:dyDescent="0.25">
      <c r="A67" s="1" t="s">
        <v>208</v>
      </c>
      <c r="B67" s="1" t="s">
        <v>127</v>
      </c>
      <c r="C67" s="1" t="s">
        <v>495</v>
      </c>
      <c r="D67" s="1">
        <v>2020</v>
      </c>
      <c r="E67" s="1">
        <v>1</v>
      </c>
      <c r="F67" s="1">
        <v>0</v>
      </c>
      <c r="G67" s="1">
        <v>0</v>
      </c>
      <c r="H67" s="1">
        <v>0</v>
      </c>
      <c r="I67" s="1">
        <v>1</v>
      </c>
      <c r="M67" s="19"/>
      <c r="N67" s="19">
        <v>488</v>
      </c>
      <c r="O67" s="19"/>
      <c r="P67" s="19">
        <v>2123</v>
      </c>
      <c r="Q67" s="9"/>
      <c r="R67" s="9">
        <v>0.23</v>
      </c>
      <c r="S67" s="9">
        <v>1</v>
      </c>
      <c r="T67" s="9"/>
      <c r="U6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7" s="9"/>
      <c r="W67" s="39"/>
      <c r="X67" s="39"/>
      <c r="Y67" s="9">
        <v>0.97</v>
      </c>
      <c r="Z67" s="1">
        <v>1</v>
      </c>
      <c r="AC67" s="1">
        <v>1</v>
      </c>
      <c r="AF67" s="1">
        <v>2</v>
      </c>
      <c r="AG67" s="1">
        <v>4</v>
      </c>
      <c r="AH67" s="1" t="s">
        <v>480</v>
      </c>
      <c r="AI67" s="1" t="s">
        <v>274</v>
      </c>
      <c r="AJ67" s="1">
        <f t="shared" si="5"/>
        <v>4</v>
      </c>
      <c r="AK67" s="1">
        <v>1095</v>
      </c>
      <c r="AM67" s="19">
        <f>10*Umrechnungsfaktoren!$B$15/Umrechnungsfaktoren!$B$12</f>
        <v>10.38</v>
      </c>
      <c r="AN67" s="19">
        <f>5*Umrechnungsfaktoren!$B$15/Umrechnungsfaktoren!$B$12</f>
        <v>5.19</v>
      </c>
      <c r="AO67" s="19"/>
      <c r="AP67" s="8"/>
      <c r="AQ67" s="8">
        <f>0.03*Tabelle58971115[[#This Row],[Investitionsausgaben €_2020/kW]]</f>
        <v>0.31140000000000001</v>
      </c>
      <c r="AR67" s="7">
        <v>0.08</v>
      </c>
      <c r="AS67" s="1" t="s">
        <v>382</v>
      </c>
      <c r="AT67" s="1" t="s">
        <v>479</v>
      </c>
      <c r="AU67" s="1" t="s">
        <v>479</v>
      </c>
      <c r="AV67" s="1" t="s">
        <v>479</v>
      </c>
      <c r="AX67" s="13" t="s">
        <v>470</v>
      </c>
      <c r="AY67" s="13" t="s">
        <v>470</v>
      </c>
      <c r="AZ67" s="13"/>
      <c r="BA67" s="13" t="s">
        <v>468</v>
      </c>
      <c r="BB67" s="13" t="s">
        <v>468</v>
      </c>
      <c r="BC67" s="13" t="s">
        <v>496</v>
      </c>
      <c r="BD67" s="1" t="s">
        <v>474</v>
      </c>
      <c r="BE67" s="1" t="s">
        <v>474</v>
      </c>
      <c r="BF67" s="1" t="s">
        <v>473</v>
      </c>
      <c r="BG67" s="1" t="s">
        <v>479</v>
      </c>
      <c r="BH67" s="1" t="s">
        <v>504</v>
      </c>
      <c r="BI67" s="1" t="s">
        <v>499</v>
      </c>
      <c r="BJ67" s="1" t="s">
        <v>500</v>
      </c>
      <c r="BK67" s="1" t="s">
        <v>499</v>
      </c>
      <c r="BL67" s="1" t="s">
        <v>499</v>
      </c>
    </row>
    <row r="68" spans="1:65" hidden="1" x14ac:dyDescent="0.25">
      <c r="A68" s="1" t="s">
        <v>208</v>
      </c>
      <c r="B68" s="1" t="s">
        <v>127</v>
      </c>
      <c r="C68" s="1" t="s">
        <v>495</v>
      </c>
      <c r="D68" s="1">
        <v>2030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  <c r="M68" s="19"/>
      <c r="N68" s="19">
        <v>551</v>
      </c>
      <c r="O68" s="19"/>
      <c r="P68" s="19">
        <v>2204</v>
      </c>
      <c r="Q68" s="9"/>
      <c r="R68" s="9">
        <v>0.25</v>
      </c>
      <c r="S68" s="9">
        <v>1</v>
      </c>
      <c r="T68" s="9"/>
      <c r="U6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8" s="9"/>
      <c r="W68" s="39"/>
      <c r="X68" s="39"/>
      <c r="Y68" s="9">
        <v>0.97</v>
      </c>
      <c r="Z68" s="1">
        <v>1</v>
      </c>
      <c r="AC68" s="1">
        <v>1</v>
      </c>
      <c r="AF68" s="1">
        <v>2</v>
      </c>
      <c r="AG68" s="1">
        <v>4</v>
      </c>
      <c r="AH68" s="1" t="s">
        <v>480</v>
      </c>
      <c r="AI68" s="1" t="s">
        <v>274</v>
      </c>
      <c r="AJ68" s="1">
        <f t="shared" si="5"/>
        <v>4</v>
      </c>
      <c r="AK68" s="1">
        <v>1095</v>
      </c>
      <c r="AM68" s="19">
        <f>10*Umrechnungsfaktoren!$B$15/Umrechnungsfaktoren!$B$12</f>
        <v>10.38</v>
      </c>
      <c r="AN68" s="19">
        <f>5*Umrechnungsfaktoren!$B$15/Umrechnungsfaktoren!$B$12</f>
        <v>5.19</v>
      </c>
      <c r="AO68" s="19"/>
      <c r="AP68" s="8"/>
      <c r="AQ68" s="8">
        <f>0.03*Tabelle58971115[[#This Row],[Investitionsausgaben €_2020/kW]]</f>
        <v>0.31140000000000001</v>
      </c>
      <c r="AR68" s="7">
        <v>0.08</v>
      </c>
      <c r="AS68" s="1" t="s">
        <v>382</v>
      </c>
      <c r="AT68" s="1" t="s">
        <v>479</v>
      </c>
      <c r="AU68" s="1" t="s">
        <v>479</v>
      </c>
      <c r="AV68" s="1" t="s">
        <v>479</v>
      </c>
      <c r="AX68" s="13" t="s">
        <v>471</v>
      </c>
      <c r="AY68" s="13" t="s">
        <v>471</v>
      </c>
      <c r="AZ68" s="13"/>
      <c r="BA68" s="13" t="s">
        <v>468</v>
      </c>
      <c r="BB68" s="13" t="s">
        <v>468</v>
      </c>
      <c r="BC68" s="13" t="s">
        <v>496</v>
      </c>
      <c r="BD68" s="1" t="s">
        <v>474</v>
      </c>
      <c r="BE68" s="1" t="s">
        <v>474</v>
      </c>
      <c r="BF68" s="1" t="s">
        <v>473</v>
      </c>
      <c r="BG68" s="1" t="s">
        <v>479</v>
      </c>
      <c r="BH68" s="1" t="s">
        <v>504</v>
      </c>
      <c r="BI68" s="1" t="s">
        <v>499</v>
      </c>
      <c r="BJ68" s="1" t="s">
        <v>500</v>
      </c>
      <c r="BK68" s="1" t="s">
        <v>499</v>
      </c>
      <c r="BL68" s="1" t="s">
        <v>499</v>
      </c>
    </row>
    <row r="69" spans="1:65" hidden="1" x14ac:dyDescent="0.25">
      <c r="A69" s="1" t="s">
        <v>208</v>
      </c>
      <c r="B69" s="1" t="s">
        <v>127</v>
      </c>
      <c r="C69" s="1" t="s">
        <v>495</v>
      </c>
      <c r="D69" s="1">
        <v>2050</v>
      </c>
      <c r="E69" s="1">
        <v>1</v>
      </c>
      <c r="F69" s="1">
        <v>0</v>
      </c>
      <c r="G69" s="1">
        <v>0</v>
      </c>
      <c r="H69" s="1">
        <v>0</v>
      </c>
      <c r="I69" s="1">
        <v>1</v>
      </c>
      <c r="M69" s="19"/>
      <c r="N69" s="19">
        <v>587</v>
      </c>
      <c r="O69" s="19"/>
      <c r="P69" s="19">
        <v>1956</v>
      </c>
      <c r="Q69" s="9"/>
      <c r="R69" s="9">
        <v>0.3</v>
      </c>
      <c r="S69" s="9">
        <v>1</v>
      </c>
      <c r="T69" s="9"/>
      <c r="U6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9" s="9"/>
      <c r="W69" s="39"/>
      <c r="X69" s="39"/>
      <c r="Y69" s="9">
        <v>0.97</v>
      </c>
      <c r="Z69" s="1">
        <v>1</v>
      </c>
      <c r="AC69" s="1">
        <v>1</v>
      </c>
      <c r="AF69" s="1">
        <v>2</v>
      </c>
      <c r="AG69" s="1">
        <v>4</v>
      </c>
      <c r="AH69" s="1" t="s">
        <v>480</v>
      </c>
      <c r="AI69" s="1" t="s">
        <v>274</v>
      </c>
      <c r="AJ69" s="1">
        <f t="shared" si="5"/>
        <v>4</v>
      </c>
      <c r="AK69" s="1">
        <v>1095</v>
      </c>
      <c r="AM69" s="19">
        <f>10*Umrechnungsfaktoren!$B$15/Umrechnungsfaktoren!$B$12</f>
        <v>10.38</v>
      </c>
      <c r="AN69" s="19">
        <f>5*Umrechnungsfaktoren!$B$15/Umrechnungsfaktoren!$B$12</f>
        <v>5.19</v>
      </c>
      <c r="AO69" s="19"/>
      <c r="AP69" s="8"/>
      <c r="AQ69" s="8">
        <f>0.03*Tabelle58971115[[#This Row],[Investitionsausgaben €_2020/kW]]</f>
        <v>0.31140000000000001</v>
      </c>
      <c r="AR69" s="7">
        <v>0.08</v>
      </c>
      <c r="AS69" s="1" t="s">
        <v>382</v>
      </c>
      <c r="AT69" s="1" t="s">
        <v>479</v>
      </c>
      <c r="AU69" s="1" t="s">
        <v>479</v>
      </c>
      <c r="AV69" s="1" t="s">
        <v>479</v>
      </c>
      <c r="AX69" s="13" t="s">
        <v>472</v>
      </c>
      <c r="AY69" s="13" t="s">
        <v>472</v>
      </c>
      <c r="AZ69" s="13"/>
      <c r="BA69" s="13" t="s">
        <v>468</v>
      </c>
      <c r="BB69" s="13" t="s">
        <v>468</v>
      </c>
      <c r="BC69" s="13" t="s">
        <v>496</v>
      </c>
      <c r="BD69" s="1" t="s">
        <v>474</v>
      </c>
      <c r="BE69" s="1" t="s">
        <v>474</v>
      </c>
      <c r="BF69" s="1" t="s">
        <v>473</v>
      </c>
      <c r="BG69" s="1" t="s">
        <v>479</v>
      </c>
      <c r="BH69" s="1" t="s">
        <v>504</v>
      </c>
      <c r="BI69" s="1" t="s">
        <v>499</v>
      </c>
      <c r="BJ69" s="1" t="s">
        <v>500</v>
      </c>
      <c r="BK69" s="1" t="s">
        <v>499</v>
      </c>
      <c r="BL69" s="1" t="s">
        <v>499</v>
      </c>
    </row>
    <row r="70" spans="1:65" x14ac:dyDescent="0.25">
      <c r="A70" s="30" t="s">
        <v>209</v>
      </c>
      <c r="B70" s="1" t="s">
        <v>127</v>
      </c>
      <c r="C70" s="1" t="s">
        <v>495</v>
      </c>
      <c r="D70" s="1">
        <v>2010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M70" s="19"/>
      <c r="N70" s="19">
        <v>249</v>
      </c>
      <c r="O70" s="19"/>
      <c r="P70" s="19">
        <v>7674</v>
      </c>
      <c r="Q70" s="9"/>
      <c r="R70" s="9"/>
      <c r="S70" s="9"/>
      <c r="T70" s="9"/>
      <c r="U7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0" s="9"/>
      <c r="W70" s="39"/>
      <c r="X70" s="39"/>
      <c r="Y70" s="9">
        <v>0.97</v>
      </c>
      <c r="Z70" s="1">
        <v>1</v>
      </c>
      <c r="AC70" s="1">
        <v>1</v>
      </c>
      <c r="AF70" s="1">
        <v>2</v>
      </c>
      <c r="AG70" s="1">
        <v>4</v>
      </c>
      <c r="AH70" s="1" t="s">
        <v>377</v>
      </c>
      <c r="AI70" s="1" t="s">
        <v>273</v>
      </c>
      <c r="AJ70" s="1">
        <f t="shared" si="5"/>
        <v>4</v>
      </c>
      <c r="AK70" s="1">
        <v>1095</v>
      </c>
      <c r="AM70" s="19">
        <f>10*Umrechnungsfaktoren!$B$15/Umrechnungsfaktoren!$B$12</f>
        <v>10.38</v>
      </c>
      <c r="AN70" s="19">
        <f>5*Umrechnungsfaktoren!$B$15/Umrechnungsfaktoren!$B$12</f>
        <v>5.19</v>
      </c>
      <c r="AO70" s="19"/>
      <c r="AP70" s="8"/>
      <c r="AQ70" s="8">
        <f>0.03*Tabelle58971115[[#This Row],[Investitionsausgaben €_2020/kW]]</f>
        <v>0.31140000000000001</v>
      </c>
      <c r="AR70" s="7">
        <v>0.08</v>
      </c>
      <c r="AT70" s="1" t="s">
        <v>479</v>
      </c>
      <c r="AU70" s="1" t="s">
        <v>479</v>
      </c>
      <c r="AV70" s="1" t="s">
        <v>479</v>
      </c>
      <c r="AX70" s="13" t="s">
        <v>476</v>
      </c>
      <c r="AY70" s="13" t="s">
        <v>477</v>
      </c>
      <c r="AZ70" s="13"/>
      <c r="BA70" s="13" t="s">
        <v>468</v>
      </c>
      <c r="BB70" s="13" t="s">
        <v>468</v>
      </c>
      <c r="BC70" s="13" t="s">
        <v>496</v>
      </c>
      <c r="BD70" s="1" t="s">
        <v>474</v>
      </c>
      <c r="BE70" s="1" t="s">
        <v>474</v>
      </c>
      <c r="BF70" s="1" t="s">
        <v>473</v>
      </c>
      <c r="BG70" s="1" t="s">
        <v>465</v>
      </c>
      <c r="BH70" s="1" t="s">
        <v>504</v>
      </c>
      <c r="BI70" s="1" t="s">
        <v>499</v>
      </c>
      <c r="BJ70" s="1" t="s">
        <v>500</v>
      </c>
      <c r="BK70" s="1" t="s">
        <v>499</v>
      </c>
      <c r="BL70" s="1" t="s">
        <v>499</v>
      </c>
      <c r="BM70" s="1" t="s">
        <v>392</v>
      </c>
    </row>
    <row r="71" spans="1:65" hidden="1" x14ac:dyDescent="0.25">
      <c r="A71" s="30" t="s">
        <v>209</v>
      </c>
      <c r="B71" s="1" t="s">
        <v>127</v>
      </c>
      <c r="C71" s="1" t="s">
        <v>495</v>
      </c>
      <c r="D71" s="1">
        <v>2020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M71" s="19"/>
      <c r="N71" s="19">
        <v>54</v>
      </c>
      <c r="O71" s="19"/>
      <c r="P71" s="19">
        <v>8885</v>
      </c>
      <c r="Q71" s="9"/>
      <c r="R71" s="9">
        <v>0.18</v>
      </c>
      <c r="S71" s="9">
        <v>1</v>
      </c>
      <c r="T71" s="9">
        <f>287/8760</f>
        <v>3.276255707762557E-2</v>
      </c>
      <c r="U7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1" s="9"/>
      <c r="W71" s="39"/>
      <c r="X71" s="39"/>
      <c r="Y71" s="9">
        <v>0.97</v>
      </c>
      <c r="Z71" s="1">
        <v>1</v>
      </c>
      <c r="AC71" s="1">
        <v>1</v>
      </c>
      <c r="AF71" s="1">
        <v>2</v>
      </c>
      <c r="AG71" s="1">
        <v>4</v>
      </c>
      <c r="AH71" s="1" t="s">
        <v>377</v>
      </c>
      <c r="AI71" s="1" t="s">
        <v>273</v>
      </c>
      <c r="AJ71" s="1">
        <f t="shared" si="5"/>
        <v>4</v>
      </c>
      <c r="AK71" s="1">
        <v>1095</v>
      </c>
      <c r="AM71" s="19">
        <f>10*Umrechnungsfaktoren!$B$15/Umrechnungsfaktoren!$B$12</f>
        <v>10.38</v>
      </c>
      <c r="AN71" s="19">
        <f>5*Umrechnungsfaktoren!$B$15/Umrechnungsfaktoren!$B$12</f>
        <v>5.19</v>
      </c>
      <c r="AO71" s="19"/>
      <c r="AP71" s="8"/>
      <c r="AQ71" s="8">
        <f>0.03*Tabelle58971115[[#This Row],[Investitionsausgaben €_2020/kW]]</f>
        <v>0.31140000000000001</v>
      </c>
      <c r="AR71" s="7">
        <v>0.08</v>
      </c>
      <c r="AT71" s="1" t="s">
        <v>479</v>
      </c>
      <c r="AU71" s="1" t="s">
        <v>479</v>
      </c>
      <c r="AV71" s="1" t="s">
        <v>479</v>
      </c>
      <c r="AX71" s="13" t="s">
        <v>470</v>
      </c>
      <c r="AY71" s="13" t="s">
        <v>470</v>
      </c>
      <c r="AZ71" s="13"/>
      <c r="BA71" s="13" t="s">
        <v>468</v>
      </c>
      <c r="BB71" s="13" t="s">
        <v>468</v>
      </c>
      <c r="BC71" s="13" t="s">
        <v>496</v>
      </c>
      <c r="BD71" s="1" t="s">
        <v>474</v>
      </c>
      <c r="BE71" s="1" t="s">
        <v>474</v>
      </c>
      <c r="BF71" s="1" t="s">
        <v>473</v>
      </c>
      <c r="BG71" s="1" t="s">
        <v>465</v>
      </c>
      <c r="BH71" s="1" t="s">
        <v>504</v>
      </c>
      <c r="BI71" s="1" t="s">
        <v>499</v>
      </c>
      <c r="BJ71" s="1" t="s">
        <v>500</v>
      </c>
      <c r="BK71" s="1" t="s">
        <v>499</v>
      </c>
      <c r="BL71" s="1" t="s">
        <v>499</v>
      </c>
    </row>
    <row r="72" spans="1:65" hidden="1" x14ac:dyDescent="0.25">
      <c r="A72" s="30" t="s">
        <v>209</v>
      </c>
      <c r="B72" s="1" t="s">
        <v>127</v>
      </c>
      <c r="C72" s="1" t="s">
        <v>495</v>
      </c>
      <c r="D72" s="1">
        <v>2030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M72" s="19"/>
      <c r="N72" s="19">
        <v>69</v>
      </c>
      <c r="O72" s="19"/>
      <c r="P72" s="19">
        <v>9713</v>
      </c>
      <c r="Q72" s="9"/>
      <c r="R72" s="9">
        <v>0.2</v>
      </c>
      <c r="S72" s="9">
        <v>1</v>
      </c>
      <c r="T72" s="9">
        <f>300/8760</f>
        <v>3.4246575342465752E-2</v>
      </c>
      <c r="U7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2" s="9"/>
      <c r="W72" s="39"/>
      <c r="X72" s="39"/>
      <c r="Y72" s="9">
        <v>0.97</v>
      </c>
      <c r="Z72" s="1">
        <v>1</v>
      </c>
      <c r="AC72" s="1">
        <v>1</v>
      </c>
      <c r="AF72" s="1">
        <v>2</v>
      </c>
      <c r="AG72" s="1">
        <v>4</v>
      </c>
      <c r="AH72" s="1" t="s">
        <v>377</v>
      </c>
      <c r="AI72" s="1" t="s">
        <v>273</v>
      </c>
      <c r="AJ72" s="1">
        <f t="shared" si="5"/>
        <v>4</v>
      </c>
      <c r="AK72" s="1">
        <v>1095</v>
      </c>
      <c r="AM72" s="19">
        <f>10*Umrechnungsfaktoren!$B$15/Umrechnungsfaktoren!$B$12</f>
        <v>10.38</v>
      </c>
      <c r="AN72" s="19">
        <f>5*Umrechnungsfaktoren!$B$15/Umrechnungsfaktoren!$B$12</f>
        <v>5.19</v>
      </c>
      <c r="AO72" s="19"/>
      <c r="AP72" s="8"/>
      <c r="AQ72" s="8">
        <f>0.03*Tabelle58971115[[#This Row],[Investitionsausgaben €_2020/kW]]</f>
        <v>0.31140000000000001</v>
      </c>
      <c r="AR72" s="7">
        <v>0.08</v>
      </c>
      <c r="AT72" s="1" t="s">
        <v>479</v>
      </c>
      <c r="AU72" s="1" t="s">
        <v>479</v>
      </c>
      <c r="AV72" s="1" t="s">
        <v>479</v>
      </c>
      <c r="AX72" s="13" t="s">
        <v>471</v>
      </c>
      <c r="AY72" s="13" t="s">
        <v>471</v>
      </c>
      <c r="AZ72" s="13"/>
      <c r="BA72" s="13" t="s">
        <v>468</v>
      </c>
      <c r="BB72" s="13" t="s">
        <v>468</v>
      </c>
      <c r="BC72" s="13" t="s">
        <v>496</v>
      </c>
      <c r="BD72" s="1" t="s">
        <v>474</v>
      </c>
      <c r="BE72" s="1" t="s">
        <v>474</v>
      </c>
      <c r="BF72" s="1" t="s">
        <v>473</v>
      </c>
      <c r="BG72" s="1" t="s">
        <v>465</v>
      </c>
      <c r="BH72" s="1" t="s">
        <v>504</v>
      </c>
      <c r="BI72" s="1" t="s">
        <v>499</v>
      </c>
      <c r="BJ72" s="1" t="s">
        <v>500</v>
      </c>
      <c r="BK72" s="1" t="s">
        <v>499</v>
      </c>
      <c r="BL72" s="1" t="s">
        <v>499</v>
      </c>
    </row>
    <row r="73" spans="1:65" hidden="1" x14ac:dyDescent="0.25">
      <c r="A73" s="30" t="s">
        <v>209</v>
      </c>
      <c r="B73" s="1" t="s">
        <v>127</v>
      </c>
      <c r="C73" s="1" t="s">
        <v>495</v>
      </c>
      <c r="D73" s="1">
        <v>2050</v>
      </c>
      <c r="E73" s="1">
        <v>1</v>
      </c>
      <c r="F73" s="1">
        <v>0</v>
      </c>
      <c r="G73" s="1">
        <v>0</v>
      </c>
      <c r="H73" s="1">
        <v>0</v>
      </c>
      <c r="I73" s="1">
        <v>1</v>
      </c>
      <c r="M73" s="19"/>
      <c r="N73" s="19">
        <v>90</v>
      </c>
      <c r="O73" s="19"/>
      <c r="P73" s="19">
        <v>9255</v>
      </c>
      <c r="Q73" s="9"/>
      <c r="R73" s="9">
        <v>0.25</v>
      </c>
      <c r="S73" s="9">
        <v>1</v>
      </c>
      <c r="T73" s="9">
        <f>329/8760</f>
        <v>3.7557077625570777E-2</v>
      </c>
      <c r="U7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3" s="9"/>
      <c r="W73" s="39"/>
      <c r="X73" s="39"/>
      <c r="Y73" s="9">
        <v>0.97</v>
      </c>
      <c r="Z73" s="1">
        <v>1</v>
      </c>
      <c r="AC73" s="1">
        <v>1</v>
      </c>
      <c r="AF73" s="1">
        <v>2</v>
      </c>
      <c r="AG73" s="1">
        <v>4</v>
      </c>
      <c r="AH73" s="1" t="s">
        <v>377</v>
      </c>
      <c r="AI73" s="1" t="s">
        <v>273</v>
      </c>
      <c r="AJ73" s="1">
        <f t="shared" si="5"/>
        <v>4</v>
      </c>
      <c r="AK73" s="1">
        <v>1095</v>
      </c>
      <c r="AM73" s="19">
        <f>10*Umrechnungsfaktoren!$B$15/Umrechnungsfaktoren!$B$12</f>
        <v>10.38</v>
      </c>
      <c r="AN73" s="19">
        <f>5*Umrechnungsfaktoren!$B$15/Umrechnungsfaktoren!$B$12</f>
        <v>5.19</v>
      </c>
      <c r="AO73" s="19"/>
      <c r="AP73" s="8"/>
      <c r="AQ73" s="8">
        <f>0.03*Tabelle58971115[[#This Row],[Investitionsausgaben €_2020/kW]]</f>
        <v>0.31140000000000001</v>
      </c>
      <c r="AR73" s="7">
        <v>0.08</v>
      </c>
      <c r="AT73" s="1" t="s">
        <v>479</v>
      </c>
      <c r="AU73" s="1" t="s">
        <v>479</v>
      </c>
      <c r="AV73" s="1" t="s">
        <v>479</v>
      </c>
      <c r="AX73" s="13" t="s">
        <v>472</v>
      </c>
      <c r="AY73" s="13" t="s">
        <v>472</v>
      </c>
      <c r="AZ73" s="13"/>
      <c r="BA73" s="13" t="s">
        <v>468</v>
      </c>
      <c r="BB73" s="13" t="s">
        <v>468</v>
      </c>
      <c r="BC73" s="13" t="s">
        <v>496</v>
      </c>
      <c r="BD73" s="1" t="s">
        <v>474</v>
      </c>
      <c r="BE73" s="1" t="s">
        <v>474</v>
      </c>
      <c r="BF73" s="1" t="s">
        <v>473</v>
      </c>
      <c r="BG73" s="1" t="s">
        <v>465</v>
      </c>
      <c r="BH73" s="1" t="s">
        <v>504</v>
      </c>
      <c r="BI73" s="1" t="s">
        <v>499</v>
      </c>
      <c r="BJ73" s="1" t="s">
        <v>500</v>
      </c>
      <c r="BK73" s="1" t="s">
        <v>499</v>
      </c>
      <c r="BL73" s="1" t="s">
        <v>499</v>
      </c>
    </row>
    <row r="74" spans="1:65" x14ac:dyDescent="0.25">
      <c r="A74" s="1" t="s">
        <v>136</v>
      </c>
      <c r="B74" s="1" t="s">
        <v>127</v>
      </c>
      <c r="C74" s="1" t="str">
        <f>VLOOKUP(Tabelle58971115[[#This Row],[Prozess]],Tabelle22333[],3,FALSE)</f>
        <v>StorHeat_Res_Com</v>
      </c>
      <c r="D74" s="1">
        <v>2010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M74" s="19"/>
      <c r="N74" s="19">
        <v>113</v>
      </c>
      <c r="O74" s="19"/>
      <c r="P74" s="19">
        <v>3841</v>
      </c>
      <c r="Q74" s="9"/>
      <c r="R74" s="9"/>
      <c r="S74" s="9"/>
      <c r="T74" s="9">
        <f>AVERAGE(175,275)/8760</f>
        <v>2.5684931506849314E-2</v>
      </c>
      <c r="U7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4" s="9"/>
      <c r="W74" s="40">
        <v>0.95</v>
      </c>
      <c r="X74" s="9">
        <v>0.98</v>
      </c>
      <c r="Y74" s="9">
        <v>0.96</v>
      </c>
      <c r="Z74" s="1">
        <v>12</v>
      </c>
      <c r="AC74" s="1">
        <v>12</v>
      </c>
      <c r="AD74" s="1">
        <v>4</v>
      </c>
      <c r="AE74" s="1">
        <v>12</v>
      </c>
      <c r="AF74" s="1">
        <v>8</v>
      </c>
      <c r="AG74" s="1">
        <v>0</v>
      </c>
      <c r="AH74" s="1" t="s">
        <v>377</v>
      </c>
      <c r="AI74" s="1" t="s">
        <v>273</v>
      </c>
      <c r="AK74" s="1">
        <v>1095</v>
      </c>
      <c r="AM74" s="19"/>
      <c r="AN74" s="8">
        <v>0</v>
      </c>
      <c r="AO74" s="8"/>
      <c r="AP74" s="8"/>
      <c r="AQ74" s="8"/>
      <c r="AT74" s="1" t="s">
        <v>479</v>
      </c>
      <c r="AU74" s="1" t="s">
        <v>479</v>
      </c>
      <c r="AV74" s="1" t="s">
        <v>479</v>
      </c>
      <c r="AX74" s="13" t="s">
        <v>476</v>
      </c>
      <c r="AY74" s="13" t="s">
        <v>477</v>
      </c>
      <c r="AZ74" s="13"/>
      <c r="BA74" s="13" t="s">
        <v>468</v>
      </c>
      <c r="BB74" s="13" t="s">
        <v>468</v>
      </c>
      <c r="BC74" s="13" t="s">
        <v>496</v>
      </c>
      <c r="BD74" s="1" t="s">
        <v>474</v>
      </c>
      <c r="BE74" s="1" t="s">
        <v>474</v>
      </c>
      <c r="BF74" s="1" t="s">
        <v>473</v>
      </c>
      <c r="BG74" s="1" t="s">
        <v>465</v>
      </c>
      <c r="BH74" s="1" t="s">
        <v>503</v>
      </c>
      <c r="BI74" s="1" t="s">
        <v>499</v>
      </c>
      <c r="BJ74" s="1" t="s">
        <v>500</v>
      </c>
      <c r="BK74" s="1" t="s">
        <v>499</v>
      </c>
      <c r="BL74" s="1" t="s">
        <v>499</v>
      </c>
    </row>
    <row r="75" spans="1:65" hidden="1" x14ac:dyDescent="0.25">
      <c r="A75" s="1" t="s">
        <v>136</v>
      </c>
      <c r="B75" s="1" t="s">
        <v>127</v>
      </c>
      <c r="C75" s="1" t="str">
        <f>VLOOKUP(Tabelle58971115[[#This Row],[Prozess]],Tabelle22333[],3,FALSE)</f>
        <v>StorHeat_Res_Com</v>
      </c>
      <c r="D75" s="1">
        <v>2020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M75" s="19"/>
      <c r="N75" s="19">
        <v>286</v>
      </c>
      <c r="O75" s="19"/>
      <c r="P75" s="19">
        <v>8759</v>
      </c>
      <c r="Q75" s="9"/>
      <c r="R75" s="9">
        <v>1</v>
      </c>
      <c r="S75" s="9">
        <v>0.9</v>
      </c>
      <c r="T75" s="9"/>
      <c r="U7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5" s="9"/>
      <c r="W75" s="40">
        <v>0.95</v>
      </c>
      <c r="X75" s="9">
        <v>0.98</v>
      </c>
      <c r="Y75" s="9">
        <v>0.96</v>
      </c>
      <c r="Z75" s="1">
        <v>12</v>
      </c>
      <c r="AC75" s="1">
        <v>12</v>
      </c>
      <c r="AD75" s="1">
        <v>4</v>
      </c>
      <c r="AE75" s="1">
        <v>12</v>
      </c>
      <c r="AF75" s="1">
        <v>8</v>
      </c>
      <c r="AG75" s="1">
        <v>0</v>
      </c>
      <c r="AH75" s="1" t="s">
        <v>377</v>
      </c>
      <c r="AI75" s="1" t="s">
        <v>273</v>
      </c>
      <c r="AK75" s="1">
        <v>1095</v>
      </c>
      <c r="AM75" s="19"/>
      <c r="AN75" s="8">
        <v>0</v>
      </c>
      <c r="AO75" s="8"/>
      <c r="AP75" s="8"/>
      <c r="AQ75" s="8"/>
      <c r="AT75" s="1" t="s">
        <v>479</v>
      </c>
      <c r="AU75" s="1" t="s">
        <v>479</v>
      </c>
      <c r="AV75" s="1" t="s">
        <v>479</v>
      </c>
      <c r="AX75" s="13" t="s">
        <v>470</v>
      </c>
      <c r="AY75" s="13" t="s">
        <v>470</v>
      </c>
      <c r="AZ75" s="13"/>
      <c r="BA75" s="13" t="s">
        <v>468</v>
      </c>
      <c r="BB75" s="13" t="s">
        <v>468</v>
      </c>
      <c r="BC75" s="13" t="s">
        <v>496</v>
      </c>
      <c r="BD75" s="1" t="s">
        <v>474</v>
      </c>
      <c r="BE75" s="1" t="s">
        <v>474</v>
      </c>
      <c r="BF75" s="1" t="s">
        <v>473</v>
      </c>
      <c r="BG75" s="1" t="s">
        <v>465</v>
      </c>
      <c r="BH75" s="1" t="s">
        <v>503</v>
      </c>
      <c r="BI75" s="1" t="s">
        <v>499</v>
      </c>
      <c r="BJ75" s="1" t="s">
        <v>500</v>
      </c>
      <c r="BK75" s="1" t="s">
        <v>499</v>
      </c>
      <c r="BL75" s="1" t="s">
        <v>499</v>
      </c>
    </row>
    <row r="76" spans="1:65" hidden="1" x14ac:dyDescent="0.25">
      <c r="A76" s="1" t="s">
        <v>136</v>
      </c>
      <c r="B76" s="1" t="s">
        <v>127</v>
      </c>
      <c r="C76" s="1" t="str">
        <f>VLOOKUP(Tabelle58971115[[#This Row],[Prozess]],Tabelle22333[],3,FALSE)</f>
        <v>StorHeat_Res_Com</v>
      </c>
      <c r="D76" s="1">
        <v>2030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M76" s="19"/>
      <c r="N76" s="19">
        <v>310</v>
      </c>
      <c r="O76" s="19"/>
      <c r="P76" s="19">
        <v>9497</v>
      </c>
      <c r="Q76" s="9"/>
      <c r="R76" s="9">
        <v>1</v>
      </c>
      <c r="S76" s="9">
        <v>0.9</v>
      </c>
      <c r="T76" s="9"/>
      <c r="U7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6" s="9"/>
      <c r="W76" s="40">
        <v>0.95</v>
      </c>
      <c r="X76" s="9">
        <v>0.98</v>
      </c>
      <c r="Y76" s="9">
        <v>0.96</v>
      </c>
      <c r="Z76" s="1">
        <v>12</v>
      </c>
      <c r="AC76" s="1">
        <v>12</v>
      </c>
      <c r="AD76" s="1">
        <v>4</v>
      </c>
      <c r="AE76" s="1">
        <v>12</v>
      </c>
      <c r="AF76" s="1">
        <v>8</v>
      </c>
      <c r="AG76" s="1">
        <v>0</v>
      </c>
      <c r="AH76" s="1" t="s">
        <v>377</v>
      </c>
      <c r="AI76" s="1" t="s">
        <v>273</v>
      </c>
      <c r="AK76" s="1">
        <v>1095</v>
      </c>
      <c r="AM76" s="19"/>
      <c r="AN76" s="8">
        <v>0</v>
      </c>
      <c r="AO76" s="8"/>
      <c r="AP76" s="8"/>
      <c r="AQ76" s="8"/>
      <c r="AT76" s="1" t="s">
        <v>479</v>
      </c>
      <c r="AU76" s="1" t="s">
        <v>479</v>
      </c>
      <c r="AV76" s="1" t="s">
        <v>479</v>
      </c>
      <c r="AX76" s="13" t="s">
        <v>471</v>
      </c>
      <c r="AY76" s="13" t="s">
        <v>471</v>
      </c>
      <c r="AZ76" s="13"/>
      <c r="BA76" s="13" t="s">
        <v>468</v>
      </c>
      <c r="BB76" s="13" t="s">
        <v>468</v>
      </c>
      <c r="BC76" s="13" t="s">
        <v>496</v>
      </c>
      <c r="BD76" s="1" t="s">
        <v>474</v>
      </c>
      <c r="BE76" s="1" t="s">
        <v>474</v>
      </c>
      <c r="BF76" s="1" t="s">
        <v>473</v>
      </c>
      <c r="BG76" s="1" t="s">
        <v>465</v>
      </c>
      <c r="BH76" s="1" t="s">
        <v>503</v>
      </c>
      <c r="BI76" s="1" t="s">
        <v>499</v>
      </c>
      <c r="BJ76" s="1" t="s">
        <v>500</v>
      </c>
      <c r="BK76" s="1" t="s">
        <v>499</v>
      </c>
      <c r="BL76" s="1" t="s">
        <v>499</v>
      </c>
    </row>
    <row r="77" spans="1:65" hidden="1" x14ac:dyDescent="0.25">
      <c r="A77" s="1" t="s">
        <v>136</v>
      </c>
      <c r="B77" s="1" t="s">
        <v>127</v>
      </c>
      <c r="C77" s="1" t="str">
        <f>VLOOKUP(Tabelle58971115[[#This Row],[Prozess]],Tabelle22333[],3,FALSE)</f>
        <v>StorHeat_Res_Com</v>
      </c>
      <c r="D77" s="1">
        <v>2050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  <c r="M77" s="19"/>
      <c r="N77" s="19">
        <v>271</v>
      </c>
      <c r="O77" s="19"/>
      <c r="P77" s="19">
        <v>8299</v>
      </c>
      <c r="Q77" s="9"/>
      <c r="R77" s="9">
        <v>1</v>
      </c>
      <c r="S77" s="9">
        <v>0.9</v>
      </c>
      <c r="T77" s="9"/>
      <c r="U7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7" s="9"/>
      <c r="W77" s="40">
        <v>0.95</v>
      </c>
      <c r="X77" s="9">
        <v>0.98</v>
      </c>
      <c r="Y77" s="9">
        <v>0.96</v>
      </c>
      <c r="Z77" s="1">
        <v>12</v>
      </c>
      <c r="AC77" s="1">
        <v>12</v>
      </c>
      <c r="AD77" s="1">
        <v>4</v>
      </c>
      <c r="AE77" s="1">
        <v>12</v>
      </c>
      <c r="AF77" s="1">
        <v>8</v>
      </c>
      <c r="AG77" s="1">
        <v>0</v>
      </c>
      <c r="AH77" s="1" t="s">
        <v>377</v>
      </c>
      <c r="AI77" s="1" t="s">
        <v>273</v>
      </c>
      <c r="AK77" s="1">
        <v>1095</v>
      </c>
      <c r="AM77" s="19"/>
      <c r="AN77" s="8">
        <v>0</v>
      </c>
      <c r="AO77" s="8"/>
      <c r="AP77" s="8"/>
      <c r="AQ77" s="8"/>
      <c r="AT77" s="1" t="s">
        <v>479</v>
      </c>
      <c r="AU77" s="1" t="s">
        <v>479</v>
      </c>
      <c r="AV77" s="1" t="s">
        <v>479</v>
      </c>
      <c r="AX77" s="13" t="s">
        <v>472</v>
      </c>
      <c r="AY77" s="13" t="s">
        <v>472</v>
      </c>
      <c r="AZ77" s="13"/>
      <c r="BA77" s="13" t="s">
        <v>468</v>
      </c>
      <c r="BB77" s="13" t="s">
        <v>468</v>
      </c>
      <c r="BC77" s="13" t="s">
        <v>496</v>
      </c>
      <c r="BD77" s="1" t="s">
        <v>474</v>
      </c>
      <c r="BE77" s="1" t="s">
        <v>474</v>
      </c>
      <c r="BF77" s="1" t="s">
        <v>473</v>
      </c>
      <c r="BG77" s="1" t="s">
        <v>465</v>
      </c>
      <c r="BH77" s="1" t="s">
        <v>503</v>
      </c>
      <c r="BI77" s="1" t="s">
        <v>499</v>
      </c>
      <c r="BJ77" s="1" t="s">
        <v>500</v>
      </c>
      <c r="BK77" s="1" t="s">
        <v>499</v>
      </c>
      <c r="BL77" s="1" t="s">
        <v>499</v>
      </c>
    </row>
    <row r="78" spans="1:65" x14ac:dyDescent="0.25">
      <c r="A78" s="1" t="s">
        <v>137</v>
      </c>
      <c r="B78" s="1" t="s">
        <v>127</v>
      </c>
      <c r="C78" s="1" t="str">
        <f>VLOOKUP(Tabelle58971115[[#This Row],[Prozess]],Tabelle22333[],3,FALSE)</f>
        <v>StorHeat_Res_Com</v>
      </c>
      <c r="D78" s="1">
        <v>2010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M78" s="19"/>
      <c r="N78" s="19">
        <v>311</v>
      </c>
      <c r="O78" s="19"/>
      <c r="P78" s="19">
        <v>3879</v>
      </c>
      <c r="Q78" s="9"/>
      <c r="R78" s="9"/>
      <c r="S78" s="9"/>
      <c r="T78" s="9">
        <f>AVERAGE(200,800)/8760</f>
        <v>5.7077625570776253E-2</v>
      </c>
      <c r="U7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8" s="9"/>
      <c r="W78" s="40">
        <v>0.95</v>
      </c>
      <c r="X78" s="9">
        <v>0.98</v>
      </c>
      <c r="Y78" s="9">
        <v>0.96</v>
      </c>
      <c r="Z78" s="1">
        <v>12</v>
      </c>
      <c r="AC78" s="1">
        <v>12</v>
      </c>
      <c r="AD78" s="1">
        <v>4</v>
      </c>
      <c r="AE78" s="1">
        <v>12</v>
      </c>
      <c r="AF78" s="1">
        <v>8</v>
      </c>
      <c r="AG78" s="1">
        <v>0</v>
      </c>
      <c r="AH78" s="1" t="s">
        <v>377</v>
      </c>
      <c r="AI78" s="1" t="s">
        <v>273</v>
      </c>
      <c r="AK78" s="1">
        <v>1095</v>
      </c>
      <c r="AM78" s="19"/>
      <c r="AN78" s="8">
        <v>0</v>
      </c>
      <c r="AO78" s="8"/>
      <c r="AP78" s="8"/>
      <c r="AQ78" s="8"/>
      <c r="AS78" s="1" t="s">
        <v>386</v>
      </c>
      <c r="AT78" s="1" t="s">
        <v>479</v>
      </c>
      <c r="AU78" s="1" t="s">
        <v>479</v>
      </c>
      <c r="AV78" s="1" t="s">
        <v>479</v>
      </c>
      <c r="AX78" s="13" t="s">
        <v>476</v>
      </c>
      <c r="AY78" s="13" t="s">
        <v>477</v>
      </c>
      <c r="AZ78" s="13"/>
      <c r="BA78" s="13" t="s">
        <v>468</v>
      </c>
      <c r="BB78" s="13" t="s">
        <v>468</v>
      </c>
      <c r="BC78" s="13" t="s">
        <v>496</v>
      </c>
      <c r="BD78" s="1" t="s">
        <v>474</v>
      </c>
      <c r="BE78" s="1" t="s">
        <v>474</v>
      </c>
      <c r="BF78" s="1" t="s">
        <v>473</v>
      </c>
      <c r="BG78" s="1" t="s">
        <v>465</v>
      </c>
      <c r="BH78" s="1" t="s">
        <v>503</v>
      </c>
      <c r="BI78" s="1" t="s">
        <v>499</v>
      </c>
      <c r="BJ78" s="1" t="s">
        <v>500</v>
      </c>
      <c r="BK78" s="1" t="s">
        <v>499</v>
      </c>
      <c r="BL78" s="1" t="s">
        <v>499</v>
      </c>
    </row>
    <row r="79" spans="1:65" hidden="1" x14ac:dyDescent="0.25">
      <c r="A79" s="1" t="s">
        <v>137</v>
      </c>
      <c r="B79" s="1" t="s">
        <v>127</v>
      </c>
      <c r="C79" s="1" t="str">
        <f>VLOOKUP(Tabelle58971115[[#This Row],[Prozess]],Tabelle22333[],3,FALSE)</f>
        <v>StorHeat_Res_Com</v>
      </c>
      <c r="D79" s="1">
        <v>2020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M79" s="19"/>
      <c r="N79" s="19">
        <v>251</v>
      </c>
      <c r="O79" s="19"/>
      <c r="P79" s="19">
        <v>2816</v>
      </c>
      <c r="Q79" s="9"/>
      <c r="R79" s="9">
        <v>1</v>
      </c>
      <c r="S79" s="9">
        <v>0.9</v>
      </c>
      <c r="T79" s="9"/>
      <c r="U7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9" s="9"/>
      <c r="W79" s="40">
        <v>0.95</v>
      </c>
      <c r="X79" s="9">
        <v>0.98</v>
      </c>
      <c r="Y79" s="9">
        <v>0.96</v>
      </c>
      <c r="Z79" s="1">
        <v>12</v>
      </c>
      <c r="AC79" s="1">
        <v>12</v>
      </c>
      <c r="AD79" s="1">
        <v>4</v>
      </c>
      <c r="AE79" s="1">
        <v>12</v>
      </c>
      <c r="AF79" s="1">
        <v>8</v>
      </c>
      <c r="AG79" s="1">
        <v>0</v>
      </c>
      <c r="AH79" s="1" t="s">
        <v>377</v>
      </c>
      <c r="AI79" s="1" t="s">
        <v>273</v>
      </c>
      <c r="AK79" s="1">
        <v>1095</v>
      </c>
      <c r="AM79" s="19"/>
      <c r="AN79" s="8">
        <v>0</v>
      </c>
      <c r="AO79" s="8"/>
      <c r="AP79" s="8"/>
      <c r="AQ79" s="8"/>
      <c r="AS79" s="1" t="s">
        <v>386</v>
      </c>
      <c r="AT79" s="1" t="s">
        <v>479</v>
      </c>
      <c r="AU79" s="1" t="s">
        <v>479</v>
      </c>
      <c r="AV79" s="1" t="s">
        <v>479</v>
      </c>
      <c r="AX79" s="13" t="s">
        <v>470</v>
      </c>
      <c r="AY79" s="13" t="s">
        <v>470</v>
      </c>
      <c r="AZ79" s="13"/>
      <c r="BA79" s="13" t="s">
        <v>468</v>
      </c>
      <c r="BB79" s="13" t="s">
        <v>468</v>
      </c>
      <c r="BC79" s="13" t="s">
        <v>496</v>
      </c>
      <c r="BD79" s="1" t="s">
        <v>474</v>
      </c>
      <c r="BE79" s="1" t="s">
        <v>474</v>
      </c>
      <c r="BF79" s="1" t="s">
        <v>473</v>
      </c>
      <c r="BG79" s="1" t="s">
        <v>465</v>
      </c>
      <c r="BH79" s="1" t="s">
        <v>503</v>
      </c>
      <c r="BI79" s="1" t="s">
        <v>499</v>
      </c>
      <c r="BJ79" s="1" t="s">
        <v>500</v>
      </c>
      <c r="BK79" s="1" t="s">
        <v>499</v>
      </c>
      <c r="BL79" s="1" t="s">
        <v>499</v>
      </c>
    </row>
    <row r="80" spans="1:65" hidden="1" x14ac:dyDescent="0.25">
      <c r="A80" s="1" t="s">
        <v>137</v>
      </c>
      <c r="B80" s="1" t="s">
        <v>127</v>
      </c>
      <c r="C80" s="1" t="str">
        <f>VLOOKUP(Tabelle58971115[[#This Row],[Prozess]],Tabelle22333[],3,FALSE)</f>
        <v>StorHeat_Res_Com</v>
      </c>
      <c r="D80" s="1">
        <v>2030</v>
      </c>
      <c r="E80" s="1">
        <v>1</v>
      </c>
      <c r="F80" s="1">
        <v>0</v>
      </c>
      <c r="G80" s="1">
        <v>0</v>
      </c>
      <c r="H80" s="1">
        <v>1</v>
      </c>
      <c r="I80" s="1">
        <v>0</v>
      </c>
      <c r="M80" s="19"/>
      <c r="N80" s="19">
        <v>86</v>
      </c>
      <c r="O80" s="19"/>
      <c r="P80" s="19">
        <v>967</v>
      </c>
      <c r="Q80" s="9"/>
      <c r="R80" s="9">
        <v>1</v>
      </c>
      <c r="S80" s="9">
        <v>0.9</v>
      </c>
      <c r="T80" s="9"/>
      <c r="U8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0" s="9"/>
      <c r="W80" s="40">
        <v>0.95</v>
      </c>
      <c r="X80" s="9">
        <v>0.98</v>
      </c>
      <c r="Y80" s="9">
        <v>0.96</v>
      </c>
      <c r="Z80" s="1">
        <v>12</v>
      </c>
      <c r="AC80" s="1">
        <v>12</v>
      </c>
      <c r="AD80" s="1">
        <v>4</v>
      </c>
      <c r="AE80" s="1">
        <v>12</v>
      </c>
      <c r="AF80" s="1">
        <v>8</v>
      </c>
      <c r="AG80" s="1">
        <v>0</v>
      </c>
      <c r="AH80" s="1" t="s">
        <v>377</v>
      </c>
      <c r="AI80" s="1" t="s">
        <v>273</v>
      </c>
      <c r="AK80" s="1">
        <v>1095</v>
      </c>
      <c r="AM80" s="19"/>
      <c r="AN80" s="8">
        <v>0</v>
      </c>
      <c r="AO80" s="8"/>
      <c r="AP80" s="8"/>
      <c r="AQ80" s="8"/>
      <c r="AS80" s="1" t="s">
        <v>386</v>
      </c>
      <c r="AT80" s="1" t="s">
        <v>479</v>
      </c>
      <c r="AU80" s="1" t="s">
        <v>479</v>
      </c>
      <c r="AV80" s="1" t="s">
        <v>479</v>
      </c>
      <c r="AX80" s="13" t="s">
        <v>471</v>
      </c>
      <c r="AY80" s="13" t="s">
        <v>471</v>
      </c>
      <c r="AZ80" s="13"/>
      <c r="BA80" s="13" t="s">
        <v>468</v>
      </c>
      <c r="BB80" s="13" t="s">
        <v>468</v>
      </c>
      <c r="BC80" s="13" t="s">
        <v>496</v>
      </c>
      <c r="BD80" s="1" t="s">
        <v>474</v>
      </c>
      <c r="BE80" s="1" t="s">
        <v>474</v>
      </c>
      <c r="BF80" s="1" t="s">
        <v>473</v>
      </c>
      <c r="BG80" s="1" t="s">
        <v>465</v>
      </c>
      <c r="BH80" s="1" t="s">
        <v>503</v>
      </c>
      <c r="BI80" s="1" t="s">
        <v>499</v>
      </c>
      <c r="BJ80" s="1" t="s">
        <v>500</v>
      </c>
      <c r="BK80" s="1" t="s">
        <v>499</v>
      </c>
      <c r="BL80" s="1" t="s">
        <v>499</v>
      </c>
    </row>
    <row r="81" spans="1:65" hidden="1" x14ac:dyDescent="0.25">
      <c r="A81" s="1" t="s">
        <v>137</v>
      </c>
      <c r="B81" s="1" t="s">
        <v>127</v>
      </c>
      <c r="C81" s="1" t="str">
        <f>VLOOKUP(Tabelle58971115[[#This Row],[Prozess]],Tabelle22333[],3,FALSE)</f>
        <v>StorHeat_Res_Com</v>
      </c>
      <c r="D81" s="1">
        <v>2050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M81" s="19"/>
      <c r="N81" s="19">
        <v>0</v>
      </c>
      <c r="O81" s="19"/>
      <c r="P81" s="19">
        <v>0</v>
      </c>
      <c r="Q81" s="9"/>
      <c r="R81" s="9">
        <v>1</v>
      </c>
      <c r="S81" s="9">
        <v>0.9</v>
      </c>
      <c r="T81" s="9"/>
      <c r="U8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1" s="9"/>
      <c r="W81" s="40">
        <v>0.95</v>
      </c>
      <c r="X81" s="9">
        <v>0.98</v>
      </c>
      <c r="Y81" s="9">
        <v>0.96</v>
      </c>
      <c r="Z81" s="1">
        <v>12</v>
      </c>
      <c r="AC81" s="1">
        <v>12</v>
      </c>
      <c r="AD81" s="1">
        <v>4</v>
      </c>
      <c r="AE81" s="1">
        <v>12</v>
      </c>
      <c r="AF81" s="1">
        <v>8</v>
      </c>
      <c r="AG81" s="1">
        <v>0</v>
      </c>
      <c r="AH81" s="1" t="s">
        <v>377</v>
      </c>
      <c r="AI81" s="1" t="s">
        <v>273</v>
      </c>
      <c r="AK81" s="1">
        <v>1095</v>
      </c>
      <c r="AM81" s="19"/>
      <c r="AN81" s="8">
        <v>0</v>
      </c>
      <c r="AO81" s="8"/>
      <c r="AP81" s="8"/>
      <c r="AQ81" s="8"/>
      <c r="AS81" s="1" t="s">
        <v>386</v>
      </c>
      <c r="AT81" s="1" t="s">
        <v>479</v>
      </c>
      <c r="AU81" s="1" t="s">
        <v>479</v>
      </c>
      <c r="AV81" s="1" t="s">
        <v>479</v>
      </c>
      <c r="AX81" s="13" t="s">
        <v>472</v>
      </c>
      <c r="AY81" s="13" t="s">
        <v>472</v>
      </c>
      <c r="AZ81" s="13"/>
      <c r="BA81" s="13" t="s">
        <v>468</v>
      </c>
      <c r="BB81" s="13" t="s">
        <v>468</v>
      </c>
      <c r="BC81" s="13" t="s">
        <v>496</v>
      </c>
      <c r="BD81" s="1" t="s">
        <v>474</v>
      </c>
      <c r="BE81" s="1" t="s">
        <v>474</v>
      </c>
      <c r="BF81" s="1" t="s">
        <v>473</v>
      </c>
      <c r="BG81" s="1" t="s">
        <v>465</v>
      </c>
      <c r="BH81" s="1" t="s">
        <v>503</v>
      </c>
      <c r="BI81" s="1" t="s">
        <v>499</v>
      </c>
      <c r="BJ81" s="1" t="s">
        <v>500</v>
      </c>
      <c r="BK81" s="1" t="s">
        <v>499</v>
      </c>
      <c r="BL81" s="1" t="s">
        <v>499</v>
      </c>
    </row>
    <row r="82" spans="1:65" x14ac:dyDescent="0.25">
      <c r="A82" s="30" t="s">
        <v>374</v>
      </c>
      <c r="B82" s="1" t="s">
        <v>127</v>
      </c>
      <c r="C82" s="1" t="str">
        <f>VLOOKUP(Tabelle58971115[[#This Row],[Prozess]],Tabelle22333[],3,FALSE)</f>
        <v>CollingWater_ComInd</v>
      </c>
      <c r="D82" s="1">
        <v>2010</v>
      </c>
      <c r="E82" s="1">
        <v>1</v>
      </c>
      <c r="F82" s="1">
        <v>0</v>
      </c>
      <c r="G82" s="1">
        <v>0</v>
      </c>
      <c r="H82" s="1">
        <v>1</v>
      </c>
      <c r="I82" s="1">
        <v>1</v>
      </c>
      <c r="M82" s="19"/>
      <c r="N82" s="19">
        <v>466</v>
      </c>
      <c r="O82" s="19"/>
      <c r="P82" s="19">
        <v>466</v>
      </c>
      <c r="Q82" s="9"/>
      <c r="R82" s="9"/>
      <c r="S82" s="9"/>
      <c r="T82" s="9">
        <f>4380/8760</f>
        <v>0.5</v>
      </c>
      <c r="U8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2" s="9"/>
      <c r="W82" s="40">
        <v>0.95499999999999996</v>
      </c>
      <c r="X82" s="40">
        <v>0.98</v>
      </c>
      <c r="Y82" s="9"/>
      <c r="Z82" s="1">
        <v>2</v>
      </c>
      <c r="AC82" s="1">
        <v>2</v>
      </c>
      <c r="AD82" s="1">
        <v>2</v>
      </c>
      <c r="AE82" s="1">
        <v>6</v>
      </c>
      <c r="AF82" s="1">
        <v>2</v>
      </c>
      <c r="AG82" s="1">
        <v>8</v>
      </c>
      <c r="AH82" s="1" t="s">
        <v>377</v>
      </c>
      <c r="AI82" s="1" t="s">
        <v>274</v>
      </c>
      <c r="AJ82" s="1">
        <f t="shared" ref="AJ82:AJ89" si="6">8/2</f>
        <v>4</v>
      </c>
      <c r="AK82" s="1">
        <v>1095</v>
      </c>
      <c r="AM82" s="19">
        <f>5*Umrechnungsfaktoren!$B$15/Umrechnungsfaktoren!$B$12</f>
        <v>5.19</v>
      </c>
      <c r="AN82" s="3">
        <f>20*Umrechnungsfaktoren!$B$15/Umrechnungsfaktoren!$B$11</f>
        <v>20.864321608040203</v>
      </c>
      <c r="AO82" s="3"/>
      <c r="AP82" s="8">
        <f>0.03*Tabelle58971115[[#This Row],[Investitionsausgaben €_2020/kW]]</f>
        <v>0.15570000000000001</v>
      </c>
      <c r="AQ82" s="8"/>
      <c r="AR82" s="7">
        <v>0.31</v>
      </c>
      <c r="AS82" s="1" t="s">
        <v>384</v>
      </c>
      <c r="AT82" s="1" t="s">
        <v>479</v>
      </c>
      <c r="AU82" s="1" t="s">
        <v>479</v>
      </c>
      <c r="AV82" s="1" t="s">
        <v>479</v>
      </c>
      <c r="AX82" s="13" t="s">
        <v>476</v>
      </c>
      <c r="AY82" s="13" t="s">
        <v>477</v>
      </c>
      <c r="AZ82" s="13"/>
      <c r="BA82" s="13" t="s">
        <v>468</v>
      </c>
      <c r="BB82" s="13" t="s">
        <v>468</v>
      </c>
      <c r="BC82" s="13" t="s">
        <v>496</v>
      </c>
      <c r="BD82" s="1" t="s">
        <v>474</v>
      </c>
      <c r="BE82" s="1" t="s">
        <v>474</v>
      </c>
      <c r="BF82" s="1" t="s">
        <v>473</v>
      </c>
      <c r="BG82" s="1" t="s">
        <v>465</v>
      </c>
      <c r="BH82" s="1" t="s">
        <v>504</v>
      </c>
      <c r="BI82" s="1" t="s">
        <v>499</v>
      </c>
      <c r="BJ82" s="1" t="s">
        <v>500</v>
      </c>
      <c r="BK82" s="1" t="s">
        <v>499</v>
      </c>
      <c r="BL82" s="1" t="s">
        <v>499</v>
      </c>
    </row>
    <row r="83" spans="1:65" hidden="1" x14ac:dyDescent="0.25">
      <c r="A83" s="30" t="s">
        <v>374</v>
      </c>
      <c r="B83" s="1" t="s">
        <v>127</v>
      </c>
      <c r="C83" s="1" t="str">
        <f>VLOOKUP(Tabelle58971115[[#This Row],[Prozess]],Tabelle22333[],3,FALSE)</f>
        <v>CollingWater_ComInd</v>
      </c>
      <c r="D83" s="1">
        <v>2020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M83" s="19"/>
      <c r="N83" s="19">
        <v>451</v>
      </c>
      <c r="O83" s="19"/>
      <c r="P83" s="19">
        <v>451</v>
      </c>
      <c r="Q83" s="9"/>
      <c r="R83" s="9">
        <v>0.9</v>
      </c>
      <c r="S83" s="9">
        <v>0.9</v>
      </c>
      <c r="T83" s="9"/>
      <c r="U8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3" s="9"/>
      <c r="W83" s="40">
        <v>0.95499999999999996</v>
      </c>
      <c r="X83" s="40">
        <v>0.98</v>
      </c>
      <c r="Y83" s="9"/>
      <c r="Z83" s="1">
        <v>2</v>
      </c>
      <c r="AC83" s="1">
        <v>2</v>
      </c>
      <c r="AD83" s="1">
        <v>2</v>
      </c>
      <c r="AE83" s="1">
        <v>6</v>
      </c>
      <c r="AF83" s="1">
        <v>2</v>
      </c>
      <c r="AG83" s="1">
        <v>8</v>
      </c>
      <c r="AH83" s="1" t="s">
        <v>377</v>
      </c>
      <c r="AI83" s="1" t="s">
        <v>274</v>
      </c>
      <c r="AJ83" s="1">
        <f t="shared" si="6"/>
        <v>4</v>
      </c>
      <c r="AK83" s="1">
        <v>1095</v>
      </c>
      <c r="AM83" s="19">
        <f>5*Umrechnungsfaktoren!$B$15/Umrechnungsfaktoren!$B$12</f>
        <v>5.19</v>
      </c>
      <c r="AN83" s="3">
        <f>20*Umrechnungsfaktoren!$B$15/Umrechnungsfaktoren!$B$11</f>
        <v>20.864321608040203</v>
      </c>
      <c r="AO83" s="3"/>
      <c r="AP83" s="8">
        <f>0.03*Tabelle58971115[[#This Row],[Investitionsausgaben €_2020/kW]]</f>
        <v>0.15570000000000001</v>
      </c>
      <c r="AQ83" s="8"/>
      <c r="AR83" s="7">
        <v>0.31</v>
      </c>
      <c r="AS83" s="1" t="s">
        <v>384</v>
      </c>
      <c r="AT83" s="1" t="s">
        <v>479</v>
      </c>
      <c r="AU83" s="1" t="s">
        <v>479</v>
      </c>
      <c r="AV83" s="1" t="s">
        <v>479</v>
      </c>
      <c r="AX83" s="13" t="s">
        <v>470</v>
      </c>
      <c r="AY83" s="13" t="s">
        <v>470</v>
      </c>
      <c r="AZ83" s="13"/>
      <c r="BA83" s="13" t="s">
        <v>468</v>
      </c>
      <c r="BB83" s="13" t="s">
        <v>468</v>
      </c>
      <c r="BC83" s="13" t="s">
        <v>496</v>
      </c>
      <c r="BD83" s="1" t="s">
        <v>474</v>
      </c>
      <c r="BE83" s="1" t="s">
        <v>474</v>
      </c>
      <c r="BF83" s="1" t="s">
        <v>473</v>
      </c>
      <c r="BG83" s="1" t="s">
        <v>465</v>
      </c>
      <c r="BH83" s="1" t="s">
        <v>504</v>
      </c>
      <c r="BI83" s="1" t="s">
        <v>499</v>
      </c>
      <c r="BJ83" s="1" t="s">
        <v>500</v>
      </c>
      <c r="BK83" s="1" t="s">
        <v>499</v>
      </c>
      <c r="BL83" s="1" t="s">
        <v>499</v>
      </c>
    </row>
    <row r="84" spans="1:65" hidden="1" x14ac:dyDescent="0.25">
      <c r="A84" s="30" t="s">
        <v>374</v>
      </c>
      <c r="B84" s="1" t="s">
        <v>127</v>
      </c>
      <c r="C84" s="1" t="str">
        <f>VLOOKUP(Tabelle58971115[[#This Row],[Prozess]],Tabelle22333[],3,FALSE)</f>
        <v>CollingWater_ComInd</v>
      </c>
      <c r="D84" s="1">
        <v>2030</v>
      </c>
      <c r="E84" s="1">
        <v>1</v>
      </c>
      <c r="F84" s="1">
        <v>0</v>
      </c>
      <c r="G84" s="1">
        <v>0</v>
      </c>
      <c r="H84" s="1">
        <v>1</v>
      </c>
      <c r="I84" s="1">
        <v>1</v>
      </c>
      <c r="M84" s="19"/>
      <c r="N84" s="19">
        <v>465</v>
      </c>
      <c r="O84" s="19"/>
      <c r="P84" s="19">
        <v>465</v>
      </c>
      <c r="Q84" s="9"/>
      <c r="R84" s="9">
        <v>0.9</v>
      </c>
      <c r="S84" s="9">
        <v>0.9</v>
      </c>
      <c r="T84" s="9"/>
      <c r="U8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4" s="9"/>
      <c r="W84" s="40">
        <v>0.95499999999999996</v>
      </c>
      <c r="X84" s="40">
        <v>0.98</v>
      </c>
      <c r="Y84" s="9"/>
      <c r="Z84" s="1">
        <v>2</v>
      </c>
      <c r="AC84" s="1">
        <v>2</v>
      </c>
      <c r="AD84" s="1">
        <v>2</v>
      </c>
      <c r="AE84" s="1">
        <v>6</v>
      </c>
      <c r="AF84" s="1">
        <v>2</v>
      </c>
      <c r="AG84" s="1">
        <v>8</v>
      </c>
      <c r="AH84" s="1" t="s">
        <v>377</v>
      </c>
      <c r="AI84" s="1" t="s">
        <v>274</v>
      </c>
      <c r="AJ84" s="1">
        <f t="shared" si="6"/>
        <v>4</v>
      </c>
      <c r="AK84" s="1">
        <v>1095</v>
      </c>
      <c r="AM84" s="19">
        <f>5*Umrechnungsfaktoren!$B$15/Umrechnungsfaktoren!$B$12</f>
        <v>5.19</v>
      </c>
      <c r="AN84" s="3">
        <f>20*Umrechnungsfaktoren!$B$15/Umrechnungsfaktoren!$B$11</f>
        <v>20.864321608040203</v>
      </c>
      <c r="AO84" s="3"/>
      <c r="AP84" s="8">
        <f>0.03*Tabelle58971115[[#This Row],[Investitionsausgaben €_2020/kW]]</f>
        <v>0.15570000000000001</v>
      </c>
      <c r="AQ84" s="8"/>
      <c r="AR84" s="7">
        <v>0.31</v>
      </c>
      <c r="AS84" s="1" t="s">
        <v>384</v>
      </c>
      <c r="AT84" s="1" t="s">
        <v>479</v>
      </c>
      <c r="AU84" s="1" t="s">
        <v>479</v>
      </c>
      <c r="AV84" s="1" t="s">
        <v>479</v>
      </c>
      <c r="AX84" s="13" t="s">
        <v>471</v>
      </c>
      <c r="AY84" s="13" t="s">
        <v>471</v>
      </c>
      <c r="AZ84" s="13"/>
      <c r="BA84" s="13" t="s">
        <v>468</v>
      </c>
      <c r="BB84" s="13" t="s">
        <v>468</v>
      </c>
      <c r="BC84" s="13" t="s">
        <v>496</v>
      </c>
      <c r="BD84" s="1" t="s">
        <v>474</v>
      </c>
      <c r="BE84" s="1" t="s">
        <v>474</v>
      </c>
      <c r="BF84" s="1" t="s">
        <v>473</v>
      </c>
      <c r="BG84" s="1" t="s">
        <v>465</v>
      </c>
      <c r="BH84" s="1" t="s">
        <v>504</v>
      </c>
      <c r="BI84" s="1" t="s">
        <v>499</v>
      </c>
      <c r="BJ84" s="1" t="s">
        <v>500</v>
      </c>
      <c r="BK84" s="1" t="s">
        <v>499</v>
      </c>
      <c r="BL84" s="1" t="s">
        <v>499</v>
      </c>
    </row>
    <row r="85" spans="1:65" hidden="1" x14ac:dyDescent="0.25">
      <c r="A85" s="30" t="s">
        <v>374</v>
      </c>
      <c r="B85" s="1" t="s">
        <v>127</v>
      </c>
      <c r="C85" s="1" t="str">
        <f>VLOOKUP(Tabelle58971115[[#This Row],[Prozess]],Tabelle22333[],3,FALSE)</f>
        <v>CollingWater_ComInd</v>
      </c>
      <c r="D85" s="1">
        <v>2050</v>
      </c>
      <c r="E85" s="1">
        <v>1</v>
      </c>
      <c r="F85" s="1">
        <v>0</v>
      </c>
      <c r="G85" s="1">
        <v>0</v>
      </c>
      <c r="H85" s="1">
        <v>1</v>
      </c>
      <c r="I85" s="1">
        <v>1</v>
      </c>
      <c r="M85" s="19"/>
      <c r="N85" s="19">
        <v>406</v>
      </c>
      <c r="O85" s="19"/>
      <c r="P85" s="19">
        <v>406</v>
      </c>
      <c r="Q85" s="9"/>
      <c r="R85" s="9">
        <v>0.9</v>
      </c>
      <c r="S85" s="9">
        <v>0.9</v>
      </c>
      <c r="T85" s="9"/>
      <c r="U8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5" s="9"/>
      <c r="W85" s="40">
        <v>0.95499999999999996</v>
      </c>
      <c r="X85" s="40">
        <v>0.98</v>
      </c>
      <c r="Y85" s="9"/>
      <c r="Z85" s="1">
        <v>2</v>
      </c>
      <c r="AC85" s="1">
        <v>2</v>
      </c>
      <c r="AD85" s="1">
        <v>2</v>
      </c>
      <c r="AE85" s="1">
        <v>6</v>
      </c>
      <c r="AF85" s="1">
        <v>2</v>
      </c>
      <c r="AG85" s="1">
        <v>8</v>
      </c>
      <c r="AH85" s="1" t="s">
        <v>377</v>
      </c>
      <c r="AI85" s="1" t="s">
        <v>274</v>
      </c>
      <c r="AJ85" s="1">
        <f t="shared" si="6"/>
        <v>4</v>
      </c>
      <c r="AK85" s="1">
        <v>1095</v>
      </c>
      <c r="AM85" s="19">
        <f>5*Umrechnungsfaktoren!$B$15/Umrechnungsfaktoren!$B$12</f>
        <v>5.19</v>
      </c>
      <c r="AN85" s="3">
        <f>20*Umrechnungsfaktoren!$B$15/Umrechnungsfaktoren!$B$11</f>
        <v>20.864321608040203</v>
      </c>
      <c r="AO85" s="3"/>
      <c r="AP85" s="8">
        <f>0.03*Tabelle58971115[[#This Row],[Investitionsausgaben €_2020/kW]]</f>
        <v>0.15570000000000001</v>
      </c>
      <c r="AQ85" s="8"/>
      <c r="AR85" s="7">
        <v>0.31</v>
      </c>
      <c r="AS85" s="1" t="s">
        <v>384</v>
      </c>
      <c r="AT85" s="1" t="s">
        <v>479</v>
      </c>
      <c r="AU85" s="1" t="s">
        <v>479</v>
      </c>
      <c r="AV85" s="1" t="s">
        <v>479</v>
      </c>
      <c r="AX85" s="13" t="s">
        <v>472</v>
      </c>
      <c r="AY85" s="13" t="s">
        <v>472</v>
      </c>
      <c r="AZ85" s="13"/>
      <c r="BA85" s="13" t="s">
        <v>468</v>
      </c>
      <c r="BB85" s="13" t="s">
        <v>468</v>
      </c>
      <c r="BC85" s="13" t="s">
        <v>496</v>
      </c>
      <c r="BD85" s="1" t="s">
        <v>474</v>
      </c>
      <c r="BE85" s="1" t="s">
        <v>474</v>
      </c>
      <c r="BF85" s="1" t="s">
        <v>473</v>
      </c>
      <c r="BG85" s="1" t="s">
        <v>465</v>
      </c>
      <c r="BH85" s="1" t="s">
        <v>504</v>
      </c>
      <c r="BI85" s="1" t="s">
        <v>499</v>
      </c>
      <c r="BJ85" s="1" t="s">
        <v>500</v>
      </c>
      <c r="BK85" s="1" t="s">
        <v>499</v>
      </c>
      <c r="BL85" s="1" t="s">
        <v>499</v>
      </c>
    </row>
    <row r="86" spans="1:65" x14ac:dyDescent="0.25">
      <c r="A86" s="1" t="s">
        <v>221</v>
      </c>
      <c r="B86" s="1" t="s">
        <v>127</v>
      </c>
      <c r="C86" s="1" t="str">
        <f>VLOOKUP(Tabelle58971115[[#This Row],[Prozess]],Tabelle22333[],3,FALSE)</f>
        <v>CollingWater_ComInd</v>
      </c>
      <c r="D86" s="1">
        <v>2010</v>
      </c>
      <c r="E86" s="1">
        <v>1</v>
      </c>
      <c r="F86" s="1">
        <v>0</v>
      </c>
      <c r="G86" s="1">
        <v>0</v>
      </c>
      <c r="H86" s="1">
        <v>1</v>
      </c>
      <c r="I86" s="1">
        <v>1</v>
      </c>
      <c r="M86" s="19"/>
      <c r="N86" s="19">
        <v>93</v>
      </c>
      <c r="O86" s="19"/>
      <c r="P86" s="19">
        <v>125</v>
      </c>
      <c r="Q86" s="9"/>
      <c r="R86" s="9"/>
      <c r="S86" s="9"/>
      <c r="T86" s="9">
        <f>5694/8760</f>
        <v>0.65</v>
      </c>
      <c r="U8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6" s="9"/>
      <c r="W86" s="40">
        <v>0.95499999999999996</v>
      </c>
      <c r="X86" s="40">
        <v>0.98</v>
      </c>
      <c r="Y86" s="9"/>
      <c r="Z86" s="1">
        <v>2</v>
      </c>
      <c r="AC86" s="1">
        <v>2</v>
      </c>
      <c r="AD86" s="1">
        <v>2</v>
      </c>
      <c r="AE86" s="1">
        <v>6</v>
      </c>
      <c r="AF86" s="1">
        <v>2</v>
      </c>
      <c r="AG86" s="1">
        <v>8</v>
      </c>
      <c r="AH86" s="1" t="s">
        <v>368</v>
      </c>
      <c r="AI86" s="1" t="s">
        <v>274</v>
      </c>
      <c r="AJ86" s="1">
        <f t="shared" si="6"/>
        <v>4</v>
      </c>
      <c r="AK86" s="1">
        <v>1095</v>
      </c>
      <c r="AM86" s="19">
        <f>5*Umrechnungsfaktoren!$B$15/Umrechnungsfaktoren!$B$12</f>
        <v>5.19</v>
      </c>
      <c r="AN86" s="3">
        <f>20*Umrechnungsfaktoren!$B$15/Umrechnungsfaktoren!$B$11</f>
        <v>20.864321608040203</v>
      </c>
      <c r="AO86" s="3"/>
      <c r="AP86" s="8">
        <f>0.03*Tabelle58971115[[#This Row],[Investitionsausgaben €_2020/kW]]</f>
        <v>0.15570000000000001</v>
      </c>
      <c r="AQ86" s="8"/>
      <c r="AR86" s="7">
        <v>0.31</v>
      </c>
      <c r="AT86" s="1" t="s">
        <v>479</v>
      </c>
      <c r="AU86" s="1" t="s">
        <v>479</v>
      </c>
      <c r="AV86" s="1" t="s">
        <v>479</v>
      </c>
      <c r="AX86" s="13" t="s">
        <v>476</v>
      </c>
      <c r="AY86" s="13" t="s">
        <v>477</v>
      </c>
      <c r="AZ86" s="13"/>
      <c r="BA86" s="13" t="s">
        <v>468</v>
      </c>
      <c r="BB86" s="13" t="s">
        <v>468</v>
      </c>
      <c r="BC86" s="13" t="s">
        <v>496</v>
      </c>
      <c r="BD86" s="1" t="s">
        <v>474</v>
      </c>
      <c r="BE86" s="1" t="s">
        <v>474</v>
      </c>
      <c r="BF86" s="1" t="s">
        <v>473</v>
      </c>
      <c r="BG86" s="1" t="s">
        <v>465</v>
      </c>
      <c r="BH86" s="1" t="s">
        <v>504</v>
      </c>
      <c r="BI86" s="1" t="s">
        <v>499</v>
      </c>
      <c r="BJ86" s="1" t="s">
        <v>500</v>
      </c>
      <c r="BK86" s="1" t="s">
        <v>499</v>
      </c>
      <c r="BL86" s="1" t="s">
        <v>499</v>
      </c>
    </row>
    <row r="87" spans="1:65" hidden="1" x14ac:dyDescent="0.25">
      <c r="A87" s="1" t="s">
        <v>221</v>
      </c>
      <c r="B87" s="1" t="s">
        <v>127</v>
      </c>
      <c r="C87" s="1" t="str">
        <f>VLOOKUP(Tabelle58971115[[#This Row],[Prozess]],Tabelle22333[],3,FALSE)</f>
        <v>CollingWater_ComInd</v>
      </c>
      <c r="D87" s="1">
        <v>2020</v>
      </c>
      <c r="E87" s="1">
        <v>1</v>
      </c>
      <c r="F87" s="1">
        <v>0</v>
      </c>
      <c r="G87" s="1">
        <v>0</v>
      </c>
      <c r="H87" s="1">
        <v>1</v>
      </c>
      <c r="I87" s="1">
        <v>1</v>
      </c>
      <c r="M87" s="19"/>
      <c r="N87" s="19">
        <v>100</v>
      </c>
      <c r="O87" s="19"/>
      <c r="P87" s="19">
        <v>135</v>
      </c>
      <c r="Q87" s="9"/>
      <c r="R87" s="9">
        <v>0.2</v>
      </c>
      <c r="S87" s="9">
        <v>0.5</v>
      </c>
      <c r="T87" s="9"/>
      <c r="U8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7" s="9"/>
      <c r="W87" s="40">
        <v>0.95499999999999996</v>
      </c>
      <c r="X87" s="40">
        <v>0.98</v>
      </c>
      <c r="Y87" s="9"/>
      <c r="Z87" s="1">
        <v>2</v>
      </c>
      <c r="AC87" s="1">
        <v>2</v>
      </c>
      <c r="AD87" s="1">
        <v>2</v>
      </c>
      <c r="AE87" s="1">
        <v>6</v>
      </c>
      <c r="AF87" s="1">
        <v>2</v>
      </c>
      <c r="AG87" s="1">
        <v>8</v>
      </c>
      <c r="AH87" s="1" t="s">
        <v>368</v>
      </c>
      <c r="AI87" s="1" t="s">
        <v>274</v>
      </c>
      <c r="AJ87" s="1">
        <f t="shared" si="6"/>
        <v>4</v>
      </c>
      <c r="AK87" s="1">
        <v>1095</v>
      </c>
      <c r="AM87" s="19">
        <f>5*Umrechnungsfaktoren!$B$15/Umrechnungsfaktoren!$B$12</f>
        <v>5.19</v>
      </c>
      <c r="AN87" s="3">
        <f>20*Umrechnungsfaktoren!$B$15/Umrechnungsfaktoren!$B$11</f>
        <v>20.864321608040203</v>
      </c>
      <c r="AO87" s="3"/>
      <c r="AP87" s="8">
        <f>0.03*Tabelle58971115[[#This Row],[Investitionsausgaben €_2020/kW]]</f>
        <v>0.15570000000000001</v>
      </c>
      <c r="AQ87" s="8"/>
      <c r="AR87" s="7">
        <v>0.31</v>
      </c>
      <c r="AT87" s="1" t="s">
        <v>479</v>
      </c>
      <c r="AU87" s="1" t="s">
        <v>479</v>
      </c>
      <c r="AV87" s="1" t="s">
        <v>479</v>
      </c>
      <c r="AX87" s="13" t="s">
        <v>470</v>
      </c>
      <c r="AY87" s="13" t="s">
        <v>470</v>
      </c>
      <c r="AZ87" s="13"/>
      <c r="BA87" s="13" t="s">
        <v>468</v>
      </c>
      <c r="BB87" s="13" t="s">
        <v>468</v>
      </c>
      <c r="BC87" s="13" t="s">
        <v>496</v>
      </c>
      <c r="BD87" s="1" t="s">
        <v>474</v>
      </c>
      <c r="BE87" s="1" t="s">
        <v>474</v>
      </c>
      <c r="BF87" s="1" t="s">
        <v>473</v>
      </c>
      <c r="BG87" s="1" t="s">
        <v>465</v>
      </c>
      <c r="BH87" s="1" t="s">
        <v>504</v>
      </c>
      <c r="BI87" s="1" t="s">
        <v>499</v>
      </c>
      <c r="BJ87" s="1" t="s">
        <v>500</v>
      </c>
      <c r="BK87" s="1" t="s">
        <v>499</v>
      </c>
      <c r="BL87" s="1" t="s">
        <v>499</v>
      </c>
    </row>
    <row r="88" spans="1:65" hidden="1" x14ac:dyDescent="0.25">
      <c r="A88" s="1" t="s">
        <v>221</v>
      </c>
      <c r="B88" s="1" t="s">
        <v>127</v>
      </c>
      <c r="C88" s="1" t="str">
        <f>VLOOKUP(Tabelle58971115[[#This Row],[Prozess]],Tabelle22333[],3,FALSE)</f>
        <v>CollingWater_ComInd</v>
      </c>
      <c r="D88" s="1">
        <v>2030</v>
      </c>
      <c r="E88" s="1">
        <v>1</v>
      </c>
      <c r="F88" s="1">
        <v>0</v>
      </c>
      <c r="G88" s="1">
        <v>0</v>
      </c>
      <c r="H88" s="1">
        <v>1</v>
      </c>
      <c r="I88" s="1">
        <v>1</v>
      </c>
      <c r="M88" s="19"/>
      <c r="N88" s="19">
        <v>103</v>
      </c>
      <c r="O88" s="19"/>
      <c r="P88" s="19">
        <v>139</v>
      </c>
      <c r="Q88" s="9"/>
      <c r="R88" s="9">
        <v>0.2</v>
      </c>
      <c r="S88" s="9">
        <v>0.5</v>
      </c>
      <c r="T88" s="9"/>
      <c r="U8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8" s="9"/>
      <c r="W88" s="40">
        <v>0.95499999999999996</v>
      </c>
      <c r="X88" s="40">
        <v>0.98</v>
      </c>
      <c r="Y88" s="9"/>
      <c r="Z88" s="1">
        <v>2</v>
      </c>
      <c r="AC88" s="1">
        <v>2</v>
      </c>
      <c r="AD88" s="1">
        <v>2</v>
      </c>
      <c r="AE88" s="1">
        <v>6</v>
      </c>
      <c r="AF88" s="1">
        <v>2</v>
      </c>
      <c r="AG88" s="1">
        <v>8</v>
      </c>
      <c r="AH88" s="1" t="s">
        <v>368</v>
      </c>
      <c r="AI88" s="1" t="s">
        <v>274</v>
      </c>
      <c r="AJ88" s="1">
        <f t="shared" si="6"/>
        <v>4</v>
      </c>
      <c r="AK88" s="1">
        <v>1095</v>
      </c>
      <c r="AM88" s="19">
        <f>5*Umrechnungsfaktoren!$B$15/Umrechnungsfaktoren!$B$12</f>
        <v>5.19</v>
      </c>
      <c r="AN88" s="3">
        <f>20*Umrechnungsfaktoren!$B$15/Umrechnungsfaktoren!$B$11</f>
        <v>20.864321608040203</v>
      </c>
      <c r="AO88" s="3"/>
      <c r="AP88" s="8">
        <f>0.03*Tabelle58971115[[#This Row],[Investitionsausgaben €_2020/kW]]</f>
        <v>0.15570000000000001</v>
      </c>
      <c r="AQ88" s="8"/>
      <c r="AR88" s="7">
        <v>0.31</v>
      </c>
      <c r="AT88" s="1" t="s">
        <v>479</v>
      </c>
      <c r="AU88" s="1" t="s">
        <v>479</v>
      </c>
      <c r="AV88" s="1" t="s">
        <v>479</v>
      </c>
      <c r="AX88" s="13" t="s">
        <v>471</v>
      </c>
      <c r="AY88" s="13" t="s">
        <v>471</v>
      </c>
      <c r="AZ88" s="13"/>
      <c r="BA88" s="13" t="s">
        <v>468</v>
      </c>
      <c r="BB88" s="13" t="s">
        <v>468</v>
      </c>
      <c r="BC88" s="13" t="s">
        <v>496</v>
      </c>
      <c r="BD88" s="1" t="s">
        <v>474</v>
      </c>
      <c r="BE88" s="1" t="s">
        <v>474</v>
      </c>
      <c r="BF88" s="1" t="s">
        <v>473</v>
      </c>
      <c r="BG88" s="1" t="s">
        <v>465</v>
      </c>
      <c r="BH88" s="1" t="s">
        <v>504</v>
      </c>
      <c r="BI88" s="1" t="s">
        <v>499</v>
      </c>
      <c r="BJ88" s="1" t="s">
        <v>500</v>
      </c>
      <c r="BK88" s="1" t="s">
        <v>499</v>
      </c>
      <c r="BL88" s="1" t="s">
        <v>499</v>
      </c>
    </row>
    <row r="89" spans="1:65" hidden="1" x14ac:dyDescent="0.25">
      <c r="A89" s="1" t="s">
        <v>221</v>
      </c>
      <c r="B89" s="1" t="s">
        <v>127</v>
      </c>
      <c r="C89" s="1" t="str">
        <f>VLOOKUP(Tabelle58971115[[#This Row],[Prozess]],Tabelle22333[],3,FALSE)</f>
        <v>CollingWater_ComInd</v>
      </c>
      <c r="D89" s="1">
        <v>2050</v>
      </c>
      <c r="E89" s="1">
        <v>1</v>
      </c>
      <c r="F89" s="1">
        <v>0</v>
      </c>
      <c r="G89" s="1">
        <v>0</v>
      </c>
      <c r="H89" s="1">
        <v>1</v>
      </c>
      <c r="I89" s="1">
        <v>1</v>
      </c>
      <c r="M89" s="19"/>
      <c r="N89" s="19">
        <v>90</v>
      </c>
      <c r="O89" s="19"/>
      <c r="P89" s="19">
        <v>121</v>
      </c>
      <c r="Q89" s="9"/>
      <c r="R89" s="9">
        <v>0.2</v>
      </c>
      <c r="S89" s="9">
        <v>0.5</v>
      </c>
      <c r="T89" s="9"/>
      <c r="U8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9" s="9"/>
      <c r="W89" s="40">
        <v>0.95499999999999996</v>
      </c>
      <c r="X89" s="40">
        <v>0.98</v>
      </c>
      <c r="Y89" s="9"/>
      <c r="Z89" s="1">
        <v>2</v>
      </c>
      <c r="AC89" s="1">
        <v>2</v>
      </c>
      <c r="AD89" s="1">
        <v>2</v>
      </c>
      <c r="AE89" s="1">
        <v>6</v>
      </c>
      <c r="AF89" s="1">
        <v>2</v>
      </c>
      <c r="AG89" s="1">
        <v>8</v>
      </c>
      <c r="AH89" s="1" t="s">
        <v>368</v>
      </c>
      <c r="AI89" s="1" t="s">
        <v>274</v>
      </c>
      <c r="AJ89" s="1">
        <f t="shared" si="6"/>
        <v>4</v>
      </c>
      <c r="AK89" s="1">
        <v>1095</v>
      </c>
      <c r="AM89" s="19">
        <f>5*Umrechnungsfaktoren!$B$15/Umrechnungsfaktoren!$B$12</f>
        <v>5.19</v>
      </c>
      <c r="AN89" s="3">
        <f>20*Umrechnungsfaktoren!$B$15/Umrechnungsfaktoren!$B$11</f>
        <v>20.864321608040203</v>
      </c>
      <c r="AO89" s="3"/>
      <c r="AP89" s="8">
        <f>0.03*Tabelle58971115[[#This Row],[Investitionsausgaben €_2020/kW]]</f>
        <v>0.15570000000000001</v>
      </c>
      <c r="AQ89" s="8"/>
      <c r="AR89" s="7">
        <v>0.31</v>
      </c>
      <c r="AT89" s="1" t="s">
        <v>479</v>
      </c>
      <c r="AU89" s="1" t="s">
        <v>479</v>
      </c>
      <c r="AV89" s="1" t="s">
        <v>479</v>
      </c>
      <c r="AX89" s="13" t="s">
        <v>472</v>
      </c>
      <c r="AY89" s="13" t="s">
        <v>472</v>
      </c>
      <c r="AZ89" s="13"/>
      <c r="BA89" s="13" t="s">
        <v>468</v>
      </c>
      <c r="BB89" s="13" t="s">
        <v>468</v>
      </c>
      <c r="BC89" s="13" t="s">
        <v>496</v>
      </c>
      <c r="BD89" s="1" t="s">
        <v>474</v>
      </c>
      <c r="BE89" s="1" t="s">
        <v>474</v>
      </c>
      <c r="BF89" s="1" t="s">
        <v>473</v>
      </c>
      <c r="BG89" s="1" t="s">
        <v>465</v>
      </c>
      <c r="BH89" s="1" t="s">
        <v>504</v>
      </c>
      <c r="BI89" s="1" t="s">
        <v>499</v>
      </c>
      <c r="BJ89" s="1" t="s">
        <v>500</v>
      </c>
      <c r="BK89" s="1" t="s">
        <v>499</v>
      </c>
      <c r="BL89" s="1" t="s">
        <v>499</v>
      </c>
    </row>
    <row r="90" spans="1:65" x14ac:dyDescent="0.25">
      <c r="A90" s="30" t="s">
        <v>362</v>
      </c>
      <c r="B90" s="30" t="s">
        <v>139</v>
      </c>
      <c r="C90" s="1" t="s">
        <v>494</v>
      </c>
      <c r="D90" s="1">
        <v>2010</v>
      </c>
      <c r="E90" s="30">
        <v>1</v>
      </c>
      <c r="F90" s="30">
        <v>0</v>
      </c>
      <c r="G90" s="1">
        <v>0</v>
      </c>
      <c r="H90" s="1">
        <v>0</v>
      </c>
      <c r="I90" s="1">
        <v>1</v>
      </c>
      <c r="J90" s="1">
        <v>0.36118499999999992</v>
      </c>
      <c r="M90" s="31"/>
      <c r="N90" s="31">
        <v>32</v>
      </c>
      <c r="O90" s="31"/>
      <c r="P90" s="31">
        <v>985</v>
      </c>
      <c r="Q90" s="9"/>
      <c r="R90" s="33"/>
      <c r="S90" s="33"/>
      <c r="T90" s="9"/>
      <c r="U9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0" s="9"/>
      <c r="W90" s="9"/>
      <c r="X90" s="9"/>
      <c r="Y90" s="9">
        <v>0.97</v>
      </c>
      <c r="Z90" s="1">
        <v>1</v>
      </c>
      <c r="AB90" s="30"/>
      <c r="AC90" s="1">
        <v>1</v>
      </c>
      <c r="AD90" s="30"/>
      <c r="AE90" s="30"/>
      <c r="AF90" s="1">
        <v>2</v>
      </c>
      <c r="AG90" s="1">
        <v>4</v>
      </c>
      <c r="AH90" s="1" t="s">
        <v>377</v>
      </c>
      <c r="AI90" s="1" t="s">
        <v>274</v>
      </c>
      <c r="AJ90" s="1">
        <f>4/1</f>
        <v>4</v>
      </c>
      <c r="AK90" s="1">
        <v>1095</v>
      </c>
      <c r="AM90" s="31">
        <f>250*Umrechnungsfaktoren!$B$15/Umrechnungsfaktoren!$B$12</f>
        <v>259.5</v>
      </c>
      <c r="AN90" s="8">
        <f>10*Umrechnungsfaktoren!$B$15/Umrechnungsfaktoren!$B$12</f>
        <v>10.38</v>
      </c>
      <c r="AO90" s="8"/>
      <c r="AP90" s="34"/>
      <c r="AQ90" s="34">
        <f>0.03*Tabelle58971115[[#This Row],[Investitionsausgaben €_2020/kW]]</f>
        <v>7.7850000000000001</v>
      </c>
      <c r="AR90" s="45">
        <v>0.09</v>
      </c>
      <c r="AS90" s="30"/>
      <c r="AT90" s="1" t="s">
        <v>479</v>
      </c>
      <c r="AU90" s="1" t="s">
        <v>479</v>
      </c>
      <c r="AV90" s="1" t="s">
        <v>479</v>
      </c>
      <c r="AW90" s="1" t="s">
        <v>493</v>
      </c>
      <c r="AX90" s="13" t="s">
        <v>476</v>
      </c>
      <c r="AY90" s="13" t="s">
        <v>477</v>
      </c>
      <c r="AZ90" s="35"/>
      <c r="BA90" s="13" t="s">
        <v>468</v>
      </c>
      <c r="BB90" s="13" t="s">
        <v>468</v>
      </c>
      <c r="BC90" s="13" t="s">
        <v>496</v>
      </c>
      <c r="BD90" s="1" t="s">
        <v>474</v>
      </c>
      <c r="BE90" s="1" t="s">
        <v>474</v>
      </c>
      <c r="BF90" s="1" t="s">
        <v>473</v>
      </c>
      <c r="BG90" s="1" t="s">
        <v>465</v>
      </c>
      <c r="BH90" s="1" t="s">
        <v>504</v>
      </c>
      <c r="BI90" s="1" t="s">
        <v>499</v>
      </c>
      <c r="BJ90" s="1" t="s">
        <v>500</v>
      </c>
      <c r="BK90" s="1" t="s">
        <v>499</v>
      </c>
      <c r="BL90" s="1" t="s">
        <v>499</v>
      </c>
      <c r="BM90" s="30"/>
    </row>
    <row r="91" spans="1:65" hidden="1" x14ac:dyDescent="0.25">
      <c r="A91" s="30" t="s">
        <v>362</v>
      </c>
      <c r="B91" s="30" t="s">
        <v>139</v>
      </c>
      <c r="C91" s="1" t="s">
        <v>494</v>
      </c>
      <c r="D91" s="1">
        <v>2020</v>
      </c>
      <c r="E91" s="30">
        <v>1</v>
      </c>
      <c r="F91" s="30">
        <v>0</v>
      </c>
      <c r="G91" s="1">
        <v>0</v>
      </c>
      <c r="H91" s="1">
        <v>0</v>
      </c>
      <c r="I91" s="1">
        <v>1</v>
      </c>
      <c r="J91" s="1">
        <v>0.70016519999999993</v>
      </c>
      <c r="M91" s="31">
        <v>18</v>
      </c>
      <c r="N91" s="31">
        <v>18</v>
      </c>
      <c r="O91" s="31"/>
      <c r="P91" s="31">
        <v>2160</v>
      </c>
      <c r="Q91" s="9"/>
      <c r="R91" s="33">
        <v>0.25</v>
      </c>
      <c r="S91" s="33">
        <v>1</v>
      </c>
      <c r="T91" s="9">
        <f>287/8760</f>
        <v>3.276255707762557E-2</v>
      </c>
      <c r="U9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1" s="9"/>
      <c r="W91" s="9"/>
      <c r="X91" s="9"/>
      <c r="Y91" s="9">
        <v>0.97</v>
      </c>
      <c r="Z91" s="1">
        <v>1</v>
      </c>
      <c r="AB91" s="30"/>
      <c r="AC91" s="1">
        <v>1</v>
      </c>
      <c r="AD91" s="30"/>
      <c r="AE91" s="30"/>
      <c r="AF91" s="1">
        <v>2</v>
      </c>
      <c r="AG91" s="1">
        <v>4</v>
      </c>
      <c r="AH91" s="1" t="s">
        <v>377</v>
      </c>
      <c r="AI91" s="1" t="s">
        <v>274</v>
      </c>
      <c r="AJ91" s="1">
        <f t="shared" ref="AJ91:AJ97" si="7">4/1</f>
        <v>4</v>
      </c>
      <c r="AK91" s="1">
        <v>1095</v>
      </c>
      <c r="AM91" s="31">
        <f>250*Umrechnungsfaktoren!$B$15/Umrechnungsfaktoren!$B$12</f>
        <v>259.5</v>
      </c>
      <c r="AN91" s="8">
        <f>10*Umrechnungsfaktoren!$B$15/Umrechnungsfaktoren!$B$12</f>
        <v>10.38</v>
      </c>
      <c r="AO91" s="8"/>
      <c r="AP91" s="34"/>
      <c r="AQ91" s="34">
        <f>0.03*Tabelle58971115[[#This Row],[Investitionsausgaben €_2020/kW]]</f>
        <v>7.7850000000000001</v>
      </c>
      <c r="AR91" s="45">
        <v>0.09</v>
      </c>
      <c r="AS91" s="30"/>
      <c r="AT91" s="1" t="s">
        <v>479</v>
      </c>
      <c r="AU91" s="1" t="s">
        <v>479</v>
      </c>
      <c r="AV91" s="1" t="s">
        <v>479</v>
      </c>
      <c r="AW91" s="1" t="s">
        <v>493</v>
      </c>
      <c r="AX91" s="13" t="s">
        <v>470</v>
      </c>
      <c r="AY91" s="13" t="s">
        <v>470</v>
      </c>
      <c r="AZ91" s="35"/>
      <c r="BA91" s="13" t="s">
        <v>468</v>
      </c>
      <c r="BB91" s="35">
        <v>157</v>
      </c>
      <c r="BC91" s="13" t="s">
        <v>496</v>
      </c>
      <c r="BD91" s="1" t="s">
        <v>474</v>
      </c>
      <c r="BE91" s="1" t="s">
        <v>474</v>
      </c>
      <c r="BF91" s="1" t="s">
        <v>473</v>
      </c>
      <c r="BG91" s="1" t="s">
        <v>465</v>
      </c>
      <c r="BH91" s="1" t="s">
        <v>504</v>
      </c>
      <c r="BI91" s="1" t="s">
        <v>499</v>
      </c>
      <c r="BJ91" s="1" t="s">
        <v>500</v>
      </c>
      <c r="BK91" s="1" t="s">
        <v>499</v>
      </c>
      <c r="BL91" s="1" t="s">
        <v>499</v>
      </c>
      <c r="BM91" s="30"/>
    </row>
    <row r="92" spans="1:65" hidden="1" x14ac:dyDescent="0.25">
      <c r="A92" s="30" t="s">
        <v>362</v>
      </c>
      <c r="B92" s="30" t="s">
        <v>139</v>
      </c>
      <c r="C92" s="1" t="s">
        <v>494</v>
      </c>
      <c r="D92" s="1">
        <v>2030</v>
      </c>
      <c r="E92" s="30">
        <v>1</v>
      </c>
      <c r="F92" s="30">
        <v>0</v>
      </c>
      <c r="G92" s="1">
        <v>0</v>
      </c>
      <c r="H92" s="1">
        <v>0</v>
      </c>
      <c r="I92" s="1">
        <v>1</v>
      </c>
      <c r="J92" s="1">
        <v>1.00116</v>
      </c>
      <c r="M92" s="31"/>
      <c r="N92" s="31">
        <v>33</v>
      </c>
      <c r="O92" s="31"/>
      <c r="P92" s="31">
        <v>3102</v>
      </c>
      <c r="Q92" s="9"/>
      <c r="R92" s="33">
        <v>0.25</v>
      </c>
      <c r="S92" s="33">
        <v>1</v>
      </c>
      <c r="T92" s="9">
        <f>300/8760</f>
        <v>3.4246575342465752E-2</v>
      </c>
      <c r="U9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2" s="9"/>
      <c r="W92" s="9"/>
      <c r="X92" s="9"/>
      <c r="Y92" s="9">
        <v>0.97</v>
      </c>
      <c r="Z92" s="1">
        <v>1</v>
      </c>
      <c r="AB92" s="30"/>
      <c r="AC92" s="1">
        <v>1</v>
      </c>
      <c r="AD92" s="30"/>
      <c r="AE92" s="30"/>
      <c r="AF92" s="1">
        <v>2</v>
      </c>
      <c r="AG92" s="1">
        <v>4</v>
      </c>
      <c r="AH92" s="1" t="s">
        <v>377</v>
      </c>
      <c r="AI92" s="1" t="s">
        <v>274</v>
      </c>
      <c r="AJ92" s="1">
        <f t="shared" si="7"/>
        <v>4</v>
      </c>
      <c r="AK92" s="1">
        <v>1095</v>
      </c>
      <c r="AM92" s="31">
        <f>250*Umrechnungsfaktoren!$B$15/Umrechnungsfaktoren!$B$12</f>
        <v>259.5</v>
      </c>
      <c r="AN92" s="8">
        <f>10*Umrechnungsfaktoren!$B$15/Umrechnungsfaktoren!$B$12</f>
        <v>10.38</v>
      </c>
      <c r="AO92" s="8"/>
      <c r="AP92" s="34"/>
      <c r="AQ92" s="34">
        <f>0.03*Tabelle58971115[[#This Row],[Investitionsausgaben €_2020/kW]]</f>
        <v>7.7850000000000001</v>
      </c>
      <c r="AR92" s="45">
        <v>0.09</v>
      </c>
      <c r="AS92" s="30"/>
      <c r="AT92" s="1" t="s">
        <v>479</v>
      </c>
      <c r="AU92" s="1" t="s">
        <v>479</v>
      </c>
      <c r="AV92" s="1" t="s">
        <v>479</v>
      </c>
      <c r="AW92" s="1" t="s">
        <v>493</v>
      </c>
      <c r="AX92" s="13" t="s">
        <v>471</v>
      </c>
      <c r="AY92" s="13" t="s">
        <v>471</v>
      </c>
      <c r="AZ92" s="35"/>
      <c r="BA92" s="13" t="s">
        <v>468</v>
      </c>
      <c r="BB92" s="35">
        <v>157</v>
      </c>
      <c r="BC92" s="13" t="s">
        <v>496</v>
      </c>
      <c r="BD92" s="1" t="s">
        <v>474</v>
      </c>
      <c r="BE92" s="1" t="s">
        <v>474</v>
      </c>
      <c r="BF92" s="1" t="s">
        <v>473</v>
      </c>
      <c r="BG92" s="1" t="s">
        <v>465</v>
      </c>
      <c r="BH92" s="1" t="s">
        <v>504</v>
      </c>
      <c r="BI92" s="1" t="s">
        <v>499</v>
      </c>
      <c r="BJ92" s="1" t="s">
        <v>500</v>
      </c>
      <c r="BK92" s="1" t="s">
        <v>499</v>
      </c>
      <c r="BL92" s="1" t="s">
        <v>499</v>
      </c>
      <c r="BM92" s="30"/>
    </row>
    <row r="93" spans="1:65" hidden="1" x14ac:dyDescent="0.25">
      <c r="A93" s="30" t="s">
        <v>362</v>
      </c>
      <c r="B93" s="30" t="s">
        <v>139</v>
      </c>
      <c r="C93" s="1" t="s">
        <v>494</v>
      </c>
      <c r="D93" s="1">
        <v>2050</v>
      </c>
      <c r="E93" s="30">
        <v>1</v>
      </c>
      <c r="F93" s="30">
        <v>0</v>
      </c>
      <c r="G93" s="1">
        <v>0</v>
      </c>
      <c r="H93" s="1">
        <v>0</v>
      </c>
      <c r="I93" s="1">
        <v>1</v>
      </c>
      <c r="J93" s="1">
        <v>1.4360192000000003</v>
      </c>
      <c r="M93" s="31"/>
      <c r="N93" s="31">
        <v>66</v>
      </c>
      <c r="O93" s="31"/>
      <c r="P93" s="31">
        <v>4201</v>
      </c>
      <c r="Q93" s="9"/>
      <c r="R93" s="33">
        <v>0.25</v>
      </c>
      <c r="S93" s="33">
        <v>1</v>
      </c>
      <c r="T93" s="9">
        <f>329/8760</f>
        <v>3.7557077625570777E-2</v>
      </c>
      <c r="U9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3" s="9"/>
      <c r="W93" s="9"/>
      <c r="X93" s="9"/>
      <c r="Y93" s="9">
        <v>0.97</v>
      </c>
      <c r="Z93" s="1">
        <v>1</v>
      </c>
      <c r="AB93" s="30"/>
      <c r="AC93" s="1">
        <v>1</v>
      </c>
      <c r="AD93" s="30"/>
      <c r="AE93" s="30"/>
      <c r="AF93" s="1">
        <v>2</v>
      </c>
      <c r="AG93" s="1">
        <v>4</v>
      </c>
      <c r="AH93" s="1" t="s">
        <v>377</v>
      </c>
      <c r="AI93" s="1" t="s">
        <v>274</v>
      </c>
      <c r="AJ93" s="1">
        <f t="shared" si="7"/>
        <v>4</v>
      </c>
      <c r="AK93" s="1">
        <v>1095</v>
      </c>
      <c r="AM93" s="31">
        <f>250*Umrechnungsfaktoren!$B$15/Umrechnungsfaktoren!$B$12</f>
        <v>259.5</v>
      </c>
      <c r="AN93" s="8">
        <f>10*Umrechnungsfaktoren!$B$15/Umrechnungsfaktoren!$B$12</f>
        <v>10.38</v>
      </c>
      <c r="AO93" s="8"/>
      <c r="AP93" s="34"/>
      <c r="AQ93" s="34">
        <f>0.03*Tabelle58971115[[#This Row],[Investitionsausgaben €_2020/kW]]</f>
        <v>7.7850000000000001</v>
      </c>
      <c r="AR93" s="45">
        <v>0.09</v>
      </c>
      <c r="AS93" s="30"/>
      <c r="AT93" s="1" t="s">
        <v>479</v>
      </c>
      <c r="AU93" s="1" t="s">
        <v>479</v>
      </c>
      <c r="AV93" s="1" t="s">
        <v>479</v>
      </c>
      <c r="AW93" s="1" t="s">
        <v>493</v>
      </c>
      <c r="AX93" s="13" t="s">
        <v>472</v>
      </c>
      <c r="AY93" s="13" t="s">
        <v>472</v>
      </c>
      <c r="AZ93" s="35"/>
      <c r="BA93" s="13" t="s">
        <v>468</v>
      </c>
      <c r="BB93" s="35">
        <v>157</v>
      </c>
      <c r="BC93" s="13" t="s">
        <v>496</v>
      </c>
      <c r="BD93" s="1" t="s">
        <v>474</v>
      </c>
      <c r="BE93" s="1" t="s">
        <v>474</v>
      </c>
      <c r="BF93" s="1" t="s">
        <v>473</v>
      </c>
      <c r="BG93" s="1" t="s">
        <v>465</v>
      </c>
      <c r="BH93" s="1" t="s">
        <v>504</v>
      </c>
      <c r="BI93" s="1" t="s">
        <v>499</v>
      </c>
      <c r="BJ93" s="1" t="s">
        <v>500</v>
      </c>
      <c r="BK93" s="1" t="s">
        <v>499</v>
      </c>
      <c r="BL93" s="1" t="s">
        <v>499</v>
      </c>
      <c r="BM93" s="30"/>
    </row>
    <row r="94" spans="1:65" x14ac:dyDescent="0.25">
      <c r="A94" s="30" t="s">
        <v>389</v>
      </c>
      <c r="B94" s="30" t="s">
        <v>139</v>
      </c>
      <c r="C94" s="1" t="s">
        <v>494</v>
      </c>
      <c r="D94" s="1">
        <v>2010</v>
      </c>
      <c r="E94" s="30">
        <v>1</v>
      </c>
      <c r="F94" s="30">
        <v>0</v>
      </c>
      <c r="G94" s="1">
        <v>0</v>
      </c>
      <c r="H94" s="1">
        <v>0</v>
      </c>
      <c r="I94" s="1">
        <v>1</v>
      </c>
      <c r="J94" s="1">
        <v>25.213299999999997</v>
      </c>
      <c r="M94" s="31"/>
      <c r="N94" s="31">
        <v>2885</v>
      </c>
      <c r="O94" s="31"/>
      <c r="P94" s="31">
        <v>3614</v>
      </c>
      <c r="Q94" s="9"/>
      <c r="R94" s="33"/>
      <c r="S94" s="33"/>
      <c r="T94" s="33"/>
      <c r="U94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4" s="33"/>
      <c r="W94" s="9"/>
      <c r="X94" s="9"/>
      <c r="Y94" s="9">
        <v>0.97</v>
      </c>
      <c r="Z94" s="1">
        <v>1</v>
      </c>
      <c r="AB94" s="30"/>
      <c r="AC94" s="1">
        <v>1</v>
      </c>
      <c r="AD94" s="30"/>
      <c r="AE94" s="30"/>
      <c r="AF94" s="1">
        <v>2</v>
      </c>
      <c r="AG94" s="1">
        <v>4</v>
      </c>
      <c r="AH94" s="1" t="s">
        <v>369</v>
      </c>
      <c r="AI94" s="1" t="s">
        <v>274</v>
      </c>
      <c r="AJ94" s="1">
        <f t="shared" si="7"/>
        <v>4</v>
      </c>
      <c r="AK94" s="1">
        <v>1095</v>
      </c>
      <c r="AM94" s="31">
        <f>250*Umrechnungsfaktoren!$B$15/Umrechnungsfaktoren!$B$12</f>
        <v>259.5</v>
      </c>
      <c r="AN94" s="8">
        <f>10*Umrechnungsfaktoren!$B$15/Umrechnungsfaktoren!$B$12</f>
        <v>10.38</v>
      </c>
      <c r="AO94" s="8"/>
      <c r="AP94" s="34"/>
      <c r="AQ94" s="34">
        <f>0.03*Tabelle58971115[[#This Row],[Investitionsausgaben €_2020/kW]]</f>
        <v>7.7850000000000001</v>
      </c>
      <c r="AR94" s="45">
        <v>0.09</v>
      </c>
      <c r="AS94" s="1" t="s">
        <v>383</v>
      </c>
      <c r="AT94" s="1" t="s">
        <v>479</v>
      </c>
      <c r="AU94" s="1" t="s">
        <v>479</v>
      </c>
      <c r="AV94" s="1" t="s">
        <v>479</v>
      </c>
      <c r="AW94" s="1" t="s">
        <v>493</v>
      </c>
      <c r="AX94" s="13" t="s">
        <v>476</v>
      </c>
      <c r="AY94" s="13" t="s">
        <v>477</v>
      </c>
      <c r="AZ94" s="35"/>
      <c r="BA94" s="13" t="s">
        <v>469</v>
      </c>
      <c r="BB94" s="13" t="s">
        <v>469</v>
      </c>
      <c r="BC94" s="13" t="s">
        <v>496</v>
      </c>
      <c r="BD94" s="1" t="s">
        <v>474</v>
      </c>
      <c r="BE94" s="1" t="s">
        <v>474</v>
      </c>
      <c r="BF94" s="1" t="s">
        <v>473</v>
      </c>
      <c r="BG94" s="1" t="s">
        <v>465</v>
      </c>
      <c r="BH94" s="1" t="s">
        <v>504</v>
      </c>
      <c r="BI94" s="1" t="s">
        <v>499</v>
      </c>
      <c r="BJ94" s="1" t="s">
        <v>500</v>
      </c>
      <c r="BK94" s="1" t="s">
        <v>499</v>
      </c>
      <c r="BL94" s="1" t="s">
        <v>499</v>
      </c>
      <c r="BM94" s="30"/>
    </row>
    <row r="95" spans="1:65" hidden="1" x14ac:dyDescent="0.25">
      <c r="A95" s="30" t="s">
        <v>389</v>
      </c>
      <c r="B95" s="30" t="s">
        <v>139</v>
      </c>
      <c r="C95" s="1" t="s">
        <v>494</v>
      </c>
      <c r="D95" s="1">
        <v>2020</v>
      </c>
      <c r="E95" s="30">
        <v>1</v>
      </c>
      <c r="F95" s="30">
        <v>0</v>
      </c>
      <c r="G95" s="1">
        <v>0</v>
      </c>
      <c r="H95" s="1">
        <v>0</v>
      </c>
      <c r="I95" s="1">
        <v>1</v>
      </c>
      <c r="J95" s="1">
        <v>18.373237499999998</v>
      </c>
      <c r="M95" s="31"/>
      <c r="N95" s="31">
        <v>1681</v>
      </c>
      <c r="O95" s="31"/>
      <c r="P95" s="31">
        <v>4524</v>
      </c>
      <c r="Q95" s="9"/>
      <c r="R95" s="33">
        <v>0.8</v>
      </c>
      <c r="S95" s="33">
        <v>1</v>
      </c>
      <c r="T95" s="33"/>
      <c r="U95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5" s="33"/>
      <c r="W95" s="9"/>
      <c r="X95" s="9"/>
      <c r="Y95" s="9">
        <v>0.97</v>
      </c>
      <c r="Z95" s="1">
        <v>1</v>
      </c>
      <c r="AB95" s="30"/>
      <c r="AC95" s="1">
        <v>1</v>
      </c>
      <c r="AD95" s="30"/>
      <c r="AE95" s="30"/>
      <c r="AF95" s="1">
        <v>2</v>
      </c>
      <c r="AG95" s="1">
        <v>4</v>
      </c>
      <c r="AH95" s="1" t="s">
        <v>369</v>
      </c>
      <c r="AI95" s="1" t="s">
        <v>274</v>
      </c>
      <c r="AJ95" s="1">
        <f t="shared" si="7"/>
        <v>4</v>
      </c>
      <c r="AK95" s="1">
        <v>1095</v>
      </c>
      <c r="AM95" s="31">
        <f>250*Umrechnungsfaktoren!$B$15/Umrechnungsfaktoren!$B$12</f>
        <v>259.5</v>
      </c>
      <c r="AN95" s="8">
        <f>10*Umrechnungsfaktoren!$B$15/Umrechnungsfaktoren!$B$12</f>
        <v>10.38</v>
      </c>
      <c r="AO95" s="8"/>
      <c r="AP95" s="34"/>
      <c r="AQ95" s="34">
        <f>0.03*Tabelle58971115[[#This Row],[Investitionsausgaben €_2020/kW]]</f>
        <v>7.7850000000000001</v>
      </c>
      <c r="AR95" s="45">
        <v>0.09</v>
      </c>
      <c r="AS95" s="1" t="s">
        <v>383</v>
      </c>
      <c r="AT95" s="1" t="s">
        <v>479</v>
      </c>
      <c r="AU95" s="1" t="s">
        <v>479</v>
      </c>
      <c r="AV95" s="1" t="s">
        <v>479</v>
      </c>
      <c r="AW95" s="1" t="s">
        <v>493</v>
      </c>
      <c r="AX95" s="13" t="s">
        <v>470</v>
      </c>
      <c r="AY95" s="13" t="s">
        <v>470</v>
      </c>
      <c r="AZ95" s="35"/>
      <c r="BA95" s="13" t="s">
        <v>469</v>
      </c>
      <c r="BB95" s="13" t="s">
        <v>469</v>
      </c>
      <c r="BC95" s="13" t="s">
        <v>496</v>
      </c>
      <c r="BD95" s="1" t="s">
        <v>474</v>
      </c>
      <c r="BE95" s="1" t="s">
        <v>474</v>
      </c>
      <c r="BF95" s="1" t="s">
        <v>473</v>
      </c>
      <c r="BG95" s="1" t="s">
        <v>465</v>
      </c>
      <c r="BH95" s="1" t="s">
        <v>504</v>
      </c>
      <c r="BI95" s="1" t="s">
        <v>499</v>
      </c>
      <c r="BJ95" s="1" t="s">
        <v>500</v>
      </c>
      <c r="BK95" s="1" t="s">
        <v>499</v>
      </c>
      <c r="BL95" s="1" t="s">
        <v>499</v>
      </c>
      <c r="BM95" s="30"/>
    </row>
    <row r="96" spans="1:65" hidden="1" x14ac:dyDescent="0.25">
      <c r="A96" s="30" t="s">
        <v>389</v>
      </c>
      <c r="B96" s="30" t="s">
        <v>139</v>
      </c>
      <c r="C96" s="1" t="s">
        <v>494</v>
      </c>
      <c r="D96" s="1">
        <v>2030</v>
      </c>
      <c r="E96" s="30">
        <v>1</v>
      </c>
      <c r="F96" s="30">
        <v>0</v>
      </c>
      <c r="G96" s="1">
        <v>0</v>
      </c>
      <c r="H96" s="1">
        <v>0</v>
      </c>
      <c r="I96" s="1">
        <v>1</v>
      </c>
      <c r="J96" s="1">
        <v>13.014050000000001</v>
      </c>
      <c r="M96" s="31"/>
      <c r="N96" s="31">
        <v>1190</v>
      </c>
      <c r="O96" s="31"/>
      <c r="P96" s="31">
        <v>5213</v>
      </c>
      <c r="Q96" s="9"/>
      <c r="R96" s="33">
        <v>0.8</v>
      </c>
      <c r="S96" s="33">
        <v>1</v>
      </c>
      <c r="T96" s="33"/>
      <c r="U96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6" s="33"/>
      <c r="W96" s="9"/>
      <c r="X96" s="9"/>
      <c r="Y96" s="9">
        <v>0.97</v>
      </c>
      <c r="Z96" s="1">
        <v>1</v>
      </c>
      <c r="AB96" s="30"/>
      <c r="AC96" s="1">
        <v>1</v>
      </c>
      <c r="AD96" s="30"/>
      <c r="AE96" s="30"/>
      <c r="AF96" s="1">
        <v>2</v>
      </c>
      <c r="AG96" s="1">
        <v>4</v>
      </c>
      <c r="AH96" s="1" t="s">
        <v>369</v>
      </c>
      <c r="AI96" s="1" t="s">
        <v>274</v>
      </c>
      <c r="AJ96" s="1">
        <f t="shared" si="7"/>
        <v>4</v>
      </c>
      <c r="AK96" s="1">
        <v>1095</v>
      </c>
      <c r="AM96" s="31">
        <f>250*Umrechnungsfaktoren!$B$15/Umrechnungsfaktoren!$B$12</f>
        <v>259.5</v>
      </c>
      <c r="AN96" s="8">
        <f>10*Umrechnungsfaktoren!$B$15/Umrechnungsfaktoren!$B$12</f>
        <v>10.38</v>
      </c>
      <c r="AO96" s="8"/>
      <c r="AP96" s="34"/>
      <c r="AQ96" s="34">
        <f>0.03*Tabelle58971115[[#This Row],[Investitionsausgaben €_2020/kW]]</f>
        <v>7.7850000000000001</v>
      </c>
      <c r="AR96" s="45">
        <v>0.09</v>
      </c>
      <c r="AS96" s="1" t="s">
        <v>383</v>
      </c>
      <c r="AT96" s="1" t="s">
        <v>479</v>
      </c>
      <c r="AU96" s="1" t="s">
        <v>479</v>
      </c>
      <c r="AV96" s="1" t="s">
        <v>479</v>
      </c>
      <c r="AW96" s="1" t="s">
        <v>493</v>
      </c>
      <c r="AX96" s="13" t="s">
        <v>471</v>
      </c>
      <c r="AY96" s="13" t="s">
        <v>471</v>
      </c>
      <c r="AZ96" s="35"/>
      <c r="BA96" s="13" t="s">
        <v>469</v>
      </c>
      <c r="BB96" s="13" t="s">
        <v>469</v>
      </c>
      <c r="BC96" s="13" t="s">
        <v>496</v>
      </c>
      <c r="BD96" s="1" t="s">
        <v>474</v>
      </c>
      <c r="BE96" s="1" t="s">
        <v>474</v>
      </c>
      <c r="BF96" s="1" t="s">
        <v>473</v>
      </c>
      <c r="BG96" s="1" t="s">
        <v>465</v>
      </c>
      <c r="BH96" s="1" t="s">
        <v>504</v>
      </c>
      <c r="BI96" s="1" t="s">
        <v>499</v>
      </c>
      <c r="BJ96" s="1" t="s">
        <v>500</v>
      </c>
      <c r="BK96" s="1" t="s">
        <v>499</v>
      </c>
      <c r="BL96" s="1" t="s">
        <v>499</v>
      </c>
      <c r="BM96" s="30"/>
    </row>
    <row r="97" spans="1:65" hidden="1" x14ac:dyDescent="0.25">
      <c r="A97" s="30" t="s">
        <v>389</v>
      </c>
      <c r="B97" s="30" t="s">
        <v>139</v>
      </c>
      <c r="C97" s="1" t="s">
        <v>494</v>
      </c>
      <c r="D97" s="1">
        <v>2050</v>
      </c>
      <c r="E97" s="30">
        <v>1</v>
      </c>
      <c r="F97" s="30">
        <v>0</v>
      </c>
      <c r="G97" s="1">
        <v>0</v>
      </c>
      <c r="H97" s="1">
        <v>0</v>
      </c>
      <c r="I97" s="1">
        <v>1</v>
      </c>
      <c r="J97" s="1">
        <v>7.1424000000000003</v>
      </c>
      <c r="M97" s="31"/>
      <c r="N97" s="31">
        <v>652</v>
      </c>
      <c r="O97" s="31"/>
      <c r="P97" s="31">
        <v>5612</v>
      </c>
      <c r="Q97" s="9"/>
      <c r="R97" s="33">
        <v>0.8</v>
      </c>
      <c r="S97" s="33">
        <v>1</v>
      </c>
      <c r="T97" s="33"/>
      <c r="U97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7" s="33"/>
      <c r="W97" s="9"/>
      <c r="X97" s="9"/>
      <c r="Y97" s="9">
        <v>0.97</v>
      </c>
      <c r="Z97" s="1">
        <v>1</v>
      </c>
      <c r="AB97" s="30"/>
      <c r="AC97" s="1">
        <v>1</v>
      </c>
      <c r="AD97" s="30"/>
      <c r="AE97" s="30"/>
      <c r="AF97" s="1">
        <v>2</v>
      </c>
      <c r="AG97" s="1">
        <v>4</v>
      </c>
      <c r="AH97" s="1" t="s">
        <v>369</v>
      </c>
      <c r="AI97" s="1" t="s">
        <v>274</v>
      </c>
      <c r="AJ97" s="1">
        <f t="shared" si="7"/>
        <v>4</v>
      </c>
      <c r="AK97" s="1">
        <v>1095</v>
      </c>
      <c r="AM97" s="31">
        <f>250*Umrechnungsfaktoren!$B$15/Umrechnungsfaktoren!$B$12</f>
        <v>259.5</v>
      </c>
      <c r="AN97" s="8">
        <f>10*Umrechnungsfaktoren!$B$15/Umrechnungsfaktoren!$B$12</f>
        <v>10.38</v>
      </c>
      <c r="AO97" s="8"/>
      <c r="AP97" s="34"/>
      <c r="AQ97" s="34">
        <f>0.03*Tabelle58971115[[#This Row],[Investitionsausgaben €_2020/kW]]</f>
        <v>7.7850000000000001</v>
      </c>
      <c r="AR97" s="45">
        <v>0.09</v>
      </c>
      <c r="AS97" s="1" t="s">
        <v>383</v>
      </c>
      <c r="AT97" s="1" t="s">
        <v>479</v>
      </c>
      <c r="AU97" s="1" t="s">
        <v>479</v>
      </c>
      <c r="AV97" s="1" t="s">
        <v>479</v>
      </c>
      <c r="AW97" s="1" t="s">
        <v>493</v>
      </c>
      <c r="AX97" s="13" t="s">
        <v>472</v>
      </c>
      <c r="AY97" s="13" t="s">
        <v>472</v>
      </c>
      <c r="AZ97" s="35"/>
      <c r="BA97" s="13" t="s">
        <v>469</v>
      </c>
      <c r="BB97" s="13" t="s">
        <v>469</v>
      </c>
      <c r="BC97" s="13" t="s">
        <v>496</v>
      </c>
      <c r="BD97" s="1" t="s">
        <v>474</v>
      </c>
      <c r="BE97" s="1" t="s">
        <v>474</v>
      </c>
      <c r="BF97" s="1" t="s">
        <v>473</v>
      </c>
      <c r="BG97" s="1" t="s">
        <v>465</v>
      </c>
      <c r="BH97" s="1" t="s">
        <v>504</v>
      </c>
      <c r="BI97" s="1" t="s">
        <v>499</v>
      </c>
      <c r="BJ97" s="1" t="s">
        <v>500</v>
      </c>
      <c r="BK97" s="1" t="s">
        <v>499</v>
      </c>
      <c r="BL97" s="1" t="s">
        <v>499</v>
      </c>
      <c r="BM97" s="30"/>
    </row>
    <row r="98" spans="1:65" x14ac:dyDescent="0.25">
      <c r="A98" s="30" t="s">
        <v>129</v>
      </c>
      <c r="B98" s="30" t="s">
        <v>139</v>
      </c>
      <c r="C98" s="30" t="str">
        <f>VLOOKUP(Tabelle58971115[[#This Row],[Prozess]],Tabelle22333[],3,FALSE)</f>
        <v>WashingEq_Res</v>
      </c>
      <c r="D98" s="1">
        <v>2010</v>
      </c>
      <c r="E98" s="30">
        <v>1</v>
      </c>
      <c r="F98" s="30">
        <v>0</v>
      </c>
      <c r="G98" s="1">
        <v>0</v>
      </c>
      <c r="H98" s="1">
        <v>1</v>
      </c>
      <c r="I98" s="1">
        <v>1</v>
      </c>
      <c r="J98" s="1">
        <v>7.4959319999999989</v>
      </c>
      <c r="M98" s="31"/>
      <c r="N98" s="31">
        <v>854</v>
      </c>
      <c r="O98" s="31"/>
      <c r="P98" s="31">
        <v>24770</v>
      </c>
      <c r="Q98" s="9"/>
      <c r="R98" s="33"/>
      <c r="S98" s="33"/>
      <c r="T98" s="33"/>
      <c r="U98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8" s="33"/>
      <c r="W98" s="44"/>
      <c r="X98" s="44"/>
      <c r="Y98" s="33">
        <v>1</v>
      </c>
      <c r="Z98" s="30">
        <v>12</v>
      </c>
      <c r="AA98" s="30"/>
      <c r="AB98" s="30">
        <v>1</v>
      </c>
      <c r="AC98" s="30">
        <v>12</v>
      </c>
      <c r="AD98" s="30">
        <v>4</v>
      </c>
      <c r="AE98" s="30">
        <v>12</v>
      </c>
      <c r="AF98" s="30">
        <v>6</v>
      </c>
      <c r="AG98" s="30">
        <v>0</v>
      </c>
      <c r="AH98" s="1" t="s">
        <v>369</v>
      </c>
      <c r="AI98" s="1" t="s">
        <v>274</v>
      </c>
      <c r="AK98" s="1">
        <v>1095</v>
      </c>
      <c r="AM98" s="31">
        <f>30*Umrechnungsfaktoren!$B$15/Umrechnungsfaktoren!$B$12</f>
        <v>31.14</v>
      </c>
      <c r="AN98" s="34">
        <f>0.05*10^3*Umrechnungsfaktoren!$B$15/Umrechnungsfaktoren!$B$12</f>
        <v>51.900000000000006</v>
      </c>
      <c r="AO98" s="34"/>
      <c r="AP98" s="34"/>
      <c r="AQ98" s="34">
        <f>0.03*Tabelle58971115[[#This Row],[variable Kosten €_2020/MWh]]</f>
        <v>1.5570000000000002</v>
      </c>
      <c r="AR98" s="45">
        <v>0.01</v>
      </c>
      <c r="AS98" s="1" t="s">
        <v>385</v>
      </c>
      <c r="AT98" s="1" t="s">
        <v>479</v>
      </c>
      <c r="AU98" s="1" t="s">
        <v>479</v>
      </c>
      <c r="AV98" s="1" t="s">
        <v>479</v>
      </c>
      <c r="AW98" s="1" t="s">
        <v>493</v>
      </c>
      <c r="AX98" s="13" t="s">
        <v>476</v>
      </c>
      <c r="AY98" s="13" t="s">
        <v>477</v>
      </c>
      <c r="AZ98" s="35"/>
      <c r="BA98" s="13" t="s">
        <v>469</v>
      </c>
      <c r="BB98" s="13" t="s">
        <v>469</v>
      </c>
      <c r="BC98" s="13" t="s">
        <v>496</v>
      </c>
      <c r="BD98" s="1" t="s">
        <v>465</v>
      </c>
      <c r="BE98" s="1" t="s">
        <v>465</v>
      </c>
      <c r="BF98" s="30" t="s">
        <v>473</v>
      </c>
      <c r="BG98" s="1" t="s">
        <v>465</v>
      </c>
      <c r="BH98" s="1" t="s">
        <v>503</v>
      </c>
      <c r="BI98" s="1" t="s">
        <v>499</v>
      </c>
      <c r="BJ98" s="1" t="s">
        <v>500</v>
      </c>
      <c r="BK98" s="1" t="s">
        <v>499</v>
      </c>
      <c r="BL98" s="1" t="s">
        <v>499</v>
      </c>
      <c r="BM98" s="30"/>
    </row>
    <row r="99" spans="1:65" hidden="1" x14ac:dyDescent="0.25">
      <c r="A99" s="30" t="s">
        <v>129</v>
      </c>
      <c r="B99" s="30" t="s">
        <v>139</v>
      </c>
      <c r="C99" s="30" t="str">
        <f>VLOOKUP(Tabelle58971115[[#This Row],[Prozess]],Tabelle22333[],3,FALSE)</f>
        <v>WashingEq_Res</v>
      </c>
      <c r="D99" s="1">
        <v>2020</v>
      </c>
      <c r="E99" s="30">
        <v>1</v>
      </c>
      <c r="F99" s="30">
        <v>0</v>
      </c>
      <c r="G99" s="1">
        <v>0</v>
      </c>
      <c r="H99" s="1">
        <v>1</v>
      </c>
      <c r="I99" s="1">
        <v>1</v>
      </c>
      <c r="J99" s="1">
        <v>5.7953714499999993</v>
      </c>
      <c r="M99" s="31"/>
      <c r="N99" s="31">
        <v>86</v>
      </c>
      <c r="O99" s="31"/>
      <c r="P99" s="31">
        <v>1533</v>
      </c>
      <c r="Q99" s="9"/>
      <c r="R99" s="33">
        <v>0.13</v>
      </c>
      <c r="S99" s="33">
        <v>0.08</v>
      </c>
      <c r="T99" s="33"/>
      <c r="U99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9" s="33"/>
      <c r="W99" s="44"/>
      <c r="X99" s="44"/>
      <c r="Y99" s="33">
        <v>1</v>
      </c>
      <c r="Z99" s="30">
        <v>12</v>
      </c>
      <c r="AA99" s="30"/>
      <c r="AB99" s="30"/>
      <c r="AC99" s="30">
        <v>12</v>
      </c>
      <c r="AD99" s="30">
        <v>4</v>
      </c>
      <c r="AE99" s="30">
        <v>12</v>
      </c>
      <c r="AF99" s="30">
        <v>6</v>
      </c>
      <c r="AG99" s="30">
        <v>0</v>
      </c>
      <c r="AH99" s="1" t="s">
        <v>369</v>
      </c>
      <c r="AI99" s="1" t="s">
        <v>274</v>
      </c>
      <c r="AK99" s="1">
        <v>1095</v>
      </c>
      <c r="AM99" s="31">
        <f>30*Umrechnungsfaktoren!$B$15/Umrechnungsfaktoren!$B$12</f>
        <v>31.14</v>
      </c>
      <c r="AN99" s="34">
        <f>0.05*10^3*Umrechnungsfaktoren!$B$15/Umrechnungsfaktoren!$B$12</f>
        <v>51.900000000000006</v>
      </c>
      <c r="AO99" s="34"/>
      <c r="AP99" s="34"/>
      <c r="AQ99" s="34">
        <f>0.03*Tabelle58971115[[#This Row],[variable Kosten €_2020/MWh]]</f>
        <v>1.5570000000000002</v>
      </c>
      <c r="AR99" s="45">
        <v>0.01</v>
      </c>
      <c r="AS99" s="1" t="s">
        <v>385</v>
      </c>
      <c r="AT99" s="1" t="s">
        <v>479</v>
      </c>
      <c r="AU99" s="1" t="s">
        <v>479</v>
      </c>
      <c r="AV99" s="1" t="s">
        <v>479</v>
      </c>
      <c r="AW99" s="1" t="s">
        <v>493</v>
      </c>
      <c r="AX99" s="13" t="s">
        <v>470</v>
      </c>
      <c r="AY99" s="13" t="s">
        <v>470</v>
      </c>
      <c r="AZ99" s="35"/>
      <c r="BA99" s="13" t="s">
        <v>469</v>
      </c>
      <c r="BB99" s="13" t="s">
        <v>469</v>
      </c>
      <c r="BC99" s="13" t="s">
        <v>496</v>
      </c>
      <c r="BD99" s="1" t="s">
        <v>465</v>
      </c>
      <c r="BE99" s="1" t="s">
        <v>465</v>
      </c>
      <c r="BF99" s="30" t="s">
        <v>473</v>
      </c>
      <c r="BG99" s="1" t="s">
        <v>465</v>
      </c>
      <c r="BH99" s="1" t="s">
        <v>503</v>
      </c>
      <c r="BI99" s="1" t="s">
        <v>499</v>
      </c>
      <c r="BJ99" s="1" t="s">
        <v>500</v>
      </c>
      <c r="BK99" s="1" t="s">
        <v>499</v>
      </c>
      <c r="BL99" s="1" t="s">
        <v>499</v>
      </c>
      <c r="BM99" s="30"/>
    </row>
    <row r="100" spans="1:65" hidden="1" x14ac:dyDescent="0.25">
      <c r="A100" s="30" t="s">
        <v>129</v>
      </c>
      <c r="B100" s="30" t="s">
        <v>139</v>
      </c>
      <c r="C100" s="30" t="str">
        <f>VLOOKUP(Tabelle58971115[[#This Row],[Prozess]],Tabelle22333[],3,FALSE)</f>
        <v>WashingEq_Res</v>
      </c>
      <c r="D100" s="1">
        <v>2030</v>
      </c>
      <c r="E100" s="30">
        <v>1</v>
      </c>
      <c r="F100" s="30">
        <v>0</v>
      </c>
      <c r="G100" s="1">
        <v>0</v>
      </c>
      <c r="H100" s="1">
        <v>1</v>
      </c>
      <c r="I100" s="1">
        <v>1</v>
      </c>
      <c r="J100" s="1">
        <v>4.4031263999999997</v>
      </c>
      <c r="M100" s="31"/>
      <c r="N100" s="31">
        <v>75</v>
      </c>
      <c r="O100" s="31"/>
      <c r="P100" s="31">
        <v>1456</v>
      </c>
      <c r="Q100" s="9"/>
      <c r="R100" s="33">
        <v>0.15</v>
      </c>
      <c r="S100" s="33">
        <v>0.1</v>
      </c>
      <c r="T100" s="33"/>
      <c r="U100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0" s="33"/>
      <c r="W100" s="44"/>
      <c r="X100" s="44"/>
      <c r="Y100" s="33">
        <v>1</v>
      </c>
      <c r="Z100" s="30">
        <v>12</v>
      </c>
      <c r="AA100" s="30"/>
      <c r="AB100" s="30"/>
      <c r="AC100" s="30">
        <v>12</v>
      </c>
      <c r="AD100" s="30">
        <v>4</v>
      </c>
      <c r="AE100" s="30">
        <v>12</v>
      </c>
      <c r="AF100" s="30">
        <v>6</v>
      </c>
      <c r="AG100" s="30">
        <v>0</v>
      </c>
      <c r="AH100" s="1" t="s">
        <v>369</v>
      </c>
      <c r="AI100" s="1" t="s">
        <v>274</v>
      </c>
      <c r="AK100" s="1">
        <v>1095</v>
      </c>
      <c r="AM100" s="31">
        <f>30*Umrechnungsfaktoren!$B$15/Umrechnungsfaktoren!$B$12</f>
        <v>31.14</v>
      </c>
      <c r="AN100" s="34">
        <f>0.05*10^3*Umrechnungsfaktoren!$B$15/Umrechnungsfaktoren!$B$12</f>
        <v>51.900000000000006</v>
      </c>
      <c r="AO100" s="34"/>
      <c r="AP100" s="34"/>
      <c r="AQ100" s="34">
        <f>0.03*Tabelle58971115[[#This Row],[variable Kosten €_2020/MWh]]</f>
        <v>1.5570000000000002</v>
      </c>
      <c r="AR100" s="45">
        <v>0.01</v>
      </c>
      <c r="AS100" s="1" t="s">
        <v>385</v>
      </c>
      <c r="AT100" s="1" t="s">
        <v>479</v>
      </c>
      <c r="AU100" s="1" t="s">
        <v>479</v>
      </c>
      <c r="AV100" s="1" t="s">
        <v>479</v>
      </c>
      <c r="AW100" s="1" t="s">
        <v>493</v>
      </c>
      <c r="AX100" s="13" t="s">
        <v>471</v>
      </c>
      <c r="AY100" s="13" t="s">
        <v>471</v>
      </c>
      <c r="AZ100" s="35"/>
      <c r="BA100" s="13" t="s">
        <v>469</v>
      </c>
      <c r="BB100" s="13" t="s">
        <v>469</v>
      </c>
      <c r="BC100" s="13" t="s">
        <v>496</v>
      </c>
      <c r="BD100" s="1" t="s">
        <v>465</v>
      </c>
      <c r="BE100" s="1" t="s">
        <v>465</v>
      </c>
      <c r="BF100" s="30" t="s">
        <v>473</v>
      </c>
      <c r="BG100" s="1" t="s">
        <v>465</v>
      </c>
      <c r="BH100" s="1" t="s">
        <v>503</v>
      </c>
      <c r="BI100" s="1" t="s">
        <v>499</v>
      </c>
      <c r="BJ100" s="1" t="s">
        <v>500</v>
      </c>
      <c r="BK100" s="1" t="s">
        <v>499</v>
      </c>
      <c r="BL100" s="1" t="s">
        <v>499</v>
      </c>
      <c r="BM100" s="30"/>
    </row>
    <row r="101" spans="1:65" hidden="1" x14ac:dyDescent="0.25">
      <c r="A101" s="30" t="s">
        <v>129</v>
      </c>
      <c r="B101" s="30" t="s">
        <v>139</v>
      </c>
      <c r="C101" s="30" t="str">
        <f>VLOOKUP(Tabelle58971115[[#This Row],[Prozess]],Tabelle22333[],3,FALSE)</f>
        <v>WashingEq_Res</v>
      </c>
      <c r="D101" s="1">
        <v>2050</v>
      </c>
      <c r="E101" s="30">
        <v>1</v>
      </c>
      <c r="F101" s="30">
        <v>0</v>
      </c>
      <c r="G101" s="1">
        <v>0</v>
      </c>
      <c r="H101" s="1">
        <v>1</v>
      </c>
      <c r="I101" s="1">
        <v>1</v>
      </c>
      <c r="J101" s="1">
        <v>3.3716889599999997</v>
      </c>
      <c r="M101" s="31"/>
      <c r="N101" s="31">
        <v>77</v>
      </c>
      <c r="O101" s="31"/>
      <c r="P101" s="31">
        <v>1674</v>
      </c>
      <c r="Q101" s="9"/>
      <c r="R101" s="33">
        <v>0.2</v>
      </c>
      <c r="S101" s="33">
        <v>0.15</v>
      </c>
      <c r="T101" s="33"/>
      <c r="U101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1" s="33"/>
      <c r="W101" s="44"/>
      <c r="X101" s="44"/>
      <c r="Y101" s="33">
        <v>1</v>
      </c>
      <c r="Z101" s="30">
        <v>12</v>
      </c>
      <c r="AA101" s="30"/>
      <c r="AB101" s="30"/>
      <c r="AC101" s="30">
        <v>12</v>
      </c>
      <c r="AD101" s="30">
        <v>4</v>
      </c>
      <c r="AE101" s="30">
        <v>12</v>
      </c>
      <c r="AF101" s="30">
        <v>6</v>
      </c>
      <c r="AG101" s="30">
        <v>0</v>
      </c>
      <c r="AH101" s="1" t="s">
        <v>369</v>
      </c>
      <c r="AI101" s="1" t="s">
        <v>274</v>
      </c>
      <c r="AK101" s="1">
        <v>1095</v>
      </c>
      <c r="AM101" s="31">
        <f>30*Umrechnungsfaktoren!$B$15/Umrechnungsfaktoren!$B$12</f>
        <v>31.14</v>
      </c>
      <c r="AN101" s="34">
        <f>0.05*10^3*Umrechnungsfaktoren!$B$15/Umrechnungsfaktoren!$B$12</f>
        <v>51.900000000000006</v>
      </c>
      <c r="AO101" s="34"/>
      <c r="AP101" s="34"/>
      <c r="AQ101" s="34">
        <f>0.03*Tabelle58971115[[#This Row],[variable Kosten €_2020/MWh]]</f>
        <v>1.5570000000000002</v>
      </c>
      <c r="AR101" s="45">
        <v>0.01</v>
      </c>
      <c r="AS101" s="1" t="s">
        <v>385</v>
      </c>
      <c r="AT101" s="1" t="s">
        <v>479</v>
      </c>
      <c r="AU101" s="1" t="s">
        <v>479</v>
      </c>
      <c r="AV101" s="1" t="s">
        <v>479</v>
      </c>
      <c r="AW101" s="1" t="s">
        <v>493</v>
      </c>
      <c r="AX101" s="13" t="s">
        <v>472</v>
      </c>
      <c r="AY101" s="13" t="s">
        <v>472</v>
      </c>
      <c r="AZ101" s="35"/>
      <c r="BA101" s="13" t="s">
        <v>469</v>
      </c>
      <c r="BB101" s="13" t="s">
        <v>469</v>
      </c>
      <c r="BC101" s="13" t="s">
        <v>496</v>
      </c>
      <c r="BD101" s="1" t="s">
        <v>465</v>
      </c>
      <c r="BE101" s="1" t="s">
        <v>465</v>
      </c>
      <c r="BF101" s="30" t="s">
        <v>473</v>
      </c>
      <c r="BG101" s="1" t="s">
        <v>465</v>
      </c>
      <c r="BH101" s="1" t="s">
        <v>503</v>
      </c>
      <c r="BI101" s="1" t="s">
        <v>499</v>
      </c>
      <c r="BJ101" s="1" t="s">
        <v>500</v>
      </c>
      <c r="BK101" s="1" t="s">
        <v>499</v>
      </c>
      <c r="BL101" s="1" t="s">
        <v>499</v>
      </c>
      <c r="BM101" s="30"/>
    </row>
    <row r="102" spans="1:65" x14ac:dyDescent="0.25">
      <c r="A102" s="30" t="s">
        <v>130</v>
      </c>
      <c r="B102" s="30" t="s">
        <v>139</v>
      </c>
      <c r="C102" s="30" t="str">
        <f>VLOOKUP(Tabelle58971115[[#This Row],[Prozess]],Tabelle22333[],3,FALSE)</f>
        <v>WashingEq_Res</v>
      </c>
      <c r="D102" s="1">
        <v>2010</v>
      </c>
      <c r="E102" s="30">
        <v>1</v>
      </c>
      <c r="F102" s="30">
        <v>0</v>
      </c>
      <c r="G102" s="1">
        <v>0</v>
      </c>
      <c r="H102" s="1">
        <v>1</v>
      </c>
      <c r="I102" s="1">
        <v>1</v>
      </c>
      <c r="J102" s="1">
        <v>4.7497319999999998</v>
      </c>
      <c r="M102" s="31"/>
      <c r="N102" s="31">
        <v>543</v>
      </c>
      <c r="O102" s="31"/>
      <c r="P102" s="31">
        <v>22743</v>
      </c>
      <c r="Q102" s="9"/>
      <c r="R102" s="33"/>
      <c r="S102" s="33"/>
      <c r="T102" s="33"/>
      <c r="U102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2" s="33"/>
      <c r="W102" s="44"/>
      <c r="X102" s="44"/>
      <c r="Y102" s="33">
        <v>1</v>
      </c>
      <c r="Z102" s="30">
        <v>12</v>
      </c>
      <c r="AA102" s="30"/>
      <c r="AB102" s="30"/>
      <c r="AC102" s="30">
        <v>12</v>
      </c>
      <c r="AD102" s="30">
        <v>4</v>
      </c>
      <c r="AE102" s="30">
        <v>12</v>
      </c>
      <c r="AF102" s="30">
        <v>6</v>
      </c>
      <c r="AG102" s="30">
        <v>0</v>
      </c>
      <c r="AH102" s="1" t="s">
        <v>369</v>
      </c>
      <c r="AI102" s="1" t="s">
        <v>274</v>
      </c>
      <c r="AK102" s="1">
        <v>1095</v>
      </c>
      <c r="AM102" s="31">
        <f>30*Umrechnungsfaktoren!$B$15/Umrechnungsfaktoren!$B$12</f>
        <v>31.14</v>
      </c>
      <c r="AN102" s="34">
        <f>0.05*10^3*Umrechnungsfaktoren!$B$15/Umrechnungsfaktoren!$B$12</f>
        <v>51.900000000000006</v>
      </c>
      <c r="AO102" s="34"/>
      <c r="AP102" s="34"/>
      <c r="AQ102" s="34">
        <f>0.03*Tabelle58971115[[#This Row],[variable Kosten €_2020/MWh]]</f>
        <v>1.5570000000000002</v>
      </c>
      <c r="AR102" s="45">
        <v>0.01</v>
      </c>
      <c r="AS102" s="1" t="s">
        <v>385</v>
      </c>
      <c r="AT102" s="1" t="s">
        <v>479</v>
      </c>
      <c r="AU102" s="1" t="s">
        <v>479</v>
      </c>
      <c r="AV102" s="1" t="s">
        <v>479</v>
      </c>
      <c r="AW102" s="1" t="s">
        <v>493</v>
      </c>
      <c r="AX102" s="13" t="s">
        <v>476</v>
      </c>
      <c r="AY102" s="13" t="s">
        <v>477</v>
      </c>
      <c r="AZ102" s="35"/>
      <c r="BA102" s="13" t="s">
        <v>469</v>
      </c>
      <c r="BB102" s="13" t="s">
        <v>469</v>
      </c>
      <c r="BC102" s="13" t="s">
        <v>496</v>
      </c>
      <c r="BD102" s="1" t="s">
        <v>465</v>
      </c>
      <c r="BE102" s="1" t="s">
        <v>465</v>
      </c>
      <c r="BF102" s="30" t="s">
        <v>473</v>
      </c>
      <c r="BG102" s="1" t="s">
        <v>465</v>
      </c>
      <c r="BH102" s="1" t="s">
        <v>503</v>
      </c>
      <c r="BI102" s="1" t="s">
        <v>499</v>
      </c>
      <c r="BJ102" s="1" t="s">
        <v>500</v>
      </c>
      <c r="BK102" s="1" t="s">
        <v>499</v>
      </c>
      <c r="BL102" s="1" t="s">
        <v>499</v>
      </c>
      <c r="BM102" s="30"/>
    </row>
    <row r="103" spans="1:65" hidden="1" x14ac:dyDescent="0.25">
      <c r="A103" s="30" t="s">
        <v>130</v>
      </c>
      <c r="B103" s="30" t="s">
        <v>139</v>
      </c>
      <c r="C103" s="30" t="str">
        <f>VLOOKUP(Tabelle58971115[[#This Row],[Prozess]],Tabelle22333[],3,FALSE)</f>
        <v>WashingEq_Res</v>
      </c>
      <c r="D103" s="1">
        <v>2020</v>
      </c>
      <c r="E103" s="30">
        <v>1</v>
      </c>
      <c r="F103" s="30">
        <v>0</v>
      </c>
      <c r="G103" s="1">
        <v>0</v>
      </c>
      <c r="H103" s="1">
        <v>1</v>
      </c>
      <c r="I103" s="1">
        <v>1</v>
      </c>
      <c r="J103" s="1">
        <v>4.3287652499999991</v>
      </c>
      <c r="M103" s="31"/>
      <c r="N103" s="31">
        <v>124</v>
      </c>
      <c r="O103" s="31"/>
      <c r="P103" s="31">
        <v>1658</v>
      </c>
      <c r="Q103" s="9"/>
      <c r="R103" s="33">
        <v>0.25</v>
      </c>
      <c r="S103" s="33">
        <v>0.08</v>
      </c>
      <c r="T103" s="33"/>
      <c r="U103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3" s="33"/>
      <c r="W103" s="44"/>
      <c r="X103" s="44"/>
      <c r="Y103" s="33">
        <v>1</v>
      </c>
      <c r="Z103" s="30">
        <v>12</v>
      </c>
      <c r="AA103" s="30"/>
      <c r="AB103" s="30"/>
      <c r="AC103" s="30">
        <v>12</v>
      </c>
      <c r="AD103" s="30">
        <v>4</v>
      </c>
      <c r="AE103" s="30">
        <v>12</v>
      </c>
      <c r="AF103" s="30">
        <v>6</v>
      </c>
      <c r="AG103" s="30">
        <v>0</v>
      </c>
      <c r="AH103" s="1" t="s">
        <v>369</v>
      </c>
      <c r="AI103" s="1" t="s">
        <v>274</v>
      </c>
      <c r="AK103" s="1">
        <v>1095</v>
      </c>
      <c r="AM103" s="31">
        <f>30*Umrechnungsfaktoren!$B$15/Umrechnungsfaktoren!$B$12</f>
        <v>31.14</v>
      </c>
      <c r="AN103" s="34">
        <f>0.05*10^3*Umrechnungsfaktoren!$B$15/Umrechnungsfaktoren!$B$12</f>
        <v>51.900000000000006</v>
      </c>
      <c r="AO103" s="34"/>
      <c r="AP103" s="34"/>
      <c r="AQ103" s="34">
        <f>0.03*Tabelle58971115[[#This Row],[variable Kosten €_2020/MWh]]</f>
        <v>1.5570000000000002</v>
      </c>
      <c r="AR103" s="45">
        <v>0.01</v>
      </c>
      <c r="AS103" s="1" t="s">
        <v>385</v>
      </c>
      <c r="AT103" s="1" t="s">
        <v>479</v>
      </c>
      <c r="AU103" s="1" t="s">
        <v>479</v>
      </c>
      <c r="AV103" s="1" t="s">
        <v>479</v>
      </c>
      <c r="AW103" s="1" t="s">
        <v>493</v>
      </c>
      <c r="AX103" s="13" t="s">
        <v>470</v>
      </c>
      <c r="AY103" s="13" t="s">
        <v>470</v>
      </c>
      <c r="AZ103" s="35"/>
      <c r="BA103" s="13" t="s">
        <v>469</v>
      </c>
      <c r="BB103" s="13" t="s">
        <v>469</v>
      </c>
      <c r="BC103" s="13" t="s">
        <v>496</v>
      </c>
      <c r="BD103" s="1" t="s">
        <v>465</v>
      </c>
      <c r="BE103" s="1" t="s">
        <v>465</v>
      </c>
      <c r="BF103" s="30" t="s">
        <v>473</v>
      </c>
      <c r="BG103" s="1" t="s">
        <v>465</v>
      </c>
      <c r="BH103" s="1" t="s">
        <v>503</v>
      </c>
      <c r="BI103" s="1" t="s">
        <v>499</v>
      </c>
      <c r="BJ103" s="1" t="s">
        <v>500</v>
      </c>
      <c r="BK103" s="1" t="s">
        <v>499</v>
      </c>
      <c r="BL103" s="1" t="s">
        <v>499</v>
      </c>
      <c r="BM103" s="30"/>
    </row>
    <row r="104" spans="1:65" hidden="1" x14ac:dyDescent="0.25">
      <c r="A104" s="30" t="s">
        <v>130</v>
      </c>
      <c r="B104" s="30" t="s">
        <v>139</v>
      </c>
      <c r="C104" s="30" t="str">
        <f>VLOOKUP(Tabelle58971115[[#This Row],[Prozess]],Tabelle22333[],3,FALSE)</f>
        <v>WashingEq_Res</v>
      </c>
      <c r="D104" s="1">
        <v>2030</v>
      </c>
      <c r="E104" s="30">
        <v>1</v>
      </c>
      <c r="F104" s="30">
        <v>0</v>
      </c>
      <c r="G104" s="1">
        <v>0</v>
      </c>
      <c r="H104" s="1">
        <v>1</v>
      </c>
      <c r="I104" s="1">
        <v>1</v>
      </c>
      <c r="J104" s="1">
        <v>3.9271428000000004</v>
      </c>
      <c r="M104" s="31"/>
      <c r="N104" s="31">
        <v>135</v>
      </c>
      <c r="O104" s="31"/>
      <c r="P104" s="31">
        <v>1880</v>
      </c>
      <c r="Q104" s="9"/>
      <c r="R104" s="33">
        <v>0.3</v>
      </c>
      <c r="S104" s="33">
        <v>0.1</v>
      </c>
      <c r="T104" s="33"/>
      <c r="U104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4" s="33"/>
      <c r="W104" s="44"/>
      <c r="X104" s="44"/>
      <c r="Y104" s="33">
        <v>1</v>
      </c>
      <c r="Z104" s="30">
        <v>12</v>
      </c>
      <c r="AA104" s="30"/>
      <c r="AB104" s="30"/>
      <c r="AC104" s="30">
        <v>12</v>
      </c>
      <c r="AD104" s="30">
        <v>4</v>
      </c>
      <c r="AE104" s="30">
        <v>12</v>
      </c>
      <c r="AF104" s="30">
        <v>6</v>
      </c>
      <c r="AG104" s="30">
        <v>0</v>
      </c>
      <c r="AH104" s="1" t="s">
        <v>369</v>
      </c>
      <c r="AI104" s="1" t="s">
        <v>274</v>
      </c>
      <c r="AK104" s="1">
        <v>1095</v>
      </c>
      <c r="AM104" s="31">
        <f>30*Umrechnungsfaktoren!$B$15/Umrechnungsfaktoren!$B$12</f>
        <v>31.14</v>
      </c>
      <c r="AN104" s="34">
        <f>0.05*10^3*Umrechnungsfaktoren!$B$15/Umrechnungsfaktoren!$B$12</f>
        <v>51.900000000000006</v>
      </c>
      <c r="AO104" s="34"/>
      <c r="AP104" s="34"/>
      <c r="AQ104" s="34">
        <f>0.03*Tabelle58971115[[#This Row],[variable Kosten €_2020/MWh]]</f>
        <v>1.5570000000000002</v>
      </c>
      <c r="AR104" s="45">
        <v>0.01</v>
      </c>
      <c r="AS104" s="1" t="s">
        <v>385</v>
      </c>
      <c r="AT104" s="1" t="s">
        <v>479</v>
      </c>
      <c r="AU104" s="1" t="s">
        <v>479</v>
      </c>
      <c r="AV104" s="1" t="s">
        <v>479</v>
      </c>
      <c r="AW104" s="1" t="s">
        <v>493</v>
      </c>
      <c r="AX104" s="13" t="s">
        <v>471</v>
      </c>
      <c r="AY104" s="13" t="s">
        <v>471</v>
      </c>
      <c r="AZ104" s="35"/>
      <c r="BA104" s="13" t="s">
        <v>469</v>
      </c>
      <c r="BB104" s="13" t="s">
        <v>469</v>
      </c>
      <c r="BC104" s="13" t="s">
        <v>496</v>
      </c>
      <c r="BD104" s="1" t="s">
        <v>465</v>
      </c>
      <c r="BE104" s="1" t="s">
        <v>465</v>
      </c>
      <c r="BF104" s="30" t="s">
        <v>473</v>
      </c>
      <c r="BG104" s="1" t="s">
        <v>465</v>
      </c>
      <c r="BH104" s="1" t="s">
        <v>503</v>
      </c>
      <c r="BI104" s="1" t="s">
        <v>499</v>
      </c>
      <c r="BJ104" s="1" t="s">
        <v>500</v>
      </c>
      <c r="BK104" s="1" t="s">
        <v>499</v>
      </c>
      <c r="BL104" s="1" t="s">
        <v>499</v>
      </c>
      <c r="BM104" s="30"/>
    </row>
    <row r="105" spans="1:65" hidden="1" x14ac:dyDescent="0.25">
      <c r="A105" s="30" t="s">
        <v>130</v>
      </c>
      <c r="B105" s="30" t="s">
        <v>139</v>
      </c>
      <c r="C105" s="30" t="str">
        <f>VLOOKUP(Tabelle58971115[[#This Row],[Prozess]],Tabelle22333[],3,FALSE)</f>
        <v>WashingEq_Res</v>
      </c>
      <c r="D105" s="1">
        <v>2050</v>
      </c>
      <c r="E105" s="30">
        <v>1</v>
      </c>
      <c r="F105" s="30">
        <v>0</v>
      </c>
      <c r="G105" s="1">
        <v>0</v>
      </c>
      <c r="H105" s="1">
        <v>1</v>
      </c>
      <c r="I105" s="1">
        <v>1</v>
      </c>
      <c r="J105" s="1">
        <v>2.8331520000000001</v>
      </c>
      <c r="M105" s="31"/>
      <c r="N105" s="31">
        <v>130</v>
      </c>
      <c r="O105" s="31"/>
      <c r="P105" s="31">
        <v>2034</v>
      </c>
      <c r="Q105" s="9"/>
      <c r="R105" s="33">
        <v>0.4</v>
      </c>
      <c r="S105" s="33">
        <v>0.15</v>
      </c>
      <c r="T105" s="33"/>
      <c r="U105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5" s="33"/>
      <c r="W105" s="44"/>
      <c r="X105" s="44"/>
      <c r="Y105" s="33">
        <v>1</v>
      </c>
      <c r="Z105" s="30">
        <v>12</v>
      </c>
      <c r="AA105" s="30"/>
      <c r="AB105" s="30"/>
      <c r="AC105" s="30">
        <v>12</v>
      </c>
      <c r="AD105" s="30">
        <v>4</v>
      </c>
      <c r="AE105" s="30">
        <v>12</v>
      </c>
      <c r="AF105" s="30">
        <v>6</v>
      </c>
      <c r="AG105" s="30">
        <v>0</v>
      </c>
      <c r="AH105" s="1" t="s">
        <v>369</v>
      </c>
      <c r="AI105" s="1" t="s">
        <v>274</v>
      </c>
      <c r="AK105" s="1">
        <v>1095</v>
      </c>
      <c r="AM105" s="31">
        <f>30*Umrechnungsfaktoren!$B$15/Umrechnungsfaktoren!$B$12</f>
        <v>31.14</v>
      </c>
      <c r="AN105" s="34">
        <f>0.05*10^3*Umrechnungsfaktoren!$B$15/Umrechnungsfaktoren!$B$12</f>
        <v>51.900000000000006</v>
      </c>
      <c r="AO105" s="34"/>
      <c r="AP105" s="34"/>
      <c r="AQ105" s="34">
        <f>0.03*Tabelle58971115[[#This Row],[variable Kosten €_2020/MWh]]</f>
        <v>1.5570000000000002</v>
      </c>
      <c r="AR105" s="45">
        <v>0.01</v>
      </c>
      <c r="AS105" s="1" t="s">
        <v>385</v>
      </c>
      <c r="AT105" s="1" t="s">
        <v>479</v>
      </c>
      <c r="AU105" s="1" t="s">
        <v>479</v>
      </c>
      <c r="AV105" s="1" t="s">
        <v>479</v>
      </c>
      <c r="AW105" s="1" t="s">
        <v>493</v>
      </c>
      <c r="AX105" s="13" t="s">
        <v>472</v>
      </c>
      <c r="AY105" s="13" t="s">
        <v>472</v>
      </c>
      <c r="AZ105" s="35"/>
      <c r="BA105" s="13" t="s">
        <v>469</v>
      </c>
      <c r="BB105" s="13" t="s">
        <v>469</v>
      </c>
      <c r="BC105" s="13" t="s">
        <v>496</v>
      </c>
      <c r="BD105" s="1" t="s">
        <v>465</v>
      </c>
      <c r="BE105" s="1" t="s">
        <v>465</v>
      </c>
      <c r="BF105" s="30" t="s">
        <v>473</v>
      </c>
      <c r="BG105" s="1" t="s">
        <v>465</v>
      </c>
      <c r="BH105" s="1" t="s">
        <v>503</v>
      </c>
      <c r="BI105" s="1" t="s">
        <v>499</v>
      </c>
      <c r="BJ105" s="1" t="s">
        <v>500</v>
      </c>
      <c r="BK105" s="1" t="s">
        <v>499</v>
      </c>
      <c r="BL105" s="1" t="s">
        <v>499</v>
      </c>
      <c r="BM105" s="30"/>
    </row>
    <row r="106" spans="1:65" x14ac:dyDescent="0.25">
      <c r="A106" s="30" t="s">
        <v>283</v>
      </c>
      <c r="B106" s="30" t="s">
        <v>139</v>
      </c>
      <c r="C106" s="30" t="str">
        <f>VLOOKUP(Tabelle58971115[[#This Row],[Prozess]],Tabelle22333[],3,FALSE)</f>
        <v>WashingEq_Res</v>
      </c>
      <c r="D106" s="1">
        <v>2010</v>
      </c>
      <c r="E106" s="30">
        <v>1</v>
      </c>
      <c r="F106" s="30">
        <v>0</v>
      </c>
      <c r="G106" s="1">
        <v>0</v>
      </c>
      <c r="H106" s="1">
        <v>1</v>
      </c>
      <c r="I106" s="1">
        <v>1</v>
      </c>
      <c r="J106" s="1">
        <v>6.87744</v>
      </c>
      <c r="M106" s="31"/>
      <c r="N106" s="31">
        <v>791</v>
      </c>
      <c r="O106" s="31"/>
      <c r="P106" s="31">
        <v>15863</v>
      </c>
      <c r="Q106" s="9"/>
      <c r="R106" s="33">
        <v>0.25</v>
      </c>
      <c r="S106" s="33">
        <v>0.08</v>
      </c>
      <c r="T106" s="33"/>
      <c r="U106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6" s="33"/>
      <c r="W106" s="44"/>
      <c r="X106" s="44"/>
      <c r="Y106" s="33">
        <v>1</v>
      </c>
      <c r="Z106" s="30">
        <v>12</v>
      </c>
      <c r="AA106" s="30"/>
      <c r="AB106" s="30"/>
      <c r="AC106" s="30">
        <v>12</v>
      </c>
      <c r="AD106" s="30">
        <v>4</v>
      </c>
      <c r="AE106" s="30">
        <v>12</v>
      </c>
      <c r="AF106" s="30">
        <v>6</v>
      </c>
      <c r="AG106" s="30">
        <v>0</v>
      </c>
      <c r="AH106" s="1" t="s">
        <v>369</v>
      </c>
      <c r="AI106" s="1" t="s">
        <v>274</v>
      </c>
      <c r="AK106" s="1">
        <v>1095</v>
      </c>
      <c r="AM106" s="31">
        <f>30*Umrechnungsfaktoren!$B$15/Umrechnungsfaktoren!$B$12</f>
        <v>31.14</v>
      </c>
      <c r="AN106" s="34">
        <f>0.05*10^3*Umrechnungsfaktoren!$B$15/Umrechnungsfaktoren!$B$12</f>
        <v>51.900000000000006</v>
      </c>
      <c r="AO106" s="34"/>
      <c r="AP106" s="34"/>
      <c r="AQ106" s="34">
        <f>0.03*Tabelle58971115[[#This Row],[variable Kosten €_2020/MWh]]</f>
        <v>1.5570000000000002</v>
      </c>
      <c r="AR106" s="45">
        <v>0.01</v>
      </c>
      <c r="AS106" s="1" t="s">
        <v>385</v>
      </c>
      <c r="AT106" s="1" t="s">
        <v>479</v>
      </c>
      <c r="AU106" s="1" t="s">
        <v>479</v>
      </c>
      <c r="AV106" s="1" t="s">
        <v>479</v>
      </c>
      <c r="AW106" s="1" t="s">
        <v>493</v>
      </c>
      <c r="AX106" s="13" t="s">
        <v>476</v>
      </c>
      <c r="AY106" s="13" t="s">
        <v>477</v>
      </c>
      <c r="AZ106" s="35"/>
      <c r="BA106" s="13" t="s">
        <v>469</v>
      </c>
      <c r="BB106" s="13" t="s">
        <v>469</v>
      </c>
      <c r="BC106" s="13" t="s">
        <v>496</v>
      </c>
      <c r="BD106" s="1" t="s">
        <v>465</v>
      </c>
      <c r="BE106" s="1" t="s">
        <v>465</v>
      </c>
      <c r="BF106" s="30" t="s">
        <v>473</v>
      </c>
      <c r="BG106" s="1" t="s">
        <v>465</v>
      </c>
      <c r="BH106" s="1" t="s">
        <v>503</v>
      </c>
      <c r="BI106" s="1" t="s">
        <v>499</v>
      </c>
      <c r="BJ106" s="1" t="s">
        <v>500</v>
      </c>
      <c r="BK106" s="1" t="s">
        <v>499</v>
      </c>
      <c r="BL106" s="1" t="s">
        <v>499</v>
      </c>
      <c r="BM106" s="30"/>
    </row>
    <row r="107" spans="1:65" hidden="1" x14ac:dyDescent="0.25">
      <c r="A107" s="30" t="s">
        <v>283</v>
      </c>
      <c r="B107" s="30" t="s">
        <v>139</v>
      </c>
      <c r="C107" s="30" t="str">
        <f>VLOOKUP(Tabelle58971115[[#This Row],[Prozess]],Tabelle22333[],3,FALSE)</f>
        <v>WashingEq_Res</v>
      </c>
      <c r="D107" s="1">
        <v>2020</v>
      </c>
      <c r="E107" s="30">
        <v>1</v>
      </c>
      <c r="F107" s="30">
        <v>0</v>
      </c>
      <c r="G107" s="1">
        <v>0</v>
      </c>
      <c r="H107" s="1">
        <v>1</v>
      </c>
      <c r="I107" s="1">
        <v>1</v>
      </c>
      <c r="J107" s="1">
        <v>5.6368834615384609</v>
      </c>
      <c r="M107" s="31"/>
      <c r="N107" s="31">
        <v>162</v>
      </c>
      <c r="O107" s="31"/>
      <c r="P107" s="31">
        <v>1038</v>
      </c>
      <c r="Q107" s="9"/>
      <c r="R107" s="33"/>
      <c r="S107" s="33"/>
      <c r="T107" s="33"/>
      <c r="U107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7" s="33"/>
      <c r="W107" s="44"/>
      <c r="X107" s="44"/>
      <c r="Y107" s="33">
        <v>1</v>
      </c>
      <c r="Z107" s="30">
        <v>12</v>
      </c>
      <c r="AA107" s="30"/>
      <c r="AB107" s="30"/>
      <c r="AC107" s="30">
        <v>12</v>
      </c>
      <c r="AD107" s="30">
        <v>4</v>
      </c>
      <c r="AE107" s="30">
        <v>12</v>
      </c>
      <c r="AF107" s="30">
        <v>6</v>
      </c>
      <c r="AG107" s="30">
        <v>0</v>
      </c>
      <c r="AH107" s="1" t="s">
        <v>369</v>
      </c>
      <c r="AI107" s="1" t="s">
        <v>274</v>
      </c>
      <c r="AK107" s="1">
        <v>1095</v>
      </c>
      <c r="AM107" s="31">
        <f>30*Umrechnungsfaktoren!$B$15/Umrechnungsfaktoren!$B$12</f>
        <v>31.14</v>
      </c>
      <c r="AN107" s="34">
        <f>0.05*10^3*Umrechnungsfaktoren!$B$15/Umrechnungsfaktoren!$B$12</f>
        <v>51.900000000000006</v>
      </c>
      <c r="AO107" s="34"/>
      <c r="AP107" s="34"/>
      <c r="AQ107" s="34">
        <f>0.03*Tabelle58971115[[#This Row],[variable Kosten €_2020/MWh]]</f>
        <v>1.5570000000000002</v>
      </c>
      <c r="AR107" s="45">
        <v>0.01</v>
      </c>
      <c r="AS107" s="1" t="s">
        <v>385</v>
      </c>
      <c r="AT107" s="1" t="s">
        <v>479</v>
      </c>
      <c r="AU107" s="1" t="s">
        <v>479</v>
      </c>
      <c r="AV107" s="1" t="s">
        <v>479</v>
      </c>
      <c r="AW107" s="1" t="s">
        <v>493</v>
      </c>
      <c r="AX107" s="13" t="s">
        <v>470</v>
      </c>
      <c r="AY107" s="13" t="s">
        <v>470</v>
      </c>
      <c r="AZ107" s="35"/>
      <c r="BA107" s="13" t="s">
        <v>469</v>
      </c>
      <c r="BB107" s="13" t="s">
        <v>469</v>
      </c>
      <c r="BC107" s="13" t="s">
        <v>496</v>
      </c>
      <c r="BD107" s="1" t="s">
        <v>465</v>
      </c>
      <c r="BE107" s="1" t="s">
        <v>465</v>
      </c>
      <c r="BF107" s="30" t="s">
        <v>473</v>
      </c>
      <c r="BG107" s="1" t="s">
        <v>465</v>
      </c>
      <c r="BH107" s="1" t="s">
        <v>503</v>
      </c>
      <c r="BI107" s="1" t="s">
        <v>499</v>
      </c>
      <c r="BJ107" s="1" t="s">
        <v>500</v>
      </c>
      <c r="BK107" s="1" t="s">
        <v>499</v>
      </c>
      <c r="BL107" s="1" t="s">
        <v>499</v>
      </c>
      <c r="BM107" s="30"/>
    </row>
    <row r="108" spans="1:65" hidden="1" x14ac:dyDescent="0.25">
      <c r="A108" s="30" t="s">
        <v>283</v>
      </c>
      <c r="B108" s="30" t="s">
        <v>139</v>
      </c>
      <c r="C108" s="30" t="str">
        <f>VLOOKUP(Tabelle58971115[[#This Row],[Prozess]],Tabelle22333[],3,FALSE)</f>
        <v>WashingEq_Res</v>
      </c>
      <c r="D108" s="1">
        <v>2030</v>
      </c>
      <c r="E108" s="30">
        <v>1</v>
      </c>
      <c r="F108" s="30">
        <v>0</v>
      </c>
      <c r="G108" s="1">
        <v>0</v>
      </c>
      <c r="H108" s="1">
        <v>1</v>
      </c>
      <c r="I108" s="1">
        <v>1</v>
      </c>
      <c r="J108" s="1">
        <v>4.7576492307692311</v>
      </c>
      <c r="M108" s="31"/>
      <c r="N108" s="31">
        <v>164</v>
      </c>
      <c r="O108" s="31"/>
      <c r="P108" s="31">
        <v>1094</v>
      </c>
      <c r="Q108" s="9"/>
      <c r="R108" s="33">
        <v>0.3</v>
      </c>
      <c r="S108" s="33">
        <v>0.1</v>
      </c>
      <c r="T108" s="33"/>
      <c r="U108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8" s="33"/>
      <c r="W108" s="44"/>
      <c r="X108" s="44"/>
      <c r="Y108" s="33">
        <v>1</v>
      </c>
      <c r="Z108" s="30">
        <v>12</v>
      </c>
      <c r="AA108" s="30"/>
      <c r="AB108" s="30"/>
      <c r="AC108" s="30">
        <v>12</v>
      </c>
      <c r="AD108" s="30">
        <v>4</v>
      </c>
      <c r="AE108" s="30">
        <v>12</v>
      </c>
      <c r="AF108" s="30">
        <v>6</v>
      </c>
      <c r="AG108" s="30">
        <v>0</v>
      </c>
      <c r="AH108" s="1" t="s">
        <v>369</v>
      </c>
      <c r="AI108" s="1" t="s">
        <v>274</v>
      </c>
      <c r="AK108" s="1">
        <v>1095</v>
      </c>
      <c r="AM108" s="31">
        <f>30*Umrechnungsfaktoren!$B$15/Umrechnungsfaktoren!$B$12</f>
        <v>31.14</v>
      </c>
      <c r="AN108" s="34">
        <f>0.05*10^3*Umrechnungsfaktoren!$B$15/Umrechnungsfaktoren!$B$12</f>
        <v>51.900000000000006</v>
      </c>
      <c r="AO108" s="34"/>
      <c r="AP108" s="34"/>
      <c r="AQ108" s="34">
        <f>0.03*Tabelle58971115[[#This Row],[variable Kosten €_2020/MWh]]</f>
        <v>1.5570000000000002</v>
      </c>
      <c r="AR108" s="45">
        <v>0.01</v>
      </c>
      <c r="AS108" s="1" t="s">
        <v>385</v>
      </c>
      <c r="AT108" s="1" t="s">
        <v>479</v>
      </c>
      <c r="AU108" s="1" t="s">
        <v>479</v>
      </c>
      <c r="AV108" s="1" t="s">
        <v>479</v>
      </c>
      <c r="AW108" s="1" t="s">
        <v>493</v>
      </c>
      <c r="AX108" s="13" t="s">
        <v>471</v>
      </c>
      <c r="AY108" s="13" t="s">
        <v>471</v>
      </c>
      <c r="AZ108" s="35"/>
      <c r="BA108" s="13" t="s">
        <v>469</v>
      </c>
      <c r="BB108" s="13" t="s">
        <v>469</v>
      </c>
      <c r="BC108" s="13" t="s">
        <v>496</v>
      </c>
      <c r="BD108" s="1" t="s">
        <v>465</v>
      </c>
      <c r="BE108" s="1" t="s">
        <v>465</v>
      </c>
      <c r="BF108" s="30" t="s">
        <v>473</v>
      </c>
      <c r="BG108" s="1" t="s">
        <v>465</v>
      </c>
      <c r="BH108" s="1" t="s">
        <v>503</v>
      </c>
      <c r="BI108" s="1" t="s">
        <v>499</v>
      </c>
      <c r="BJ108" s="1" t="s">
        <v>500</v>
      </c>
      <c r="BK108" s="1" t="s">
        <v>499</v>
      </c>
      <c r="BL108" s="1" t="s">
        <v>499</v>
      </c>
      <c r="BM108" s="30"/>
    </row>
    <row r="109" spans="1:65" hidden="1" x14ac:dyDescent="0.25">
      <c r="A109" s="30" t="s">
        <v>283</v>
      </c>
      <c r="B109" s="30" t="s">
        <v>139</v>
      </c>
      <c r="C109" s="30" t="str">
        <f>VLOOKUP(Tabelle58971115[[#This Row],[Prozess]],Tabelle22333[],3,FALSE)</f>
        <v>WashingEq_Res</v>
      </c>
      <c r="D109" s="1">
        <v>2050</v>
      </c>
      <c r="E109" s="30">
        <v>1</v>
      </c>
      <c r="F109" s="30">
        <v>0</v>
      </c>
      <c r="G109" s="1">
        <v>0</v>
      </c>
      <c r="H109" s="1">
        <v>1</v>
      </c>
      <c r="I109" s="1">
        <v>1</v>
      </c>
      <c r="J109" s="1">
        <v>3.7085538461538463</v>
      </c>
      <c r="M109" s="31"/>
      <c r="N109" s="31">
        <v>170</v>
      </c>
      <c r="O109" s="31"/>
      <c r="P109" s="31">
        <v>1276</v>
      </c>
      <c r="Q109" s="9"/>
      <c r="R109" s="33">
        <v>0.4</v>
      </c>
      <c r="S109" s="33">
        <v>0.15</v>
      </c>
      <c r="T109" s="33"/>
      <c r="U109" s="33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9" s="33"/>
      <c r="W109" s="44"/>
      <c r="X109" s="44"/>
      <c r="Y109" s="33">
        <v>1</v>
      </c>
      <c r="Z109" s="30">
        <v>12</v>
      </c>
      <c r="AA109" s="30"/>
      <c r="AB109" s="30"/>
      <c r="AC109" s="30">
        <v>12</v>
      </c>
      <c r="AD109" s="30">
        <v>4</v>
      </c>
      <c r="AE109" s="30">
        <v>12</v>
      </c>
      <c r="AF109" s="30">
        <v>6</v>
      </c>
      <c r="AG109" s="30">
        <v>0</v>
      </c>
      <c r="AH109" s="1" t="s">
        <v>369</v>
      </c>
      <c r="AI109" s="1" t="s">
        <v>274</v>
      </c>
      <c r="AK109" s="1">
        <v>1095</v>
      </c>
      <c r="AM109" s="31">
        <f>30*Umrechnungsfaktoren!$B$15/Umrechnungsfaktoren!$B$12</f>
        <v>31.14</v>
      </c>
      <c r="AN109" s="34">
        <f>0.05*10^3*Umrechnungsfaktoren!$B$15/Umrechnungsfaktoren!$B$12</f>
        <v>51.900000000000006</v>
      </c>
      <c r="AO109" s="34"/>
      <c r="AP109" s="34"/>
      <c r="AQ109" s="34">
        <f>0.03*Tabelle58971115[[#This Row],[variable Kosten €_2020/MWh]]</f>
        <v>1.5570000000000002</v>
      </c>
      <c r="AR109" s="45">
        <v>0.01</v>
      </c>
      <c r="AS109" s="1" t="s">
        <v>385</v>
      </c>
      <c r="AT109" s="1" t="s">
        <v>479</v>
      </c>
      <c r="AU109" s="1" t="s">
        <v>479</v>
      </c>
      <c r="AV109" s="1" t="s">
        <v>479</v>
      </c>
      <c r="AW109" s="1" t="s">
        <v>493</v>
      </c>
      <c r="AX109" s="13" t="s">
        <v>472</v>
      </c>
      <c r="AY109" s="13" t="s">
        <v>472</v>
      </c>
      <c r="AZ109" s="35"/>
      <c r="BA109" s="13" t="s">
        <v>469</v>
      </c>
      <c r="BB109" s="13" t="s">
        <v>469</v>
      </c>
      <c r="BC109" s="13" t="s">
        <v>496</v>
      </c>
      <c r="BD109" s="1" t="s">
        <v>465</v>
      </c>
      <c r="BE109" s="1" t="s">
        <v>465</v>
      </c>
      <c r="BF109" s="30" t="s">
        <v>473</v>
      </c>
      <c r="BG109" s="1" t="s">
        <v>465</v>
      </c>
      <c r="BH109" s="1" t="s">
        <v>503</v>
      </c>
      <c r="BI109" s="1" t="s">
        <v>499</v>
      </c>
      <c r="BJ109" s="1" t="s">
        <v>500</v>
      </c>
      <c r="BK109" s="1" t="s">
        <v>499</v>
      </c>
      <c r="BL109" s="1" t="s">
        <v>499</v>
      </c>
      <c r="BM109" s="30"/>
    </row>
    <row r="110" spans="1:65" x14ac:dyDescent="0.25">
      <c r="A110" s="1" t="s">
        <v>150</v>
      </c>
      <c r="B110" s="1" t="s">
        <v>139</v>
      </c>
      <c r="C110" s="1" t="s">
        <v>494</v>
      </c>
      <c r="D110" s="1">
        <v>2010</v>
      </c>
      <c r="E110" s="30">
        <v>1</v>
      </c>
      <c r="F110" s="30">
        <v>0</v>
      </c>
      <c r="G110" s="1">
        <v>0</v>
      </c>
      <c r="H110" s="1">
        <v>0</v>
      </c>
      <c r="I110" s="1">
        <v>1</v>
      </c>
      <c r="J110" s="1">
        <v>11.636724000000001</v>
      </c>
      <c r="M110" s="19"/>
      <c r="N110" s="19">
        <v>1330</v>
      </c>
      <c r="O110" s="19"/>
      <c r="P110" s="19">
        <v>1058</v>
      </c>
      <c r="Q110" s="9"/>
      <c r="R110" s="9">
        <v>1</v>
      </c>
      <c r="S110" s="9">
        <v>0.9</v>
      </c>
      <c r="T110" s="9"/>
      <c r="U11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0" s="9"/>
      <c r="W110" s="9"/>
      <c r="X110" s="9"/>
      <c r="Y110" s="9">
        <v>0.97</v>
      </c>
      <c r="Z110" s="1">
        <v>1</v>
      </c>
      <c r="AC110" s="1">
        <v>1</v>
      </c>
      <c r="AF110" s="1">
        <v>2</v>
      </c>
      <c r="AG110" s="1">
        <v>4</v>
      </c>
      <c r="AH110" s="1" t="s">
        <v>377</v>
      </c>
      <c r="AI110" s="1" t="s">
        <v>273</v>
      </c>
      <c r="AJ110" s="1">
        <f>4/1</f>
        <v>4</v>
      </c>
      <c r="AK110" s="1">
        <v>1095</v>
      </c>
      <c r="AM110" s="31">
        <f>250*Umrechnungsfaktoren!$B$15/Umrechnungsfaktoren!$B$12</f>
        <v>259.5</v>
      </c>
      <c r="AN110" s="8">
        <f>10*Umrechnungsfaktoren!$B$15/Umrechnungsfaktoren!$B$12</f>
        <v>10.38</v>
      </c>
      <c r="AO110" s="8"/>
      <c r="AP110" s="8"/>
      <c r="AQ110" s="34">
        <f>0.03*Tabelle58971115[[#This Row],[Investitionsausgaben €_2020/kW]]</f>
        <v>7.7850000000000001</v>
      </c>
      <c r="AR110" s="45">
        <v>0.09</v>
      </c>
      <c r="AT110" s="1" t="s">
        <v>479</v>
      </c>
      <c r="AU110" s="1" t="s">
        <v>479</v>
      </c>
      <c r="AV110" s="1" t="s">
        <v>479</v>
      </c>
      <c r="AW110" s="1" t="s">
        <v>493</v>
      </c>
      <c r="AX110" s="13" t="s">
        <v>476</v>
      </c>
      <c r="AY110" s="13" t="s">
        <v>477</v>
      </c>
      <c r="AZ110" s="13"/>
      <c r="BA110" s="13" t="s">
        <v>469</v>
      </c>
      <c r="BB110" s="13" t="s">
        <v>469</v>
      </c>
      <c r="BC110" s="13" t="s">
        <v>496</v>
      </c>
      <c r="BD110" s="1" t="s">
        <v>474</v>
      </c>
      <c r="BE110" s="1" t="s">
        <v>474</v>
      </c>
      <c r="BF110" s="1" t="s">
        <v>473</v>
      </c>
      <c r="BG110" s="1" t="s">
        <v>465</v>
      </c>
      <c r="BH110" s="1" t="s">
        <v>504</v>
      </c>
      <c r="BI110" s="1" t="s">
        <v>499</v>
      </c>
      <c r="BJ110" s="1" t="s">
        <v>500</v>
      </c>
      <c r="BK110" s="1" t="s">
        <v>499</v>
      </c>
      <c r="BL110" s="1" t="s">
        <v>499</v>
      </c>
    </row>
    <row r="111" spans="1:65" hidden="1" x14ac:dyDescent="0.25">
      <c r="A111" s="1" t="s">
        <v>150</v>
      </c>
      <c r="B111" s="1" t="s">
        <v>139</v>
      </c>
      <c r="C111" s="1" t="s">
        <v>494</v>
      </c>
      <c r="D111" s="1">
        <v>2020</v>
      </c>
      <c r="E111" s="30">
        <v>1</v>
      </c>
      <c r="F111" s="30">
        <v>0</v>
      </c>
      <c r="G111" s="1">
        <v>0</v>
      </c>
      <c r="H111" s="1">
        <v>0</v>
      </c>
      <c r="I111" s="1">
        <v>1</v>
      </c>
      <c r="J111" s="1">
        <v>10.311538639999998</v>
      </c>
      <c r="M111" s="19"/>
      <c r="N111" s="19">
        <v>977</v>
      </c>
      <c r="O111" s="19"/>
      <c r="P111" s="19">
        <v>937</v>
      </c>
      <c r="Q111" s="9"/>
      <c r="R111" s="9"/>
      <c r="S111" s="9"/>
      <c r="T111" s="9">
        <f>4877/8760</f>
        <v>0.55673515981735155</v>
      </c>
      <c r="U11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1" s="9"/>
      <c r="W111" s="9"/>
      <c r="X111" s="9"/>
      <c r="Y111" s="9">
        <v>0.97</v>
      </c>
      <c r="Z111" s="1">
        <v>1</v>
      </c>
      <c r="AC111" s="1">
        <v>1</v>
      </c>
      <c r="AF111" s="1">
        <v>2</v>
      </c>
      <c r="AG111" s="1">
        <v>4</v>
      </c>
      <c r="AH111" s="1" t="s">
        <v>377</v>
      </c>
      <c r="AI111" s="1" t="s">
        <v>273</v>
      </c>
      <c r="AJ111" s="1">
        <f>4/1</f>
        <v>4</v>
      </c>
      <c r="AK111" s="1">
        <v>1095</v>
      </c>
      <c r="AM111" s="31">
        <f>250*Umrechnungsfaktoren!$B$15/Umrechnungsfaktoren!$B$12</f>
        <v>259.5</v>
      </c>
      <c r="AN111" s="8">
        <f>10*Umrechnungsfaktoren!$B$15/Umrechnungsfaktoren!$B$12</f>
        <v>10.38</v>
      </c>
      <c r="AO111" s="8"/>
      <c r="AP111" s="8"/>
      <c r="AQ111" s="34">
        <f>0.03*Tabelle58971115[[#This Row],[Investitionsausgaben €_2020/kW]]</f>
        <v>7.7850000000000001</v>
      </c>
      <c r="AR111" s="45">
        <v>0.09</v>
      </c>
      <c r="AT111" s="1" t="s">
        <v>479</v>
      </c>
      <c r="AU111" s="1" t="s">
        <v>479</v>
      </c>
      <c r="AV111" s="1" t="s">
        <v>479</v>
      </c>
      <c r="AW111" s="1" t="s">
        <v>493</v>
      </c>
      <c r="AX111" s="13" t="s">
        <v>470</v>
      </c>
      <c r="AY111" s="13" t="s">
        <v>470</v>
      </c>
      <c r="AZ111" s="13"/>
      <c r="BA111" s="35"/>
      <c r="BB111" s="35">
        <v>157</v>
      </c>
      <c r="BC111" s="13" t="s">
        <v>496</v>
      </c>
      <c r="BD111" s="1" t="s">
        <v>474</v>
      </c>
      <c r="BE111" s="1" t="s">
        <v>474</v>
      </c>
      <c r="BF111" s="1" t="s">
        <v>473</v>
      </c>
      <c r="BG111" s="1" t="s">
        <v>465</v>
      </c>
      <c r="BH111" s="1" t="s">
        <v>504</v>
      </c>
      <c r="BI111" s="1" t="s">
        <v>499</v>
      </c>
      <c r="BJ111" s="1" t="s">
        <v>500</v>
      </c>
      <c r="BK111" s="1" t="s">
        <v>499</v>
      </c>
      <c r="BL111" s="1" t="s">
        <v>499</v>
      </c>
    </row>
    <row r="112" spans="1:65" hidden="1" x14ac:dyDescent="0.25">
      <c r="A112" s="1" t="s">
        <v>150</v>
      </c>
      <c r="B112" s="1" t="s">
        <v>139</v>
      </c>
      <c r="C112" s="1" t="s">
        <v>494</v>
      </c>
      <c r="D112" s="1">
        <v>2030</v>
      </c>
      <c r="E112" s="30">
        <v>1</v>
      </c>
      <c r="F112" s="30">
        <v>0</v>
      </c>
      <c r="G112" s="1">
        <v>0</v>
      </c>
      <c r="H112" s="1">
        <v>0</v>
      </c>
      <c r="I112" s="1">
        <v>1</v>
      </c>
      <c r="J112" s="1">
        <v>8.4322392000000015</v>
      </c>
      <c r="M112" s="19"/>
      <c r="N112" s="19">
        <v>818</v>
      </c>
      <c r="O112" s="19"/>
      <c r="P112" s="19">
        <v>768</v>
      </c>
      <c r="Q112" s="9"/>
      <c r="R112" s="9">
        <v>1</v>
      </c>
      <c r="S112" s="9">
        <v>0.9</v>
      </c>
      <c r="T112" s="9">
        <f>4873/8760</f>
        <v>0.55627853881278544</v>
      </c>
      <c r="U11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2" s="9"/>
      <c r="W112" s="9"/>
      <c r="X112" s="9"/>
      <c r="Y112" s="9">
        <v>0.97</v>
      </c>
      <c r="Z112" s="1">
        <v>1</v>
      </c>
      <c r="AC112" s="1">
        <v>1</v>
      </c>
      <c r="AF112" s="1">
        <v>2</v>
      </c>
      <c r="AG112" s="1">
        <v>4</v>
      </c>
      <c r="AH112" s="1" t="s">
        <v>377</v>
      </c>
      <c r="AI112" s="1" t="s">
        <v>273</v>
      </c>
      <c r="AJ112" s="1">
        <f>4/1</f>
        <v>4</v>
      </c>
      <c r="AK112" s="1">
        <v>1095</v>
      </c>
      <c r="AM112" s="31">
        <f>250*Umrechnungsfaktoren!$B$15/Umrechnungsfaktoren!$B$12</f>
        <v>259.5</v>
      </c>
      <c r="AN112" s="8">
        <f>10*Umrechnungsfaktoren!$B$15/Umrechnungsfaktoren!$B$12</f>
        <v>10.38</v>
      </c>
      <c r="AO112" s="8"/>
      <c r="AP112" s="8"/>
      <c r="AQ112" s="34">
        <f>0.03*Tabelle58971115[[#This Row],[Investitionsausgaben €_2020/kW]]</f>
        <v>7.7850000000000001</v>
      </c>
      <c r="AR112" s="45">
        <v>0.09</v>
      </c>
      <c r="AT112" s="1" t="s">
        <v>479</v>
      </c>
      <c r="AU112" s="1" t="s">
        <v>479</v>
      </c>
      <c r="AV112" s="1" t="s">
        <v>479</v>
      </c>
      <c r="AW112" s="1" t="s">
        <v>493</v>
      </c>
      <c r="AX112" s="13" t="s">
        <v>471</v>
      </c>
      <c r="AY112" s="13" t="s">
        <v>471</v>
      </c>
      <c r="AZ112" s="13"/>
      <c r="BA112" s="35"/>
      <c r="BB112" s="35">
        <v>157</v>
      </c>
      <c r="BC112" s="13" t="s">
        <v>496</v>
      </c>
      <c r="BD112" s="1" t="s">
        <v>474</v>
      </c>
      <c r="BE112" s="1" t="s">
        <v>474</v>
      </c>
      <c r="BF112" s="1" t="s">
        <v>473</v>
      </c>
      <c r="BG112" s="1" t="s">
        <v>465</v>
      </c>
      <c r="BH112" s="1" t="s">
        <v>504</v>
      </c>
      <c r="BI112" s="1" t="s">
        <v>499</v>
      </c>
      <c r="BJ112" s="1" t="s">
        <v>500</v>
      </c>
      <c r="BK112" s="1" t="s">
        <v>499</v>
      </c>
      <c r="BL112" s="1" t="s">
        <v>499</v>
      </c>
    </row>
    <row r="113" spans="1:64" hidden="1" x14ac:dyDescent="0.25">
      <c r="A113" s="1" t="s">
        <v>150</v>
      </c>
      <c r="B113" s="1" t="s">
        <v>139</v>
      </c>
      <c r="C113" s="1" t="s">
        <v>494</v>
      </c>
      <c r="D113" s="1">
        <v>2050</v>
      </c>
      <c r="E113" s="30">
        <v>1</v>
      </c>
      <c r="F113" s="30">
        <v>0</v>
      </c>
      <c r="G113" s="1">
        <v>0</v>
      </c>
      <c r="H113" s="1">
        <v>0</v>
      </c>
      <c r="I113" s="1">
        <v>1</v>
      </c>
      <c r="J113" s="1">
        <v>3.0740889600000001</v>
      </c>
      <c r="M113" s="19"/>
      <c r="N113" s="19">
        <v>316</v>
      </c>
      <c r="O113" s="19"/>
      <c r="P113" s="19">
        <v>284</v>
      </c>
      <c r="Q113" s="9"/>
      <c r="R113" s="9">
        <v>1</v>
      </c>
      <c r="S113" s="9">
        <v>0.9</v>
      </c>
      <c r="T113" s="9">
        <f>4842/8760</f>
        <v>0.55273972602739729</v>
      </c>
      <c r="U11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3" s="9"/>
      <c r="W113" s="9"/>
      <c r="X113" s="9"/>
      <c r="Y113" s="9">
        <v>0.97</v>
      </c>
      <c r="Z113" s="1">
        <v>1</v>
      </c>
      <c r="AC113" s="1">
        <v>1</v>
      </c>
      <c r="AF113" s="1">
        <v>2</v>
      </c>
      <c r="AG113" s="1">
        <v>4</v>
      </c>
      <c r="AH113" s="1" t="s">
        <v>377</v>
      </c>
      <c r="AI113" s="1" t="s">
        <v>273</v>
      </c>
      <c r="AJ113" s="1">
        <f>4/1</f>
        <v>4</v>
      </c>
      <c r="AK113" s="1">
        <v>1095</v>
      </c>
      <c r="AM113" s="31">
        <f>250*Umrechnungsfaktoren!$B$15/Umrechnungsfaktoren!$B$12</f>
        <v>259.5</v>
      </c>
      <c r="AN113" s="8">
        <f>10*Umrechnungsfaktoren!$B$15/Umrechnungsfaktoren!$B$12</f>
        <v>10.38</v>
      </c>
      <c r="AO113" s="8"/>
      <c r="AP113" s="8"/>
      <c r="AQ113" s="34">
        <f>0.03*Tabelle58971115[[#This Row],[Investitionsausgaben €_2020/kW]]</f>
        <v>7.7850000000000001</v>
      </c>
      <c r="AR113" s="45">
        <v>0.09</v>
      </c>
      <c r="AT113" s="1" t="s">
        <v>479</v>
      </c>
      <c r="AU113" s="1" t="s">
        <v>479</v>
      </c>
      <c r="AV113" s="1" t="s">
        <v>479</v>
      </c>
      <c r="AW113" s="1" t="s">
        <v>493</v>
      </c>
      <c r="AX113" s="13" t="s">
        <v>472</v>
      </c>
      <c r="AY113" s="13" t="s">
        <v>472</v>
      </c>
      <c r="AZ113" s="13"/>
      <c r="BA113" s="35"/>
      <c r="BB113" s="35">
        <v>157</v>
      </c>
      <c r="BC113" s="13" t="s">
        <v>496</v>
      </c>
      <c r="BD113" s="1" t="s">
        <v>474</v>
      </c>
      <c r="BE113" s="1" t="s">
        <v>474</v>
      </c>
      <c r="BF113" s="1" t="s">
        <v>473</v>
      </c>
      <c r="BG113" s="1" t="s">
        <v>465</v>
      </c>
      <c r="BH113" s="1" t="s">
        <v>504</v>
      </c>
      <c r="BI113" s="1" t="s">
        <v>499</v>
      </c>
      <c r="BJ113" s="1" t="s">
        <v>500</v>
      </c>
      <c r="BK113" s="1" t="s">
        <v>499</v>
      </c>
      <c r="BL113" s="1" t="s">
        <v>499</v>
      </c>
    </row>
    <row r="114" spans="1:64" x14ac:dyDescent="0.25">
      <c r="A114" s="1" t="s">
        <v>138</v>
      </c>
      <c r="B114" s="1" t="s">
        <v>139</v>
      </c>
      <c r="C114" s="1" t="str">
        <f>VLOOKUP(Tabelle58971115[[#This Row],[Prozess]],Tabelle22333[],3,FALSE)</f>
        <v>StorHeat_Res_Com</v>
      </c>
      <c r="D114" s="1">
        <v>2010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M114" s="19"/>
      <c r="N114" s="19">
        <v>1654</v>
      </c>
      <c r="O114" s="19"/>
      <c r="P114" s="19">
        <v>20637</v>
      </c>
      <c r="Q114" s="9"/>
      <c r="R114" s="9"/>
      <c r="S114" s="9"/>
      <c r="T114" s="9"/>
      <c r="U11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4" s="9"/>
      <c r="W114" s="40">
        <v>0.95</v>
      </c>
      <c r="X114" s="9">
        <v>0.98</v>
      </c>
      <c r="Y114" s="9">
        <v>0.96</v>
      </c>
      <c r="Z114" s="1">
        <v>12</v>
      </c>
      <c r="AC114" s="1">
        <v>12</v>
      </c>
      <c r="AD114" s="1">
        <v>4</v>
      </c>
      <c r="AE114" s="1">
        <v>12</v>
      </c>
      <c r="AF114" s="1">
        <v>8</v>
      </c>
      <c r="AG114" s="1">
        <v>0</v>
      </c>
      <c r="AH114" s="1" t="s">
        <v>377</v>
      </c>
      <c r="AI114" s="1" t="s">
        <v>273</v>
      </c>
      <c r="AK114" s="1">
        <v>1095</v>
      </c>
      <c r="AM114" s="19">
        <f>20*Umrechnungsfaktoren!$B$15/Umrechnungsfaktoren!$B$12</f>
        <v>20.76</v>
      </c>
      <c r="AN114" s="8">
        <f>10*Umrechnungsfaktoren!$B$15/Umrechnungsfaktoren!$B$12</f>
        <v>10.38</v>
      </c>
      <c r="AO114" s="8"/>
      <c r="AP114" s="8"/>
      <c r="AQ114" s="8">
        <f>0.03*Tabelle58971115[[#This Row],[Investitionsausgaben €_2020/kW]]</f>
        <v>0.62280000000000002</v>
      </c>
      <c r="AR114" s="7">
        <v>0.04</v>
      </c>
      <c r="AT114" s="1" t="s">
        <v>479</v>
      </c>
      <c r="AU114" s="1" t="s">
        <v>479</v>
      </c>
      <c r="AV114" s="1" t="s">
        <v>479</v>
      </c>
      <c r="AW114" s="30"/>
      <c r="AX114" s="13" t="s">
        <v>476</v>
      </c>
      <c r="AY114" s="13" t="s">
        <v>477</v>
      </c>
      <c r="AZ114" s="13"/>
      <c r="BA114" s="13"/>
      <c r="BB114" s="13"/>
      <c r="BC114" s="13" t="s">
        <v>496</v>
      </c>
      <c r="BD114" s="1" t="s">
        <v>474</v>
      </c>
      <c r="BE114" s="1" t="s">
        <v>474</v>
      </c>
      <c r="BF114" s="1" t="s">
        <v>473</v>
      </c>
      <c r="BG114" s="1" t="s">
        <v>465</v>
      </c>
      <c r="BH114" s="1" t="s">
        <v>503</v>
      </c>
      <c r="BI114" s="1" t="s">
        <v>499</v>
      </c>
      <c r="BJ114" s="1" t="s">
        <v>500</v>
      </c>
      <c r="BK114" s="1" t="s">
        <v>499</v>
      </c>
      <c r="BL114" s="1" t="s">
        <v>499</v>
      </c>
    </row>
    <row r="115" spans="1:64" hidden="1" x14ac:dyDescent="0.25">
      <c r="A115" s="1" t="s">
        <v>138</v>
      </c>
      <c r="B115" s="1" t="s">
        <v>139</v>
      </c>
      <c r="C115" s="1" t="str">
        <f>VLOOKUP(Tabelle58971115[[#This Row],[Prozess]],Tabelle22333[],3,FALSE)</f>
        <v>StorHeat_Res_Com</v>
      </c>
      <c r="D115" s="1">
        <v>2020</v>
      </c>
      <c r="E115" s="1">
        <v>1</v>
      </c>
      <c r="F115" s="1">
        <v>0</v>
      </c>
      <c r="G115" s="1">
        <v>0</v>
      </c>
      <c r="H115" s="1">
        <v>1</v>
      </c>
      <c r="I115" s="1">
        <v>0</v>
      </c>
      <c r="M115" s="19"/>
      <c r="N115" s="19">
        <v>1373</v>
      </c>
      <c r="O115" s="19"/>
      <c r="P115" s="19">
        <v>15414</v>
      </c>
      <c r="Q115" s="9"/>
      <c r="R115" s="9">
        <v>0.83</v>
      </c>
      <c r="S115" s="9">
        <v>1</v>
      </c>
      <c r="T115" s="9"/>
      <c r="U11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5" s="9"/>
      <c r="W115" s="40">
        <v>0.95</v>
      </c>
      <c r="X115" s="9">
        <v>0.98</v>
      </c>
      <c r="Y115" s="9">
        <v>0.96</v>
      </c>
      <c r="Z115" s="1">
        <v>12</v>
      </c>
      <c r="AC115" s="1">
        <v>12</v>
      </c>
      <c r="AD115" s="1">
        <v>4</v>
      </c>
      <c r="AE115" s="1">
        <v>12</v>
      </c>
      <c r="AF115" s="1">
        <v>8</v>
      </c>
      <c r="AG115" s="1">
        <v>0</v>
      </c>
      <c r="AH115" s="1" t="s">
        <v>377</v>
      </c>
      <c r="AI115" s="1" t="s">
        <v>273</v>
      </c>
      <c r="AK115" s="1">
        <v>1095</v>
      </c>
      <c r="AM115" s="19">
        <f>20*Umrechnungsfaktoren!$B$15/Umrechnungsfaktoren!$B$12</f>
        <v>20.76</v>
      </c>
      <c r="AN115" s="8">
        <f>10*Umrechnungsfaktoren!$B$15/Umrechnungsfaktoren!$B$12</f>
        <v>10.38</v>
      </c>
      <c r="AO115" s="8"/>
      <c r="AP115" s="8"/>
      <c r="AQ115" s="8">
        <f>0.03*Tabelle58971115[[#This Row],[Investitionsausgaben €_2020/kW]]</f>
        <v>0.62280000000000002</v>
      </c>
      <c r="AR115" s="7">
        <v>0.04</v>
      </c>
      <c r="AT115" s="1" t="s">
        <v>479</v>
      </c>
      <c r="AU115" s="1" t="s">
        <v>479</v>
      </c>
      <c r="AV115" s="1" t="s">
        <v>479</v>
      </c>
      <c r="AW115" s="30"/>
      <c r="AX115" s="13" t="s">
        <v>470</v>
      </c>
      <c r="AY115" s="13" t="s">
        <v>470</v>
      </c>
      <c r="AZ115" s="13"/>
      <c r="BA115" s="13"/>
      <c r="BB115" s="13"/>
      <c r="BC115" s="13" t="s">
        <v>496</v>
      </c>
      <c r="BD115" s="1" t="s">
        <v>474</v>
      </c>
      <c r="BE115" s="1" t="s">
        <v>474</v>
      </c>
      <c r="BF115" s="1" t="s">
        <v>473</v>
      </c>
      <c r="BG115" s="1" t="s">
        <v>465</v>
      </c>
      <c r="BH115" s="1" t="s">
        <v>503</v>
      </c>
      <c r="BI115" s="1" t="s">
        <v>499</v>
      </c>
      <c r="BJ115" s="1" t="s">
        <v>500</v>
      </c>
      <c r="BK115" s="1" t="s">
        <v>499</v>
      </c>
      <c r="BL115" s="1" t="s">
        <v>499</v>
      </c>
    </row>
    <row r="116" spans="1:64" hidden="1" x14ac:dyDescent="0.25">
      <c r="A116" s="1" t="s">
        <v>138</v>
      </c>
      <c r="B116" s="1" t="s">
        <v>139</v>
      </c>
      <c r="C116" s="1" t="str">
        <f>VLOOKUP(Tabelle58971115[[#This Row],[Prozess]],Tabelle22333[],3,FALSE)</f>
        <v>StorHeat_Res_Com</v>
      </c>
      <c r="D116" s="1">
        <v>2030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M116" s="19"/>
      <c r="N116" s="19">
        <v>1070</v>
      </c>
      <c r="O116" s="19"/>
      <c r="P116" s="19">
        <v>12014</v>
      </c>
      <c r="Q116" s="9"/>
      <c r="R116" s="9">
        <v>0.85</v>
      </c>
      <c r="S116" s="9">
        <v>1</v>
      </c>
      <c r="T116" s="9"/>
      <c r="U11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6" s="9"/>
      <c r="W116" s="40">
        <v>0.95</v>
      </c>
      <c r="X116" s="9">
        <v>0.98</v>
      </c>
      <c r="Y116" s="9">
        <v>0.96</v>
      </c>
      <c r="Z116" s="1">
        <v>12</v>
      </c>
      <c r="AC116" s="1">
        <v>12</v>
      </c>
      <c r="AD116" s="1">
        <v>4</v>
      </c>
      <c r="AE116" s="1">
        <v>12</v>
      </c>
      <c r="AF116" s="1">
        <v>8</v>
      </c>
      <c r="AG116" s="1">
        <v>0</v>
      </c>
      <c r="AH116" s="1" t="s">
        <v>377</v>
      </c>
      <c r="AI116" s="1" t="s">
        <v>273</v>
      </c>
      <c r="AK116" s="1">
        <v>1095</v>
      </c>
      <c r="AM116" s="19">
        <f>20*Umrechnungsfaktoren!$B$15/Umrechnungsfaktoren!$B$12</f>
        <v>20.76</v>
      </c>
      <c r="AN116" s="8">
        <f>10*Umrechnungsfaktoren!$B$15/Umrechnungsfaktoren!$B$12</f>
        <v>10.38</v>
      </c>
      <c r="AO116" s="8"/>
      <c r="AP116" s="8"/>
      <c r="AQ116" s="8">
        <f>0.03*Tabelle58971115[[#This Row],[Investitionsausgaben €_2020/kW]]</f>
        <v>0.62280000000000002</v>
      </c>
      <c r="AR116" s="7">
        <v>0.04</v>
      </c>
      <c r="AT116" s="1" t="s">
        <v>479</v>
      </c>
      <c r="AU116" s="1" t="s">
        <v>479</v>
      </c>
      <c r="AV116" s="1" t="s">
        <v>479</v>
      </c>
      <c r="AX116" s="13" t="s">
        <v>471</v>
      </c>
      <c r="AY116" s="13" t="s">
        <v>471</v>
      </c>
      <c r="AZ116" s="13"/>
      <c r="BA116" s="13"/>
      <c r="BB116" s="13"/>
      <c r="BC116" s="13" t="s">
        <v>496</v>
      </c>
      <c r="BD116" s="1" t="s">
        <v>474</v>
      </c>
      <c r="BE116" s="1" t="s">
        <v>474</v>
      </c>
      <c r="BF116" s="1" t="s">
        <v>473</v>
      </c>
      <c r="BG116" s="1" t="s">
        <v>465</v>
      </c>
      <c r="BH116" s="1" t="s">
        <v>503</v>
      </c>
      <c r="BI116" s="1" t="s">
        <v>499</v>
      </c>
      <c r="BJ116" s="1" t="s">
        <v>500</v>
      </c>
      <c r="BK116" s="1" t="s">
        <v>499</v>
      </c>
      <c r="BL116" s="1" t="s">
        <v>499</v>
      </c>
    </row>
    <row r="117" spans="1:64" hidden="1" x14ac:dyDescent="0.25">
      <c r="A117" s="1" t="s">
        <v>138</v>
      </c>
      <c r="B117" s="1" t="s">
        <v>139</v>
      </c>
      <c r="C117" s="1" t="str">
        <f>VLOOKUP(Tabelle58971115[[#This Row],[Prozess]],Tabelle22333[],3,FALSE)</f>
        <v>StorHeat_Res_Com</v>
      </c>
      <c r="D117" s="1">
        <v>2050</v>
      </c>
      <c r="E117" s="1">
        <v>1</v>
      </c>
      <c r="F117" s="1">
        <v>0</v>
      </c>
      <c r="G117" s="1">
        <v>0</v>
      </c>
      <c r="H117" s="1">
        <v>1</v>
      </c>
      <c r="I117" s="1">
        <v>0</v>
      </c>
      <c r="M117" s="19"/>
      <c r="N117" s="19">
        <v>412</v>
      </c>
      <c r="O117" s="19"/>
      <c r="P117" s="19">
        <v>4628</v>
      </c>
      <c r="Q117" s="9"/>
      <c r="R117" s="9">
        <v>0.9</v>
      </c>
      <c r="S117" s="9">
        <v>1</v>
      </c>
      <c r="T117" s="9"/>
      <c r="U11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7" s="9"/>
      <c r="W117" s="40">
        <v>0.95</v>
      </c>
      <c r="X117" s="9">
        <v>0.98</v>
      </c>
      <c r="Y117" s="9">
        <v>0.96</v>
      </c>
      <c r="Z117" s="1">
        <v>12</v>
      </c>
      <c r="AC117" s="1">
        <v>12</v>
      </c>
      <c r="AD117" s="1">
        <v>4</v>
      </c>
      <c r="AE117" s="1">
        <v>12</v>
      </c>
      <c r="AF117" s="1">
        <v>8</v>
      </c>
      <c r="AG117" s="1">
        <v>0</v>
      </c>
      <c r="AH117" s="1" t="s">
        <v>377</v>
      </c>
      <c r="AI117" s="1" t="s">
        <v>273</v>
      </c>
      <c r="AK117" s="1">
        <v>1095</v>
      </c>
      <c r="AM117" s="19">
        <f>20*Umrechnungsfaktoren!$B$15/Umrechnungsfaktoren!$B$12</f>
        <v>20.76</v>
      </c>
      <c r="AN117" s="8">
        <f>10*Umrechnungsfaktoren!$B$15/Umrechnungsfaktoren!$B$12</f>
        <v>10.38</v>
      </c>
      <c r="AO117" s="8"/>
      <c r="AP117" s="8"/>
      <c r="AQ117" s="8">
        <f>0.03*Tabelle58971115[[#This Row],[Investitionsausgaben €_2020/kW]]</f>
        <v>0.62280000000000002</v>
      </c>
      <c r="AR117" s="7">
        <v>0.04</v>
      </c>
      <c r="AT117" s="1" t="s">
        <v>479</v>
      </c>
      <c r="AU117" s="1" t="s">
        <v>479</v>
      </c>
      <c r="AV117" s="1" t="s">
        <v>479</v>
      </c>
      <c r="AX117" s="13" t="s">
        <v>472</v>
      </c>
      <c r="AY117" s="13" t="s">
        <v>472</v>
      </c>
      <c r="AZ117" s="13"/>
      <c r="BA117" s="13"/>
      <c r="BB117" s="13"/>
      <c r="BC117" s="13" t="s">
        <v>496</v>
      </c>
      <c r="BD117" s="1" t="s">
        <v>474</v>
      </c>
      <c r="BE117" s="1" t="s">
        <v>474</v>
      </c>
      <c r="BF117" s="1" t="s">
        <v>473</v>
      </c>
      <c r="BG117" s="1" t="s">
        <v>465</v>
      </c>
      <c r="BH117" s="1" t="s">
        <v>503</v>
      </c>
      <c r="BI117" s="1" t="s">
        <v>499</v>
      </c>
      <c r="BJ117" s="1" t="s">
        <v>500</v>
      </c>
      <c r="BK117" s="1" t="s">
        <v>499</v>
      </c>
      <c r="BL117" s="1" t="s">
        <v>499</v>
      </c>
    </row>
    <row r="118" spans="1:64" x14ac:dyDescent="0.25">
      <c r="A118" s="1" t="s">
        <v>135</v>
      </c>
      <c r="B118" s="1" t="s">
        <v>139</v>
      </c>
      <c r="C118" s="1" t="str">
        <f>VLOOKUP(Tabelle58971115[[#This Row],[Prozess]],Tabelle22333[],3,FALSE)</f>
        <v>StorHeat_Res_Com</v>
      </c>
      <c r="D118" s="1">
        <v>2010</v>
      </c>
      <c r="E118" s="1">
        <v>1</v>
      </c>
      <c r="F118" s="1">
        <v>0</v>
      </c>
      <c r="G118" s="1">
        <v>0</v>
      </c>
      <c r="H118" s="1">
        <v>1</v>
      </c>
      <c r="I118" s="1">
        <v>0</v>
      </c>
      <c r="M118" s="19"/>
      <c r="N118" s="19">
        <v>250</v>
      </c>
      <c r="O118" s="19"/>
      <c r="P118" s="19">
        <v>8507</v>
      </c>
      <c r="Q118" s="9"/>
      <c r="R118" s="9"/>
      <c r="S118" s="9"/>
      <c r="T118" s="9"/>
      <c r="U11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8" s="9"/>
      <c r="W118" s="40">
        <v>0.95</v>
      </c>
      <c r="X118" s="9">
        <v>0.98</v>
      </c>
      <c r="Y118" s="9">
        <v>0.96</v>
      </c>
      <c r="Z118" s="1">
        <v>12</v>
      </c>
      <c r="AC118" s="1">
        <v>12</v>
      </c>
      <c r="AD118" s="1">
        <v>4</v>
      </c>
      <c r="AE118" s="1">
        <v>12</v>
      </c>
      <c r="AF118" s="1">
        <v>8</v>
      </c>
      <c r="AG118" s="1">
        <v>0</v>
      </c>
      <c r="AH118" s="1" t="s">
        <v>377</v>
      </c>
      <c r="AI118" s="1" t="s">
        <v>273</v>
      </c>
      <c r="AK118" s="1">
        <v>1095</v>
      </c>
      <c r="AM118" s="19">
        <f>20*Umrechnungsfaktoren!$B$15/Umrechnungsfaktoren!$B$12</f>
        <v>20.76</v>
      </c>
      <c r="AN118" s="8">
        <f>10*Umrechnungsfaktoren!$B$15/Umrechnungsfaktoren!$B$12</f>
        <v>10.38</v>
      </c>
      <c r="AO118" s="8"/>
      <c r="AP118" s="8"/>
      <c r="AQ118" s="8">
        <f>0.03*Tabelle58971115[[#This Row],[Investitionsausgaben €_2020/kW]]</f>
        <v>0.62280000000000002</v>
      </c>
      <c r="AR118" s="7">
        <v>0.04</v>
      </c>
      <c r="AT118" s="1" t="s">
        <v>479</v>
      </c>
      <c r="AU118" s="1" t="s">
        <v>479</v>
      </c>
      <c r="AV118" s="1" t="s">
        <v>479</v>
      </c>
      <c r="AW118" s="30"/>
      <c r="AX118" s="13" t="s">
        <v>476</v>
      </c>
      <c r="AY118" s="13" t="s">
        <v>477</v>
      </c>
      <c r="AZ118" s="13"/>
      <c r="BA118" s="13"/>
      <c r="BB118" s="13"/>
      <c r="BC118" s="13" t="s">
        <v>496</v>
      </c>
      <c r="BD118" s="1" t="s">
        <v>474</v>
      </c>
      <c r="BE118" s="1" t="s">
        <v>474</v>
      </c>
      <c r="BF118" s="1" t="s">
        <v>473</v>
      </c>
      <c r="BG118" s="1" t="s">
        <v>465</v>
      </c>
      <c r="BH118" s="1" t="s">
        <v>503</v>
      </c>
      <c r="BI118" s="1" t="s">
        <v>499</v>
      </c>
      <c r="BJ118" s="1" t="s">
        <v>500</v>
      </c>
      <c r="BK118" s="1" t="s">
        <v>499</v>
      </c>
      <c r="BL118" s="1" t="s">
        <v>499</v>
      </c>
    </row>
    <row r="119" spans="1:64" hidden="1" x14ac:dyDescent="0.25">
      <c r="A119" s="1" t="s">
        <v>135</v>
      </c>
      <c r="B119" s="1" t="s">
        <v>139</v>
      </c>
      <c r="C119" s="1" t="str">
        <f>VLOOKUP(Tabelle58971115[[#This Row],[Prozess]],Tabelle22333[],3,FALSE)</f>
        <v>StorHeat_Res_Com</v>
      </c>
      <c r="D119" s="1">
        <v>2020</v>
      </c>
      <c r="E119" s="1">
        <v>1</v>
      </c>
      <c r="F119" s="1">
        <v>0</v>
      </c>
      <c r="G119" s="1">
        <v>0</v>
      </c>
      <c r="H119" s="1">
        <v>1</v>
      </c>
      <c r="I119" s="1">
        <v>0</v>
      </c>
      <c r="M119" s="19"/>
      <c r="N119" s="19">
        <v>220</v>
      </c>
      <c r="O119" s="19"/>
      <c r="P119" s="19">
        <v>6754</v>
      </c>
      <c r="Q119" s="9"/>
      <c r="R119" s="9">
        <v>1</v>
      </c>
      <c r="S119" s="9">
        <v>0.9</v>
      </c>
      <c r="T119" s="9"/>
      <c r="U11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9" s="9"/>
      <c r="W119" s="40">
        <v>0.95</v>
      </c>
      <c r="X119" s="9">
        <v>0.98</v>
      </c>
      <c r="Y119" s="9">
        <v>0.96</v>
      </c>
      <c r="Z119" s="1">
        <v>12</v>
      </c>
      <c r="AC119" s="1">
        <v>12</v>
      </c>
      <c r="AD119" s="1">
        <v>4</v>
      </c>
      <c r="AE119" s="1">
        <v>12</v>
      </c>
      <c r="AF119" s="1">
        <v>8</v>
      </c>
      <c r="AG119" s="1">
        <v>0</v>
      </c>
      <c r="AH119" s="1" t="s">
        <v>377</v>
      </c>
      <c r="AI119" s="1" t="s">
        <v>273</v>
      </c>
      <c r="AK119" s="1">
        <v>1095</v>
      </c>
      <c r="AM119" s="19">
        <f>20*Umrechnungsfaktoren!$B$15/Umrechnungsfaktoren!$B$12</f>
        <v>20.76</v>
      </c>
      <c r="AN119" s="8">
        <f>10*Umrechnungsfaktoren!$B$15/Umrechnungsfaktoren!$B$12</f>
        <v>10.38</v>
      </c>
      <c r="AO119" s="8"/>
      <c r="AP119" s="8"/>
      <c r="AQ119" s="8">
        <f>0.03*Tabelle58971115[[#This Row],[Investitionsausgaben €_2020/kW]]</f>
        <v>0.62280000000000002</v>
      </c>
      <c r="AR119" s="7">
        <v>0.04</v>
      </c>
      <c r="AT119" s="1" t="s">
        <v>479</v>
      </c>
      <c r="AU119" s="1" t="s">
        <v>479</v>
      </c>
      <c r="AV119" s="1" t="s">
        <v>479</v>
      </c>
      <c r="AW119" s="30"/>
      <c r="AX119" s="13" t="s">
        <v>470</v>
      </c>
      <c r="AY119" s="13" t="s">
        <v>470</v>
      </c>
      <c r="AZ119" s="13"/>
      <c r="BA119" s="13"/>
      <c r="BB119" s="13"/>
      <c r="BC119" s="13" t="s">
        <v>496</v>
      </c>
      <c r="BD119" s="1" t="s">
        <v>474</v>
      </c>
      <c r="BE119" s="1" t="s">
        <v>474</v>
      </c>
      <c r="BF119" s="1" t="s">
        <v>473</v>
      </c>
      <c r="BG119" s="1" t="s">
        <v>465</v>
      </c>
      <c r="BH119" s="1" t="s">
        <v>503</v>
      </c>
      <c r="BI119" s="1" t="s">
        <v>499</v>
      </c>
      <c r="BJ119" s="1" t="s">
        <v>500</v>
      </c>
      <c r="BK119" s="1" t="s">
        <v>499</v>
      </c>
      <c r="BL119" s="1" t="s">
        <v>499</v>
      </c>
    </row>
    <row r="120" spans="1:64" hidden="1" x14ac:dyDescent="0.25">
      <c r="A120" s="1" t="s">
        <v>135</v>
      </c>
      <c r="B120" s="1" t="s">
        <v>139</v>
      </c>
      <c r="C120" s="1" t="str">
        <f>VLOOKUP(Tabelle58971115[[#This Row],[Prozess]],Tabelle22333[],3,FALSE)</f>
        <v>StorHeat_Res_Com</v>
      </c>
      <c r="D120" s="1">
        <v>2030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M120" s="19"/>
      <c r="N120" s="19">
        <v>188</v>
      </c>
      <c r="O120" s="19"/>
      <c r="P120" s="19">
        <v>5763</v>
      </c>
      <c r="Q120" s="9"/>
      <c r="R120" s="9">
        <v>1</v>
      </c>
      <c r="S120" s="9">
        <v>0.9</v>
      </c>
      <c r="T120" s="9"/>
      <c r="U12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20" s="9"/>
      <c r="W120" s="40">
        <v>0.95</v>
      </c>
      <c r="X120" s="9">
        <v>0.98</v>
      </c>
      <c r="Y120" s="9">
        <v>0.96</v>
      </c>
      <c r="Z120" s="1">
        <v>12</v>
      </c>
      <c r="AC120" s="1">
        <v>12</v>
      </c>
      <c r="AD120" s="1">
        <v>4</v>
      </c>
      <c r="AE120" s="1">
        <v>12</v>
      </c>
      <c r="AF120" s="1">
        <v>8</v>
      </c>
      <c r="AG120" s="1">
        <v>0</v>
      </c>
      <c r="AH120" s="1" t="s">
        <v>377</v>
      </c>
      <c r="AI120" s="1" t="s">
        <v>273</v>
      </c>
      <c r="AK120" s="1">
        <v>1095</v>
      </c>
      <c r="AM120" s="19">
        <f>20*Umrechnungsfaktoren!$B$15/Umrechnungsfaktoren!$B$12</f>
        <v>20.76</v>
      </c>
      <c r="AN120" s="8">
        <f>10*Umrechnungsfaktoren!$B$15/Umrechnungsfaktoren!$B$12</f>
        <v>10.38</v>
      </c>
      <c r="AO120" s="8"/>
      <c r="AP120" s="8"/>
      <c r="AQ120" s="8">
        <f>0.03*Tabelle58971115[[#This Row],[Investitionsausgaben €_2020/kW]]</f>
        <v>0.62280000000000002</v>
      </c>
      <c r="AR120" s="7">
        <v>0.04</v>
      </c>
      <c r="AT120" s="1" t="s">
        <v>479</v>
      </c>
      <c r="AU120" s="1" t="s">
        <v>479</v>
      </c>
      <c r="AV120" s="1" t="s">
        <v>479</v>
      </c>
      <c r="AX120" s="13" t="s">
        <v>471</v>
      </c>
      <c r="AY120" s="13" t="s">
        <v>471</v>
      </c>
      <c r="AZ120" s="13"/>
      <c r="BA120" s="13"/>
      <c r="BB120" s="13"/>
      <c r="BC120" s="13" t="s">
        <v>496</v>
      </c>
      <c r="BD120" s="1" t="s">
        <v>474</v>
      </c>
      <c r="BE120" s="1" t="s">
        <v>474</v>
      </c>
      <c r="BF120" s="1" t="s">
        <v>473</v>
      </c>
      <c r="BG120" s="1" t="s">
        <v>465</v>
      </c>
      <c r="BH120" s="1" t="s">
        <v>503</v>
      </c>
      <c r="BI120" s="1" t="s">
        <v>499</v>
      </c>
      <c r="BJ120" s="1" t="s">
        <v>500</v>
      </c>
      <c r="BK120" s="1" t="s">
        <v>499</v>
      </c>
      <c r="BL120" s="1" t="s">
        <v>499</v>
      </c>
    </row>
    <row r="121" spans="1:64" hidden="1" x14ac:dyDescent="0.25">
      <c r="A121" s="1" t="s">
        <v>135</v>
      </c>
      <c r="B121" s="1" t="s">
        <v>139</v>
      </c>
      <c r="C121" s="1" t="str">
        <f>VLOOKUP(Tabelle58971115[[#This Row],[Prozess]],Tabelle22333[],3,FALSE)</f>
        <v>StorHeat_Res_Com</v>
      </c>
      <c r="D121" s="1">
        <v>2050</v>
      </c>
      <c r="E121" s="1">
        <v>1</v>
      </c>
      <c r="F121" s="1">
        <v>0</v>
      </c>
      <c r="G121" s="1">
        <v>0</v>
      </c>
      <c r="H121" s="1">
        <v>1</v>
      </c>
      <c r="I121" s="1">
        <v>0</v>
      </c>
      <c r="M121" s="19"/>
      <c r="N121" s="19">
        <v>113</v>
      </c>
      <c r="O121" s="19"/>
      <c r="P121" s="19">
        <v>3469</v>
      </c>
      <c r="Q121" s="9"/>
      <c r="R121" s="9">
        <v>1</v>
      </c>
      <c r="S121" s="9">
        <v>0.9</v>
      </c>
      <c r="T121" s="9"/>
      <c r="U12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21" s="9"/>
      <c r="W121" s="40">
        <v>0.95</v>
      </c>
      <c r="X121" s="9">
        <v>0.98</v>
      </c>
      <c r="Y121" s="9">
        <v>0.96</v>
      </c>
      <c r="Z121" s="1">
        <v>12</v>
      </c>
      <c r="AC121" s="1">
        <v>12</v>
      </c>
      <c r="AD121" s="1">
        <v>4</v>
      </c>
      <c r="AE121" s="1">
        <v>12</v>
      </c>
      <c r="AF121" s="1">
        <v>8</v>
      </c>
      <c r="AG121" s="1">
        <v>0</v>
      </c>
      <c r="AH121" s="1" t="s">
        <v>377</v>
      </c>
      <c r="AI121" s="1" t="s">
        <v>273</v>
      </c>
      <c r="AK121" s="1">
        <v>1095</v>
      </c>
      <c r="AM121" s="19">
        <f>20*Umrechnungsfaktoren!$B$15/Umrechnungsfaktoren!$B$12</f>
        <v>20.76</v>
      </c>
      <c r="AN121" s="8">
        <f>10*Umrechnungsfaktoren!$B$15/Umrechnungsfaktoren!$B$12</f>
        <v>10.38</v>
      </c>
      <c r="AO121" s="8"/>
      <c r="AP121" s="8"/>
      <c r="AQ121" s="8">
        <f>0.03*Tabelle58971115[[#This Row],[Investitionsausgaben €_2020/kW]]</f>
        <v>0.62280000000000002</v>
      </c>
      <c r="AR121" s="7">
        <v>0.04</v>
      </c>
      <c r="AT121" s="1" t="s">
        <v>479</v>
      </c>
      <c r="AU121" s="1" t="s">
        <v>479</v>
      </c>
      <c r="AV121" s="1" t="s">
        <v>479</v>
      </c>
      <c r="AX121" s="13" t="s">
        <v>472</v>
      </c>
      <c r="AY121" s="13" t="s">
        <v>472</v>
      </c>
      <c r="AZ121" s="13"/>
      <c r="BA121" s="13"/>
      <c r="BB121" s="13"/>
      <c r="BC121" s="13" t="s">
        <v>496</v>
      </c>
      <c r="BD121" s="1" t="s">
        <v>474</v>
      </c>
      <c r="BE121" s="1" t="s">
        <v>474</v>
      </c>
      <c r="BF121" s="1" t="s">
        <v>473</v>
      </c>
      <c r="BG121" s="1" t="s">
        <v>465</v>
      </c>
      <c r="BH121" s="1" t="s">
        <v>503</v>
      </c>
      <c r="BI121" s="1" t="s">
        <v>499</v>
      </c>
      <c r="BJ121" s="1" t="s">
        <v>500</v>
      </c>
      <c r="BK121" s="1" t="s">
        <v>499</v>
      </c>
      <c r="BL121" s="1" t="s">
        <v>499</v>
      </c>
    </row>
    <row r="123" spans="1:64" ht="13" x14ac:dyDescent="0.3">
      <c r="A123" s="36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Dropdown!$C$2:$C$4</xm:f>
          </x14:formula1>
          <xm:sqref>B2:B121</xm:sqref>
        </x14:dataValidation>
        <x14:dataValidation type="list" allowBlank="1" showInputMessage="1" showErrorMessage="1" xr:uid="{00000000-0002-0000-0900-000001000000}">
          <x14:formula1>
            <xm:f>Dropdown!$A$2:$A$91</xm:f>
          </x14:formula1>
          <xm:sqref>A2:A121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F7FB-82D0-419D-9C73-E95CE398AB5D}">
  <sheetPr codeName="Tabelle7"/>
  <dimension ref="A1:Y23"/>
  <sheetViews>
    <sheetView workbookViewId="0">
      <pane xSplit="3" ySplit="1" topLeftCell="T2" activePane="bottomRight" state="frozen"/>
      <selection pane="topRight" activeCell="E1" sqref="E1"/>
      <selection pane="bottomLeft" activeCell="A2" sqref="A2"/>
      <selection pane="bottomRight" activeCell="W17" sqref="W17"/>
    </sheetView>
  </sheetViews>
  <sheetFormatPr baseColWidth="10" defaultColWidth="11.453125" defaultRowHeight="12.5" x14ac:dyDescent="0.25"/>
  <cols>
    <col min="1" max="1" width="33.453125" style="1" bestFit="1" customWidth="1"/>
    <col min="2" max="2" width="20.816406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29.26953125" style="1" bestFit="1" customWidth="1"/>
    <col min="8" max="8" width="29.26953125" style="1" customWidth="1"/>
    <col min="9" max="9" width="24.453125" style="1" bestFit="1" customWidth="1"/>
    <col min="10" max="12" width="24.453125" style="1" customWidth="1"/>
    <col min="13" max="14" width="24.7265625" style="1" customWidth="1"/>
    <col min="15" max="16" width="20.7265625" style="1" customWidth="1"/>
    <col min="17" max="17" width="25.81640625" style="1" bestFit="1" customWidth="1"/>
    <col min="18" max="18" width="29.7265625" style="1" bestFit="1" customWidth="1"/>
    <col min="19" max="20" width="35.54296875" style="1" customWidth="1"/>
    <col min="21" max="21" width="31.7265625" style="1" bestFit="1" customWidth="1"/>
    <col min="22" max="22" width="31.54296875" style="1" bestFit="1" customWidth="1"/>
    <col min="23" max="24" width="31.54296875" style="1" customWidth="1"/>
    <col min="25" max="25" width="34" style="1" bestFit="1" customWidth="1"/>
    <col min="26" max="16384" width="11.453125" style="1"/>
  </cols>
  <sheetData>
    <row r="1" spans="1:25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1005</v>
      </c>
      <c r="H1" s="2" t="s">
        <v>1006</v>
      </c>
      <c r="I1" s="2" t="s">
        <v>1007</v>
      </c>
      <c r="J1" s="2" t="s">
        <v>1008</v>
      </c>
      <c r="K1" s="2" t="s">
        <v>1009</v>
      </c>
      <c r="L1" s="2" t="s">
        <v>1010</v>
      </c>
      <c r="M1" s="2" t="s">
        <v>1011</v>
      </c>
      <c r="N1" s="2" t="s">
        <v>1012</v>
      </c>
      <c r="O1" s="2" t="s">
        <v>211</v>
      </c>
      <c r="P1" s="2" t="s">
        <v>212</v>
      </c>
      <c r="Q1" s="2" t="s">
        <v>1013</v>
      </c>
      <c r="R1" s="2" t="s">
        <v>1014</v>
      </c>
      <c r="S1" s="2" t="s">
        <v>161</v>
      </c>
      <c r="T1" s="2" t="s">
        <v>162</v>
      </c>
      <c r="U1" s="2" t="s">
        <v>1</v>
      </c>
      <c r="V1" s="2" t="s">
        <v>2</v>
      </c>
      <c r="W1" s="2" t="s">
        <v>1123</v>
      </c>
      <c r="X1" s="2" t="s">
        <v>57</v>
      </c>
      <c r="Y1" s="2" t="s">
        <v>6</v>
      </c>
    </row>
    <row r="2" spans="1:25" x14ac:dyDescent="0.25">
      <c r="A2" s="55" t="s">
        <v>389</v>
      </c>
      <c r="B2" s="1" t="s">
        <v>139</v>
      </c>
      <c r="C2" s="55">
        <v>2020</v>
      </c>
      <c r="D2" s="55">
        <v>1</v>
      </c>
      <c r="E2" s="55">
        <v>0</v>
      </c>
      <c r="F2" s="55">
        <v>0</v>
      </c>
      <c r="G2" s="56">
        <v>400</v>
      </c>
      <c r="H2" s="56">
        <v>1000</v>
      </c>
      <c r="I2" s="56">
        <v>400</v>
      </c>
      <c r="J2" s="56">
        <v>1000</v>
      </c>
      <c r="K2" s="58">
        <v>0.08</v>
      </c>
      <c r="L2" s="58">
        <v>0.2</v>
      </c>
      <c r="M2" s="56">
        <f>Tabelle589711142925[[#This Row],[Potenzial pos. max MW Referenz]]/Tabelle589711142925[[#This Row],[flexibilisierbarer Anteil Referenz]]</f>
        <v>5000</v>
      </c>
      <c r="N2" s="56">
        <f>Tabelle589711142925[[#This Row],[Potenzial pos. max MW optimistisch (Szenario 2)]]/Tabelle589711142925[[#This Row],[flexibilisierbarer Anteil optimistisch (Szenario 2)]]</f>
        <v>5000</v>
      </c>
      <c r="O2" s="55"/>
      <c r="P2" s="55"/>
      <c r="Q2" s="55">
        <v>1</v>
      </c>
      <c r="R2" s="55">
        <v>2</v>
      </c>
      <c r="S2" s="13" t="s">
        <v>988</v>
      </c>
      <c r="T2" s="13" t="s">
        <v>988</v>
      </c>
      <c r="U2" s="13" t="s">
        <v>1015</v>
      </c>
      <c r="V2" s="13" t="s">
        <v>1015</v>
      </c>
      <c r="W2" s="62">
        <v>89</v>
      </c>
      <c r="X2" s="13" t="s">
        <v>1015</v>
      </c>
      <c r="Y2" s="13" t="s">
        <v>1015</v>
      </c>
    </row>
    <row r="3" spans="1:25" x14ac:dyDescent="0.25">
      <c r="A3" s="55" t="s">
        <v>389</v>
      </c>
      <c r="B3" s="1" t="s">
        <v>139</v>
      </c>
      <c r="C3" s="55">
        <v>2030</v>
      </c>
      <c r="D3" s="55">
        <v>1</v>
      </c>
      <c r="E3" s="55">
        <v>0</v>
      </c>
      <c r="F3" s="55">
        <v>0</v>
      </c>
      <c r="G3" s="56">
        <v>3100</v>
      </c>
      <c r="H3" s="56">
        <v>3700</v>
      </c>
      <c r="I3" s="56">
        <v>3100</v>
      </c>
      <c r="J3" s="56">
        <v>3700</v>
      </c>
      <c r="K3" s="58">
        <v>0.23</v>
      </c>
      <c r="L3" s="58">
        <v>0.6</v>
      </c>
      <c r="M3" s="56">
        <f>Tabelle589711142925[[#This Row],[Potenzial pos. max MW Referenz]]/Tabelle589711142925[[#This Row],[flexibilisierbarer Anteil Referenz]]</f>
        <v>13478.260869565216</v>
      </c>
      <c r="N3" s="56">
        <f>Tabelle589711142925[[#This Row],[Potenzial pos. max MW optimistisch (Szenario 2)]]/Tabelle589711142925[[#This Row],[flexibilisierbarer Anteil optimistisch (Szenario 2)]]</f>
        <v>6166.666666666667</v>
      </c>
      <c r="O3" s="55"/>
      <c r="P3" s="55"/>
      <c r="Q3" s="55">
        <v>1</v>
      </c>
      <c r="R3" s="55">
        <v>2</v>
      </c>
      <c r="S3" s="13" t="s">
        <v>988</v>
      </c>
      <c r="T3" s="13" t="s">
        <v>988</v>
      </c>
      <c r="U3" s="13" t="s">
        <v>1015</v>
      </c>
      <c r="V3" s="13" t="s">
        <v>1015</v>
      </c>
      <c r="W3" s="62">
        <v>89</v>
      </c>
      <c r="X3" s="13" t="s">
        <v>1015</v>
      </c>
      <c r="Y3" s="13" t="s">
        <v>1015</v>
      </c>
    </row>
    <row r="4" spans="1:25" x14ac:dyDescent="0.25">
      <c r="A4" s="55" t="s">
        <v>389</v>
      </c>
      <c r="B4" s="1" t="s">
        <v>127</v>
      </c>
      <c r="C4" s="55">
        <v>2020</v>
      </c>
      <c r="D4" s="55">
        <v>1</v>
      </c>
      <c r="E4" s="55">
        <v>0</v>
      </c>
      <c r="F4" s="55">
        <v>0</v>
      </c>
      <c r="G4" s="56">
        <v>300</v>
      </c>
      <c r="H4" s="56">
        <v>700</v>
      </c>
      <c r="I4" s="56">
        <v>300</v>
      </c>
      <c r="J4" s="56">
        <v>700</v>
      </c>
      <c r="K4" s="58">
        <v>0.08</v>
      </c>
      <c r="L4" s="58">
        <v>0.2</v>
      </c>
      <c r="M4" s="56">
        <f>Tabelle589711142925[[#This Row],[Potenzial pos. max MW Referenz]]/Tabelle589711142925[[#This Row],[flexibilisierbarer Anteil Referenz]]</f>
        <v>3750</v>
      </c>
      <c r="N4" s="56">
        <f>Tabelle589711142925[[#This Row],[Potenzial pos. max MW optimistisch (Szenario 2)]]/Tabelle589711142925[[#This Row],[flexibilisierbarer Anteil optimistisch (Szenario 2)]]</f>
        <v>3500</v>
      </c>
      <c r="O4" s="55"/>
      <c r="P4" s="55"/>
      <c r="Q4" s="55">
        <v>2</v>
      </c>
      <c r="R4" s="55">
        <v>2</v>
      </c>
      <c r="S4" s="13" t="s">
        <v>988</v>
      </c>
      <c r="T4" s="13" t="s">
        <v>988</v>
      </c>
      <c r="U4" s="13" t="s">
        <v>1015</v>
      </c>
      <c r="V4" s="13" t="s">
        <v>1015</v>
      </c>
      <c r="W4" s="62">
        <v>89</v>
      </c>
      <c r="X4" s="13" t="s">
        <v>1015</v>
      </c>
      <c r="Y4" s="13" t="s">
        <v>1015</v>
      </c>
    </row>
    <row r="5" spans="1:25" x14ac:dyDescent="0.25">
      <c r="A5" s="55" t="s">
        <v>389</v>
      </c>
      <c r="B5" s="1" t="s">
        <v>127</v>
      </c>
      <c r="C5" s="55">
        <v>2030</v>
      </c>
      <c r="D5" s="55">
        <v>1</v>
      </c>
      <c r="E5" s="55">
        <v>0</v>
      </c>
      <c r="F5" s="55">
        <v>0</v>
      </c>
      <c r="G5" s="56">
        <v>800</v>
      </c>
      <c r="H5" s="56">
        <v>2100</v>
      </c>
      <c r="I5" s="56">
        <v>800</v>
      </c>
      <c r="J5" s="56">
        <v>2100</v>
      </c>
      <c r="K5" s="58">
        <v>0.23</v>
      </c>
      <c r="L5" s="58">
        <v>0.6</v>
      </c>
      <c r="M5" s="56">
        <f>Tabelle589711142925[[#This Row],[Potenzial pos. max MW Referenz]]/Tabelle589711142925[[#This Row],[flexibilisierbarer Anteil Referenz]]</f>
        <v>3478.260869565217</v>
      </c>
      <c r="N5" s="56">
        <f>Tabelle589711142925[[#This Row],[Potenzial pos. max MW optimistisch (Szenario 2)]]/Tabelle589711142925[[#This Row],[flexibilisierbarer Anteil optimistisch (Szenario 2)]]</f>
        <v>3500</v>
      </c>
      <c r="O5" s="55"/>
      <c r="P5" s="55"/>
      <c r="Q5" s="55">
        <v>2</v>
      </c>
      <c r="R5" s="55">
        <v>2</v>
      </c>
      <c r="S5" s="13" t="s">
        <v>988</v>
      </c>
      <c r="T5" s="13" t="s">
        <v>988</v>
      </c>
      <c r="U5" s="13" t="s">
        <v>1015</v>
      </c>
      <c r="V5" s="13" t="s">
        <v>1015</v>
      </c>
      <c r="W5" s="62">
        <v>89</v>
      </c>
      <c r="X5" s="13" t="s">
        <v>1015</v>
      </c>
      <c r="Y5" s="13" t="s">
        <v>1015</v>
      </c>
    </row>
    <row r="6" spans="1:25" x14ac:dyDescent="0.25">
      <c r="A6" s="55" t="s">
        <v>129</v>
      </c>
      <c r="B6" s="1" t="s">
        <v>139</v>
      </c>
      <c r="C6" s="55">
        <v>2020</v>
      </c>
      <c r="D6" s="55">
        <v>1</v>
      </c>
      <c r="E6" s="55">
        <v>0</v>
      </c>
      <c r="F6" s="55">
        <v>0</v>
      </c>
      <c r="G6" s="56">
        <v>1000</v>
      </c>
      <c r="H6" s="56">
        <v>1800</v>
      </c>
      <c r="I6" s="56">
        <v>1000</v>
      </c>
      <c r="J6" s="56">
        <v>1800</v>
      </c>
      <c r="K6" s="58">
        <v>0.08</v>
      </c>
      <c r="L6" s="58">
        <v>0.2</v>
      </c>
      <c r="M6" s="56">
        <f>Tabelle589711142925[[#This Row],[Potenzial pos. max MW Referenz]]/Tabelle589711142925[[#This Row],[flexibilisierbarer Anteil Referenz]]</f>
        <v>12500</v>
      </c>
      <c r="N6" s="56">
        <f>Tabelle589711142925[[#This Row],[Potenzial pos. max MW optimistisch (Szenario 2)]]/Tabelle589711142925[[#This Row],[flexibilisierbarer Anteil optimistisch (Szenario 2)]]</f>
        <v>9000</v>
      </c>
      <c r="O6" s="55"/>
      <c r="P6" s="55"/>
      <c r="Q6" s="55">
        <v>1</v>
      </c>
      <c r="R6" s="55">
        <v>3</v>
      </c>
      <c r="S6" s="13" t="s">
        <v>988</v>
      </c>
      <c r="T6" s="13" t="s">
        <v>988</v>
      </c>
      <c r="U6" s="13" t="s">
        <v>1015</v>
      </c>
      <c r="V6" s="13" t="s">
        <v>1015</v>
      </c>
      <c r="W6" s="62">
        <v>89</v>
      </c>
      <c r="X6" s="13" t="s">
        <v>1015</v>
      </c>
      <c r="Y6" s="13" t="s">
        <v>1015</v>
      </c>
    </row>
    <row r="7" spans="1:25" x14ac:dyDescent="0.25">
      <c r="A7" s="55" t="s">
        <v>129</v>
      </c>
      <c r="B7" s="1" t="s">
        <v>139</v>
      </c>
      <c r="C7" s="55">
        <v>2030</v>
      </c>
      <c r="D7" s="55">
        <v>1</v>
      </c>
      <c r="E7" s="55">
        <v>0</v>
      </c>
      <c r="F7" s="55">
        <v>0</v>
      </c>
      <c r="G7" s="56">
        <v>3000</v>
      </c>
      <c r="H7" s="56">
        <v>5000</v>
      </c>
      <c r="I7" s="56">
        <v>3000</v>
      </c>
      <c r="J7" s="56">
        <v>5000</v>
      </c>
      <c r="K7" s="58">
        <v>0.68</v>
      </c>
      <c r="L7" s="58">
        <v>0.6</v>
      </c>
      <c r="M7" s="56">
        <f>Tabelle589711142925[[#This Row],[Potenzial pos. max MW Referenz]]/Tabelle589711142925[[#This Row],[flexibilisierbarer Anteil Referenz]]</f>
        <v>4411.7647058823522</v>
      </c>
      <c r="N7" s="56">
        <f>Tabelle589711142925[[#This Row],[Potenzial pos. max MW optimistisch (Szenario 2)]]/Tabelle589711142925[[#This Row],[flexibilisierbarer Anteil optimistisch (Szenario 2)]]</f>
        <v>8333.3333333333339</v>
      </c>
      <c r="O7" s="55"/>
      <c r="P7" s="55"/>
      <c r="Q7" s="55">
        <v>1</v>
      </c>
      <c r="R7" s="55">
        <v>3</v>
      </c>
      <c r="S7" s="13" t="s">
        <v>988</v>
      </c>
      <c r="T7" s="13" t="s">
        <v>988</v>
      </c>
      <c r="U7" s="13" t="s">
        <v>1015</v>
      </c>
      <c r="V7" s="13" t="s">
        <v>1015</v>
      </c>
      <c r="W7" s="62">
        <v>89</v>
      </c>
      <c r="X7" s="13" t="s">
        <v>1015</v>
      </c>
      <c r="Y7" s="13" t="s">
        <v>1015</v>
      </c>
    </row>
    <row r="8" spans="1:25" x14ac:dyDescent="0.25">
      <c r="A8" s="55" t="s">
        <v>130</v>
      </c>
      <c r="B8" s="1" t="s">
        <v>139</v>
      </c>
      <c r="C8" s="55">
        <v>2020</v>
      </c>
      <c r="D8" s="55">
        <v>1</v>
      </c>
      <c r="E8" s="55">
        <v>0</v>
      </c>
      <c r="F8" s="55">
        <v>0</v>
      </c>
      <c r="G8" s="56">
        <v>1100</v>
      </c>
      <c r="H8" s="56">
        <v>2000</v>
      </c>
      <c r="I8" s="56">
        <v>1100</v>
      </c>
      <c r="J8" s="56">
        <v>2000</v>
      </c>
      <c r="K8" s="58">
        <v>0.08</v>
      </c>
      <c r="L8" s="58">
        <v>0.28999999999999998</v>
      </c>
      <c r="M8" s="56">
        <f>Tabelle589711142925[[#This Row],[Potenzial pos. max MW Referenz]]/Tabelle589711142925[[#This Row],[flexibilisierbarer Anteil Referenz]]</f>
        <v>13750</v>
      </c>
      <c r="N8" s="56">
        <f>Tabelle589711142925[[#This Row],[Potenzial pos. max MW optimistisch (Szenario 2)]]/Tabelle589711142925[[#This Row],[flexibilisierbarer Anteil optimistisch (Szenario 2)]]</f>
        <v>6896.5517241379312</v>
      </c>
      <c r="O8" s="55"/>
      <c r="P8" s="55"/>
      <c r="Q8" s="55">
        <v>1</v>
      </c>
      <c r="R8" s="55">
        <v>3</v>
      </c>
      <c r="S8" s="13" t="s">
        <v>988</v>
      </c>
      <c r="T8" s="13" t="s">
        <v>988</v>
      </c>
      <c r="U8" s="13" t="s">
        <v>1015</v>
      </c>
      <c r="V8" s="13" t="s">
        <v>1015</v>
      </c>
      <c r="W8" s="62">
        <v>89</v>
      </c>
      <c r="X8" s="13" t="s">
        <v>1015</v>
      </c>
      <c r="Y8" s="13" t="s">
        <v>1015</v>
      </c>
    </row>
    <row r="9" spans="1:25" x14ac:dyDescent="0.25">
      <c r="A9" s="55" t="s">
        <v>130</v>
      </c>
      <c r="B9" s="1" t="s">
        <v>139</v>
      </c>
      <c r="C9" s="55">
        <v>2030</v>
      </c>
      <c r="D9" s="55">
        <v>1</v>
      </c>
      <c r="E9" s="55">
        <v>0</v>
      </c>
      <c r="F9" s="55">
        <v>0</v>
      </c>
      <c r="G9" s="56">
        <v>3300</v>
      </c>
      <c r="H9" s="56">
        <v>5400</v>
      </c>
      <c r="I9" s="56">
        <v>3300</v>
      </c>
      <c r="J9" s="56">
        <v>5400</v>
      </c>
      <c r="K9" s="58">
        <v>0.68</v>
      </c>
      <c r="L9" s="58">
        <v>0.69</v>
      </c>
      <c r="M9" s="56">
        <f>Tabelle589711142925[[#This Row],[Potenzial pos. max MW Referenz]]/Tabelle589711142925[[#This Row],[flexibilisierbarer Anteil Referenz]]</f>
        <v>4852.9411764705883</v>
      </c>
      <c r="N9" s="56">
        <f>Tabelle589711142925[[#This Row],[Potenzial pos. max MW optimistisch (Szenario 2)]]/Tabelle589711142925[[#This Row],[flexibilisierbarer Anteil optimistisch (Szenario 2)]]</f>
        <v>7826.0869565217399</v>
      </c>
      <c r="O9" s="55"/>
      <c r="P9" s="55"/>
      <c r="Q9" s="55">
        <v>1</v>
      </c>
      <c r="R9" s="55">
        <v>3</v>
      </c>
      <c r="S9" s="13" t="s">
        <v>988</v>
      </c>
      <c r="T9" s="13" t="s">
        <v>988</v>
      </c>
      <c r="U9" s="13" t="s">
        <v>1015</v>
      </c>
      <c r="V9" s="13" t="s">
        <v>1015</v>
      </c>
      <c r="W9" s="62">
        <v>89</v>
      </c>
      <c r="X9" s="13" t="s">
        <v>1015</v>
      </c>
      <c r="Y9" s="13" t="s">
        <v>1015</v>
      </c>
    </row>
    <row r="10" spans="1:25" x14ac:dyDescent="0.25">
      <c r="A10" s="55" t="s">
        <v>283</v>
      </c>
      <c r="B10" s="1" t="s">
        <v>139</v>
      </c>
      <c r="C10" s="55">
        <v>2020</v>
      </c>
      <c r="D10" s="55">
        <v>1</v>
      </c>
      <c r="E10" s="55">
        <v>0</v>
      </c>
      <c r="F10" s="55">
        <v>0</v>
      </c>
      <c r="G10" s="56">
        <v>2000</v>
      </c>
      <c r="H10" s="56">
        <v>3500</v>
      </c>
      <c r="I10" s="56">
        <v>2000</v>
      </c>
      <c r="J10" s="56">
        <v>3500</v>
      </c>
      <c r="K10" s="58">
        <v>0.08</v>
      </c>
      <c r="L10" s="58">
        <v>0.2</v>
      </c>
      <c r="M10" s="56">
        <f>Tabelle589711142925[[#This Row],[Potenzial pos. max MW Referenz]]/Tabelle589711142925[[#This Row],[flexibilisierbarer Anteil Referenz]]</f>
        <v>25000</v>
      </c>
      <c r="N10" s="56">
        <f>Tabelle589711142925[[#This Row],[Potenzial pos. max MW optimistisch (Szenario 2)]]/Tabelle589711142925[[#This Row],[flexibilisierbarer Anteil optimistisch (Szenario 2)]]</f>
        <v>17500</v>
      </c>
      <c r="O10" s="55"/>
      <c r="P10" s="55"/>
      <c r="Q10" s="55">
        <v>6</v>
      </c>
      <c r="R10" s="55">
        <v>12</v>
      </c>
      <c r="S10" s="13" t="s">
        <v>988</v>
      </c>
      <c r="T10" s="13" t="s">
        <v>988</v>
      </c>
      <c r="U10" s="13" t="s">
        <v>1015</v>
      </c>
      <c r="V10" s="13" t="s">
        <v>1015</v>
      </c>
      <c r="W10" s="62">
        <v>89</v>
      </c>
      <c r="X10" s="13" t="s">
        <v>1015</v>
      </c>
      <c r="Y10" s="13" t="s">
        <v>1015</v>
      </c>
    </row>
    <row r="11" spans="1:25" x14ac:dyDescent="0.25">
      <c r="A11" s="55" t="s">
        <v>283</v>
      </c>
      <c r="B11" s="1" t="s">
        <v>139</v>
      </c>
      <c r="C11" s="55">
        <v>2030</v>
      </c>
      <c r="D11" s="55">
        <v>1</v>
      </c>
      <c r="E11" s="55">
        <v>0</v>
      </c>
      <c r="F11" s="55">
        <v>0</v>
      </c>
      <c r="G11" s="56">
        <v>5900</v>
      </c>
      <c r="H11" s="56">
        <v>9600</v>
      </c>
      <c r="I11" s="56">
        <v>5900</v>
      </c>
      <c r="J11" s="56">
        <v>9600</v>
      </c>
      <c r="K11" s="58">
        <v>0.68</v>
      </c>
      <c r="L11" s="58">
        <v>0.6</v>
      </c>
      <c r="M11" s="56">
        <f>Tabelle589711142925[[#This Row],[Potenzial pos. max MW Referenz]]/Tabelle589711142925[[#This Row],[flexibilisierbarer Anteil Referenz]]</f>
        <v>8676.4705882352937</v>
      </c>
      <c r="N11" s="56">
        <f>Tabelle589711142925[[#This Row],[Potenzial pos. max MW optimistisch (Szenario 2)]]/Tabelle589711142925[[#This Row],[flexibilisierbarer Anteil optimistisch (Szenario 2)]]</f>
        <v>16000</v>
      </c>
      <c r="O11" s="55"/>
      <c r="P11" s="55"/>
      <c r="Q11" s="55">
        <v>6</v>
      </c>
      <c r="R11" s="55">
        <v>12</v>
      </c>
      <c r="S11" s="13" t="s">
        <v>988</v>
      </c>
      <c r="T11" s="13" t="s">
        <v>988</v>
      </c>
      <c r="U11" s="13" t="s">
        <v>1015</v>
      </c>
      <c r="V11" s="13" t="s">
        <v>1015</v>
      </c>
      <c r="W11" s="62">
        <v>89</v>
      </c>
      <c r="X11" s="13" t="s">
        <v>1015</v>
      </c>
      <c r="Y11" s="13" t="s">
        <v>1015</v>
      </c>
    </row>
    <row r="12" spans="1:25" x14ac:dyDescent="0.25">
      <c r="A12" s="55" t="s">
        <v>138</v>
      </c>
      <c r="B12" s="1" t="s">
        <v>139</v>
      </c>
      <c r="C12" s="55">
        <v>2020</v>
      </c>
      <c r="D12" s="55">
        <v>1</v>
      </c>
      <c r="E12" s="55">
        <v>0</v>
      </c>
      <c r="F12" s="55">
        <v>0</v>
      </c>
      <c r="G12" s="56">
        <v>14600</v>
      </c>
      <c r="H12" s="56">
        <v>9700</v>
      </c>
      <c r="I12" s="56">
        <v>14600</v>
      </c>
      <c r="J12" s="56">
        <v>9700</v>
      </c>
      <c r="K12" s="58">
        <v>1</v>
      </c>
      <c r="L12" s="58">
        <v>1</v>
      </c>
      <c r="M12" s="56">
        <f>Tabelle589711142925[[#This Row],[Potenzial pos. max MW Referenz]]/Tabelle589711142925[[#This Row],[flexibilisierbarer Anteil Referenz]]</f>
        <v>14600</v>
      </c>
      <c r="N12" s="56">
        <f>Tabelle589711142925[[#This Row],[Potenzial pos. max MW optimistisch (Szenario 2)]]/Tabelle589711142925[[#This Row],[flexibilisierbarer Anteil optimistisch (Szenario 2)]]</f>
        <v>9700</v>
      </c>
      <c r="O12" s="55"/>
      <c r="P12" s="55"/>
      <c r="Q12" s="55">
        <v>18</v>
      </c>
      <c r="R12" s="55">
        <v>18</v>
      </c>
      <c r="S12" s="13" t="s">
        <v>988</v>
      </c>
      <c r="T12" s="13" t="s">
        <v>988</v>
      </c>
      <c r="U12" s="13" t="s">
        <v>1015</v>
      </c>
      <c r="V12" s="13" t="s">
        <v>1015</v>
      </c>
      <c r="W12" s="62">
        <v>89</v>
      </c>
      <c r="X12" s="13" t="s">
        <v>1015</v>
      </c>
      <c r="Y12" s="13" t="s">
        <v>1015</v>
      </c>
    </row>
    <row r="13" spans="1:25" x14ac:dyDescent="0.25">
      <c r="A13" s="55" t="s">
        <v>138</v>
      </c>
      <c r="B13" s="1" t="s">
        <v>139</v>
      </c>
      <c r="C13" s="55">
        <v>2030</v>
      </c>
      <c r="D13" s="55">
        <v>1</v>
      </c>
      <c r="E13" s="55">
        <v>0</v>
      </c>
      <c r="F13" s="55">
        <v>0</v>
      </c>
      <c r="G13" s="56">
        <v>9200</v>
      </c>
      <c r="H13" s="56">
        <v>6000</v>
      </c>
      <c r="I13" s="56">
        <v>9200</v>
      </c>
      <c r="J13" s="56">
        <v>6000</v>
      </c>
      <c r="K13" s="58">
        <v>1</v>
      </c>
      <c r="L13" s="58">
        <v>1</v>
      </c>
      <c r="M13" s="56">
        <f>Tabelle589711142925[[#This Row],[Potenzial pos. max MW Referenz]]/Tabelle589711142925[[#This Row],[flexibilisierbarer Anteil Referenz]]</f>
        <v>9200</v>
      </c>
      <c r="N13" s="56">
        <f>Tabelle589711142925[[#This Row],[Potenzial pos. max MW optimistisch (Szenario 2)]]/Tabelle589711142925[[#This Row],[flexibilisierbarer Anteil optimistisch (Szenario 2)]]</f>
        <v>6000</v>
      </c>
      <c r="O13" s="55"/>
      <c r="P13" s="55"/>
      <c r="Q13" s="55">
        <v>18</v>
      </c>
      <c r="R13" s="55">
        <v>18</v>
      </c>
      <c r="S13" s="13" t="s">
        <v>988</v>
      </c>
      <c r="T13" s="13" t="s">
        <v>988</v>
      </c>
      <c r="U13" s="13" t="s">
        <v>1015</v>
      </c>
      <c r="V13" s="13" t="s">
        <v>1015</v>
      </c>
      <c r="W13" s="62">
        <v>89</v>
      </c>
      <c r="X13" s="13" t="s">
        <v>1015</v>
      </c>
      <c r="Y13" s="13" t="s">
        <v>1015</v>
      </c>
    </row>
    <row r="14" spans="1:25" x14ac:dyDescent="0.25">
      <c r="A14" s="55" t="s">
        <v>134</v>
      </c>
      <c r="B14" s="1" t="s">
        <v>139</v>
      </c>
      <c r="C14" s="55">
        <v>2020</v>
      </c>
      <c r="D14" s="55">
        <v>1</v>
      </c>
      <c r="E14" s="55">
        <v>0</v>
      </c>
      <c r="F14" s="55">
        <v>0</v>
      </c>
      <c r="G14" s="56">
        <v>5700</v>
      </c>
      <c r="H14" s="56">
        <v>4300</v>
      </c>
      <c r="I14" s="56">
        <v>5700</v>
      </c>
      <c r="J14" s="56">
        <v>4300</v>
      </c>
      <c r="K14" s="58">
        <v>1</v>
      </c>
      <c r="L14" s="58">
        <v>1</v>
      </c>
      <c r="M14" s="56">
        <f>Tabelle589711142925[[#This Row],[Potenzial pos. max MW Referenz]]/Tabelle589711142925[[#This Row],[flexibilisierbarer Anteil Referenz]]</f>
        <v>5700</v>
      </c>
      <c r="N14" s="56">
        <f>Tabelle589711142925[[#This Row],[Potenzial pos. max MW optimistisch (Szenario 2)]]/Tabelle589711142925[[#This Row],[flexibilisierbarer Anteil optimistisch (Szenario 2)]]</f>
        <v>4300</v>
      </c>
      <c r="O14" s="55"/>
      <c r="P14" s="55"/>
      <c r="Q14" s="55">
        <v>1</v>
      </c>
      <c r="R14" s="55">
        <v>4</v>
      </c>
      <c r="S14" s="13" t="s">
        <v>988</v>
      </c>
      <c r="T14" s="13" t="s">
        <v>988</v>
      </c>
      <c r="U14" s="13" t="s">
        <v>1015</v>
      </c>
      <c r="V14" s="13" t="s">
        <v>1015</v>
      </c>
      <c r="W14" s="62">
        <v>89</v>
      </c>
      <c r="X14" s="13" t="s">
        <v>1015</v>
      </c>
      <c r="Y14" s="13" t="s">
        <v>1015</v>
      </c>
    </row>
    <row r="15" spans="1:25" x14ac:dyDescent="0.25">
      <c r="A15" s="55" t="s">
        <v>134</v>
      </c>
      <c r="B15" s="1" t="s">
        <v>139</v>
      </c>
      <c r="C15" s="55">
        <v>2030</v>
      </c>
      <c r="D15" s="55">
        <v>1</v>
      </c>
      <c r="E15" s="55">
        <v>0</v>
      </c>
      <c r="F15" s="55">
        <v>0</v>
      </c>
      <c r="G15" s="56">
        <v>8000</v>
      </c>
      <c r="H15" s="56">
        <v>4600</v>
      </c>
      <c r="I15" s="56">
        <v>8000</v>
      </c>
      <c r="J15" s="56">
        <v>4600</v>
      </c>
      <c r="K15" s="58">
        <v>1</v>
      </c>
      <c r="L15" s="58">
        <v>1</v>
      </c>
      <c r="M15" s="56">
        <f>Tabelle589711142925[[#This Row],[Potenzial pos. max MW Referenz]]/Tabelle589711142925[[#This Row],[flexibilisierbarer Anteil Referenz]]</f>
        <v>8000</v>
      </c>
      <c r="N15" s="56">
        <f>Tabelle589711142925[[#This Row],[Potenzial pos. max MW optimistisch (Szenario 2)]]/Tabelle589711142925[[#This Row],[flexibilisierbarer Anteil optimistisch (Szenario 2)]]</f>
        <v>4600</v>
      </c>
      <c r="O15" s="55"/>
      <c r="P15" s="55"/>
      <c r="Q15" s="55">
        <v>1</v>
      </c>
      <c r="R15" s="55">
        <v>4</v>
      </c>
      <c r="S15" s="13" t="s">
        <v>988</v>
      </c>
      <c r="T15" s="13" t="s">
        <v>988</v>
      </c>
      <c r="U15" s="13" t="s">
        <v>1015</v>
      </c>
      <c r="V15" s="13" t="s">
        <v>1015</v>
      </c>
      <c r="W15" s="62">
        <v>89</v>
      </c>
      <c r="X15" s="13" t="s">
        <v>1015</v>
      </c>
      <c r="Y15" s="13" t="s">
        <v>1015</v>
      </c>
    </row>
    <row r="16" spans="1:25" x14ac:dyDescent="0.25">
      <c r="A16" s="55" t="s">
        <v>135</v>
      </c>
      <c r="B16" s="1" t="s">
        <v>139</v>
      </c>
      <c r="C16" s="55">
        <v>2020</v>
      </c>
      <c r="D16" s="55">
        <v>1</v>
      </c>
      <c r="E16" s="55">
        <v>0</v>
      </c>
      <c r="F16" s="55">
        <v>0</v>
      </c>
      <c r="G16" s="56">
        <v>8800</v>
      </c>
      <c r="H16" s="56">
        <v>5400</v>
      </c>
      <c r="I16" s="56">
        <v>8800</v>
      </c>
      <c r="J16" s="56">
        <v>5400</v>
      </c>
      <c r="K16" s="58">
        <v>1</v>
      </c>
      <c r="L16" s="58">
        <v>1</v>
      </c>
      <c r="M16" s="56">
        <f>Tabelle589711142925[[#This Row],[Potenzial pos. max MW Referenz]]/Tabelle589711142925[[#This Row],[flexibilisierbarer Anteil Referenz]]</f>
        <v>8800</v>
      </c>
      <c r="N16" s="56">
        <f>Tabelle589711142925[[#This Row],[Potenzial pos. max MW optimistisch (Szenario 2)]]/Tabelle589711142925[[#This Row],[flexibilisierbarer Anteil optimistisch (Szenario 2)]]</f>
        <v>5400</v>
      </c>
      <c r="O16" s="55"/>
      <c r="P16" s="55"/>
      <c r="Q16" s="55">
        <v>18</v>
      </c>
      <c r="R16" s="55">
        <v>18</v>
      </c>
      <c r="S16" s="13" t="s">
        <v>988</v>
      </c>
      <c r="T16" s="13" t="s">
        <v>988</v>
      </c>
      <c r="U16" s="13" t="s">
        <v>1015</v>
      </c>
      <c r="V16" s="13" t="s">
        <v>1015</v>
      </c>
      <c r="W16" s="62">
        <v>89</v>
      </c>
      <c r="X16" s="13" t="s">
        <v>1015</v>
      </c>
      <c r="Y16" s="13" t="s">
        <v>1015</v>
      </c>
    </row>
    <row r="17" spans="1:25" x14ac:dyDescent="0.25">
      <c r="A17" s="55" t="s">
        <v>135</v>
      </c>
      <c r="B17" s="1" t="s">
        <v>139</v>
      </c>
      <c r="C17" s="55">
        <v>2030</v>
      </c>
      <c r="D17" s="55">
        <v>1</v>
      </c>
      <c r="E17" s="55">
        <v>0</v>
      </c>
      <c r="F17" s="55">
        <v>0</v>
      </c>
      <c r="G17" s="56">
        <v>6300</v>
      </c>
      <c r="H17" s="56">
        <v>3200</v>
      </c>
      <c r="I17" s="56">
        <v>6300</v>
      </c>
      <c r="J17" s="56">
        <v>3200</v>
      </c>
      <c r="K17" s="58">
        <v>1</v>
      </c>
      <c r="L17" s="58">
        <v>1</v>
      </c>
      <c r="M17" s="56">
        <f>Tabelle589711142925[[#This Row],[Potenzial pos. max MW Referenz]]/Tabelle589711142925[[#This Row],[flexibilisierbarer Anteil Referenz]]</f>
        <v>6300</v>
      </c>
      <c r="N17" s="56">
        <f>Tabelle589711142925[[#This Row],[Potenzial pos. max MW optimistisch (Szenario 2)]]/Tabelle589711142925[[#This Row],[flexibilisierbarer Anteil optimistisch (Szenario 2)]]</f>
        <v>3200</v>
      </c>
      <c r="O17" s="55"/>
      <c r="P17" s="55"/>
      <c r="Q17" s="55">
        <v>18</v>
      </c>
      <c r="R17" s="55">
        <v>18</v>
      </c>
      <c r="S17" s="13" t="s">
        <v>988</v>
      </c>
      <c r="T17" s="13" t="s">
        <v>988</v>
      </c>
      <c r="U17" s="13" t="s">
        <v>1015</v>
      </c>
      <c r="V17" s="13" t="s">
        <v>1015</v>
      </c>
      <c r="W17" s="62">
        <v>89</v>
      </c>
      <c r="X17" s="13" t="s">
        <v>1015</v>
      </c>
      <c r="Y17" s="13" t="s">
        <v>1015</v>
      </c>
    </row>
    <row r="18" spans="1:25" x14ac:dyDescent="0.25">
      <c r="A18" s="55" t="s">
        <v>829</v>
      </c>
      <c r="B18" s="1" t="s">
        <v>139</v>
      </c>
      <c r="C18" s="55">
        <v>2020</v>
      </c>
      <c r="D18" s="55">
        <v>1</v>
      </c>
      <c r="E18" s="55">
        <v>0</v>
      </c>
      <c r="F18" s="55">
        <v>0</v>
      </c>
      <c r="G18" s="56">
        <v>1900</v>
      </c>
      <c r="H18" s="56">
        <v>4800</v>
      </c>
      <c r="I18" s="56">
        <v>1900</v>
      </c>
      <c r="J18" s="56">
        <v>4800</v>
      </c>
      <c r="K18" s="58">
        <v>0.4</v>
      </c>
      <c r="L18" s="58">
        <v>1</v>
      </c>
      <c r="M18" s="56">
        <f>Tabelle589711142925[[#This Row],[Potenzial pos. max MW Referenz]]/Tabelle589711142925[[#This Row],[flexibilisierbarer Anteil Referenz]]</f>
        <v>4750</v>
      </c>
      <c r="N18" s="56">
        <f>Tabelle589711142925[[#This Row],[Potenzial pos. max MW optimistisch (Szenario 2)]]/Tabelle589711142925[[#This Row],[flexibilisierbarer Anteil optimistisch (Szenario 2)]]</f>
        <v>4800</v>
      </c>
      <c r="O18" s="55">
        <v>5</v>
      </c>
      <c r="P18" s="55">
        <v>12</v>
      </c>
      <c r="Q18" s="55"/>
      <c r="R18" s="55">
        <v>8.5</v>
      </c>
      <c r="S18" s="13" t="s">
        <v>988</v>
      </c>
      <c r="T18" s="13" t="s">
        <v>988</v>
      </c>
      <c r="U18" s="13" t="s">
        <v>1015</v>
      </c>
      <c r="V18" s="13" t="s">
        <v>1015</v>
      </c>
      <c r="W18" s="62">
        <v>89</v>
      </c>
      <c r="X18" s="13" t="s">
        <v>1015</v>
      </c>
      <c r="Y18" s="13" t="s">
        <v>1015</v>
      </c>
    </row>
    <row r="19" spans="1:25" x14ac:dyDescent="0.25">
      <c r="A19" s="55" t="s">
        <v>829</v>
      </c>
      <c r="B19" s="1" t="s">
        <v>139</v>
      </c>
      <c r="C19" s="55">
        <v>2030</v>
      </c>
      <c r="D19" s="55">
        <v>1</v>
      </c>
      <c r="E19" s="55">
        <v>0</v>
      </c>
      <c r="F19" s="55">
        <v>0</v>
      </c>
      <c r="G19" s="56">
        <v>14900</v>
      </c>
      <c r="H19" s="56">
        <v>26100</v>
      </c>
      <c r="I19" s="56">
        <v>14900</v>
      </c>
      <c r="J19" s="56">
        <v>26100</v>
      </c>
      <c r="K19" s="58">
        <v>0.6</v>
      </c>
      <c r="L19" s="58">
        <v>1</v>
      </c>
      <c r="M19" s="56">
        <f>Tabelle589711142925[[#This Row],[Potenzial pos. max MW Referenz]]/Tabelle589711142925[[#This Row],[flexibilisierbarer Anteil Referenz]]</f>
        <v>24833.333333333336</v>
      </c>
      <c r="N19" s="56">
        <f>Tabelle589711142925[[#This Row],[Potenzial pos. max MW optimistisch (Szenario 2)]]/Tabelle589711142925[[#This Row],[flexibilisierbarer Anteil optimistisch (Szenario 2)]]</f>
        <v>26100</v>
      </c>
      <c r="O19" s="55">
        <v>5</v>
      </c>
      <c r="P19" s="55">
        <v>12</v>
      </c>
      <c r="Q19" s="55"/>
      <c r="R19" s="55">
        <v>8.5</v>
      </c>
      <c r="S19" s="13" t="s">
        <v>988</v>
      </c>
      <c r="T19" s="13" t="s">
        <v>988</v>
      </c>
      <c r="U19" s="13" t="s">
        <v>1015</v>
      </c>
      <c r="V19" s="13" t="s">
        <v>1015</v>
      </c>
      <c r="W19" s="62">
        <v>89</v>
      </c>
      <c r="X19" s="13" t="s">
        <v>1015</v>
      </c>
      <c r="Y19" s="13" t="s">
        <v>1015</v>
      </c>
    </row>
    <row r="20" spans="1:25" x14ac:dyDescent="0.25">
      <c r="A20" s="55" t="s">
        <v>362</v>
      </c>
      <c r="B20" s="1" t="s">
        <v>127</v>
      </c>
      <c r="C20" s="55">
        <v>2020</v>
      </c>
      <c r="D20" s="55">
        <v>1</v>
      </c>
      <c r="E20" s="55">
        <v>0</v>
      </c>
      <c r="F20" s="55">
        <v>0</v>
      </c>
      <c r="G20" s="56">
        <v>900</v>
      </c>
      <c r="H20" s="56">
        <v>3500</v>
      </c>
      <c r="I20" s="56">
        <v>900</v>
      </c>
      <c r="J20" s="56">
        <v>3500</v>
      </c>
      <c r="K20" s="58">
        <v>7.0000000000000007E-2</v>
      </c>
      <c r="L20" s="58">
        <v>0.3</v>
      </c>
      <c r="M20" s="56">
        <f>Tabelle589711142925[[#This Row],[Potenzial pos. max MW Referenz]]/Tabelle589711142925[[#This Row],[flexibilisierbarer Anteil Referenz]]</f>
        <v>12857.142857142855</v>
      </c>
      <c r="N20" s="56">
        <f>Tabelle589711142925[[#This Row],[Potenzial pos. max MW optimistisch (Szenario 2)]]/Tabelle589711142925[[#This Row],[flexibilisierbarer Anteil optimistisch (Szenario 2)]]</f>
        <v>11666.666666666668</v>
      </c>
      <c r="O20" s="55"/>
      <c r="P20" s="55"/>
      <c r="Q20" s="55">
        <v>1</v>
      </c>
      <c r="R20" s="55">
        <v>2</v>
      </c>
      <c r="S20" s="13" t="s">
        <v>988</v>
      </c>
      <c r="T20" s="13" t="s">
        <v>988</v>
      </c>
      <c r="U20" s="13" t="s">
        <v>1015</v>
      </c>
      <c r="V20" s="13" t="s">
        <v>1015</v>
      </c>
      <c r="W20" s="62">
        <v>89</v>
      </c>
      <c r="X20" s="13" t="s">
        <v>1015</v>
      </c>
      <c r="Y20" s="13" t="s">
        <v>1015</v>
      </c>
    </row>
    <row r="21" spans="1:25" x14ac:dyDescent="0.25">
      <c r="A21" s="55" t="s">
        <v>362</v>
      </c>
      <c r="B21" s="1" t="s">
        <v>127</v>
      </c>
      <c r="C21" s="55">
        <v>2030</v>
      </c>
      <c r="D21" s="55">
        <v>1</v>
      </c>
      <c r="E21" s="55">
        <v>0</v>
      </c>
      <c r="F21" s="55">
        <v>0</v>
      </c>
      <c r="G21" s="56">
        <v>2700</v>
      </c>
      <c r="H21" s="56">
        <v>9800</v>
      </c>
      <c r="I21" s="56">
        <v>2700</v>
      </c>
      <c r="J21" s="56">
        <v>9800</v>
      </c>
      <c r="K21" s="58">
        <v>0.2</v>
      </c>
      <c r="L21" s="58">
        <v>0.8</v>
      </c>
      <c r="M21" s="56">
        <f>Tabelle589711142925[[#This Row],[Potenzial pos. max MW Referenz]]/Tabelle589711142925[[#This Row],[flexibilisierbarer Anteil Referenz]]</f>
        <v>13500</v>
      </c>
      <c r="N21" s="56">
        <f>Tabelle589711142925[[#This Row],[Potenzial pos. max MW optimistisch (Szenario 2)]]/Tabelle589711142925[[#This Row],[flexibilisierbarer Anteil optimistisch (Szenario 2)]]</f>
        <v>12250</v>
      </c>
      <c r="O21" s="55"/>
      <c r="P21" s="55"/>
      <c r="Q21" s="55">
        <v>2</v>
      </c>
      <c r="R21" s="55">
        <v>4</v>
      </c>
      <c r="S21" s="13" t="s">
        <v>988</v>
      </c>
      <c r="T21" s="13" t="s">
        <v>988</v>
      </c>
      <c r="U21" s="13" t="s">
        <v>1015</v>
      </c>
      <c r="V21" s="13" t="s">
        <v>1015</v>
      </c>
      <c r="W21" s="62">
        <v>89</v>
      </c>
      <c r="X21" s="13" t="s">
        <v>1015</v>
      </c>
      <c r="Y21" s="13" t="s">
        <v>1015</v>
      </c>
    </row>
    <row r="22" spans="1:25" x14ac:dyDescent="0.25">
      <c r="A22" s="55" t="s">
        <v>820</v>
      </c>
      <c r="B22" s="1" t="s">
        <v>126</v>
      </c>
      <c r="C22" s="55">
        <v>2020</v>
      </c>
      <c r="D22" s="55">
        <v>1</v>
      </c>
      <c r="E22" s="55">
        <v>1</v>
      </c>
      <c r="F22" s="55">
        <v>0</v>
      </c>
      <c r="G22" s="56">
        <v>100</v>
      </c>
      <c r="H22" s="56">
        <v>1300</v>
      </c>
      <c r="I22" s="56">
        <v>100</v>
      </c>
      <c r="J22" s="56">
        <v>1300</v>
      </c>
      <c r="K22" s="58">
        <v>0.03</v>
      </c>
      <c r="L22" s="58">
        <v>0.25</v>
      </c>
      <c r="M22" s="56">
        <f>Tabelle589711142925[[#This Row],[Potenzial pos. max MW Referenz]]/Tabelle589711142925[[#This Row],[flexibilisierbarer Anteil Referenz]]</f>
        <v>3333.3333333333335</v>
      </c>
      <c r="N22" s="56">
        <f>Tabelle589711142925[[#This Row],[Potenzial pos. max MW optimistisch (Szenario 2)]]/Tabelle589711142925[[#This Row],[flexibilisierbarer Anteil optimistisch (Szenario 2)]]</f>
        <v>5200</v>
      </c>
      <c r="O22" s="55">
        <v>1</v>
      </c>
      <c r="P22" s="55">
        <v>4</v>
      </c>
      <c r="Q22" s="55"/>
      <c r="R22" s="55">
        <v>2.5</v>
      </c>
      <c r="S22" s="13" t="s">
        <v>988</v>
      </c>
      <c r="T22" s="13" t="s">
        <v>988</v>
      </c>
      <c r="U22" s="13" t="s">
        <v>1015</v>
      </c>
      <c r="V22" s="13" t="s">
        <v>1015</v>
      </c>
      <c r="W22" s="62">
        <v>89</v>
      </c>
      <c r="X22" s="13" t="s">
        <v>1015</v>
      </c>
      <c r="Y22" s="13" t="s">
        <v>1015</v>
      </c>
    </row>
    <row r="23" spans="1:25" x14ac:dyDescent="0.25">
      <c r="A23" s="55" t="s">
        <v>820</v>
      </c>
      <c r="B23" s="1" t="s">
        <v>126</v>
      </c>
      <c r="C23" s="55">
        <v>2030</v>
      </c>
      <c r="D23" s="55">
        <v>1</v>
      </c>
      <c r="E23" s="55">
        <v>1</v>
      </c>
      <c r="F23" s="55">
        <v>0</v>
      </c>
      <c r="G23" s="56">
        <v>500</v>
      </c>
      <c r="H23" s="56">
        <v>4500</v>
      </c>
      <c r="I23" s="56">
        <v>500</v>
      </c>
      <c r="J23" s="56">
        <v>4500</v>
      </c>
      <c r="K23" s="58">
        <v>0.1</v>
      </c>
      <c r="L23" s="58">
        <v>0.85</v>
      </c>
      <c r="M23" s="56">
        <f>Tabelle589711142925[[#This Row],[Potenzial pos. max MW Referenz]]/Tabelle589711142925[[#This Row],[flexibilisierbarer Anteil Referenz]]</f>
        <v>5000</v>
      </c>
      <c r="N23" s="56">
        <f>Tabelle589711142925[[#This Row],[Potenzial pos. max MW optimistisch (Szenario 2)]]/Tabelle589711142925[[#This Row],[flexibilisierbarer Anteil optimistisch (Szenario 2)]]</f>
        <v>5294.1176470588234</v>
      </c>
      <c r="O23" s="55">
        <v>1</v>
      </c>
      <c r="P23" s="55">
        <v>4</v>
      </c>
      <c r="Q23" s="55"/>
      <c r="R23" s="55">
        <v>2.5</v>
      </c>
      <c r="S23" s="13" t="s">
        <v>988</v>
      </c>
      <c r="T23" s="13" t="s">
        <v>988</v>
      </c>
      <c r="U23" s="13" t="s">
        <v>1015</v>
      </c>
      <c r="V23" s="13" t="s">
        <v>1015</v>
      </c>
      <c r="W23" s="62">
        <v>89</v>
      </c>
      <c r="X23" s="13" t="s">
        <v>1015</v>
      </c>
      <c r="Y23" s="13" t="s">
        <v>1015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96BC42-A61E-4E80-B0B0-9FB2704246AB}">
          <x14:formula1>
            <xm:f>Dropdown!$C$2:$C$4</xm:f>
          </x14:formula1>
          <xm:sqref>B2:B23</xm:sqref>
        </x14:dataValidation>
        <x14:dataValidation type="list" allowBlank="1" showInputMessage="1" showErrorMessage="1" xr:uid="{11B04EFC-20E4-4F2E-9CFD-7BAF45185F0D}">
          <x14:formula1>
            <xm:f>Dropdown!$A$1:$A$92</xm:f>
          </x14:formula1>
          <xm:sqref>A2:A23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FD9F-5B6B-4533-9CBC-A8ABCB594DE3}">
  <sheetPr codeName="Tabelle8"/>
  <dimension ref="A1:N1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9" sqref="F19"/>
    </sheetView>
  </sheetViews>
  <sheetFormatPr baseColWidth="10" defaultRowHeight="14.5" x14ac:dyDescent="0.35"/>
  <cols>
    <col min="1" max="1" width="24.1796875" bestFit="1" customWidth="1"/>
    <col min="4" max="4" width="19.26953125" bestFit="1" customWidth="1"/>
    <col min="5" max="5" width="14.1796875" bestFit="1" customWidth="1"/>
    <col min="6" max="6" width="15.7265625" bestFit="1" customWidth="1"/>
    <col min="7" max="7" width="32.26953125" bestFit="1" customWidth="1"/>
    <col min="8" max="8" width="32.54296875" bestFit="1" customWidth="1"/>
    <col min="9" max="9" width="21.7265625" bestFit="1" customWidth="1"/>
    <col min="10" max="10" width="29.54296875" bestFit="1" customWidth="1"/>
    <col min="11" max="11" width="24.453125" bestFit="1" customWidth="1"/>
    <col min="12" max="12" width="26.453125" bestFit="1" customWidth="1"/>
    <col min="13" max="13" width="26.7265625" bestFit="1" customWidth="1"/>
    <col min="14" max="14" width="29.1796875" bestFit="1" customWidth="1"/>
  </cols>
  <sheetData>
    <row r="1" spans="1:14" s="1" customFormat="1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146</v>
      </c>
      <c r="H1" s="2" t="s">
        <v>155</v>
      </c>
      <c r="I1" s="2" t="s">
        <v>3</v>
      </c>
      <c r="J1" s="2" t="s">
        <v>161</v>
      </c>
      <c r="K1" s="2" t="s">
        <v>162</v>
      </c>
      <c r="L1" s="2" t="s">
        <v>1</v>
      </c>
      <c r="M1" s="2" t="s">
        <v>2</v>
      </c>
      <c r="N1" s="2" t="s">
        <v>6</v>
      </c>
    </row>
    <row r="2" spans="1:14" s="1" customFormat="1" ht="12.5" x14ac:dyDescent="0.25">
      <c r="A2" s="1" t="s">
        <v>27</v>
      </c>
      <c r="B2" s="1" t="s">
        <v>126</v>
      </c>
      <c r="C2" s="1">
        <v>2013</v>
      </c>
      <c r="D2" s="1">
        <v>1</v>
      </c>
      <c r="E2" s="1">
        <v>0</v>
      </c>
      <c r="F2" s="1">
        <v>0</v>
      </c>
      <c r="G2" s="19">
        <v>64</v>
      </c>
      <c r="H2" s="19">
        <v>14</v>
      </c>
      <c r="I2" s="1">
        <v>2</v>
      </c>
      <c r="J2" s="1">
        <v>32</v>
      </c>
      <c r="K2" s="1">
        <v>32</v>
      </c>
      <c r="L2" s="13">
        <v>33</v>
      </c>
      <c r="M2" s="1">
        <v>33</v>
      </c>
      <c r="N2" s="1">
        <v>33</v>
      </c>
    </row>
    <row r="3" spans="1:14" x14ac:dyDescent="0.35">
      <c r="A3" s="55" t="s">
        <v>185</v>
      </c>
      <c r="B3" s="55" t="s">
        <v>126</v>
      </c>
      <c r="C3" s="1">
        <v>2013</v>
      </c>
      <c r="D3" s="1">
        <v>1</v>
      </c>
      <c r="E3" s="1">
        <v>0</v>
      </c>
      <c r="F3" s="1">
        <v>0</v>
      </c>
      <c r="G3" s="56">
        <v>730</v>
      </c>
      <c r="H3" s="56">
        <v>283</v>
      </c>
      <c r="I3" s="55">
        <v>2</v>
      </c>
      <c r="J3" s="55">
        <v>32</v>
      </c>
      <c r="K3" s="55">
        <v>32</v>
      </c>
      <c r="L3" s="13">
        <v>33</v>
      </c>
      <c r="M3" s="1">
        <v>33</v>
      </c>
      <c r="N3" s="1">
        <v>33</v>
      </c>
    </row>
    <row r="4" spans="1:14" x14ac:dyDescent="0.35">
      <c r="A4" s="1" t="s">
        <v>938</v>
      </c>
      <c r="B4" s="1" t="s">
        <v>126</v>
      </c>
      <c r="C4" s="1">
        <v>2013</v>
      </c>
      <c r="D4" s="1">
        <v>1</v>
      </c>
      <c r="E4" s="1">
        <v>0</v>
      </c>
      <c r="F4" s="1">
        <v>0</v>
      </c>
      <c r="G4" s="19">
        <v>313</v>
      </c>
      <c r="H4" s="19">
        <v>313</v>
      </c>
      <c r="I4" s="1">
        <v>72</v>
      </c>
      <c r="J4" s="1">
        <v>32</v>
      </c>
      <c r="K4" s="1">
        <v>32</v>
      </c>
      <c r="L4" s="13">
        <v>33</v>
      </c>
      <c r="M4" s="1">
        <v>33</v>
      </c>
      <c r="N4" s="1">
        <v>33</v>
      </c>
    </row>
    <row r="5" spans="1:14" x14ac:dyDescent="0.35">
      <c r="A5" s="1" t="s">
        <v>206</v>
      </c>
      <c r="B5" s="1" t="s">
        <v>126</v>
      </c>
      <c r="C5" s="1">
        <v>2013</v>
      </c>
      <c r="D5" s="1">
        <v>1</v>
      </c>
      <c r="E5" s="1">
        <v>0</v>
      </c>
      <c r="F5" s="1">
        <v>0</v>
      </c>
      <c r="G5" s="19">
        <v>500</v>
      </c>
      <c r="H5" s="19">
        <v>235</v>
      </c>
      <c r="I5" s="1">
        <v>2</v>
      </c>
      <c r="J5" s="1">
        <v>32</v>
      </c>
      <c r="K5" s="1">
        <v>32</v>
      </c>
      <c r="L5" s="13">
        <v>33</v>
      </c>
      <c r="M5" s="1">
        <v>33</v>
      </c>
      <c r="N5" s="1">
        <v>33</v>
      </c>
    </row>
    <row r="6" spans="1:14" x14ac:dyDescent="0.35">
      <c r="A6" s="1" t="s">
        <v>871</v>
      </c>
      <c r="B6" s="1" t="s">
        <v>127</v>
      </c>
      <c r="C6" s="1">
        <v>2013</v>
      </c>
      <c r="D6" s="1">
        <v>1</v>
      </c>
      <c r="E6" s="1">
        <v>0</v>
      </c>
      <c r="F6" s="1">
        <v>0</v>
      </c>
      <c r="G6" s="19">
        <v>415</v>
      </c>
      <c r="H6" s="19">
        <v>230</v>
      </c>
      <c r="I6" s="1">
        <v>2</v>
      </c>
      <c r="J6" s="1">
        <v>32</v>
      </c>
      <c r="K6" s="1">
        <v>32</v>
      </c>
      <c r="L6" s="13">
        <v>33</v>
      </c>
      <c r="M6" s="1">
        <v>33</v>
      </c>
      <c r="N6" s="1">
        <v>33</v>
      </c>
    </row>
    <row r="7" spans="1:14" x14ac:dyDescent="0.35">
      <c r="A7" s="1" t="s">
        <v>99</v>
      </c>
      <c r="B7" s="1" t="s">
        <v>127</v>
      </c>
      <c r="C7" s="1">
        <v>2013</v>
      </c>
      <c r="D7" s="1">
        <v>1</v>
      </c>
      <c r="E7" s="1">
        <v>0</v>
      </c>
      <c r="F7" s="1">
        <v>0</v>
      </c>
      <c r="G7" s="19">
        <v>160</v>
      </c>
      <c r="H7" s="19">
        <v>120</v>
      </c>
      <c r="I7" s="1">
        <v>1</v>
      </c>
      <c r="J7" s="1">
        <v>32</v>
      </c>
      <c r="K7" s="1">
        <v>32</v>
      </c>
      <c r="L7" s="13">
        <v>33</v>
      </c>
      <c r="M7" s="1">
        <v>33</v>
      </c>
      <c r="N7" s="1">
        <v>33</v>
      </c>
    </row>
    <row r="8" spans="1:14" x14ac:dyDescent="0.35">
      <c r="A8" s="1" t="s">
        <v>136</v>
      </c>
      <c r="B8" s="1" t="s">
        <v>127</v>
      </c>
      <c r="C8" s="1">
        <v>2013</v>
      </c>
      <c r="D8" s="1">
        <v>1</v>
      </c>
      <c r="E8" s="1">
        <v>0</v>
      </c>
      <c r="F8" s="1">
        <v>0</v>
      </c>
      <c r="G8" s="19">
        <v>370</v>
      </c>
      <c r="H8" s="19">
        <v>740</v>
      </c>
      <c r="I8" s="1">
        <v>16</v>
      </c>
      <c r="J8" s="1">
        <v>32</v>
      </c>
      <c r="K8" s="1">
        <v>32</v>
      </c>
      <c r="L8" s="13">
        <v>33</v>
      </c>
      <c r="M8" s="1">
        <v>33</v>
      </c>
      <c r="N8" s="1">
        <v>33</v>
      </c>
    </row>
    <row r="9" spans="1:14" x14ac:dyDescent="0.35">
      <c r="A9" s="1" t="s">
        <v>137</v>
      </c>
      <c r="B9" s="1" t="s">
        <v>127</v>
      </c>
      <c r="C9" s="1">
        <v>2013</v>
      </c>
      <c r="D9" s="1">
        <v>1</v>
      </c>
      <c r="E9" s="1">
        <v>0</v>
      </c>
      <c r="F9" s="1">
        <v>0</v>
      </c>
      <c r="G9" s="19">
        <v>740</v>
      </c>
      <c r="H9" s="19">
        <v>2950</v>
      </c>
      <c r="I9" s="1">
        <v>16</v>
      </c>
      <c r="J9" s="1">
        <v>32</v>
      </c>
      <c r="K9" s="1">
        <v>32</v>
      </c>
      <c r="L9" s="13">
        <v>33</v>
      </c>
      <c r="M9" s="1">
        <v>33</v>
      </c>
      <c r="N9" s="1">
        <v>33</v>
      </c>
    </row>
    <row r="10" spans="1:14" x14ac:dyDescent="0.35">
      <c r="A10" s="1" t="s">
        <v>164</v>
      </c>
      <c r="B10" s="1" t="s">
        <v>139</v>
      </c>
      <c r="C10" s="1">
        <v>2013</v>
      </c>
      <c r="D10" s="1">
        <v>1</v>
      </c>
      <c r="E10" s="1">
        <v>0</v>
      </c>
      <c r="F10" s="1">
        <v>0</v>
      </c>
      <c r="G10" s="19">
        <v>415</v>
      </c>
      <c r="H10" s="19">
        <v>3300</v>
      </c>
      <c r="I10" s="1">
        <v>4</v>
      </c>
      <c r="J10" s="1">
        <v>32</v>
      </c>
      <c r="K10" s="1">
        <v>32</v>
      </c>
      <c r="L10" s="13">
        <v>33</v>
      </c>
      <c r="M10" s="1">
        <v>33</v>
      </c>
      <c r="N10" s="1">
        <v>33</v>
      </c>
    </row>
    <row r="11" spans="1:14" x14ac:dyDescent="0.35">
      <c r="A11" s="1" t="s">
        <v>389</v>
      </c>
      <c r="B11" s="1" t="s">
        <v>139</v>
      </c>
      <c r="C11" s="1">
        <v>2013</v>
      </c>
      <c r="D11" s="1">
        <v>1</v>
      </c>
      <c r="E11" s="1">
        <v>0</v>
      </c>
      <c r="F11" s="1">
        <v>0</v>
      </c>
      <c r="G11" s="19">
        <v>830</v>
      </c>
      <c r="H11" s="19">
        <v>1660</v>
      </c>
      <c r="I11" s="1">
        <v>1</v>
      </c>
      <c r="J11" s="1">
        <v>32</v>
      </c>
      <c r="K11" s="1">
        <v>32</v>
      </c>
      <c r="L11" s="13">
        <v>33</v>
      </c>
      <c r="M11" s="1">
        <v>33</v>
      </c>
      <c r="N11" s="1">
        <v>33</v>
      </c>
    </row>
    <row r="12" spans="1:14" x14ac:dyDescent="0.35">
      <c r="A12" s="1" t="s">
        <v>134</v>
      </c>
      <c r="B12" s="1" t="s">
        <v>139</v>
      </c>
      <c r="C12" s="1">
        <v>2013</v>
      </c>
      <c r="D12" s="1">
        <v>1</v>
      </c>
      <c r="E12" s="1">
        <v>0</v>
      </c>
      <c r="F12" s="1">
        <v>0</v>
      </c>
      <c r="G12" s="19">
        <v>170</v>
      </c>
      <c r="H12" s="19">
        <v>300</v>
      </c>
      <c r="I12" s="1">
        <v>1</v>
      </c>
      <c r="J12" s="1">
        <v>32</v>
      </c>
      <c r="K12" s="1">
        <v>32</v>
      </c>
      <c r="L12" s="13">
        <v>33</v>
      </c>
      <c r="M12" s="1">
        <v>33</v>
      </c>
      <c r="N12" s="1">
        <v>33</v>
      </c>
    </row>
    <row r="13" spans="1:14" x14ac:dyDescent="0.35">
      <c r="A13" s="1" t="s">
        <v>135</v>
      </c>
      <c r="B13" s="1" t="s">
        <v>139</v>
      </c>
      <c r="C13" s="1">
        <v>2013</v>
      </c>
      <c r="D13" s="1">
        <v>1</v>
      </c>
      <c r="E13" s="1">
        <v>0</v>
      </c>
      <c r="F13" s="1">
        <v>0</v>
      </c>
      <c r="G13" s="19">
        <v>440</v>
      </c>
      <c r="H13" s="19">
        <v>1380</v>
      </c>
      <c r="I13" s="1">
        <v>16</v>
      </c>
      <c r="J13" s="1">
        <v>32</v>
      </c>
      <c r="K13" s="1">
        <v>32</v>
      </c>
      <c r="L13" s="13">
        <v>33</v>
      </c>
      <c r="M13" s="1">
        <v>33</v>
      </c>
      <c r="N13" s="1">
        <v>33</v>
      </c>
    </row>
    <row r="14" spans="1:14" x14ac:dyDescent="0.35">
      <c r="A14" s="1" t="s">
        <v>138</v>
      </c>
      <c r="B14" s="1" t="s">
        <v>139</v>
      </c>
      <c r="C14" s="1">
        <v>2013</v>
      </c>
      <c r="D14" s="1">
        <v>1</v>
      </c>
      <c r="E14" s="1">
        <v>0</v>
      </c>
      <c r="F14" s="1">
        <v>0</v>
      </c>
      <c r="G14" s="19">
        <v>1290</v>
      </c>
      <c r="H14" s="19">
        <v>5100</v>
      </c>
      <c r="I14" s="1">
        <v>16</v>
      </c>
      <c r="J14" s="1">
        <v>32</v>
      </c>
      <c r="K14" s="1">
        <v>32</v>
      </c>
      <c r="L14" s="13">
        <v>33</v>
      </c>
      <c r="M14" s="1">
        <v>33</v>
      </c>
      <c r="N14" s="1">
        <v>33</v>
      </c>
    </row>
    <row r="15" spans="1:14" x14ac:dyDescent="0.35">
      <c r="A15" s="1" t="s">
        <v>362</v>
      </c>
      <c r="B15" s="1" t="s">
        <v>872</v>
      </c>
      <c r="C15" s="1">
        <v>2013</v>
      </c>
      <c r="D15" s="1">
        <v>1</v>
      </c>
      <c r="E15" s="1">
        <v>0</v>
      </c>
      <c r="F15" s="1">
        <v>0</v>
      </c>
      <c r="G15" s="19">
        <v>70</v>
      </c>
      <c r="H15" s="19">
        <v>90</v>
      </c>
      <c r="I15" s="1">
        <v>1</v>
      </c>
      <c r="J15" s="1">
        <v>32</v>
      </c>
      <c r="K15" s="1">
        <v>32</v>
      </c>
      <c r="L15" s="13">
        <v>33</v>
      </c>
      <c r="M15" s="1">
        <v>33</v>
      </c>
      <c r="N15" s="1">
        <v>33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26D020-526F-4B4E-9D40-D6D34BD6CD26}">
          <x14:formula1>
            <xm:f>Dropdown!$C$2:$C$4</xm:f>
          </x14:formula1>
          <xm:sqref>B2:B14</xm:sqref>
        </x14:dataValidation>
        <x14:dataValidation type="list" allowBlank="1" showInputMessage="1" showErrorMessage="1" xr:uid="{556A6EC9-8855-418B-813C-68A205141095}">
          <x14:formula1>
            <xm:f>Dropdown!$C$2:$C$5</xm:f>
          </x14:formula1>
          <xm:sqref>B15</xm:sqref>
        </x14:dataValidation>
        <x14:dataValidation type="list" allowBlank="1" showInputMessage="1" showErrorMessage="1" xr:uid="{84078E24-F16A-4E3E-B6E2-992107F7B154}">
          <x14:formula1>
            <xm:f>Dropdown!$A$2:$A$92</xm:f>
          </x14:formula1>
          <xm:sqref>A2:A15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9"/>
  <dimension ref="A1:AZ41"/>
  <sheetViews>
    <sheetView zoomScale="85" zoomScaleNormal="85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AF1" sqref="AF1"/>
    </sheetView>
  </sheetViews>
  <sheetFormatPr baseColWidth="10" defaultColWidth="11.453125" defaultRowHeight="12.5" x14ac:dyDescent="0.25"/>
  <cols>
    <col min="1" max="1" width="33.453125" style="1" bestFit="1" customWidth="1"/>
    <col min="2" max="2" width="33.453125" style="1" customWidth="1"/>
    <col min="3" max="3" width="9.54296875" style="1" bestFit="1" customWidth="1"/>
    <col min="4" max="4" width="23.453125" style="1" bestFit="1" customWidth="1"/>
    <col min="5" max="5" width="17.7265625" style="1" bestFit="1" customWidth="1"/>
    <col min="6" max="6" width="17.7265625" style="1" customWidth="1"/>
    <col min="7" max="7" width="32.54296875" style="1" bestFit="1" customWidth="1"/>
    <col min="8" max="8" width="38.81640625" style="1" bestFit="1" customWidth="1"/>
    <col min="9" max="9" width="29.26953125" style="1" customWidth="1"/>
    <col min="10" max="10" width="24.54296875" style="1" customWidth="1"/>
    <col min="11" max="13" width="24.453125" style="1" customWidth="1"/>
    <col min="14" max="14" width="37.7265625" style="1" bestFit="1" customWidth="1"/>
    <col min="15" max="15" width="27.453125" style="1" bestFit="1" customWidth="1"/>
    <col min="16" max="19" width="27.453125" style="1" customWidth="1"/>
    <col min="20" max="20" width="20.7265625" style="1" bestFit="1" customWidth="1"/>
    <col min="21" max="24" width="20.7265625" style="1" customWidth="1"/>
    <col min="25" max="25" width="29.7265625" style="1" bestFit="1" customWidth="1"/>
    <col min="26" max="26" width="29.7265625" style="1" customWidth="1"/>
    <col min="27" max="30" width="38.26953125" style="1" customWidth="1"/>
    <col min="31" max="31" width="38.26953125" style="1" bestFit="1" customWidth="1"/>
    <col min="32" max="32" width="33.453125" style="1" bestFit="1" customWidth="1"/>
    <col min="33" max="34" width="33.453125" style="1" customWidth="1"/>
    <col min="35" max="35" width="25.7265625" style="1" bestFit="1" customWidth="1"/>
    <col min="36" max="38" width="25.7265625" style="1" customWidth="1"/>
    <col min="39" max="39" width="56.7265625" style="1" bestFit="1" customWidth="1"/>
    <col min="40" max="40" width="35.54296875" style="1" customWidth="1"/>
    <col min="41" max="41" width="31.7265625" style="1" bestFit="1" customWidth="1"/>
    <col min="42" max="42" width="31.54296875" style="1" bestFit="1" customWidth="1"/>
    <col min="43" max="44" width="31.54296875" style="1" customWidth="1"/>
    <col min="45" max="45" width="35.7265625" style="1" bestFit="1" customWidth="1"/>
    <col min="46" max="46" width="28.81640625" style="1" bestFit="1" customWidth="1"/>
    <col min="47" max="47" width="37.81640625" style="1" bestFit="1" customWidth="1"/>
    <col min="48" max="48" width="38.1796875" style="1" bestFit="1" customWidth="1"/>
    <col min="49" max="49" width="22.81640625" style="1" bestFit="1" customWidth="1"/>
    <col min="50" max="50" width="28.54296875" style="1" bestFit="1" customWidth="1"/>
    <col min="51" max="51" width="28.26953125" style="1" bestFit="1" customWidth="1"/>
    <col min="52" max="52" width="28.26953125" style="1" customWidth="1"/>
    <col min="53" max="16384" width="11.453125" style="1"/>
  </cols>
  <sheetData>
    <row r="1" spans="1:52" ht="13" x14ac:dyDescent="0.3">
      <c r="A1" s="2" t="s">
        <v>0</v>
      </c>
      <c r="B1" s="2" t="s">
        <v>128</v>
      </c>
      <c r="C1" s="2" t="s">
        <v>8</v>
      </c>
      <c r="D1" s="2" t="s">
        <v>158</v>
      </c>
      <c r="E1" s="2" t="s">
        <v>159</v>
      </c>
      <c r="F1" s="2" t="s">
        <v>310</v>
      </c>
      <c r="G1" s="2" t="s">
        <v>833</v>
      </c>
      <c r="H1" s="2" t="s">
        <v>146</v>
      </c>
      <c r="I1" s="2" t="s">
        <v>541</v>
      </c>
      <c r="J1" s="2" t="s">
        <v>155</v>
      </c>
      <c r="K1" s="2" t="s">
        <v>556</v>
      </c>
      <c r="L1" s="2" t="s">
        <v>1119</v>
      </c>
      <c r="M1" s="2" t="s">
        <v>557</v>
      </c>
      <c r="N1" s="2" t="s">
        <v>113</v>
      </c>
      <c r="O1" s="2" t="s">
        <v>9</v>
      </c>
      <c r="P1" s="2" t="s">
        <v>426</v>
      </c>
      <c r="Q1" s="2" t="s">
        <v>222</v>
      </c>
      <c r="R1" s="2" t="s">
        <v>1128</v>
      </c>
      <c r="S1" s="2" t="s">
        <v>1129</v>
      </c>
      <c r="T1" s="2" t="s">
        <v>156</v>
      </c>
      <c r="U1" s="2" t="s">
        <v>1131</v>
      </c>
      <c r="V1" s="2" t="s">
        <v>224</v>
      </c>
      <c r="W1" s="2" t="s">
        <v>225</v>
      </c>
      <c r="X1" s="2" t="s">
        <v>157</v>
      </c>
      <c r="Y1" s="2" t="s">
        <v>564</v>
      </c>
      <c r="Z1" s="2" t="s">
        <v>565</v>
      </c>
      <c r="AA1" s="2" t="s">
        <v>96</v>
      </c>
      <c r="AB1" s="2" t="s">
        <v>1086</v>
      </c>
      <c r="AC1" s="2" t="s">
        <v>1251</v>
      </c>
      <c r="AD1" s="2" t="s">
        <v>1252</v>
      </c>
      <c r="AE1" s="2" t="s">
        <v>1246</v>
      </c>
      <c r="AF1" s="2" t="s">
        <v>1253</v>
      </c>
      <c r="AG1" s="2" t="s">
        <v>1254</v>
      </c>
      <c r="AH1" s="2" t="s">
        <v>1248</v>
      </c>
      <c r="AI1" s="2" t="s">
        <v>1250</v>
      </c>
      <c r="AJ1" s="2" t="s">
        <v>1255</v>
      </c>
      <c r="AK1" s="2" t="s">
        <v>561</v>
      </c>
      <c r="AL1" s="2" t="s">
        <v>562</v>
      </c>
      <c r="AM1" s="2" t="s">
        <v>20</v>
      </c>
      <c r="AN1" s="2" t="s">
        <v>867</v>
      </c>
      <c r="AO1" s="2" t="s">
        <v>1</v>
      </c>
      <c r="AP1" s="2" t="s">
        <v>2</v>
      </c>
      <c r="AQ1" s="2" t="s">
        <v>1123</v>
      </c>
      <c r="AR1" s="2" t="s">
        <v>114</v>
      </c>
      <c r="AS1" s="2" t="s">
        <v>95</v>
      </c>
      <c r="AT1" s="2" t="s">
        <v>5</v>
      </c>
      <c r="AU1" s="2" t="s">
        <v>15</v>
      </c>
      <c r="AV1" s="2" t="s">
        <v>7</v>
      </c>
      <c r="AW1" s="2" t="s">
        <v>17</v>
      </c>
      <c r="AX1" s="2" t="s">
        <v>18</v>
      </c>
      <c r="AY1" s="2" t="s">
        <v>19</v>
      </c>
      <c r="AZ1" s="2" t="s">
        <v>411</v>
      </c>
    </row>
    <row r="2" spans="1:52" x14ac:dyDescent="0.25">
      <c r="A2" s="79" t="s">
        <v>51</v>
      </c>
      <c r="B2" s="1" t="s">
        <v>126</v>
      </c>
      <c r="C2" s="1">
        <v>2012</v>
      </c>
      <c r="D2" s="1">
        <v>0</v>
      </c>
      <c r="E2" s="1">
        <v>1</v>
      </c>
      <c r="F2" s="1">
        <v>0</v>
      </c>
      <c r="G2" s="1">
        <v>6.8659999999999997</v>
      </c>
      <c r="H2" s="19">
        <v>281</v>
      </c>
      <c r="I2" s="19">
        <v>1126</v>
      </c>
      <c r="J2" s="19"/>
      <c r="K2" s="9">
        <v>0.25</v>
      </c>
      <c r="L2" s="9">
        <v>0</v>
      </c>
      <c r="M2" s="46">
        <v>6100</v>
      </c>
      <c r="N2" s="20">
        <v>1126</v>
      </c>
      <c r="O2" s="1">
        <v>0.25</v>
      </c>
      <c r="U2" s="1">
        <v>1</v>
      </c>
      <c r="AB2" s="1">
        <v>52</v>
      </c>
      <c r="AC2" s="19">
        <f>0.2*Umrechnungsfaktoren!$B$15/Umrechnungsfaktoren!$B$14</f>
        <v>0.2035294117647059</v>
      </c>
      <c r="AD2" s="19">
        <f>0.9*Umrechnungsfaktoren!$B$15/Umrechnungsfaktoren!$B$14</f>
        <v>0.91588235294117659</v>
      </c>
      <c r="AE2" s="19">
        <f>0.5*Umrechnungsfaktoren!$B$15/Umrechnungsfaktoren!$B$14</f>
        <v>0.50882352941176479</v>
      </c>
      <c r="AF2" s="19">
        <f>7.2*Umrechnungsfaktoren!$B$15/Umrechnungsfaktoren!$B$14</f>
        <v>7.3270588235294127</v>
      </c>
      <c r="AG2" s="19">
        <f>7.2*Umrechnungsfaktoren!$B$15/Umrechnungsfaktoren!$B$14</f>
        <v>7.3270588235294127</v>
      </c>
      <c r="AH2" s="19">
        <f>164*Umrechnungsfaktoren!$B$15/Umrechnungsfaktoren!$B$14</f>
        <v>166.89411764705883</v>
      </c>
      <c r="AI2" s="19">
        <f>0.05*Umrechnungsfaktoren!$B$15/Umrechnungsfaktoren!$B$14</f>
        <v>5.0882352941176476E-2</v>
      </c>
      <c r="AJ2" s="8"/>
      <c r="AK2" s="7">
        <v>0.96399999999999997</v>
      </c>
      <c r="AL2" s="7">
        <v>0.96399999999999997</v>
      </c>
      <c r="AN2" s="1">
        <v>56</v>
      </c>
      <c r="AO2" s="13" t="s">
        <v>558</v>
      </c>
      <c r="AP2" s="1">
        <v>57</v>
      </c>
      <c r="AQ2" s="13">
        <v>57</v>
      </c>
      <c r="AR2" s="13">
        <v>56</v>
      </c>
      <c r="AS2" s="13">
        <v>60</v>
      </c>
      <c r="AT2" s="1" t="s">
        <v>360</v>
      </c>
      <c r="AV2" s="1" t="s">
        <v>360</v>
      </c>
      <c r="AW2" s="1">
        <v>70</v>
      </c>
      <c r="AX2" s="1">
        <v>69</v>
      </c>
      <c r="AY2" s="1">
        <v>70</v>
      </c>
      <c r="AZ2" s="1" t="s">
        <v>560</v>
      </c>
    </row>
    <row r="3" spans="1:52" x14ac:dyDescent="0.25">
      <c r="A3" s="79" t="s">
        <v>51</v>
      </c>
      <c r="B3" s="1" t="s">
        <v>126</v>
      </c>
      <c r="C3" s="1">
        <v>2020</v>
      </c>
      <c r="D3" s="1">
        <v>0</v>
      </c>
      <c r="E3" s="1">
        <v>1</v>
      </c>
      <c r="F3" s="1">
        <v>0</v>
      </c>
      <c r="H3" s="19">
        <v>277</v>
      </c>
      <c r="I3" s="19">
        <v>1107</v>
      </c>
      <c r="J3" s="19"/>
      <c r="K3" s="9">
        <v>0.25</v>
      </c>
      <c r="L3" s="9">
        <v>0</v>
      </c>
      <c r="M3" s="46"/>
      <c r="N3" s="20"/>
      <c r="O3" s="1">
        <v>0.25</v>
      </c>
      <c r="U3" s="1">
        <v>1</v>
      </c>
      <c r="AC3" s="19">
        <f>0.2*Umrechnungsfaktoren!$B$15/Umrechnungsfaktoren!$B$14</f>
        <v>0.2035294117647059</v>
      </c>
      <c r="AD3" s="19">
        <f>0.9*Umrechnungsfaktoren!$B$15/Umrechnungsfaktoren!$B$14</f>
        <v>0.91588235294117659</v>
      </c>
      <c r="AE3" s="19">
        <f>0.5*Umrechnungsfaktoren!$B$15/Umrechnungsfaktoren!$B$14</f>
        <v>0.50882352941176479</v>
      </c>
      <c r="AF3" s="19">
        <f>7.2*Umrechnungsfaktoren!$B$15/Umrechnungsfaktoren!$B$14</f>
        <v>7.3270588235294127</v>
      </c>
      <c r="AG3" s="19">
        <f>7.2*Umrechnungsfaktoren!$B$15/Umrechnungsfaktoren!$B$14</f>
        <v>7.3270588235294127</v>
      </c>
      <c r="AH3" s="19">
        <f>164*Umrechnungsfaktoren!$B$15/Umrechnungsfaktoren!$B$14</f>
        <v>166.89411764705883</v>
      </c>
      <c r="AI3" s="19">
        <f>0.05*Umrechnungsfaktoren!$B$15/Umrechnungsfaktoren!$B$14</f>
        <v>5.0882352941176476E-2</v>
      </c>
      <c r="AJ3" s="8"/>
      <c r="AK3" s="7">
        <v>0.96399999999999997</v>
      </c>
      <c r="AL3" s="7">
        <v>0.96399999999999997</v>
      </c>
      <c r="AO3" s="13">
        <v>80</v>
      </c>
      <c r="AP3" s="13">
        <v>80</v>
      </c>
      <c r="AQ3" s="13"/>
      <c r="AR3" s="13"/>
      <c r="AS3" s="13"/>
    </row>
    <row r="4" spans="1:52" x14ac:dyDescent="0.25">
      <c r="A4" s="79" t="s">
        <v>51</v>
      </c>
      <c r="B4" s="1" t="s">
        <v>126</v>
      </c>
      <c r="C4" s="1">
        <v>2025</v>
      </c>
      <c r="D4" s="1">
        <v>0</v>
      </c>
      <c r="E4" s="1">
        <v>1</v>
      </c>
      <c r="F4" s="1">
        <v>0</v>
      </c>
      <c r="H4" s="19">
        <v>257</v>
      </c>
      <c r="I4" s="19">
        <v>1029</v>
      </c>
      <c r="J4" s="19"/>
      <c r="K4" s="9">
        <v>0.25</v>
      </c>
      <c r="L4" s="9">
        <v>0</v>
      </c>
      <c r="M4" s="46"/>
      <c r="N4" s="20"/>
      <c r="O4" s="1">
        <v>0.25</v>
      </c>
      <c r="U4" s="1">
        <v>1</v>
      </c>
      <c r="AC4" s="19">
        <f>0.2*Umrechnungsfaktoren!$B$15/Umrechnungsfaktoren!$B$14</f>
        <v>0.2035294117647059</v>
      </c>
      <c r="AD4" s="19">
        <f>0.9*Umrechnungsfaktoren!$B$15/Umrechnungsfaktoren!$B$14</f>
        <v>0.91588235294117659</v>
      </c>
      <c r="AE4" s="19">
        <f>0.5*Umrechnungsfaktoren!$B$15/Umrechnungsfaktoren!$B$14</f>
        <v>0.50882352941176479</v>
      </c>
      <c r="AF4" s="19">
        <f>7.2*Umrechnungsfaktoren!$B$15/Umrechnungsfaktoren!$B$14</f>
        <v>7.3270588235294127</v>
      </c>
      <c r="AG4" s="19">
        <f>7.2*Umrechnungsfaktoren!$B$15/Umrechnungsfaktoren!$B$14</f>
        <v>7.3270588235294127</v>
      </c>
      <c r="AH4" s="19">
        <f>164*Umrechnungsfaktoren!$B$15/Umrechnungsfaktoren!$B$14</f>
        <v>166.89411764705883</v>
      </c>
      <c r="AI4" s="19">
        <f>0.05*Umrechnungsfaktoren!$B$15/Umrechnungsfaktoren!$B$14</f>
        <v>5.0882352941176476E-2</v>
      </c>
      <c r="AJ4" s="8"/>
      <c r="AK4" s="7">
        <v>0.96399999999999997</v>
      </c>
      <c r="AL4" s="7">
        <v>0.96399999999999997</v>
      </c>
      <c r="AO4" s="13">
        <v>80</v>
      </c>
      <c r="AP4" s="13">
        <v>80</v>
      </c>
      <c r="AQ4" s="13"/>
      <c r="AR4" s="13"/>
      <c r="AS4" s="13"/>
    </row>
    <row r="5" spans="1:52" x14ac:dyDescent="0.25">
      <c r="A5" s="79" t="s">
        <v>51</v>
      </c>
      <c r="B5" s="1" t="s">
        <v>126</v>
      </c>
      <c r="C5" s="1">
        <v>2030</v>
      </c>
      <c r="D5" s="1">
        <v>0</v>
      </c>
      <c r="E5" s="1">
        <v>1</v>
      </c>
      <c r="F5" s="1">
        <v>0</v>
      </c>
      <c r="H5" s="19">
        <v>238</v>
      </c>
      <c r="I5" s="19">
        <v>951</v>
      </c>
      <c r="J5" s="19"/>
      <c r="K5" s="9">
        <v>0.25</v>
      </c>
      <c r="L5" s="9">
        <v>0</v>
      </c>
      <c r="M5" s="46"/>
      <c r="N5" s="20"/>
      <c r="O5" s="1">
        <v>0.25</v>
      </c>
      <c r="U5" s="1">
        <v>1</v>
      </c>
      <c r="AC5" s="19">
        <f>0.2*Umrechnungsfaktoren!$B$15/Umrechnungsfaktoren!$B$14</f>
        <v>0.2035294117647059</v>
      </c>
      <c r="AD5" s="19">
        <f>0.9*Umrechnungsfaktoren!$B$15/Umrechnungsfaktoren!$B$14</f>
        <v>0.91588235294117659</v>
      </c>
      <c r="AE5" s="19">
        <f>0.5*Umrechnungsfaktoren!$B$15/Umrechnungsfaktoren!$B$14</f>
        <v>0.50882352941176479</v>
      </c>
      <c r="AF5" s="19">
        <f>7.2*Umrechnungsfaktoren!$B$15/Umrechnungsfaktoren!$B$14</f>
        <v>7.3270588235294127</v>
      </c>
      <c r="AG5" s="19">
        <f>7.2*Umrechnungsfaktoren!$B$15/Umrechnungsfaktoren!$B$14</f>
        <v>7.3270588235294127</v>
      </c>
      <c r="AH5" s="19">
        <f>164*Umrechnungsfaktoren!$B$15/Umrechnungsfaktoren!$B$14</f>
        <v>166.89411764705883</v>
      </c>
      <c r="AI5" s="19">
        <f>0.05*Umrechnungsfaktoren!$B$15/Umrechnungsfaktoren!$B$14</f>
        <v>5.0882352941176476E-2</v>
      </c>
      <c r="AJ5" s="8"/>
      <c r="AK5" s="7">
        <v>0.96399999999999997</v>
      </c>
      <c r="AL5" s="7">
        <v>0.96399999999999997</v>
      </c>
      <c r="AO5" s="13">
        <v>80</v>
      </c>
      <c r="AP5" s="13">
        <v>80</v>
      </c>
      <c r="AQ5" s="13"/>
      <c r="AR5" s="13"/>
      <c r="AS5" s="13"/>
    </row>
    <row r="6" spans="1:52" x14ac:dyDescent="0.25">
      <c r="A6" s="79" t="s">
        <v>27</v>
      </c>
      <c r="B6" s="1" t="s">
        <v>126</v>
      </c>
      <c r="C6" s="1">
        <v>2012</v>
      </c>
      <c r="D6" s="1">
        <v>1</v>
      </c>
      <c r="E6" s="1">
        <v>1</v>
      </c>
      <c r="F6" s="1">
        <v>0</v>
      </c>
      <c r="G6" s="1">
        <f>1.837+5.773</f>
        <v>7.6099999999999994</v>
      </c>
      <c r="H6" s="19">
        <f>114+359</f>
        <v>473</v>
      </c>
      <c r="I6" s="19">
        <v>988</v>
      </c>
      <c r="J6" s="19">
        <f>72+227</f>
        <v>299</v>
      </c>
      <c r="K6" s="9">
        <v>0.48</v>
      </c>
      <c r="L6" s="9">
        <v>0.3</v>
      </c>
      <c r="M6" s="46">
        <v>7700</v>
      </c>
      <c r="N6" s="20">
        <f>239+750</f>
        <v>989</v>
      </c>
      <c r="O6" s="1">
        <v>0.25</v>
      </c>
      <c r="T6" s="1">
        <v>2</v>
      </c>
      <c r="U6" s="1">
        <v>2</v>
      </c>
      <c r="AA6" s="1">
        <v>52</v>
      </c>
      <c r="AB6" s="1">
        <v>52</v>
      </c>
      <c r="AC6" s="19">
        <f>0.2*Umrechnungsfaktoren!$B$15/Umrechnungsfaktoren!$B$14</f>
        <v>0.2035294117647059</v>
      </c>
      <c r="AD6" s="19">
        <f>0.9*Umrechnungsfaktoren!$B$15/Umrechnungsfaktoren!$B$14</f>
        <v>0.91588235294117659</v>
      </c>
      <c r="AE6" s="19">
        <f>0.5*Umrechnungsfaktoren!$B$15/Umrechnungsfaktoren!$B$14</f>
        <v>0.50882352941176479</v>
      </c>
      <c r="AF6" s="19"/>
      <c r="AG6" s="19">
        <f>27.7*Umrechnungsfaktoren!$B$15/Umrechnungsfaktoren!$B$14</f>
        <v>28.188823529411764</v>
      </c>
      <c r="AH6" s="8">
        <f>96*Umrechnungsfaktoren!$B$15/Umrechnungsfaktoren!$B$14</f>
        <v>97.694117647058818</v>
      </c>
      <c r="AI6" s="8">
        <f>0.05*Umrechnungsfaktoren!$B$15/Umrechnungsfaktoren!$B$14</f>
        <v>5.0882352941176476E-2</v>
      </c>
      <c r="AJ6" s="8"/>
      <c r="AK6" s="7">
        <v>1.036</v>
      </c>
      <c r="AL6" s="7">
        <v>0.95499999999999996</v>
      </c>
      <c r="AN6" s="1">
        <v>56</v>
      </c>
      <c r="AO6" s="13" t="s">
        <v>558</v>
      </c>
      <c r="AP6" s="1">
        <v>57</v>
      </c>
      <c r="AQ6" s="13">
        <v>57</v>
      </c>
      <c r="AR6" s="13">
        <v>56</v>
      </c>
      <c r="AS6" s="13">
        <v>60</v>
      </c>
      <c r="AT6" s="1" t="s">
        <v>360</v>
      </c>
      <c r="AV6" s="1" t="s">
        <v>360</v>
      </c>
      <c r="AW6" s="1">
        <v>70</v>
      </c>
      <c r="AX6" s="1">
        <v>69</v>
      </c>
      <c r="AY6" s="1">
        <v>70</v>
      </c>
      <c r="AZ6" s="1" t="s">
        <v>560</v>
      </c>
    </row>
    <row r="7" spans="1:52" x14ac:dyDescent="0.25">
      <c r="A7" s="79" t="s">
        <v>27</v>
      </c>
      <c r="B7" s="1" t="s">
        <v>126</v>
      </c>
      <c r="C7" s="1">
        <v>2020</v>
      </c>
      <c r="D7" s="1">
        <v>1</v>
      </c>
      <c r="E7" s="1">
        <v>1</v>
      </c>
      <c r="F7" s="1">
        <v>0</v>
      </c>
      <c r="H7" s="19">
        <v>430</v>
      </c>
      <c r="I7" s="19">
        <v>1248</v>
      </c>
      <c r="J7" s="19">
        <v>272</v>
      </c>
      <c r="K7" s="9">
        <v>0.48</v>
      </c>
      <c r="L7" s="9">
        <v>0.3</v>
      </c>
      <c r="M7" s="46"/>
      <c r="N7" s="20"/>
      <c r="O7" s="1">
        <v>0.25</v>
      </c>
      <c r="T7" s="1">
        <v>2</v>
      </c>
      <c r="U7" s="1">
        <v>2</v>
      </c>
      <c r="AC7" s="19">
        <f>0.2*Umrechnungsfaktoren!$B$15/Umrechnungsfaktoren!$B$14</f>
        <v>0.2035294117647059</v>
      </c>
      <c r="AD7" s="19">
        <f>0.9*Umrechnungsfaktoren!$B$15/Umrechnungsfaktoren!$B$14</f>
        <v>0.91588235294117659</v>
      </c>
      <c r="AE7" s="19">
        <f>0.5*Umrechnungsfaktoren!$B$15/Umrechnungsfaktoren!$B$14</f>
        <v>0.50882352941176479</v>
      </c>
      <c r="AF7" s="19"/>
      <c r="AG7" s="19">
        <f>27.7*Umrechnungsfaktoren!$B$15/Umrechnungsfaktoren!$B$14</f>
        <v>28.188823529411764</v>
      </c>
      <c r="AH7" s="8">
        <f>96*Umrechnungsfaktoren!$B$15/Umrechnungsfaktoren!$B$14</f>
        <v>97.694117647058818</v>
      </c>
      <c r="AI7" s="8">
        <f>0.05*Umrechnungsfaktoren!$B$15/Umrechnungsfaktoren!$B$14</f>
        <v>5.0882352941176476E-2</v>
      </c>
      <c r="AJ7" s="8"/>
      <c r="AK7" s="7">
        <v>1.036</v>
      </c>
      <c r="AL7" s="7">
        <v>0.95499999999999996</v>
      </c>
      <c r="AO7" s="13">
        <v>80</v>
      </c>
      <c r="AP7" s="13">
        <v>80</v>
      </c>
      <c r="AQ7" s="13"/>
      <c r="AR7" s="13"/>
      <c r="AS7" s="13"/>
    </row>
    <row r="8" spans="1:52" x14ac:dyDescent="0.25">
      <c r="A8" s="79" t="s">
        <v>27</v>
      </c>
      <c r="B8" s="1" t="s">
        <v>126</v>
      </c>
      <c r="C8" s="1">
        <v>2025</v>
      </c>
      <c r="D8" s="1">
        <v>1</v>
      </c>
      <c r="E8" s="1">
        <v>1</v>
      </c>
      <c r="F8" s="1">
        <v>0</v>
      </c>
      <c r="H8" s="19">
        <v>563</v>
      </c>
      <c r="I8" s="19">
        <v>1632</v>
      </c>
      <c r="J8" s="19">
        <v>356</v>
      </c>
      <c r="K8" s="9">
        <v>0.48</v>
      </c>
      <c r="L8" s="9">
        <v>0.3</v>
      </c>
      <c r="M8" s="46"/>
      <c r="N8" s="20"/>
      <c r="O8" s="1">
        <v>0.25</v>
      </c>
      <c r="T8" s="1">
        <v>2</v>
      </c>
      <c r="U8" s="1">
        <v>2</v>
      </c>
      <c r="AC8" s="19">
        <f>0.2*Umrechnungsfaktoren!$B$15/Umrechnungsfaktoren!$B$14</f>
        <v>0.2035294117647059</v>
      </c>
      <c r="AD8" s="19">
        <f>0.9*Umrechnungsfaktoren!$B$15/Umrechnungsfaktoren!$B$14</f>
        <v>0.91588235294117659</v>
      </c>
      <c r="AE8" s="19">
        <f>0.5*Umrechnungsfaktoren!$B$15/Umrechnungsfaktoren!$B$14</f>
        <v>0.50882352941176479</v>
      </c>
      <c r="AF8" s="19"/>
      <c r="AG8" s="19">
        <f>27.7*Umrechnungsfaktoren!$B$15/Umrechnungsfaktoren!$B$14</f>
        <v>28.188823529411764</v>
      </c>
      <c r="AH8" s="8">
        <f>96*Umrechnungsfaktoren!$B$15/Umrechnungsfaktoren!$B$14</f>
        <v>97.694117647058818</v>
      </c>
      <c r="AI8" s="8">
        <f>0.05*Umrechnungsfaktoren!$B$15/Umrechnungsfaktoren!$B$14</f>
        <v>5.0882352941176476E-2</v>
      </c>
      <c r="AJ8" s="8"/>
      <c r="AK8" s="7">
        <v>1.036</v>
      </c>
      <c r="AL8" s="7">
        <v>0.95499999999999996</v>
      </c>
      <c r="AO8" s="13">
        <v>80</v>
      </c>
      <c r="AP8" s="13">
        <v>80</v>
      </c>
      <c r="AQ8" s="13"/>
      <c r="AR8" s="13"/>
      <c r="AS8" s="13"/>
    </row>
    <row r="9" spans="1:52" x14ac:dyDescent="0.25">
      <c r="A9" s="79" t="s">
        <v>27</v>
      </c>
      <c r="B9" s="1" t="s">
        <v>126</v>
      </c>
      <c r="C9" s="1">
        <v>2030</v>
      </c>
      <c r="D9" s="1">
        <v>1</v>
      </c>
      <c r="E9" s="1">
        <v>1</v>
      </c>
      <c r="F9" s="1">
        <v>0</v>
      </c>
      <c r="H9" s="19">
        <v>557</v>
      </c>
      <c r="I9" s="19">
        <v>1615</v>
      </c>
      <c r="J9" s="19">
        <v>352</v>
      </c>
      <c r="K9" s="9">
        <v>0.48</v>
      </c>
      <c r="L9" s="9">
        <v>0.3</v>
      </c>
      <c r="M9" s="46"/>
      <c r="N9" s="20"/>
      <c r="O9" s="1">
        <v>0.25</v>
      </c>
      <c r="T9" s="1">
        <v>2</v>
      </c>
      <c r="U9" s="1">
        <v>2</v>
      </c>
      <c r="AC9" s="19">
        <f>0.2*Umrechnungsfaktoren!$B$15/Umrechnungsfaktoren!$B$14</f>
        <v>0.2035294117647059</v>
      </c>
      <c r="AD9" s="19">
        <f>0.9*Umrechnungsfaktoren!$B$15/Umrechnungsfaktoren!$B$14</f>
        <v>0.91588235294117659</v>
      </c>
      <c r="AE9" s="19">
        <f>0.5*Umrechnungsfaktoren!$B$15/Umrechnungsfaktoren!$B$14</f>
        <v>0.50882352941176479</v>
      </c>
      <c r="AF9" s="19"/>
      <c r="AG9" s="19">
        <f>27.7*Umrechnungsfaktoren!$B$15/Umrechnungsfaktoren!$B$14</f>
        <v>28.188823529411764</v>
      </c>
      <c r="AH9" s="8">
        <f>96*Umrechnungsfaktoren!$B$15/Umrechnungsfaktoren!$B$14</f>
        <v>97.694117647058818</v>
      </c>
      <c r="AI9" s="8">
        <f>0.05*Umrechnungsfaktoren!$B$15/Umrechnungsfaktoren!$B$14</f>
        <v>5.0882352941176476E-2</v>
      </c>
      <c r="AJ9" s="8"/>
      <c r="AK9" s="7">
        <v>1</v>
      </c>
      <c r="AL9" s="7">
        <v>1</v>
      </c>
      <c r="AO9" s="13">
        <v>80</v>
      </c>
      <c r="AP9" s="13">
        <v>80</v>
      </c>
      <c r="AQ9" s="13"/>
      <c r="AR9" s="13"/>
      <c r="AS9" s="13"/>
    </row>
    <row r="10" spans="1:52" x14ac:dyDescent="0.25">
      <c r="A10" s="79" t="s">
        <v>74</v>
      </c>
      <c r="B10" s="1" t="s">
        <v>126</v>
      </c>
      <c r="C10" s="1">
        <v>2012</v>
      </c>
      <c r="D10" s="1">
        <v>1</v>
      </c>
      <c r="E10" s="1">
        <v>0</v>
      </c>
      <c r="F10" s="1">
        <v>0</v>
      </c>
      <c r="G10" s="1">
        <f>1.556+0.789</f>
        <v>2.3450000000000002</v>
      </c>
      <c r="H10" s="19">
        <f>207+105</f>
        <v>312</v>
      </c>
      <c r="I10" s="19"/>
      <c r="J10" s="19">
        <f>46+23</f>
        <v>69</v>
      </c>
      <c r="K10" s="9">
        <v>1</v>
      </c>
      <c r="L10" s="9">
        <v>0.22</v>
      </c>
      <c r="M10" s="46">
        <v>7500</v>
      </c>
      <c r="N10" s="20">
        <f>207+105</f>
        <v>312</v>
      </c>
      <c r="O10" s="1">
        <v>0.25</v>
      </c>
      <c r="T10" s="1">
        <v>2</v>
      </c>
      <c r="AA10" s="1">
        <v>52</v>
      </c>
      <c r="AC10" s="19">
        <f>0.2*Umrechnungsfaktoren!$B$15/Umrechnungsfaktoren!$B$14</f>
        <v>0.2035294117647059</v>
      </c>
      <c r="AD10" s="19">
        <f>0.9*Umrechnungsfaktoren!$B$15/Umrechnungsfaktoren!$B$14</f>
        <v>0.91588235294117659</v>
      </c>
      <c r="AE10" s="19">
        <f>0.5*Umrechnungsfaktoren!$B$15/Umrechnungsfaktoren!$B$14</f>
        <v>0.50882352941176479</v>
      </c>
      <c r="AF10" s="8"/>
      <c r="AG10" s="8"/>
      <c r="AH10" s="8"/>
      <c r="AI10" s="8">
        <f>0.05*Umrechnungsfaktoren!$B$15/Umrechnungsfaktoren!$B$14</f>
        <v>5.0882352941176476E-2</v>
      </c>
      <c r="AJ10" s="8"/>
      <c r="AK10" s="7">
        <v>1</v>
      </c>
      <c r="AL10" s="7">
        <v>1</v>
      </c>
      <c r="AN10" s="1">
        <v>56</v>
      </c>
      <c r="AO10" s="13" t="s">
        <v>558</v>
      </c>
      <c r="AP10" s="1">
        <v>57</v>
      </c>
      <c r="AQ10" s="13">
        <v>57</v>
      </c>
      <c r="AR10" s="13">
        <v>56</v>
      </c>
      <c r="AS10" s="13">
        <v>60</v>
      </c>
      <c r="AT10" s="1" t="s">
        <v>360</v>
      </c>
      <c r="AV10" s="1" t="s">
        <v>360</v>
      </c>
      <c r="AW10" s="1">
        <v>70</v>
      </c>
      <c r="AX10" s="1">
        <v>69</v>
      </c>
      <c r="AY10" s="1">
        <v>70</v>
      </c>
    </row>
    <row r="11" spans="1:52" x14ac:dyDescent="0.25">
      <c r="A11" s="79" t="s">
        <v>74</v>
      </c>
      <c r="B11" s="1" t="s">
        <v>126</v>
      </c>
      <c r="C11" s="1">
        <v>2020</v>
      </c>
      <c r="D11" s="1">
        <v>1</v>
      </c>
      <c r="E11" s="1">
        <v>0</v>
      </c>
      <c r="F11" s="1">
        <v>0</v>
      </c>
      <c r="H11" s="19">
        <v>290</v>
      </c>
      <c r="I11" s="19"/>
      <c r="J11" s="19">
        <v>64</v>
      </c>
      <c r="K11" s="9">
        <v>1</v>
      </c>
      <c r="L11" s="9">
        <v>0.22</v>
      </c>
      <c r="M11" s="46"/>
      <c r="N11" s="20"/>
      <c r="O11" s="1">
        <v>0.25</v>
      </c>
      <c r="T11" s="1">
        <v>2</v>
      </c>
      <c r="AC11" s="19">
        <f>0.2*Umrechnungsfaktoren!$B$15/Umrechnungsfaktoren!$B$14</f>
        <v>0.2035294117647059</v>
      </c>
      <c r="AD11" s="19">
        <f>0.9*Umrechnungsfaktoren!$B$15/Umrechnungsfaktoren!$B$14</f>
        <v>0.91588235294117659</v>
      </c>
      <c r="AE11" s="19">
        <f>0.5*Umrechnungsfaktoren!$B$15/Umrechnungsfaktoren!$B$14</f>
        <v>0.50882352941176479</v>
      </c>
      <c r="AF11" s="8"/>
      <c r="AG11" s="8"/>
      <c r="AH11" s="8"/>
      <c r="AI11" s="8">
        <f>0.05*Umrechnungsfaktoren!$B$15/Umrechnungsfaktoren!$B$14</f>
        <v>5.0882352941176476E-2</v>
      </c>
      <c r="AJ11" s="8"/>
      <c r="AK11" s="7">
        <v>1</v>
      </c>
      <c r="AL11" s="7">
        <v>1</v>
      </c>
      <c r="AO11" s="13">
        <v>80</v>
      </c>
      <c r="AP11" s="13">
        <v>80</v>
      </c>
      <c r="AQ11" s="13"/>
      <c r="AR11" s="13"/>
      <c r="AS11" s="13"/>
    </row>
    <row r="12" spans="1:52" x14ac:dyDescent="0.25">
      <c r="A12" s="79" t="s">
        <v>74</v>
      </c>
      <c r="B12" s="1" t="s">
        <v>126</v>
      </c>
      <c r="C12" s="1">
        <v>2025</v>
      </c>
      <c r="D12" s="1">
        <v>1</v>
      </c>
      <c r="E12" s="1">
        <v>0</v>
      </c>
      <c r="F12" s="1">
        <v>0</v>
      </c>
      <c r="H12" s="19">
        <v>257</v>
      </c>
      <c r="I12" s="19"/>
      <c r="J12" s="19">
        <v>56</v>
      </c>
      <c r="K12" s="9">
        <v>1</v>
      </c>
      <c r="L12" s="9">
        <v>0.22</v>
      </c>
      <c r="M12" s="46"/>
      <c r="N12" s="20"/>
      <c r="O12" s="1">
        <v>0.25</v>
      </c>
      <c r="T12" s="1">
        <v>2</v>
      </c>
      <c r="AC12" s="19">
        <f>0.2*Umrechnungsfaktoren!$B$15/Umrechnungsfaktoren!$B$14</f>
        <v>0.2035294117647059</v>
      </c>
      <c r="AD12" s="19">
        <f>0.9*Umrechnungsfaktoren!$B$15/Umrechnungsfaktoren!$B$14</f>
        <v>0.91588235294117659</v>
      </c>
      <c r="AE12" s="19">
        <f>0.5*Umrechnungsfaktoren!$B$15/Umrechnungsfaktoren!$B$14</f>
        <v>0.50882352941176479</v>
      </c>
      <c r="AF12" s="8"/>
      <c r="AG12" s="8"/>
      <c r="AH12" s="8"/>
      <c r="AI12" s="8">
        <f>0.05*Umrechnungsfaktoren!$B$15/Umrechnungsfaktoren!$B$14</f>
        <v>5.0882352941176476E-2</v>
      </c>
      <c r="AJ12" s="8"/>
      <c r="AK12" s="7">
        <v>1</v>
      </c>
      <c r="AL12" s="7">
        <v>1</v>
      </c>
      <c r="AO12" s="13">
        <v>80</v>
      </c>
      <c r="AP12" s="13">
        <v>80</v>
      </c>
      <c r="AQ12" s="13"/>
      <c r="AR12" s="13"/>
      <c r="AS12" s="13"/>
    </row>
    <row r="13" spans="1:52" x14ac:dyDescent="0.25">
      <c r="A13" s="79" t="s">
        <v>74</v>
      </c>
      <c r="B13" s="1" t="s">
        <v>126</v>
      </c>
      <c r="C13" s="1">
        <v>2030</v>
      </c>
      <c r="D13" s="1">
        <v>1</v>
      </c>
      <c r="E13" s="1">
        <v>0</v>
      </c>
      <c r="F13" s="1">
        <v>0</v>
      </c>
      <c r="H13" s="19">
        <v>228</v>
      </c>
      <c r="I13" s="19"/>
      <c r="J13" s="19">
        <v>50</v>
      </c>
      <c r="K13" s="9">
        <v>1</v>
      </c>
      <c r="L13" s="9">
        <v>0.22</v>
      </c>
      <c r="M13" s="46"/>
      <c r="N13" s="20"/>
      <c r="O13" s="1">
        <v>0.25</v>
      </c>
      <c r="T13" s="1">
        <v>2</v>
      </c>
      <c r="AC13" s="19">
        <f>0.2*Umrechnungsfaktoren!$B$15/Umrechnungsfaktoren!$B$14</f>
        <v>0.2035294117647059</v>
      </c>
      <c r="AD13" s="19">
        <f>0.9*Umrechnungsfaktoren!$B$15/Umrechnungsfaktoren!$B$14</f>
        <v>0.91588235294117659</v>
      </c>
      <c r="AE13" s="19">
        <f>0.5*Umrechnungsfaktoren!$B$15/Umrechnungsfaktoren!$B$14</f>
        <v>0.50882352941176479</v>
      </c>
      <c r="AF13" s="8"/>
      <c r="AG13" s="8"/>
      <c r="AH13" s="8"/>
      <c r="AI13" s="8">
        <f>0.05*Umrechnungsfaktoren!$B$15/Umrechnungsfaktoren!$B$14</f>
        <v>5.0882352941176476E-2</v>
      </c>
      <c r="AJ13" s="8"/>
      <c r="AK13" s="7">
        <v>1</v>
      </c>
      <c r="AL13" s="7">
        <v>1</v>
      </c>
      <c r="AO13" s="13">
        <v>80</v>
      </c>
      <c r="AP13" s="13">
        <v>80</v>
      </c>
      <c r="AQ13" s="13"/>
      <c r="AR13" s="13"/>
      <c r="AS13" s="13"/>
    </row>
    <row r="14" spans="1:52" x14ac:dyDescent="0.25">
      <c r="A14" s="79" t="s">
        <v>185</v>
      </c>
      <c r="B14" s="1" t="s">
        <v>126</v>
      </c>
      <c r="C14" s="1">
        <v>2012</v>
      </c>
      <c r="D14" s="1">
        <v>0</v>
      </c>
      <c r="E14" s="1">
        <v>1</v>
      </c>
      <c r="F14" s="1">
        <v>0</v>
      </c>
      <c r="G14" s="1">
        <v>20.398</v>
      </c>
      <c r="H14" s="19"/>
      <c r="I14" s="19">
        <v>2720</v>
      </c>
      <c r="J14" s="19"/>
      <c r="K14" s="9"/>
      <c r="L14" s="9"/>
      <c r="M14" s="46"/>
      <c r="N14" s="20"/>
      <c r="O14" s="1">
        <v>0.25</v>
      </c>
      <c r="AC14" s="19">
        <f>0.2*Umrechnungsfaktoren!$B$15/Umrechnungsfaktoren!$B$14</f>
        <v>0.2035294117647059</v>
      </c>
      <c r="AD14" s="19">
        <f>0.9*Umrechnungsfaktoren!$B$15/Umrechnungsfaktoren!$B$14</f>
        <v>0.91588235294117659</v>
      </c>
      <c r="AE14" s="19">
        <f>0.5*Umrechnungsfaktoren!$B$15/Umrechnungsfaktoren!$B$14</f>
        <v>0.50882352941176479</v>
      </c>
      <c r="AF14" s="8"/>
      <c r="AG14" s="8"/>
      <c r="AH14" s="8">
        <f>433*Umrechnungsfaktoren!$B$15/Umrechnungsfaktoren!$B$14</f>
        <v>440.64117647058822</v>
      </c>
      <c r="AI14" s="8">
        <f>0.05*Umrechnungsfaktoren!$B$15/Umrechnungsfaktoren!$B$14</f>
        <v>5.0882352941176476E-2</v>
      </c>
      <c r="AJ14" s="8"/>
      <c r="AK14" s="7">
        <v>1</v>
      </c>
      <c r="AL14" s="7">
        <v>1</v>
      </c>
      <c r="AO14" s="13" t="s">
        <v>558</v>
      </c>
      <c r="AP14" s="1">
        <v>57</v>
      </c>
      <c r="AQ14" s="13"/>
      <c r="AR14" s="13"/>
      <c r="AS14" s="13">
        <v>60</v>
      </c>
      <c r="AW14" s="1">
        <v>70</v>
      </c>
      <c r="AX14" s="1">
        <v>69</v>
      </c>
      <c r="AY14" s="1">
        <v>70</v>
      </c>
    </row>
    <row r="15" spans="1:52" x14ac:dyDescent="0.25">
      <c r="A15" s="79" t="s">
        <v>185</v>
      </c>
      <c r="B15" s="1" t="s">
        <v>126</v>
      </c>
      <c r="C15" s="1">
        <v>2020</v>
      </c>
      <c r="D15" s="1">
        <v>0</v>
      </c>
      <c r="E15" s="1">
        <v>1</v>
      </c>
      <c r="F15" s="1">
        <v>0</v>
      </c>
      <c r="H15" s="19"/>
      <c r="I15" s="19">
        <v>2524</v>
      </c>
      <c r="J15" s="19"/>
      <c r="K15" s="9"/>
      <c r="L15" s="9"/>
      <c r="M15" s="46"/>
      <c r="N15" s="20"/>
      <c r="O15" s="1">
        <v>0.25</v>
      </c>
      <c r="AC15" s="19">
        <f>0.2*Umrechnungsfaktoren!$B$15/Umrechnungsfaktoren!$B$14</f>
        <v>0.2035294117647059</v>
      </c>
      <c r="AD15" s="19">
        <f>0.9*Umrechnungsfaktoren!$B$15/Umrechnungsfaktoren!$B$14</f>
        <v>0.91588235294117659</v>
      </c>
      <c r="AE15" s="19">
        <f>0.5*Umrechnungsfaktoren!$B$15/Umrechnungsfaktoren!$B$14</f>
        <v>0.50882352941176479</v>
      </c>
      <c r="AF15" s="8"/>
      <c r="AG15" s="8"/>
      <c r="AH15" s="8">
        <f>433*Umrechnungsfaktoren!$B$15/Umrechnungsfaktoren!$B$14</f>
        <v>440.64117647058822</v>
      </c>
      <c r="AI15" s="8">
        <f>0.05*Umrechnungsfaktoren!$B$15/Umrechnungsfaktoren!$B$14</f>
        <v>5.0882352941176476E-2</v>
      </c>
      <c r="AJ15" s="8"/>
      <c r="AK15" s="7">
        <v>1</v>
      </c>
      <c r="AL15" s="7">
        <v>1</v>
      </c>
      <c r="AO15" s="13">
        <v>80</v>
      </c>
      <c r="AP15" s="13">
        <v>80</v>
      </c>
      <c r="AQ15" s="13"/>
      <c r="AR15" s="13"/>
      <c r="AS15" s="13"/>
    </row>
    <row r="16" spans="1:52" x14ac:dyDescent="0.25">
      <c r="A16" s="79" t="s">
        <v>185</v>
      </c>
      <c r="B16" s="1" t="s">
        <v>126</v>
      </c>
      <c r="C16" s="1">
        <v>2025</v>
      </c>
      <c r="D16" s="1">
        <v>0</v>
      </c>
      <c r="E16" s="1">
        <v>1</v>
      </c>
      <c r="F16" s="1">
        <v>0</v>
      </c>
      <c r="H16" s="19"/>
      <c r="I16" s="19">
        <v>2237</v>
      </c>
      <c r="J16" s="19"/>
      <c r="K16" s="9"/>
      <c r="L16" s="9"/>
      <c r="M16" s="46"/>
      <c r="N16" s="20"/>
      <c r="O16" s="1">
        <v>0.25</v>
      </c>
      <c r="AC16" s="19">
        <f>0.2*Umrechnungsfaktoren!$B$15/Umrechnungsfaktoren!$B$14</f>
        <v>0.2035294117647059</v>
      </c>
      <c r="AD16" s="19">
        <f>0.9*Umrechnungsfaktoren!$B$15/Umrechnungsfaktoren!$B$14</f>
        <v>0.91588235294117659</v>
      </c>
      <c r="AE16" s="19">
        <f>0.5*Umrechnungsfaktoren!$B$15/Umrechnungsfaktoren!$B$14</f>
        <v>0.50882352941176479</v>
      </c>
      <c r="AF16" s="8"/>
      <c r="AG16" s="8"/>
      <c r="AH16" s="8">
        <f>433*Umrechnungsfaktoren!$B$15/Umrechnungsfaktoren!$B$14</f>
        <v>440.64117647058822</v>
      </c>
      <c r="AI16" s="8">
        <f>0.05*Umrechnungsfaktoren!$B$15/Umrechnungsfaktoren!$B$14</f>
        <v>5.0882352941176476E-2</v>
      </c>
      <c r="AJ16" s="8"/>
      <c r="AK16" s="7">
        <v>1</v>
      </c>
      <c r="AL16" s="7">
        <v>1</v>
      </c>
      <c r="AO16" s="13">
        <v>80</v>
      </c>
      <c r="AP16" s="13">
        <v>80</v>
      </c>
      <c r="AQ16" s="13"/>
      <c r="AR16" s="13"/>
      <c r="AS16" s="13"/>
    </row>
    <row r="17" spans="1:52" x14ac:dyDescent="0.25">
      <c r="A17" s="79" t="s">
        <v>185</v>
      </c>
      <c r="B17" s="1" t="s">
        <v>126</v>
      </c>
      <c r="C17" s="1">
        <v>2030</v>
      </c>
      <c r="D17" s="1">
        <v>0</v>
      </c>
      <c r="E17" s="1">
        <v>1</v>
      </c>
      <c r="F17" s="1">
        <v>0</v>
      </c>
      <c r="H17" s="19"/>
      <c r="I17" s="19">
        <v>1984</v>
      </c>
      <c r="J17" s="19"/>
      <c r="K17" s="9"/>
      <c r="L17" s="9"/>
      <c r="M17" s="46"/>
      <c r="N17" s="20"/>
      <c r="O17" s="1">
        <v>0.25</v>
      </c>
      <c r="AC17" s="19">
        <f>0.2*Umrechnungsfaktoren!$B$15/Umrechnungsfaktoren!$B$14</f>
        <v>0.2035294117647059</v>
      </c>
      <c r="AD17" s="19">
        <f>0.9*Umrechnungsfaktoren!$B$15/Umrechnungsfaktoren!$B$14</f>
        <v>0.91588235294117659</v>
      </c>
      <c r="AE17" s="19">
        <f>0.5*Umrechnungsfaktoren!$B$15/Umrechnungsfaktoren!$B$14</f>
        <v>0.50882352941176479</v>
      </c>
      <c r="AF17" s="8"/>
      <c r="AG17" s="8"/>
      <c r="AH17" s="8">
        <f>433*Umrechnungsfaktoren!$B$15/Umrechnungsfaktoren!$B$14</f>
        <v>440.64117647058822</v>
      </c>
      <c r="AI17" s="8">
        <f>0.05*Umrechnungsfaktoren!$B$15/Umrechnungsfaktoren!$B$14</f>
        <v>5.0882352941176476E-2</v>
      </c>
      <c r="AJ17" s="8"/>
      <c r="AK17" s="7">
        <v>1</v>
      </c>
      <c r="AL17" s="7">
        <v>1</v>
      </c>
      <c r="AO17" s="13">
        <v>80</v>
      </c>
      <c r="AP17" s="13">
        <v>80</v>
      </c>
      <c r="AQ17" s="13"/>
      <c r="AR17" s="13"/>
      <c r="AS17" s="13"/>
    </row>
    <row r="18" spans="1:52" x14ac:dyDescent="0.25">
      <c r="A18" s="79" t="s">
        <v>81</v>
      </c>
      <c r="B18" s="1" t="s">
        <v>126</v>
      </c>
      <c r="C18" s="1">
        <v>2012</v>
      </c>
      <c r="D18" s="21">
        <v>0</v>
      </c>
      <c r="E18" s="21">
        <v>1</v>
      </c>
      <c r="F18" s="1">
        <v>0</v>
      </c>
      <c r="G18" s="21">
        <v>5.3869999999999996</v>
      </c>
      <c r="H18" s="22">
        <v>957</v>
      </c>
      <c r="I18" s="22">
        <v>1114</v>
      </c>
      <c r="J18" s="19"/>
      <c r="K18" s="24">
        <v>1</v>
      </c>
      <c r="L18" s="24">
        <v>0</v>
      </c>
      <c r="M18" s="46">
        <v>6100</v>
      </c>
      <c r="N18" s="23">
        <v>957</v>
      </c>
      <c r="O18" s="1">
        <v>0.25</v>
      </c>
      <c r="P18" s="21"/>
      <c r="Q18" s="21"/>
      <c r="R18" s="21"/>
      <c r="S18" s="21"/>
      <c r="T18" s="21"/>
      <c r="U18" s="21">
        <v>1.5</v>
      </c>
      <c r="V18" s="21"/>
      <c r="W18" s="21"/>
      <c r="X18" s="21"/>
      <c r="Y18" s="21"/>
      <c r="Z18" s="21"/>
      <c r="AB18" s="21">
        <v>52</v>
      </c>
      <c r="AC18" s="22">
        <f>0.2*Umrechnungsfaktoren!$B$15/Umrechnungsfaktoren!$B$14</f>
        <v>0.2035294117647059</v>
      </c>
      <c r="AD18" s="22">
        <f>0.9*Umrechnungsfaktoren!$B$15/Umrechnungsfaktoren!$B$14</f>
        <v>0.91588235294117659</v>
      </c>
      <c r="AE18" s="22">
        <f>0.5*Umrechnungsfaktoren!$B$15/Umrechnungsfaktoren!$B$14</f>
        <v>0.50882352941176479</v>
      </c>
      <c r="AF18" s="25"/>
      <c r="AG18" s="25"/>
      <c r="AH18" s="8">
        <f>392*Umrechnungsfaktoren!$B$15/Umrechnungsfaktoren!$B$14</f>
        <v>398.91764705882355</v>
      </c>
      <c r="AI18" s="25">
        <f>0.05*Umrechnungsfaktoren!$B$15/Umrechnungsfaktoren!$B$14</f>
        <v>5.0882352941176476E-2</v>
      </c>
      <c r="AJ18" s="25"/>
      <c r="AK18" s="51">
        <v>0.97499999999999998</v>
      </c>
      <c r="AL18" s="51">
        <v>1</v>
      </c>
      <c r="AM18" s="21"/>
      <c r="AN18" s="1">
        <v>56</v>
      </c>
      <c r="AO18" s="13" t="s">
        <v>558</v>
      </c>
      <c r="AP18" s="1">
        <v>57</v>
      </c>
      <c r="AQ18" s="13">
        <v>57</v>
      </c>
      <c r="AR18" s="13">
        <v>56</v>
      </c>
      <c r="AS18" s="13">
        <v>60</v>
      </c>
      <c r="AT18" s="1" t="s">
        <v>360</v>
      </c>
      <c r="AU18" s="21"/>
      <c r="AV18" s="1" t="s">
        <v>360</v>
      </c>
      <c r="AW18" s="1">
        <v>70</v>
      </c>
      <c r="AX18" s="1">
        <v>69</v>
      </c>
      <c r="AY18" s="1">
        <v>70</v>
      </c>
      <c r="AZ18" s="1" t="s">
        <v>560</v>
      </c>
    </row>
    <row r="19" spans="1:52" x14ac:dyDescent="0.25">
      <c r="A19" s="79" t="s">
        <v>81</v>
      </c>
      <c r="B19" s="1" t="s">
        <v>126</v>
      </c>
      <c r="C19" s="1">
        <v>2020</v>
      </c>
      <c r="D19" s="21">
        <v>0</v>
      </c>
      <c r="E19" s="21">
        <v>1</v>
      </c>
      <c r="F19" s="1">
        <v>0</v>
      </c>
      <c r="G19" s="21"/>
      <c r="H19" s="22">
        <v>953</v>
      </c>
      <c r="I19" s="22">
        <v>1110</v>
      </c>
      <c r="J19" s="19"/>
      <c r="K19" s="24">
        <v>1</v>
      </c>
      <c r="L19" s="24">
        <v>0</v>
      </c>
      <c r="M19" s="46"/>
      <c r="N19" s="23"/>
      <c r="O19" s="1">
        <v>0.25</v>
      </c>
      <c r="P19" s="21"/>
      <c r="Q19" s="21"/>
      <c r="R19" s="21"/>
      <c r="S19" s="21"/>
      <c r="T19" s="21"/>
      <c r="U19" s="21">
        <v>1.5</v>
      </c>
      <c r="V19" s="21"/>
      <c r="W19" s="21"/>
      <c r="X19" s="21"/>
      <c r="Y19" s="21"/>
      <c r="Z19" s="21"/>
      <c r="AA19" s="21"/>
      <c r="AB19" s="21"/>
      <c r="AC19" s="22">
        <f>0.2*Umrechnungsfaktoren!$B$15/Umrechnungsfaktoren!$B$14</f>
        <v>0.2035294117647059</v>
      </c>
      <c r="AD19" s="22">
        <f>0.9*Umrechnungsfaktoren!$B$15/Umrechnungsfaktoren!$B$14</f>
        <v>0.91588235294117659</v>
      </c>
      <c r="AE19" s="22">
        <f>0.5*Umrechnungsfaktoren!$B$15/Umrechnungsfaktoren!$B$14</f>
        <v>0.50882352941176479</v>
      </c>
      <c r="AF19" s="25"/>
      <c r="AG19" s="25"/>
      <c r="AH19" s="8">
        <f>392*Umrechnungsfaktoren!$B$15/Umrechnungsfaktoren!$B$14</f>
        <v>398.91764705882355</v>
      </c>
      <c r="AI19" s="25">
        <f>0.05*Umrechnungsfaktoren!$B$15/Umrechnungsfaktoren!$B$14</f>
        <v>5.0882352941176476E-2</v>
      </c>
      <c r="AJ19" s="25"/>
      <c r="AK19" s="51">
        <v>0.97499999999999998</v>
      </c>
      <c r="AL19" s="51">
        <v>1</v>
      </c>
      <c r="AM19" s="21"/>
      <c r="AO19" s="13">
        <v>80</v>
      </c>
      <c r="AP19" s="13">
        <v>80</v>
      </c>
      <c r="AQ19" s="13"/>
      <c r="AR19" s="13"/>
      <c r="AS19" s="13"/>
      <c r="AU19" s="21"/>
    </row>
    <row r="20" spans="1:52" x14ac:dyDescent="0.25">
      <c r="A20" s="79" t="s">
        <v>81</v>
      </c>
      <c r="B20" s="1" t="s">
        <v>126</v>
      </c>
      <c r="C20" s="1">
        <v>2025</v>
      </c>
      <c r="D20" s="21">
        <v>0</v>
      </c>
      <c r="E20" s="21">
        <v>1</v>
      </c>
      <c r="F20" s="1">
        <v>0</v>
      </c>
      <c r="G20" s="21"/>
      <c r="H20" s="22">
        <v>983</v>
      </c>
      <c r="I20" s="22">
        <v>1145</v>
      </c>
      <c r="J20" s="19"/>
      <c r="K20" s="24">
        <v>1</v>
      </c>
      <c r="L20" s="24">
        <v>0</v>
      </c>
      <c r="M20" s="46"/>
      <c r="N20" s="23"/>
      <c r="O20" s="1">
        <v>0.25</v>
      </c>
      <c r="P20" s="21"/>
      <c r="Q20" s="21"/>
      <c r="R20" s="21"/>
      <c r="S20" s="21"/>
      <c r="T20" s="21"/>
      <c r="U20" s="21">
        <v>1.5</v>
      </c>
      <c r="V20" s="21"/>
      <c r="W20" s="21"/>
      <c r="X20" s="21"/>
      <c r="Y20" s="21"/>
      <c r="Z20" s="21"/>
      <c r="AA20" s="21"/>
      <c r="AB20" s="21"/>
      <c r="AC20" s="22">
        <f>0.2*Umrechnungsfaktoren!$B$15/Umrechnungsfaktoren!$B$14</f>
        <v>0.2035294117647059</v>
      </c>
      <c r="AD20" s="22">
        <f>0.9*Umrechnungsfaktoren!$B$15/Umrechnungsfaktoren!$B$14</f>
        <v>0.91588235294117659</v>
      </c>
      <c r="AE20" s="22">
        <f>0.5*Umrechnungsfaktoren!$B$15/Umrechnungsfaktoren!$B$14</f>
        <v>0.50882352941176479</v>
      </c>
      <c r="AF20" s="25"/>
      <c r="AG20" s="25"/>
      <c r="AH20" s="8">
        <f>392*Umrechnungsfaktoren!$B$15/Umrechnungsfaktoren!$B$14</f>
        <v>398.91764705882355</v>
      </c>
      <c r="AI20" s="25">
        <f>0.05*Umrechnungsfaktoren!$B$15/Umrechnungsfaktoren!$B$14</f>
        <v>5.0882352941176476E-2</v>
      </c>
      <c r="AJ20" s="25"/>
      <c r="AK20" s="51">
        <v>0.97499999999999998</v>
      </c>
      <c r="AL20" s="51">
        <v>1</v>
      </c>
      <c r="AM20" s="21"/>
      <c r="AO20" s="13">
        <v>80</v>
      </c>
      <c r="AP20" s="13">
        <v>80</v>
      </c>
      <c r="AQ20" s="13"/>
      <c r="AR20" s="13"/>
      <c r="AS20" s="13"/>
      <c r="AU20" s="21"/>
    </row>
    <row r="21" spans="1:52" x14ac:dyDescent="0.25">
      <c r="A21" s="79" t="s">
        <v>81</v>
      </c>
      <c r="B21" s="1" t="s">
        <v>126</v>
      </c>
      <c r="C21" s="1">
        <v>2030</v>
      </c>
      <c r="D21" s="21">
        <v>0</v>
      </c>
      <c r="E21" s="21">
        <v>1</v>
      </c>
      <c r="F21" s="1">
        <v>0</v>
      </c>
      <c r="G21" s="21"/>
      <c r="H21" s="22">
        <v>960</v>
      </c>
      <c r="I21" s="22">
        <v>1117</v>
      </c>
      <c r="J21" s="19"/>
      <c r="K21" s="24">
        <v>1</v>
      </c>
      <c r="L21" s="24">
        <v>0</v>
      </c>
      <c r="M21" s="46"/>
      <c r="N21" s="23"/>
      <c r="O21" s="1">
        <v>0.25</v>
      </c>
      <c r="P21" s="21"/>
      <c r="Q21" s="21"/>
      <c r="R21" s="21"/>
      <c r="S21" s="21"/>
      <c r="T21" s="21"/>
      <c r="U21" s="21">
        <v>1.5</v>
      </c>
      <c r="V21" s="21"/>
      <c r="W21" s="21"/>
      <c r="X21" s="21"/>
      <c r="Y21" s="21"/>
      <c r="Z21" s="21"/>
      <c r="AA21" s="21"/>
      <c r="AB21" s="21"/>
      <c r="AC21" s="22">
        <f>0.2*Umrechnungsfaktoren!$B$15/Umrechnungsfaktoren!$B$14</f>
        <v>0.2035294117647059</v>
      </c>
      <c r="AD21" s="22">
        <f>0.9*Umrechnungsfaktoren!$B$15/Umrechnungsfaktoren!$B$14</f>
        <v>0.91588235294117659</v>
      </c>
      <c r="AE21" s="22">
        <f>0.5*Umrechnungsfaktoren!$B$15/Umrechnungsfaktoren!$B$14</f>
        <v>0.50882352941176479</v>
      </c>
      <c r="AF21" s="25"/>
      <c r="AG21" s="25"/>
      <c r="AH21" s="8">
        <f>392*Umrechnungsfaktoren!$B$15/Umrechnungsfaktoren!$B$14</f>
        <v>398.91764705882355</v>
      </c>
      <c r="AI21" s="25">
        <f>0.05*Umrechnungsfaktoren!$B$15/Umrechnungsfaktoren!$B$14</f>
        <v>5.0882352941176476E-2</v>
      </c>
      <c r="AJ21" s="25"/>
      <c r="AK21" s="51">
        <v>0.97499999999999998</v>
      </c>
      <c r="AL21" s="51">
        <v>1</v>
      </c>
      <c r="AM21" s="21"/>
      <c r="AO21" s="13">
        <v>80</v>
      </c>
      <c r="AP21" s="13">
        <v>80</v>
      </c>
      <c r="AQ21" s="13"/>
      <c r="AR21" s="13"/>
      <c r="AS21" s="13"/>
      <c r="AU21" s="21"/>
    </row>
    <row r="22" spans="1:52" x14ac:dyDescent="0.25">
      <c r="A22" s="79" t="s">
        <v>938</v>
      </c>
      <c r="B22" s="1" t="s">
        <v>126</v>
      </c>
      <c r="C22" s="1">
        <v>2012</v>
      </c>
      <c r="D22" s="21">
        <v>1</v>
      </c>
      <c r="E22" s="21">
        <v>1</v>
      </c>
      <c r="F22" s="1">
        <v>0</v>
      </c>
      <c r="G22" s="21">
        <f>0.639+1.456</f>
        <v>2.0949999999999998</v>
      </c>
      <c r="H22" s="22">
        <f>116+265</f>
        <v>381</v>
      </c>
      <c r="I22" s="22">
        <v>921</v>
      </c>
      <c r="J22" s="22">
        <v>163</v>
      </c>
      <c r="K22" s="24">
        <v>1</v>
      </c>
      <c r="L22" s="24">
        <v>0.43</v>
      </c>
      <c r="M22" s="47">
        <v>5500</v>
      </c>
      <c r="N22" s="23">
        <f>116+265</f>
        <v>381</v>
      </c>
      <c r="O22" s="1">
        <v>0.25</v>
      </c>
      <c r="P22" s="21"/>
      <c r="Q22" s="21"/>
      <c r="R22" s="21"/>
      <c r="S22" s="21"/>
      <c r="T22" s="21">
        <v>3</v>
      </c>
      <c r="U22" s="21">
        <v>3</v>
      </c>
      <c r="V22" s="21"/>
      <c r="W22" s="21"/>
      <c r="X22" s="21"/>
      <c r="Y22" s="21"/>
      <c r="Z22" s="21"/>
      <c r="AA22" s="21">
        <v>52</v>
      </c>
      <c r="AB22" s="21">
        <v>52</v>
      </c>
      <c r="AC22" s="22">
        <f>0.2*Umrechnungsfaktoren!$B$15/Umrechnungsfaktoren!$B$14</f>
        <v>0.2035294117647059</v>
      </c>
      <c r="AD22" s="22">
        <f>0.9*Umrechnungsfaktoren!$B$15/Umrechnungsfaktoren!$B$14</f>
        <v>0.91588235294117659</v>
      </c>
      <c r="AE22" s="22">
        <f>0.5*Umrechnungsfaktoren!$B$15/Umrechnungsfaktoren!$B$14</f>
        <v>0.50882352941176479</v>
      </c>
      <c r="AF22" s="25"/>
      <c r="AG22" s="25"/>
      <c r="AH22" s="8">
        <f>317*Umrechnungsfaktoren!$B$15/Umrechnungsfaktoren!$B$14</f>
        <v>322.59411764705885</v>
      </c>
      <c r="AI22" s="25">
        <f>0.05*Umrechnungsfaktoren!$B$15/Umrechnungsfaktoren!$B$14</f>
        <v>5.0882352941176476E-2</v>
      </c>
      <c r="AJ22" s="25"/>
      <c r="AK22" s="7">
        <v>1</v>
      </c>
      <c r="AL22" s="7">
        <v>1</v>
      </c>
      <c r="AM22" s="1" t="s">
        <v>559</v>
      </c>
      <c r="AN22" s="1">
        <v>56</v>
      </c>
      <c r="AO22" s="13" t="s">
        <v>558</v>
      </c>
      <c r="AP22" s="1">
        <v>57</v>
      </c>
      <c r="AQ22" s="13">
        <v>57</v>
      </c>
      <c r="AR22" s="13">
        <v>56</v>
      </c>
      <c r="AS22" s="13">
        <v>60</v>
      </c>
      <c r="AT22" s="1" t="s">
        <v>360</v>
      </c>
      <c r="AU22" s="21"/>
      <c r="AV22" s="1" t="s">
        <v>360</v>
      </c>
      <c r="AW22" s="1">
        <v>70</v>
      </c>
      <c r="AX22" s="1">
        <v>69</v>
      </c>
      <c r="AY22" s="1">
        <v>70</v>
      </c>
      <c r="AZ22" s="21"/>
    </row>
    <row r="23" spans="1:52" x14ac:dyDescent="0.25">
      <c r="A23" s="79" t="s">
        <v>938</v>
      </c>
      <c r="B23" s="1" t="s">
        <v>126</v>
      </c>
      <c r="C23" s="1">
        <v>2020</v>
      </c>
      <c r="D23" s="21">
        <v>1</v>
      </c>
      <c r="E23" s="21">
        <v>1</v>
      </c>
      <c r="F23" s="1">
        <v>0</v>
      </c>
      <c r="G23" s="21"/>
      <c r="H23" s="22">
        <v>379</v>
      </c>
      <c r="I23" s="22">
        <v>917</v>
      </c>
      <c r="J23" s="22">
        <v>162</v>
      </c>
      <c r="K23" s="24">
        <v>1</v>
      </c>
      <c r="L23" s="24">
        <v>0.43</v>
      </c>
      <c r="M23" s="47"/>
      <c r="N23" s="23"/>
      <c r="O23" s="1">
        <v>0.25</v>
      </c>
      <c r="P23" s="21"/>
      <c r="Q23" s="21"/>
      <c r="R23" s="21"/>
      <c r="S23" s="21"/>
      <c r="T23" s="21">
        <v>3</v>
      </c>
      <c r="U23" s="21">
        <v>3</v>
      </c>
      <c r="V23" s="21"/>
      <c r="W23" s="21"/>
      <c r="X23" s="21"/>
      <c r="Y23" s="21"/>
      <c r="Z23" s="21"/>
      <c r="AA23" s="21"/>
      <c r="AB23" s="21"/>
      <c r="AC23" s="22">
        <f>0.2*Umrechnungsfaktoren!$B$15/Umrechnungsfaktoren!$B$14</f>
        <v>0.2035294117647059</v>
      </c>
      <c r="AD23" s="22">
        <f>0.9*Umrechnungsfaktoren!$B$15/Umrechnungsfaktoren!$B$14</f>
        <v>0.91588235294117659</v>
      </c>
      <c r="AE23" s="22">
        <f>0.5*Umrechnungsfaktoren!$B$15/Umrechnungsfaktoren!$B$14</f>
        <v>0.50882352941176479</v>
      </c>
      <c r="AF23" s="25"/>
      <c r="AG23" s="25"/>
      <c r="AH23" s="8">
        <f>317*Umrechnungsfaktoren!$B$15/Umrechnungsfaktoren!$B$14</f>
        <v>322.59411764705885</v>
      </c>
      <c r="AI23" s="25">
        <f>0.05*Umrechnungsfaktoren!$B$15/Umrechnungsfaktoren!$B$14</f>
        <v>5.0882352941176476E-2</v>
      </c>
      <c r="AJ23" s="25"/>
      <c r="AK23" s="7">
        <v>1</v>
      </c>
      <c r="AL23" s="7">
        <v>1</v>
      </c>
      <c r="AO23" s="13">
        <v>80</v>
      </c>
      <c r="AP23" s="13">
        <v>80</v>
      </c>
      <c r="AQ23" s="13"/>
      <c r="AR23" s="13"/>
      <c r="AS23" s="13"/>
      <c r="AU23" s="21"/>
      <c r="AZ23" s="21"/>
    </row>
    <row r="24" spans="1:52" x14ac:dyDescent="0.25">
      <c r="A24" s="79" t="s">
        <v>938</v>
      </c>
      <c r="B24" s="1" t="s">
        <v>126</v>
      </c>
      <c r="C24" s="1">
        <v>2025</v>
      </c>
      <c r="D24" s="21">
        <v>1</v>
      </c>
      <c r="E24" s="21">
        <v>1</v>
      </c>
      <c r="F24" s="1">
        <v>0</v>
      </c>
      <c r="G24" s="21"/>
      <c r="H24" s="22">
        <v>376</v>
      </c>
      <c r="I24" s="22">
        <v>911</v>
      </c>
      <c r="J24" s="22">
        <v>161</v>
      </c>
      <c r="K24" s="24">
        <v>1</v>
      </c>
      <c r="L24" s="24">
        <v>0.43</v>
      </c>
      <c r="M24" s="47"/>
      <c r="N24" s="23"/>
      <c r="O24" s="1">
        <v>0.25</v>
      </c>
      <c r="P24" s="21"/>
      <c r="Q24" s="21"/>
      <c r="R24" s="21"/>
      <c r="S24" s="21"/>
      <c r="T24" s="21">
        <v>3</v>
      </c>
      <c r="U24" s="21">
        <v>3</v>
      </c>
      <c r="V24" s="21"/>
      <c r="W24" s="21"/>
      <c r="X24" s="21"/>
      <c r="Y24" s="21"/>
      <c r="Z24" s="21"/>
      <c r="AA24" s="21"/>
      <c r="AB24" s="21"/>
      <c r="AC24" s="22">
        <f>0.2*Umrechnungsfaktoren!$B$15/Umrechnungsfaktoren!$B$14</f>
        <v>0.2035294117647059</v>
      </c>
      <c r="AD24" s="22">
        <f>0.9*Umrechnungsfaktoren!$B$15/Umrechnungsfaktoren!$B$14</f>
        <v>0.91588235294117659</v>
      </c>
      <c r="AE24" s="22">
        <f>0.5*Umrechnungsfaktoren!$B$15/Umrechnungsfaktoren!$B$14</f>
        <v>0.50882352941176479</v>
      </c>
      <c r="AF24" s="25"/>
      <c r="AG24" s="25"/>
      <c r="AH24" s="8">
        <f>317*Umrechnungsfaktoren!$B$15/Umrechnungsfaktoren!$B$14</f>
        <v>322.59411764705885</v>
      </c>
      <c r="AI24" s="25">
        <f>0.05*Umrechnungsfaktoren!$B$15/Umrechnungsfaktoren!$B$14</f>
        <v>5.0882352941176476E-2</v>
      </c>
      <c r="AJ24" s="25"/>
      <c r="AK24" s="7">
        <v>1</v>
      </c>
      <c r="AL24" s="7">
        <v>1</v>
      </c>
      <c r="AO24" s="13">
        <v>80</v>
      </c>
      <c r="AP24" s="13">
        <v>80</v>
      </c>
      <c r="AQ24" s="13"/>
      <c r="AR24" s="13"/>
      <c r="AS24" s="13"/>
      <c r="AU24" s="21"/>
      <c r="AZ24" s="21"/>
    </row>
    <row r="25" spans="1:52" x14ac:dyDescent="0.25">
      <c r="A25" s="79" t="s">
        <v>938</v>
      </c>
      <c r="B25" s="1" t="s">
        <v>126</v>
      </c>
      <c r="C25" s="1">
        <v>2030</v>
      </c>
      <c r="D25" s="21">
        <v>1</v>
      </c>
      <c r="E25" s="21">
        <v>1</v>
      </c>
      <c r="F25" s="1">
        <v>0</v>
      </c>
      <c r="G25" s="21"/>
      <c r="H25" s="22">
        <v>373</v>
      </c>
      <c r="I25" s="22">
        <v>902</v>
      </c>
      <c r="J25" s="22">
        <v>160</v>
      </c>
      <c r="K25" s="24">
        <v>1</v>
      </c>
      <c r="L25" s="24">
        <v>0.43</v>
      </c>
      <c r="M25" s="47"/>
      <c r="N25" s="23"/>
      <c r="O25" s="1">
        <v>0.25</v>
      </c>
      <c r="P25" s="21"/>
      <c r="Q25" s="21"/>
      <c r="R25" s="21"/>
      <c r="S25" s="21"/>
      <c r="T25" s="21">
        <v>3</v>
      </c>
      <c r="U25" s="21">
        <v>3</v>
      </c>
      <c r="V25" s="21"/>
      <c r="W25" s="21"/>
      <c r="X25" s="21"/>
      <c r="Y25" s="21"/>
      <c r="Z25" s="21"/>
      <c r="AA25" s="21"/>
      <c r="AB25" s="21"/>
      <c r="AC25" s="22">
        <f>0.2*Umrechnungsfaktoren!$B$15/Umrechnungsfaktoren!$B$14</f>
        <v>0.2035294117647059</v>
      </c>
      <c r="AD25" s="22">
        <f>0.9*Umrechnungsfaktoren!$B$15/Umrechnungsfaktoren!$B$14</f>
        <v>0.91588235294117659</v>
      </c>
      <c r="AE25" s="22">
        <f>0.5*Umrechnungsfaktoren!$B$15/Umrechnungsfaktoren!$B$14</f>
        <v>0.50882352941176479</v>
      </c>
      <c r="AF25" s="25"/>
      <c r="AG25" s="25"/>
      <c r="AH25" s="8">
        <f>317*Umrechnungsfaktoren!$B$15/Umrechnungsfaktoren!$B$14</f>
        <v>322.59411764705885</v>
      </c>
      <c r="AI25" s="25">
        <f>0.05*Umrechnungsfaktoren!$B$15/Umrechnungsfaktoren!$B$14</f>
        <v>5.0882352941176476E-2</v>
      </c>
      <c r="AJ25" s="25"/>
      <c r="AK25" s="7">
        <v>1</v>
      </c>
      <c r="AL25" s="7">
        <v>1</v>
      </c>
      <c r="AO25" s="13">
        <v>80</v>
      </c>
      <c r="AP25" s="13">
        <v>80</v>
      </c>
      <c r="AQ25" s="13"/>
      <c r="AR25" s="13"/>
      <c r="AS25" s="13"/>
      <c r="AU25" s="21"/>
      <c r="AZ25" s="21"/>
    </row>
    <row r="26" spans="1:52" x14ac:dyDescent="0.25">
      <c r="A26" s="79" t="s">
        <v>206</v>
      </c>
      <c r="B26" s="1" t="s">
        <v>126</v>
      </c>
      <c r="C26" s="1">
        <v>2012</v>
      </c>
      <c r="D26" s="1">
        <v>1</v>
      </c>
      <c r="E26" s="1">
        <v>0</v>
      </c>
      <c r="F26" s="1">
        <v>0</v>
      </c>
      <c r="H26" s="19">
        <v>200</v>
      </c>
      <c r="I26" s="19"/>
      <c r="J26" s="19">
        <v>1000</v>
      </c>
      <c r="K26" s="9"/>
      <c r="L26" s="9"/>
      <c r="M26" s="46"/>
      <c r="N26" s="20"/>
      <c r="P26" s="1">
        <f>15/60</f>
        <v>0.25</v>
      </c>
      <c r="Q26" s="1">
        <v>2</v>
      </c>
      <c r="T26" s="1">
        <v>0.3</v>
      </c>
      <c r="V26" s="1">
        <v>0.25</v>
      </c>
      <c r="W26" s="1">
        <v>8</v>
      </c>
      <c r="X26" s="1">
        <v>0.5</v>
      </c>
      <c r="Y26" s="1">
        <v>4</v>
      </c>
      <c r="Z26" s="1">
        <v>4</v>
      </c>
      <c r="AC26" s="19"/>
      <c r="AD26" s="19"/>
      <c r="AE26" s="19"/>
      <c r="AF26" s="8"/>
      <c r="AG26" s="8"/>
      <c r="AH26" s="8"/>
      <c r="AI26" s="8"/>
      <c r="AJ26" s="8"/>
      <c r="AK26" s="7">
        <v>1</v>
      </c>
      <c r="AL26" s="7">
        <v>1</v>
      </c>
      <c r="AO26" s="13">
        <v>94</v>
      </c>
      <c r="AP26" s="1">
        <v>94</v>
      </c>
      <c r="AQ26" s="13"/>
      <c r="AR26" s="13"/>
      <c r="AS26" s="13"/>
      <c r="AT26" s="1" t="s">
        <v>563</v>
      </c>
      <c r="AU26" s="1">
        <v>100</v>
      </c>
    </row>
    <row r="27" spans="1:52" x14ac:dyDescent="0.25">
      <c r="A27" s="79" t="s">
        <v>208</v>
      </c>
      <c r="B27" s="1" t="s">
        <v>126</v>
      </c>
      <c r="C27" s="1">
        <v>2012</v>
      </c>
      <c r="D27" s="1">
        <v>0</v>
      </c>
      <c r="E27" s="1">
        <v>1</v>
      </c>
      <c r="F27" s="1">
        <v>0</v>
      </c>
      <c r="H27" s="19">
        <v>400</v>
      </c>
      <c r="I27" s="19"/>
      <c r="J27" s="19">
        <v>0</v>
      </c>
      <c r="K27" s="9"/>
      <c r="L27" s="9"/>
      <c r="M27" s="46"/>
      <c r="N27" s="20"/>
      <c r="P27" s="100"/>
      <c r="Q27" s="100"/>
      <c r="R27" s="1">
        <f>2/60</f>
        <v>3.3333333333333333E-2</v>
      </c>
      <c r="S27" s="1">
        <v>2</v>
      </c>
      <c r="T27" s="99"/>
      <c r="U27" s="1">
        <v>0.5</v>
      </c>
      <c r="V27" s="1">
        <v>0.5</v>
      </c>
      <c r="X27" s="1">
        <v>0</v>
      </c>
      <c r="Y27" s="1">
        <v>2</v>
      </c>
      <c r="Z27" s="1">
        <v>0</v>
      </c>
      <c r="AC27" s="19"/>
      <c r="AD27" s="19"/>
      <c r="AE27" s="19"/>
      <c r="AF27" s="8"/>
      <c r="AG27" s="8"/>
      <c r="AH27" s="8"/>
      <c r="AI27" s="8"/>
      <c r="AJ27" s="8"/>
      <c r="AK27" s="7">
        <v>1.83</v>
      </c>
      <c r="AL27" s="7">
        <v>1</v>
      </c>
      <c r="AO27" s="13">
        <v>94</v>
      </c>
      <c r="AP27" s="1">
        <v>94</v>
      </c>
      <c r="AQ27" s="13"/>
      <c r="AR27" s="13"/>
      <c r="AS27" s="13"/>
      <c r="AT27" s="1" t="s">
        <v>563</v>
      </c>
      <c r="AU27" s="1">
        <v>100</v>
      </c>
    </row>
    <row r="28" spans="1:52" x14ac:dyDescent="0.25">
      <c r="A28" s="79" t="s">
        <v>535</v>
      </c>
      <c r="B28" s="1" t="s">
        <v>126</v>
      </c>
      <c r="C28" s="1">
        <v>2012</v>
      </c>
      <c r="D28" s="1">
        <v>0</v>
      </c>
      <c r="E28" s="1">
        <v>1</v>
      </c>
      <c r="F28" s="1">
        <v>0</v>
      </c>
      <c r="H28" s="19">
        <v>400</v>
      </c>
      <c r="I28" s="19"/>
      <c r="J28" s="19">
        <v>0</v>
      </c>
      <c r="K28" s="9"/>
      <c r="L28" s="9"/>
      <c r="M28" s="46"/>
      <c r="N28" s="20"/>
      <c r="P28" s="100"/>
      <c r="Q28" s="100"/>
      <c r="R28" s="1">
        <v>1</v>
      </c>
      <c r="S28" s="1">
        <v>8</v>
      </c>
      <c r="U28" s="1">
        <v>4</v>
      </c>
      <c r="X28" s="1">
        <v>0</v>
      </c>
      <c r="Y28" s="1">
        <v>4</v>
      </c>
      <c r="Z28" s="1">
        <v>0</v>
      </c>
      <c r="AC28" s="19"/>
      <c r="AD28" s="19"/>
      <c r="AE28" s="19"/>
      <c r="AF28" s="8">
        <f>18.8*Umrechnungsfaktoren!$B$15/Umrechnungsfaktoren!$B$14</f>
        <v>19.131764705882354</v>
      </c>
      <c r="AG28" s="8">
        <f>32.8*Umrechnungsfaktoren!$B$15/Umrechnungsfaktoren!$B$14</f>
        <v>33.378823529411761</v>
      </c>
      <c r="AH28" s="8"/>
      <c r="AI28" s="8"/>
      <c r="AJ28" s="8"/>
      <c r="AK28" s="7">
        <v>1</v>
      </c>
      <c r="AL28" s="7">
        <v>1</v>
      </c>
      <c r="AO28" s="13"/>
      <c r="AQ28" s="13"/>
      <c r="AR28" s="13"/>
      <c r="AS28" s="13"/>
      <c r="AT28" s="1" t="s">
        <v>563</v>
      </c>
      <c r="AU28" s="1">
        <v>100</v>
      </c>
    </row>
    <row r="29" spans="1:52" x14ac:dyDescent="0.25">
      <c r="A29" s="79" t="s">
        <v>219</v>
      </c>
      <c r="B29" s="1" t="s">
        <v>126</v>
      </c>
      <c r="C29" s="1">
        <v>2012</v>
      </c>
      <c r="D29" s="1">
        <v>1</v>
      </c>
      <c r="E29" s="1">
        <v>0</v>
      </c>
      <c r="F29" s="1">
        <v>0</v>
      </c>
      <c r="H29" s="19">
        <v>0</v>
      </c>
      <c r="I29" s="19"/>
      <c r="J29" s="19">
        <v>50</v>
      </c>
      <c r="K29" s="9"/>
      <c r="L29" s="9"/>
      <c r="M29" s="46"/>
      <c r="N29" s="20"/>
      <c r="P29" s="1">
        <v>0</v>
      </c>
      <c r="Q29" s="1">
        <v>2</v>
      </c>
      <c r="T29" s="1">
        <f>1/60</f>
        <v>1.6666666666666666E-2</v>
      </c>
      <c r="X29" s="1">
        <f>1/60</f>
        <v>1.6666666666666666E-2</v>
      </c>
      <c r="Y29" s="1">
        <v>0.1</v>
      </c>
      <c r="Z29" s="1">
        <v>0.1</v>
      </c>
      <c r="AC29" s="19"/>
      <c r="AD29" s="19"/>
      <c r="AE29" s="19"/>
      <c r="AF29" s="8"/>
      <c r="AG29" s="8"/>
      <c r="AH29" s="8"/>
      <c r="AI29" s="8"/>
      <c r="AJ29" s="8"/>
      <c r="AK29" s="37">
        <v>0.96299999999999997</v>
      </c>
      <c r="AL29" s="7">
        <v>0.94</v>
      </c>
      <c r="AO29" s="13">
        <v>94</v>
      </c>
      <c r="AP29" s="1">
        <v>94</v>
      </c>
      <c r="AQ29" s="13"/>
      <c r="AR29" s="13"/>
      <c r="AS29" s="13"/>
      <c r="AT29" s="1" t="s">
        <v>563</v>
      </c>
      <c r="AU29" s="1">
        <v>100</v>
      </c>
    </row>
    <row r="30" spans="1:52" x14ac:dyDescent="0.25">
      <c r="A30" s="79" t="s">
        <v>537</v>
      </c>
      <c r="B30" s="1" t="s">
        <v>126</v>
      </c>
      <c r="C30" s="1">
        <v>2012</v>
      </c>
      <c r="D30" s="1">
        <v>1</v>
      </c>
      <c r="E30" s="1">
        <v>0</v>
      </c>
      <c r="F30" s="1">
        <v>0</v>
      </c>
      <c r="H30" s="19">
        <v>50</v>
      </c>
      <c r="I30" s="19"/>
      <c r="J30" s="19">
        <v>50</v>
      </c>
      <c r="K30" s="9"/>
      <c r="L30" s="9"/>
      <c r="M30" s="46"/>
      <c r="N30" s="20"/>
      <c r="T30" s="1">
        <v>0.5</v>
      </c>
      <c r="W30" s="1">
        <v>1</v>
      </c>
      <c r="X30" s="1">
        <v>0.8</v>
      </c>
      <c r="Y30" s="1">
        <v>2</v>
      </c>
      <c r="Z30" s="1">
        <v>2</v>
      </c>
      <c r="AC30" s="19"/>
      <c r="AD30" s="19"/>
      <c r="AE30" s="19"/>
      <c r="AF30" s="19"/>
      <c r="AG30" s="19"/>
      <c r="AH30" s="8"/>
      <c r="AI30" s="19"/>
      <c r="AJ30" s="8"/>
      <c r="AK30" s="7">
        <v>1.37</v>
      </c>
      <c r="AL30" s="7">
        <v>1.37</v>
      </c>
      <c r="AO30" s="13"/>
      <c r="AQ30" s="13"/>
      <c r="AR30" s="13"/>
      <c r="AS30" s="13"/>
      <c r="AT30" s="1" t="s">
        <v>563</v>
      </c>
      <c r="AU30" s="1">
        <v>100</v>
      </c>
    </row>
    <row r="31" spans="1:52" x14ac:dyDescent="0.25">
      <c r="A31" s="79" t="s">
        <v>542</v>
      </c>
      <c r="B31" s="1" t="s">
        <v>126</v>
      </c>
      <c r="C31" s="1">
        <v>2012</v>
      </c>
      <c r="D31" s="21">
        <v>1</v>
      </c>
      <c r="E31" s="21">
        <v>1</v>
      </c>
      <c r="F31" s="1">
        <v>0</v>
      </c>
      <c r="H31" s="19">
        <v>1183</v>
      </c>
      <c r="I31" s="19">
        <v>629</v>
      </c>
      <c r="J31" s="19"/>
      <c r="K31" s="9"/>
      <c r="L31" s="9"/>
      <c r="M31" s="46"/>
      <c r="N31" s="20"/>
      <c r="AC31" s="19"/>
      <c r="AD31" s="19"/>
      <c r="AE31" s="22">
        <f>6.2*Umrechnungsfaktoren!$B$15/Umrechnungsfaktoren!$B$14</f>
        <v>6.3094117647058825</v>
      </c>
      <c r="AF31" s="19"/>
      <c r="AG31" s="19"/>
      <c r="AH31" s="8"/>
      <c r="AI31" s="19"/>
      <c r="AJ31" s="8">
        <f>3000*Umrechnungsfaktoren!$B$15/Umrechnungsfaktoren!$B$14</f>
        <v>3052.9411764705887</v>
      </c>
      <c r="AO31" s="13">
        <v>117</v>
      </c>
      <c r="AP31" s="13">
        <v>117</v>
      </c>
      <c r="AQ31" s="13"/>
      <c r="AR31" s="13"/>
      <c r="AS31" s="13"/>
    </row>
    <row r="32" spans="1:52" x14ac:dyDescent="0.25">
      <c r="A32" s="79" t="s">
        <v>542</v>
      </c>
      <c r="B32" s="1" t="s">
        <v>126</v>
      </c>
      <c r="C32" s="1">
        <v>2020</v>
      </c>
      <c r="D32" s="21">
        <v>1</v>
      </c>
      <c r="E32" s="21">
        <v>1</v>
      </c>
      <c r="F32" s="1">
        <v>0</v>
      </c>
      <c r="H32" s="19">
        <v>1106</v>
      </c>
      <c r="I32" s="19">
        <v>634</v>
      </c>
      <c r="J32" s="19"/>
      <c r="K32" s="9"/>
      <c r="L32" s="9"/>
      <c r="M32" s="46"/>
      <c r="N32" s="20"/>
      <c r="AC32" s="19"/>
      <c r="AD32" s="19"/>
      <c r="AE32" s="22">
        <f>5.6*Umrechnungsfaktoren!$B$15/Umrechnungsfaktoren!$B$14</f>
        <v>5.6988235294117642</v>
      </c>
      <c r="AF32" s="19"/>
      <c r="AG32" s="19"/>
      <c r="AH32" s="8"/>
      <c r="AI32" s="19"/>
      <c r="AJ32" s="8">
        <f>2550*Umrechnungsfaktoren!$B$15/Umrechnungsfaktoren!$B$14</f>
        <v>2595.0000000000005</v>
      </c>
      <c r="AO32" s="13">
        <v>117</v>
      </c>
      <c r="AP32" s="13">
        <v>117</v>
      </c>
      <c r="AQ32" s="13"/>
      <c r="AR32" s="13"/>
      <c r="AS32" s="13"/>
    </row>
    <row r="33" spans="1:45" x14ac:dyDescent="0.25">
      <c r="A33" s="79" t="s">
        <v>542</v>
      </c>
      <c r="B33" s="1" t="s">
        <v>126</v>
      </c>
      <c r="C33" s="1">
        <v>2025</v>
      </c>
      <c r="D33" s="21">
        <v>1</v>
      </c>
      <c r="E33" s="21">
        <v>1</v>
      </c>
      <c r="F33" s="1">
        <v>0</v>
      </c>
      <c r="H33" s="19">
        <v>1148</v>
      </c>
      <c r="I33" s="19">
        <v>660</v>
      </c>
      <c r="J33" s="19"/>
      <c r="K33" s="9"/>
      <c r="L33" s="9"/>
      <c r="M33" s="46"/>
      <c r="N33" s="20"/>
      <c r="AC33" s="19"/>
      <c r="AD33" s="19"/>
      <c r="AE33" s="22">
        <f>5.3*Umrechnungsfaktoren!$B$15/Umrechnungsfaktoren!$B$14</f>
        <v>5.3935294117647068</v>
      </c>
      <c r="AF33" s="19"/>
      <c r="AG33" s="19"/>
      <c r="AH33" s="8"/>
      <c r="AI33" s="19"/>
      <c r="AJ33" s="8">
        <f>2100*Umrechnungsfaktoren!$B$15/Umrechnungsfaktoren!$B$14</f>
        <v>2137.0588235294122</v>
      </c>
      <c r="AO33" s="13">
        <v>117</v>
      </c>
      <c r="AP33" s="13">
        <v>117</v>
      </c>
      <c r="AQ33" s="13"/>
      <c r="AR33" s="13"/>
      <c r="AS33" s="13"/>
    </row>
    <row r="34" spans="1:45" x14ac:dyDescent="0.25">
      <c r="A34" s="79" t="s">
        <v>542</v>
      </c>
      <c r="B34" s="1" t="s">
        <v>126</v>
      </c>
      <c r="C34" s="1">
        <v>2030</v>
      </c>
      <c r="D34" s="21">
        <v>1</v>
      </c>
      <c r="E34" s="21">
        <v>1</v>
      </c>
      <c r="F34" s="1">
        <v>0</v>
      </c>
      <c r="H34" s="19">
        <v>1185</v>
      </c>
      <c r="I34" s="19">
        <v>686</v>
      </c>
      <c r="J34" s="19"/>
      <c r="K34" s="9"/>
      <c r="L34" s="9"/>
      <c r="M34" s="46"/>
      <c r="N34" s="20"/>
      <c r="AC34" s="19"/>
      <c r="AD34" s="19"/>
      <c r="AE34" s="22">
        <f>4.9*Umrechnungsfaktoren!$B$15/Umrechnungsfaktoren!$B$14</f>
        <v>4.986470588235294</v>
      </c>
      <c r="AF34" s="19"/>
      <c r="AG34" s="19"/>
      <c r="AH34" s="8"/>
      <c r="AI34" s="19"/>
      <c r="AJ34" s="8">
        <f>1650*Umrechnungsfaktoren!$B$15/Umrechnungsfaktoren!$B$14</f>
        <v>1679.1176470588236</v>
      </c>
      <c r="AO34" s="13">
        <v>117</v>
      </c>
      <c r="AP34" s="13">
        <v>117</v>
      </c>
      <c r="AQ34" s="13"/>
      <c r="AR34" s="13"/>
      <c r="AS34" s="13"/>
    </row>
    <row r="41" spans="1:45" ht="13" x14ac:dyDescent="0.3">
      <c r="G41" s="2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100-000001000000}">
          <x14:formula1>
            <xm:f>Dropdown!$C$2:$C$4</xm:f>
          </x14:formula1>
          <xm:sqref>B2:B34</xm:sqref>
        </x14:dataValidation>
        <x14:dataValidation type="list" allowBlank="1" showInputMessage="1" showErrorMessage="1" xr:uid="{00000000-0002-0000-1100-000000000000}">
          <x14:formula1>
            <xm:f>Dropdown!$A$2:$A$92</xm:f>
          </x14:formula1>
          <xm:sqref>A2:A34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5</vt:i4>
      </vt:variant>
    </vt:vector>
  </HeadingPairs>
  <TitlesOfParts>
    <vt:vector size="54" baseType="lpstr">
      <vt:lpstr>Ape12</vt:lpstr>
      <vt:lpstr>Ary17</vt:lpstr>
      <vt:lpstr>Blu13</vt:lpstr>
      <vt:lpstr>Bel15</vt:lpstr>
      <vt:lpstr>Foc11</vt:lpstr>
      <vt:lpstr>Gil15</vt:lpstr>
      <vt:lpstr>Gob12</vt:lpstr>
      <vt:lpstr>Gro13</vt:lpstr>
      <vt:lpstr>Gru17</vt:lpstr>
      <vt:lpstr>Haa17</vt:lpstr>
      <vt:lpstr>Hei21</vt:lpstr>
      <vt:lpstr>Hen15</vt:lpstr>
      <vt:lpstr>Jet21</vt:lpstr>
      <vt:lpstr>Klo09</vt:lpstr>
      <vt:lpstr>Herleitung_Klo09</vt:lpstr>
      <vt:lpstr>Klo13</vt:lpstr>
      <vt:lpstr>Krz13</vt:lpstr>
      <vt:lpstr>Lad18</vt:lpstr>
      <vt:lpstr>Lan15</vt:lpstr>
      <vt:lpstr>Lie15</vt:lpstr>
      <vt:lpstr>Mae18</vt:lpstr>
      <vt:lpstr>Mol10</vt:lpstr>
      <vt:lpstr>Mue19</vt:lpstr>
      <vt:lpstr>Herleitung_Mol10</vt:lpstr>
      <vt:lpstr>Pau11</vt:lpstr>
      <vt:lpstr>Pel16</vt:lpstr>
      <vt:lpstr>r2b14</vt:lpstr>
      <vt:lpstr>Roo10</vt:lpstr>
      <vt:lpstr>Herleitung_Sch14</vt:lpstr>
      <vt:lpstr>Herleitung_Gil15</vt:lpstr>
      <vt:lpstr>Sau19</vt:lpstr>
      <vt:lpstr>Sta06</vt:lpstr>
      <vt:lpstr>Ste17</vt:lpstr>
      <vt:lpstr>Stoe12</vt:lpstr>
      <vt:lpstr>Sty15</vt:lpstr>
      <vt:lpstr>Herleitung_Pel16</vt:lpstr>
      <vt:lpstr>Ste17_detailliert</vt:lpstr>
      <vt:lpstr>Woh20</vt:lpstr>
      <vt:lpstr>LMM_Gruppen_Sch14</vt:lpstr>
      <vt:lpstr>Kuerzel</vt:lpstr>
      <vt:lpstr>Dropdown</vt:lpstr>
      <vt:lpstr>Kategorien_neu</vt:lpstr>
      <vt:lpstr>Farben</vt:lpstr>
      <vt:lpstr>Kategorien</vt:lpstr>
      <vt:lpstr>Studie_XY</vt:lpstr>
      <vt:lpstr>Herleitung_Studie_XY</vt:lpstr>
      <vt:lpstr>Pivot_Example_Pel16</vt:lpstr>
      <vt:lpstr>Umrechnungsfaktoren</vt:lpstr>
      <vt:lpstr>Methode</vt:lpstr>
      <vt:lpstr>Alumi2005</vt:lpstr>
      <vt:lpstr>Chlor2005</vt:lpstr>
      <vt:lpstr>Chlor2020</vt:lpstr>
      <vt:lpstr>Luft2005</vt:lpstr>
      <vt:lpstr>Luft2020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Kochems</dc:creator>
  <cp:lastModifiedBy>Kochems, Johannes</cp:lastModifiedBy>
  <dcterms:created xsi:type="dcterms:W3CDTF">2019-02-02T11:46:20Z</dcterms:created>
  <dcterms:modified xsi:type="dcterms:W3CDTF">2024-01-19T10:12:52Z</dcterms:modified>
</cp:coreProperties>
</file>